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34F75438-B11D-4D74-AB76-ED1A022C6F3E}"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'1T'!$A$1:$F$195</definedName>
    <definedName name="_xlnm.Print_Area" localSheetId="2">'2T'!$A$1:$F$194</definedName>
    <definedName name="_xlnm.Print_Area" localSheetId="4">'3T'!$A$1:$F$194</definedName>
    <definedName name="_xlnm.Print_Area" localSheetId="6">'4T'!$A$1:$F$194</definedName>
    <definedName name="_xlnm.Print_Area" localSheetId="7">Anual!$A$1:$G$125</definedName>
    <definedName name="_xlnm.Print_Area" localSheetId="3">'I Semestre'!$A$1:$E$116</definedName>
    <definedName name="_xlnm.Print_Area" localSheetId="5">'III T Acumulado'!$A$1:$F$126</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5" i="19" l="1"/>
  <c r="E59" i="24"/>
  <c r="D58" i="24" l="1"/>
  <c r="F58" i="24"/>
  <c r="C58" i="24"/>
  <c r="C61" i="24"/>
  <c r="D61" i="24"/>
  <c r="E61" i="24"/>
  <c r="F61" i="24"/>
  <c r="G61" i="24"/>
  <c r="C112" i="24"/>
  <c r="C106" i="24"/>
  <c r="E106" i="24"/>
  <c r="C110" i="24"/>
  <c r="C104" i="24"/>
  <c r="B104" i="24"/>
  <c r="C149" i="20"/>
  <c r="D149" i="20"/>
  <c r="C155" i="20"/>
  <c r="D155" i="20"/>
  <c r="B155" i="20"/>
  <c r="B149" i="20" l="1"/>
  <c r="B102" i="24"/>
  <c r="E24" i="20"/>
  <c r="D18" i="20"/>
  <c r="E18" i="20"/>
  <c r="C18" i="20"/>
  <c r="C27" i="20"/>
  <c r="D24" i="20"/>
  <c r="C24" i="20"/>
  <c r="D26" i="20"/>
  <c r="D21" i="20"/>
  <c r="C21" i="20"/>
  <c r="E23" i="20"/>
  <c r="D23" i="20"/>
  <c r="C23" i="20"/>
  <c r="D44" i="20" l="1"/>
  <c r="E42" i="20"/>
  <c r="D42" i="20"/>
  <c r="C42" i="20"/>
  <c r="E40" i="20"/>
  <c r="D27" i="20"/>
  <c r="E27" i="20" s="1"/>
  <c r="E21" i="20"/>
  <c r="F125" i="20"/>
  <c r="F124" i="20"/>
  <c r="F123" i="20"/>
  <c r="F122" i="20"/>
  <c r="F121" i="20"/>
  <c r="C106" i="20"/>
  <c r="F106" i="20" s="1"/>
  <c r="C104" i="20"/>
  <c r="C105" i="20"/>
  <c r="E103" i="20"/>
  <c r="D103" i="20"/>
  <c r="C103" i="20" l="1"/>
  <c r="C61" i="22"/>
  <c r="E61" i="22" s="1"/>
  <c r="D61" i="22"/>
  <c r="D58" i="23"/>
  <c r="C58" i="23"/>
  <c r="C61" i="23"/>
  <c r="D61" i="23"/>
  <c r="E61" i="23"/>
  <c r="F61" i="23"/>
  <c r="W94" i="19"/>
  <c r="W102" i="19"/>
  <c r="W103" i="19" s="1"/>
  <c r="W105" i="19" s="1"/>
  <c r="W111" i="19"/>
  <c r="W113" i="19"/>
  <c r="F106" i="19"/>
  <c r="D103" i="19"/>
  <c r="E103" i="19"/>
  <c r="C103" i="19"/>
  <c r="B149" i="19" s="1"/>
  <c r="E155" i="19"/>
  <c r="E154" i="19"/>
  <c r="E153" i="19"/>
  <c r="E148" i="19"/>
  <c r="E147" i="19"/>
  <c r="E151" i="19" s="1"/>
  <c r="E146" i="19"/>
  <c r="C155" i="19"/>
  <c r="D155" i="19"/>
  <c r="B155" i="19"/>
  <c r="G111" i="1"/>
  <c r="E27" i="19"/>
  <c r="D27" i="19"/>
  <c r="C27" i="19"/>
  <c r="F22" i="19"/>
  <c r="E24" i="19"/>
  <c r="D24" i="19"/>
  <c r="C24" i="19"/>
  <c r="E21" i="19"/>
  <c r="D21" i="19"/>
  <c r="C21" i="19"/>
  <c r="E18" i="19"/>
  <c r="D18" i="19"/>
  <c r="C18" i="19"/>
  <c r="C16" i="19"/>
  <c r="B152" i="19" l="1"/>
  <c r="E149" i="19"/>
  <c r="E152" i="19" s="1"/>
  <c r="E150" i="19" s="1"/>
  <c r="B150" i="19"/>
  <c r="E157" i="19"/>
  <c r="F21" i="19"/>
  <c r="F18" i="19"/>
  <c r="F103" i="17"/>
  <c r="C104" i="17"/>
  <c r="C105" i="17"/>
  <c r="G107" i="1"/>
  <c r="G106" i="1"/>
  <c r="G105" i="1"/>
  <c r="I102" i="1"/>
  <c r="G102" i="1"/>
  <c r="E156" i="19" l="1"/>
  <c r="E158" i="19"/>
  <c r="B148" i="20" s="1"/>
  <c r="D153" i="17"/>
  <c r="D155" i="17"/>
  <c r="C155" i="17"/>
  <c r="B155" i="17"/>
  <c r="C149" i="17"/>
  <c r="B152" i="20" l="1"/>
  <c r="B146" i="20"/>
  <c r="B150" i="20" s="1"/>
  <c r="F104" i="1"/>
  <c r="F106" i="17"/>
  <c r="E103" i="17"/>
  <c r="C103" i="17"/>
  <c r="B149" i="17" s="1"/>
  <c r="B152" i="17" s="1"/>
  <c r="E27" i="17" l="1"/>
  <c r="D27" i="17"/>
  <c r="C27" i="17"/>
  <c r="E24" i="17"/>
  <c r="D24" i="17"/>
  <c r="C24" i="17"/>
  <c r="C21" i="17"/>
  <c r="D21" i="17" s="1"/>
  <c r="E21" i="17" s="1"/>
  <c r="C18" i="17"/>
  <c r="D18" i="17" s="1"/>
  <c r="E18" i="17" s="1"/>
  <c r="E27" i="1" l="1"/>
  <c r="D27" i="1"/>
  <c r="F29" i="1"/>
  <c r="F28" i="1"/>
  <c r="F27" i="1"/>
  <c r="E24" i="1"/>
  <c r="E26" i="1"/>
  <c r="D24" i="1"/>
  <c r="E44" i="1"/>
  <c r="E18" i="1"/>
  <c r="E20" i="1"/>
  <c r="D18" i="1"/>
  <c r="E40" i="1"/>
  <c r="E21" i="1"/>
  <c r="D21" i="1"/>
  <c r="E42" i="1"/>
  <c r="F107" i="1"/>
  <c r="B153" i="1"/>
  <c r="B159" i="1" s="1"/>
  <c r="C149" i="1" s="1"/>
  <c r="C153" i="1" s="1"/>
  <c r="C104" i="1"/>
  <c r="F40" i="1"/>
  <c r="C38" i="24"/>
  <c r="F41" i="1"/>
  <c r="C39" i="24"/>
  <c r="F42" i="1"/>
  <c r="C40" i="24"/>
  <c r="F43" i="1"/>
  <c r="C41" i="24"/>
  <c r="E41" i="24"/>
  <c r="F44" i="1"/>
  <c r="C42" i="24"/>
  <c r="F45" i="1"/>
  <c r="C43" i="24"/>
  <c r="F46" i="1"/>
  <c r="C44" i="24"/>
  <c r="F39" i="1"/>
  <c r="C37" i="24"/>
  <c r="E19" i="24"/>
  <c r="E16" i="24"/>
  <c r="F19" i="1"/>
  <c r="C17" i="24"/>
  <c r="F20" i="1"/>
  <c r="C18" i="24"/>
  <c r="F21" i="1"/>
  <c r="C19" i="24"/>
  <c r="F22" i="1"/>
  <c r="C20" i="24"/>
  <c r="F23" i="1"/>
  <c r="C21" i="24"/>
  <c r="F24" i="1"/>
  <c r="C22" i="24"/>
  <c r="F25" i="1"/>
  <c r="C23" i="24"/>
  <c r="F26" i="1"/>
  <c r="C24" i="24"/>
  <c r="C25" i="24"/>
  <c r="C26" i="24"/>
  <c r="C27" i="24"/>
  <c r="F18" i="1"/>
  <c r="C16" i="24"/>
  <c r="C37" i="23"/>
  <c r="C38" i="23"/>
  <c r="C35" i="23" s="1"/>
  <c r="C39" i="23"/>
  <c r="C40" i="23"/>
  <c r="C41" i="23"/>
  <c r="C42" i="23"/>
  <c r="C43" i="23"/>
  <c r="C44" i="23"/>
  <c r="E40" i="23"/>
  <c r="C26" i="23"/>
  <c r="C24" i="23"/>
  <c r="C20" i="23"/>
  <c r="C14" i="23" s="1"/>
  <c r="C18" i="23"/>
  <c r="C17" i="23"/>
  <c r="C23" i="23"/>
  <c r="C27" i="23"/>
  <c r="C21" i="23"/>
  <c r="C19" i="23"/>
  <c r="E19" i="23"/>
  <c r="F19" i="23" s="1"/>
  <c r="C22" i="23"/>
  <c r="C25" i="23"/>
  <c r="E16" i="23"/>
  <c r="F16" i="23" s="1"/>
  <c r="C16" i="23"/>
  <c r="C37" i="22"/>
  <c r="C38" i="22"/>
  <c r="C39" i="22"/>
  <c r="C40" i="22"/>
  <c r="C41" i="22"/>
  <c r="C42" i="22"/>
  <c r="C43" i="22"/>
  <c r="C44" i="22"/>
  <c r="C14" i="22"/>
  <c r="F46" i="20"/>
  <c r="F44" i="24" s="1"/>
  <c r="F45" i="20"/>
  <c r="F43" i="24" s="1"/>
  <c r="F44" i="20"/>
  <c r="F42" i="24" s="1"/>
  <c r="F43" i="20"/>
  <c r="F41" i="24" s="1"/>
  <c r="F42" i="20"/>
  <c r="F40" i="24" s="1"/>
  <c r="F41" i="20"/>
  <c r="F39" i="24" s="1"/>
  <c r="F40" i="20"/>
  <c r="F38" i="24" s="1"/>
  <c r="F39" i="20"/>
  <c r="F37" i="24" s="1"/>
  <c r="E37" i="20"/>
  <c r="D37" i="20"/>
  <c r="C37" i="20"/>
  <c r="F29" i="20"/>
  <c r="F27" i="24" s="1"/>
  <c r="F28" i="20"/>
  <c r="F26" i="24" s="1"/>
  <c r="F27" i="20"/>
  <c r="F25" i="24" s="1"/>
  <c r="G25" i="24" s="1"/>
  <c r="F26" i="20"/>
  <c r="F24" i="24" s="1"/>
  <c r="F25" i="20"/>
  <c r="F23" i="24" s="1"/>
  <c r="F24" i="20"/>
  <c r="F22" i="24" s="1"/>
  <c r="G22" i="24" s="1"/>
  <c r="F23" i="20"/>
  <c r="F21" i="24" s="1"/>
  <c r="F22" i="20"/>
  <c r="F20" i="24" s="1"/>
  <c r="F21" i="20"/>
  <c r="F19" i="24" s="1"/>
  <c r="G19" i="24" s="1"/>
  <c r="F20" i="20"/>
  <c r="F18" i="24" s="1"/>
  <c r="F19" i="20"/>
  <c r="F17" i="24" s="1"/>
  <c r="F18" i="20"/>
  <c r="F16" i="24" s="1"/>
  <c r="G16" i="24" s="1"/>
  <c r="E16" i="20"/>
  <c r="D16" i="20"/>
  <c r="C16" i="20"/>
  <c r="F46" i="19"/>
  <c r="E44" i="24" s="1"/>
  <c r="F45" i="19"/>
  <c r="E43" i="23" s="1"/>
  <c r="F44" i="19"/>
  <c r="E42" i="23" s="1"/>
  <c r="F43" i="19"/>
  <c r="E41" i="23" s="1"/>
  <c r="F42" i="19"/>
  <c r="E40" i="24" s="1"/>
  <c r="F41" i="19"/>
  <c r="E39" i="24" s="1"/>
  <c r="F40" i="19"/>
  <c r="E38" i="23" s="1"/>
  <c r="F39" i="19"/>
  <c r="E37" i="24" s="1"/>
  <c r="E37" i="19"/>
  <c r="D37" i="19"/>
  <c r="C37" i="19"/>
  <c r="F29" i="19"/>
  <c r="E27" i="23" s="1"/>
  <c r="F28" i="19"/>
  <c r="E26" i="23" s="1"/>
  <c r="F27" i="19"/>
  <c r="E25" i="23" s="1"/>
  <c r="F25" i="23" s="1"/>
  <c r="F26" i="19"/>
  <c r="E24" i="23" s="1"/>
  <c r="F25" i="19"/>
  <c r="E23" i="24" s="1"/>
  <c r="F24" i="19"/>
  <c r="E22" i="23" s="1"/>
  <c r="F22" i="23" s="1"/>
  <c r="F23" i="19"/>
  <c r="E21" i="23" s="1"/>
  <c r="E20" i="24"/>
  <c r="F20" i="19"/>
  <c r="E18" i="24" s="1"/>
  <c r="F19" i="19"/>
  <c r="E17" i="24" s="1"/>
  <c r="E16" i="19"/>
  <c r="D16" i="19"/>
  <c r="F46" i="17"/>
  <c r="D44" i="22" s="1"/>
  <c r="E44" i="22" s="1"/>
  <c r="F45" i="17"/>
  <c r="D43" i="23" s="1"/>
  <c r="F44" i="17"/>
  <c r="D42" i="24" s="1"/>
  <c r="F43" i="17"/>
  <c r="D41" i="23" s="1"/>
  <c r="F42" i="17"/>
  <c r="D40" i="22" s="1"/>
  <c r="E40" i="22" s="1"/>
  <c r="F41" i="17"/>
  <c r="F40" i="17"/>
  <c r="D38" i="22" s="1"/>
  <c r="F39" i="17"/>
  <c r="D37" i="22" s="1"/>
  <c r="E37" i="17"/>
  <c r="D37" i="17"/>
  <c r="C37" i="17"/>
  <c r="F29" i="17"/>
  <c r="D27" i="24" s="1"/>
  <c r="F28" i="17"/>
  <c r="D26" i="23" s="1"/>
  <c r="F27" i="17"/>
  <c r="D25" i="24" s="1"/>
  <c r="F26" i="17"/>
  <c r="D24" i="23" s="1"/>
  <c r="F25" i="17"/>
  <c r="D23" i="24" s="1"/>
  <c r="F24" i="17"/>
  <c r="D22" i="24" s="1"/>
  <c r="F23" i="17"/>
  <c r="D21" i="24" s="1"/>
  <c r="F22" i="17"/>
  <c r="D20" i="24" s="1"/>
  <c r="F21" i="17"/>
  <c r="D19" i="24" s="1"/>
  <c r="F20" i="17"/>
  <c r="D18" i="24" s="1"/>
  <c r="F19" i="17"/>
  <c r="D17" i="22" s="1"/>
  <c r="E17" i="22" s="1"/>
  <c r="F18" i="17"/>
  <c r="D16" i="22" s="1"/>
  <c r="E16" i="22" s="1"/>
  <c r="E16" i="17"/>
  <c r="D16" i="17"/>
  <c r="C16" i="17"/>
  <c r="C37" i="1"/>
  <c r="D37" i="1"/>
  <c r="E37" i="1"/>
  <c r="F37" i="1"/>
  <c r="D16" i="1"/>
  <c r="E16" i="1"/>
  <c r="C16" i="1"/>
  <c r="F16" i="1"/>
  <c r="C14" i="24"/>
  <c r="B86" i="20"/>
  <c r="C90" i="20" s="1"/>
  <c r="B86" i="19"/>
  <c r="C91" i="19" s="1"/>
  <c r="B86" i="17"/>
  <c r="C91" i="17" s="1"/>
  <c r="B87" i="1"/>
  <c r="C92" i="1"/>
  <c r="C89" i="1"/>
  <c r="C90" i="1"/>
  <c r="C91" i="1"/>
  <c r="C93" i="1"/>
  <c r="C87" i="1"/>
  <c r="C92" i="19"/>
  <c r="B153" i="20"/>
  <c r="E153" i="20" s="1"/>
  <c r="B158" i="20"/>
  <c r="C148" i="20" s="1"/>
  <c r="C152" i="20" s="1"/>
  <c r="F135" i="20"/>
  <c r="F134" i="20" s="1"/>
  <c r="F132" i="20"/>
  <c r="F87" i="24" s="1"/>
  <c r="F131" i="20"/>
  <c r="F86" i="24" s="1"/>
  <c r="F128" i="20"/>
  <c r="F128" i="19"/>
  <c r="F108" i="19"/>
  <c r="F105" i="19"/>
  <c r="F103" i="19" s="1"/>
  <c r="F104" i="19"/>
  <c r="E59" i="23" s="1"/>
  <c r="D102" i="22"/>
  <c r="F104" i="17"/>
  <c r="D59" i="23" s="1"/>
  <c r="B152" i="1"/>
  <c r="B158" i="1"/>
  <c r="E149" i="1"/>
  <c r="B102" i="23"/>
  <c r="E102" i="23" s="1"/>
  <c r="E155" i="20"/>
  <c r="E109" i="24" s="1"/>
  <c r="E154" i="20"/>
  <c r="E108" i="24" s="1"/>
  <c r="D153" i="20"/>
  <c r="C153" i="20"/>
  <c r="E149" i="20"/>
  <c r="F136" i="20"/>
  <c r="F91" i="24"/>
  <c r="F90" i="24"/>
  <c r="E134" i="20"/>
  <c r="D134" i="20"/>
  <c r="C134" i="20"/>
  <c r="F130" i="20"/>
  <c r="F85" i="24"/>
  <c r="F129" i="20"/>
  <c r="F127" i="20" s="1"/>
  <c r="F84" i="24"/>
  <c r="F83" i="24"/>
  <c r="E127" i="20"/>
  <c r="D127" i="20"/>
  <c r="C127" i="20"/>
  <c r="F80" i="24"/>
  <c r="F79" i="24"/>
  <c r="F78" i="24"/>
  <c r="F77" i="24"/>
  <c r="F76" i="24"/>
  <c r="E120" i="20"/>
  <c r="D120" i="20"/>
  <c r="C120" i="20"/>
  <c r="F109" i="20"/>
  <c r="F64" i="24"/>
  <c r="F108" i="20"/>
  <c r="F107" i="20" s="1"/>
  <c r="F63" i="24"/>
  <c r="F62" i="24" s="1"/>
  <c r="E107" i="20"/>
  <c r="D107" i="20"/>
  <c r="C107" i="20"/>
  <c r="F105" i="20"/>
  <c r="F104" i="20"/>
  <c r="K103" i="20" s="1"/>
  <c r="L103" i="20" s="1"/>
  <c r="E101" i="20"/>
  <c r="C101" i="20"/>
  <c r="B153" i="19"/>
  <c r="B158" i="19"/>
  <c r="C148" i="19" s="1"/>
  <c r="C152" i="19" s="1"/>
  <c r="D103" i="24"/>
  <c r="F136" i="19"/>
  <c r="F135" i="19"/>
  <c r="E134" i="19"/>
  <c r="D134" i="19"/>
  <c r="C134" i="19"/>
  <c r="F132" i="19"/>
  <c r="F131" i="19"/>
  <c r="F130" i="19"/>
  <c r="F129" i="19"/>
  <c r="E127" i="19"/>
  <c r="D127" i="19"/>
  <c r="C127" i="19"/>
  <c r="F125" i="19"/>
  <c r="F124" i="19"/>
  <c r="F123" i="19"/>
  <c r="F122" i="19"/>
  <c r="E77" i="23" s="1"/>
  <c r="F121" i="19"/>
  <c r="E76" i="24" s="1"/>
  <c r="E120" i="19"/>
  <c r="E118" i="19" s="1"/>
  <c r="D120" i="19"/>
  <c r="C120" i="19"/>
  <c r="C118" i="19" s="1"/>
  <c r="F109" i="19"/>
  <c r="F107" i="19"/>
  <c r="E107" i="19"/>
  <c r="D107" i="19"/>
  <c r="C107" i="19"/>
  <c r="E155" i="17"/>
  <c r="C109" i="22" s="1"/>
  <c r="D109" i="22" s="1"/>
  <c r="E154" i="17"/>
  <c r="C108" i="22" s="1"/>
  <c r="C153" i="17"/>
  <c r="B153" i="17"/>
  <c r="B158" i="17"/>
  <c r="C148" i="17" s="1"/>
  <c r="F136" i="17"/>
  <c r="D91" i="23" s="1"/>
  <c r="F135" i="17"/>
  <c r="D90" i="23" s="1"/>
  <c r="E134" i="17"/>
  <c r="D134" i="17"/>
  <c r="C134" i="17"/>
  <c r="F132" i="17"/>
  <c r="D87" i="23" s="1"/>
  <c r="F131" i="17"/>
  <c r="D86" i="23" s="1"/>
  <c r="F130" i="17"/>
  <c r="D85" i="23" s="1"/>
  <c r="F129" i="17"/>
  <c r="D84" i="22" s="1"/>
  <c r="E84" i="22" s="1"/>
  <c r="F128" i="17"/>
  <c r="D83" i="23" s="1"/>
  <c r="E127" i="17"/>
  <c r="D127" i="17"/>
  <c r="C127" i="17"/>
  <c r="C118" i="17" s="1"/>
  <c r="F125" i="17"/>
  <c r="D80" i="23" s="1"/>
  <c r="F124" i="17"/>
  <c r="D79" i="24" s="1"/>
  <c r="F123" i="17"/>
  <c r="D78" i="23" s="1"/>
  <c r="F122" i="17"/>
  <c r="D77" i="23" s="1"/>
  <c r="F121" i="17"/>
  <c r="D76" i="23" s="1"/>
  <c r="E120" i="17"/>
  <c r="D120" i="17"/>
  <c r="D118" i="17" s="1"/>
  <c r="C120" i="17"/>
  <c r="F109" i="17"/>
  <c r="D64" i="23" s="1"/>
  <c r="F108" i="17"/>
  <c r="D63" i="23" s="1"/>
  <c r="D62" i="23" s="1"/>
  <c r="E107" i="17"/>
  <c r="D107" i="17"/>
  <c r="C107" i="17"/>
  <c r="F105" i="17"/>
  <c r="D103" i="17"/>
  <c r="C90" i="17"/>
  <c r="E156" i="1"/>
  <c r="B109" i="24"/>
  <c r="E155" i="1"/>
  <c r="E150" i="1"/>
  <c r="B103" i="24"/>
  <c r="E148" i="1"/>
  <c r="B101" i="24"/>
  <c r="B105" i="24" s="1"/>
  <c r="C154" i="1"/>
  <c r="B154" i="1"/>
  <c r="B147" i="1"/>
  <c r="E147" i="1"/>
  <c r="D154" i="1"/>
  <c r="F105" i="1"/>
  <c r="F109" i="1"/>
  <c r="F110" i="1"/>
  <c r="C64" i="23"/>
  <c r="E108" i="1"/>
  <c r="D108" i="1"/>
  <c r="C108" i="1"/>
  <c r="F106" i="1"/>
  <c r="C60" i="23"/>
  <c r="E104" i="1"/>
  <c r="D104" i="1"/>
  <c r="F137" i="1"/>
  <c r="F129" i="1"/>
  <c r="F136" i="1"/>
  <c r="F130" i="1"/>
  <c r="F131" i="1"/>
  <c r="F132" i="1"/>
  <c r="F133" i="1"/>
  <c r="F123" i="1"/>
  <c r="F124" i="1"/>
  <c r="F125" i="1"/>
  <c r="F126" i="1"/>
  <c r="F122" i="1"/>
  <c r="D135" i="1"/>
  <c r="E135" i="1"/>
  <c r="C135" i="1"/>
  <c r="D128" i="1"/>
  <c r="E128" i="1"/>
  <c r="C128" i="1"/>
  <c r="D121" i="1"/>
  <c r="E121" i="1"/>
  <c r="C121" i="1"/>
  <c r="B108" i="24"/>
  <c r="B107" i="24"/>
  <c r="B108" i="22"/>
  <c r="B107" i="22" s="1"/>
  <c r="C59" i="23"/>
  <c r="C59" i="22"/>
  <c r="E101" i="17"/>
  <c r="D149" i="17" s="1"/>
  <c r="E149" i="17" s="1"/>
  <c r="D108" i="24"/>
  <c r="D108" i="23"/>
  <c r="C76" i="22"/>
  <c r="C76" i="24"/>
  <c r="C76" i="23"/>
  <c r="C84" i="22"/>
  <c r="C84" i="23"/>
  <c r="C84" i="24"/>
  <c r="C90" i="24"/>
  <c r="C89" i="24" s="1"/>
  <c r="C90" i="23"/>
  <c r="C89" i="23" s="1"/>
  <c r="B101" i="22"/>
  <c r="B101" i="23"/>
  <c r="B100" i="23" s="1"/>
  <c r="E100" i="23" s="1"/>
  <c r="C78" i="22"/>
  <c r="C78" i="24"/>
  <c r="C78" i="23"/>
  <c r="C91" i="22"/>
  <c r="C91" i="24"/>
  <c r="C91" i="23"/>
  <c r="B108" i="23"/>
  <c r="C148" i="1"/>
  <c r="C152" i="1"/>
  <c r="C158" i="1"/>
  <c r="D148" i="1"/>
  <c r="D152" i="1"/>
  <c r="C77" i="22"/>
  <c r="C77" i="23"/>
  <c r="C75" i="23" s="1"/>
  <c r="C73" i="23" s="1"/>
  <c r="C77" i="24"/>
  <c r="B109" i="23"/>
  <c r="B109" i="22"/>
  <c r="C87" i="24"/>
  <c r="C87" i="23"/>
  <c r="C80" i="23"/>
  <c r="C80" i="24"/>
  <c r="C79" i="24"/>
  <c r="C79" i="23"/>
  <c r="C83" i="23"/>
  <c r="C83" i="24"/>
  <c r="B103" i="23"/>
  <c r="B106" i="23" s="1"/>
  <c r="B103" i="22"/>
  <c r="B106" i="22" s="1"/>
  <c r="C63" i="24"/>
  <c r="C62" i="24" s="1"/>
  <c r="C63" i="23"/>
  <c r="C86" i="23"/>
  <c r="C86" i="24"/>
  <c r="C85" i="22"/>
  <c r="C85" i="24"/>
  <c r="C85" i="23"/>
  <c r="E91" i="23"/>
  <c r="E91" i="24"/>
  <c r="E90" i="23"/>
  <c r="E90" i="24"/>
  <c r="E89" i="24" s="1"/>
  <c r="E87" i="23"/>
  <c r="E87" i="24"/>
  <c r="E86" i="23"/>
  <c r="E86" i="24"/>
  <c r="E85" i="23"/>
  <c r="E85" i="24"/>
  <c r="E84" i="23"/>
  <c r="E84" i="24"/>
  <c r="E83" i="23"/>
  <c r="E83" i="24"/>
  <c r="E80" i="23"/>
  <c r="E80" i="24"/>
  <c r="E79" i="23"/>
  <c r="E79" i="24"/>
  <c r="E78" i="23"/>
  <c r="E78" i="24"/>
  <c r="E77" i="24"/>
  <c r="E64" i="23"/>
  <c r="E62" i="23" s="1"/>
  <c r="E64" i="24"/>
  <c r="C101" i="19"/>
  <c r="E63" i="23"/>
  <c r="E63" i="24"/>
  <c r="E62" i="24" s="1"/>
  <c r="E60" i="23"/>
  <c r="E58" i="23" s="1"/>
  <c r="E60" i="24"/>
  <c r="E58" i="24" s="1"/>
  <c r="D91" i="22"/>
  <c r="E91" i="22" s="1"/>
  <c r="D91" i="24"/>
  <c r="D90" i="24"/>
  <c r="D86" i="22"/>
  <c r="E86" i="22" s="1"/>
  <c r="D85" i="24"/>
  <c r="D85" i="22"/>
  <c r="E85" i="22" s="1"/>
  <c r="D80" i="22"/>
  <c r="E80" i="22" s="1"/>
  <c r="D79" i="22"/>
  <c r="D77" i="22"/>
  <c r="D64" i="22"/>
  <c r="E64" i="22" s="1"/>
  <c r="D63" i="24"/>
  <c r="D63" i="22"/>
  <c r="E63" i="22" s="1"/>
  <c r="C64" i="22"/>
  <c r="C64" i="24"/>
  <c r="C60" i="22"/>
  <c r="C60" i="24"/>
  <c r="C59" i="24"/>
  <c r="F120" i="20"/>
  <c r="C79" i="22"/>
  <c r="C63" i="22"/>
  <c r="C83" i="22"/>
  <c r="C87" i="22"/>
  <c r="C86" i="22"/>
  <c r="C82" i="22" s="1"/>
  <c r="E153" i="1"/>
  <c r="C80" i="22"/>
  <c r="C90" i="22"/>
  <c r="C89" i="22" s="1"/>
  <c r="E152" i="1"/>
  <c r="D101" i="20"/>
  <c r="D103" i="23"/>
  <c r="D106" i="23" s="1"/>
  <c r="F101" i="19"/>
  <c r="F134" i="19"/>
  <c r="C90" i="19"/>
  <c r="D101" i="19"/>
  <c r="E101" i="19"/>
  <c r="F127" i="19"/>
  <c r="D118" i="19"/>
  <c r="F120" i="17"/>
  <c r="E102" i="1"/>
  <c r="C102" i="1"/>
  <c r="D102" i="1"/>
  <c r="E119" i="1"/>
  <c r="D119" i="1"/>
  <c r="C119" i="1"/>
  <c r="C86" i="17"/>
  <c r="C89" i="17"/>
  <c r="E154" i="1"/>
  <c r="F108" i="1"/>
  <c r="F121" i="1"/>
  <c r="F135" i="1"/>
  <c r="F128" i="1"/>
  <c r="C62" i="22"/>
  <c r="C58" i="22"/>
  <c r="C56" i="22" s="1"/>
  <c r="E151" i="1"/>
  <c r="E157" i="1"/>
  <c r="E158" i="1"/>
  <c r="B147" i="17"/>
  <c r="E147" i="17" s="1"/>
  <c r="B107" i="23"/>
  <c r="C82" i="24"/>
  <c r="E89" i="23"/>
  <c r="C82" i="23"/>
  <c r="E159" i="1"/>
  <c r="B148" i="17"/>
  <c r="E148" i="17" s="1"/>
  <c r="C102" i="23" s="1"/>
  <c r="F102" i="1"/>
  <c r="D158" i="1"/>
  <c r="F119" i="1"/>
  <c r="B100" i="24"/>
  <c r="F100" i="24" s="1"/>
  <c r="D104" i="24" l="1"/>
  <c r="D112" i="24" s="1"/>
  <c r="D106" i="24"/>
  <c r="F106" i="24" s="1"/>
  <c r="C158" i="20"/>
  <c r="D148" i="20" s="1"/>
  <c r="D152" i="20" s="1"/>
  <c r="D158" i="20" s="1"/>
  <c r="E103" i="24"/>
  <c r="F16" i="20"/>
  <c r="F37" i="20"/>
  <c r="E118" i="20"/>
  <c r="D118" i="20"/>
  <c r="F118" i="20"/>
  <c r="C118" i="20"/>
  <c r="F89" i="24"/>
  <c r="F75" i="24"/>
  <c r="C91" i="20"/>
  <c r="C92" i="20"/>
  <c r="C86" i="20"/>
  <c r="F14" i="24"/>
  <c r="E107" i="24"/>
  <c r="F82" i="24"/>
  <c r="F73" i="24" s="1"/>
  <c r="F35" i="24"/>
  <c r="F60" i="24"/>
  <c r="F103" i="20"/>
  <c r="F101" i="20" s="1"/>
  <c r="F59" i="24"/>
  <c r="E82" i="23"/>
  <c r="E56" i="23"/>
  <c r="E82" i="24"/>
  <c r="C150" i="19"/>
  <c r="C153" i="19"/>
  <c r="E56" i="24"/>
  <c r="E76" i="23"/>
  <c r="E75" i="23" s="1"/>
  <c r="E73" i="23" s="1"/>
  <c r="F120" i="19"/>
  <c r="F118" i="19" s="1"/>
  <c r="E75" i="24"/>
  <c r="E73" i="24" s="1"/>
  <c r="C89" i="19"/>
  <c r="C86" i="19" s="1"/>
  <c r="E25" i="24"/>
  <c r="E44" i="23"/>
  <c r="F43" i="23"/>
  <c r="E43" i="24"/>
  <c r="E42" i="24"/>
  <c r="G42" i="24" s="1"/>
  <c r="E22" i="24"/>
  <c r="F16" i="19"/>
  <c r="E39" i="23"/>
  <c r="E38" i="24"/>
  <c r="E37" i="23"/>
  <c r="F37" i="19"/>
  <c r="F24" i="23"/>
  <c r="E24" i="24"/>
  <c r="G90" i="24"/>
  <c r="F77" i="23"/>
  <c r="E20" i="23"/>
  <c r="E17" i="23"/>
  <c r="E21" i="24"/>
  <c r="F78" i="23"/>
  <c r="F59" i="23"/>
  <c r="G79" i="24"/>
  <c r="F86" i="23"/>
  <c r="E27" i="24"/>
  <c r="G27" i="24" s="1"/>
  <c r="F64" i="23"/>
  <c r="F80" i="23"/>
  <c r="F87" i="23"/>
  <c r="E23" i="23"/>
  <c r="E18" i="23"/>
  <c r="E26" i="24"/>
  <c r="G18" i="24"/>
  <c r="F90" i="23"/>
  <c r="C103" i="24"/>
  <c r="E152" i="17"/>
  <c r="E150" i="17" s="1"/>
  <c r="E158" i="17" s="1"/>
  <c r="B148" i="19" s="1"/>
  <c r="D102" i="23" s="1"/>
  <c r="C152" i="17"/>
  <c r="C158" i="17" s="1"/>
  <c r="D148" i="17" s="1"/>
  <c r="D152" i="17" s="1"/>
  <c r="D158" i="17" s="1"/>
  <c r="C109" i="23"/>
  <c r="C109" i="24"/>
  <c r="B151" i="1"/>
  <c r="B157" i="1" s="1"/>
  <c r="C147" i="1" s="1"/>
  <c r="C151" i="1"/>
  <c r="C157" i="1" s="1"/>
  <c r="D147" i="1" s="1"/>
  <c r="C159" i="1"/>
  <c r="D149" i="1" s="1"/>
  <c r="D153" i="1" s="1"/>
  <c r="C103" i="22"/>
  <c r="C106" i="22" s="1"/>
  <c r="D106" i="22" s="1"/>
  <c r="D112" i="22" s="1"/>
  <c r="D60" i="23"/>
  <c r="D56" i="23" s="1"/>
  <c r="D60" i="22"/>
  <c r="E60" i="22" s="1"/>
  <c r="D60" i="24"/>
  <c r="D59" i="22"/>
  <c r="E59" i="22" s="1"/>
  <c r="D59" i="24"/>
  <c r="C92" i="17"/>
  <c r="D23" i="23"/>
  <c r="D80" i="24"/>
  <c r="G80" i="24" s="1"/>
  <c r="C108" i="23"/>
  <c r="C108" i="24"/>
  <c r="C107" i="24" s="1"/>
  <c r="D76" i="24"/>
  <c r="G76" i="24" s="1"/>
  <c r="D76" i="22"/>
  <c r="E76" i="22" s="1"/>
  <c r="D90" i="22"/>
  <c r="D101" i="17"/>
  <c r="D27" i="22"/>
  <c r="E27" i="22" s="1"/>
  <c r="D89" i="24"/>
  <c r="E153" i="17"/>
  <c r="E118" i="17"/>
  <c r="D26" i="22"/>
  <c r="E26" i="22" s="1"/>
  <c r="D27" i="23"/>
  <c r="F27" i="23" s="1"/>
  <c r="C101" i="17"/>
  <c r="D23" i="22"/>
  <c r="E23" i="22" s="1"/>
  <c r="D26" i="24"/>
  <c r="F127" i="17"/>
  <c r="F134" i="17"/>
  <c r="D64" i="24"/>
  <c r="D62" i="24" s="1"/>
  <c r="D86" i="24"/>
  <c r="G86" i="24" s="1"/>
  <c r="F63" i="23"/>
  <c r="F62" i="23" s="1"/>
  <c r="G91" i="24"/>
  <c r="C103" i="23"/>
  <c r="D79" i="23"/>
  <c r="D75" i="23" s="1"/>
  <c r="D84" i="23"/>
  <c r="F84" i="23" s="1"/>
  <c r="D16" i="24"/>
  <c r="F91" i="23"/>
  <c r="D83" i="24"/>
  <c r="D25" i="23"/>
  <c r="D22" i="23"/>
  <c r="C102" i="22"/>
  <c r="D87" i="24"/>
  <c r="G87" i="24" s="1"/>
  <c r="F108" i="24"/>
  <c r="D77" i="24"/>
  <c r="D84" i="24"/>
  <c r="G84" i="24" s="1"/>
  <c r="F85" i="23"/>
  <c r="D83" i="22"/>
  <c r="E83" i="22" s="1"/>
  <c r="D25" i="22"/>
  <c r="E25" i="22" s="1"/>
  <c r="D87" i="22"/>
  <c r="E87" i="22" s="1"/>
  <c r="D78" i="22"/>
  <c r="E78" i="22" s="1"/>
  <c r="D89" i="22"/>
  <c r="D24" i="22"/>
  <c r="E24" i="22" s="1"/>
  <c r="D24" i="24"/>
  <c r="F107" i="17"/>
  <c r="D78" i="24"/>
  <c r="G78" i="24" s="1"/>
  <c r="B146" i="17"/>
  <c r="E146" i="17" s="1"/>
  <c r="D22" i="22"/>
  <c r="E22" i="22" s="1"/>
  <c r="F83" i="23"/>
  <c r="D89" i="23"/>
  <c r="E90" i="22"/>
  <c r="E89" i="22" s="1"/>
  <c r="D43" i="22"/>
  <c r="E43" i="22" s="1"/>
  <c r="E77" i="22"/>
  <c r="C107" i="22"/>
  <c r="E62" i="22"/>
  <c r="D42" i="22"/>
  <c r="E42" i="22" s="1"/>
  <c r="F26" i="23"/>
  <c r="D43" i="24"/>
  <c r="E79" i="22"/>
  <c r="D41" i="22"/>
  <c r="E41" i="22" s="1"/>
  <c r="D44" i="23"/>
  <c r="D44" i="24"/>
  <c r="G44" i="24" s="1"/>
  <c r="D41" i="24"/>
  <c r="G41" i="24" s="1"/>
  <c r="D42" i="23"/>
  <c r="F42" i="23" s="1"/>
  <c r="G85" i="24"/>
  <c r="F41" i="23"/>
  <c r="G23" i="24"/>
  <c r="D62" i="22"/>
  <c r="E108" i="23"/>
  <c r="D38" i="24"/>
  <c r="D38" i="23"/>
  <c r="F38" i="23" s="1"/>
  <c r="E38" i="22"/>
  <c r="D37" i="23"/>
  <c r="D37" i="24"/>
  <c r="G37" i="24" s="1"/>
  <c r="E37" i="22"/>
  <c r="D16" i="23"/>
  <c r="D18" i="22"/>
  <c r="E18" i="22" s="1"/>
  <c r="D18" i="23"/>
  <c r="F18" i="23" s="1"/>
  <c r="D17" i="23"/>
  <c r="D17" i="24"/>
  <c r="G17" i="24" s="1"/>
  <c r="F37" i="17"/>
  <c r="D40" i="23"/>
  <c r="F40" i="23" s="1"/>
  <c r="D40" i="24"/>
  <c r="G40" i="24" s="1"/>
  <c r="D39" i="22"/>
  <c r="E39" i="22" s="1"/>
  <c r="D39" i="24"/>
  <c r="D39" i="23"/>
  <c r="F39" i="23" s="1"/>
  <c r="D21" i="22"/>
  <c r="E21" i="22" s="1"/>
  <c r="D20" i="22"/>
  <c r="E20" i="22" s="1"/>
  <c r="F16" i="17"/>
  <c r="D19" i="23"/>
  <c r="D19" i="22"/>
  <c r="E19" i="22" s="1"/>
  <c r="D21" i="23"/>
  <c r="F21" i="23" s="1"/>
  <c r="G20" i="24"/>
  <c r="D20" i="23"/>
  <c r="B112" i="22"/>
  <c r="C56" i="24"/>
  <c r="B112" i="23"/>
  <c r="B111" i="24"/>
  <c r="C101" i="22"/>
  <c r="C105" i="22" s="1"/>
  <c r="C101" i="24"/>
  <c r="C101" i="23"/>
  <c r="C105" i="23" s="1"/>
  <c r="E151" i="17"/>
  <c r="C75" i="22"/>
  <c r="C73" i="22" s="1"/>
  <c r="G63" i="24"/>
  <c r="B105" i="22"/>
  <c r="D108" i="22"/>
  <c r="D107" i="22" s="1"/>
  <c r="C62" i="23"/>
  <c r="B105" i="23"/>
  <c r="C102" i="24"/>
  <c r="B106" i="24"/>
  <c r="B110" i="24" s="1"/>
  <c r="C100" i="24" s="1"/>
  <c r="C35" i="22"/>
  <c r="B100" i="22"/>
  <c r="D100" i="22" s="1"/>
  <c r="C35" i="24"/>
  <c r="B151" i="17"/>
  <c r="C75" i="24"/>
  <c r="C73" i="24" s="1"/>
  <c r="F56" i="24" l="1"/>
  <c r="G89" i="24"/>
  <c r="G59" i="24"/>
  <c r="F89" i="23"/>
  <c r="G43" i="24"/>
  <c r="C158" i="19"/>
  <c r="D148" i="19" s="1"/>
  <c r="D152" i="19" s="1"/>
  <c r="F76" i="23"/>
  <c r="G26" i="24"/>
  <c r="F44" i="23"/>
  <c r="E35" i="24"/>
  <c r="G24" i="24"/>
  <c r="E14" i="24"/>
  <c r="G38" i="24"/>
  <c r="E35" i="23"/>
  <c r="F37" i="23"/>
  <c r="F23" i="23"/>
  <c r="G21" i="24"/>
  <c r="F17" i="23"/>
  <c r="E14" i="23"/>
  <c r="D56" i="24"/>
  <c r="F60" i="23"/>
  <c r="F103" i="24"/>
  <c r="F104" i="24" s="1"/>
  <c r="G60" i="24"/>
  <c r="F101" i="17"/>
  <c r="C107" i="23"/>
  <c r="D159" i="1"/>
  <c r="D151" i="1"/>
  <c r="D157" i="1" s="1"/>
  <c r="D103" i="22"/>
  <c r="D104" i="22" s="1"/>
  <c r="D110" i="22" s="1"/>
  <c r="C112" i="22"/>
  <c r="D58" i="22"/>
  <c r="D56" i="22" s="1"/>
  <c r="E58" i="22"/>
  <c r="E56" i="22" s="1"/>
  <c r="F79" i="23"/>
  <c r="E75" i="22"/>
  <c r="D75" i="24"/>
  <c r="D102" i="24"/>
  <c r="D75" i="22"/>
  <c r="F118" i="17"/>
  <c r="E82" i="22"/>
  <c r="G64" i="24"/>
  <c r="G62" i="24" s="1"/>
  <c r="D82" i="23"/>
  <c r="D73" i="23" s="1"/>
  <c r="G77" i="24"/>
  <c r="G75" i="24" s="1"/>
  <c r="F82" i="23"/>
  <c r="G83" i="24"/>
  <c r="G82" i="24" s="1"/>
  <c r="D82" i="24"/>
  <c r="D82" i="22"/>
  <c r="C106" i="23"/>
  <c r="E103" i="23"/>
  <c r="E104" i="23" s="1"/>
  <c r="D101" i="22"/>
  <c r="D35" i="22"/>
  <c r="E35" i="22"/>
  <c r="D14" i="22"/>
  <c r="E14" i="22" s="1"/>
  <c r="D14" i="24"/>
  <c r="D35" i="23"/>
  <c r="G39" i="24"/>
  <c r="D35" i="24"/>
  <c r="D14" i="23"/>
  <c r="F20" i="23"/>
  <c r="B104" i="23"/>
  <c r="B110" i="23" s="1"/>
  <c r="C100" i="23" s="1"/>
  <c r="B111" i="23"/>
  <c r="E156" i="17"/>
  <c r="E157" i="17"/>
  <c r="B147" i="19" s="1"/>
  <c r="B104" i="22"/>
  <c r="B110" i="22" s="1"/>
  <c r="C100" i="22" s="1"/>
  <c r="B111" i="22"/>
  <c r="D105" i="22"/>
  <c r="D111" i="22" s="1"/>
  <c r="C111" i="23"/>
  <c r="B112" i="24"/>
  <c r="C105" i="24"/>
  <c r="C104" i="22"/>
  <c r="C110" i="22" s="1"/>
  <c r="C111" i="22"/>
  <c r="B150" i="17"/>
  <c r="B156" i="17" s="1"/>
  <c r="C146" i="17" s="1"/>
  <c r="B157" i="17"/>
  <c r="C147" i="17" s="1"/>
  <c r="C151" i="17" s="1"/>
  <c r="C56" i="23"/>
  <c r="F58" i="23" l="1"/>
  <c r="F56" i="23" s="1"/>
  <c r="G58" i="24"/>
  <c r="G56" i="24" s="1"/>
  <c r="D150" i="19"/>
  <c r="F75" i="23"/>
  <c r="F73" i="23" s="1"/>
  <c r="F35" i="23"/>
  <c r="G14" i="24"/>
  <c r="G35" i="24"/>
  <c r="F14" i="23"/>
  <c r="D73" i="24"/>
  <c r="E73" i="22"/>
  <c r="D73" i="22"/>
  <c r="G73" i="24"/>
  <c r="C112" i="23"/>
  <c r="E106" i="23"/>
  <c r="C104" i="23"/>
  <c r="C110" i="23" s="1"/>
  <c r="D100" i="23" s="1"/>
  <c r="B151" i="19"/>
  <c r="B146" i="19"/>
  <c r="D100" i="24"/>
  <c r="C111" i="24"/>
  <c r="C157" i="17"/>
  <c r="D147" i="17" s="1"/>
  <c r="D151" i="17" s="1"/>
  <c r="C150" i="17"/>
  <c r="C156" i="17" s="1"/>
  <c r="D146" i="17" s="1"/>
  <c r="D153" i="19" l="1"/>
  <c r="D158" i="19"/>
  <c r="D150" i="17"/>
  <c r="D156" i="17" s="1"/>
  <c r="D157" i="17"/>
  <c r="D101" i="24"/>
  <c r="D101" i="23"/>
  <c r="B157" i="19"/>
  <c r="C147" i="19" s="1"/>
  <c r="C151" i="19" s="1"/>
  <c r="B156" i="19"/>
  <c r="C146" i="19" s="1"/>
  <c r="D109" i="23" l="1"/>
  <c r="D109" i="24"/>
  <c r="E148" i="20"/>
  <c r="D105" i="24"/>
  <c r="D105" i="23"/>
  <c r="E101" i="23"/>
  <c r="C156" i="19"/>
  <c r="D146" i="19" s="1"/>
  <c r="C157" i="19"/>
  <c r="D147" i="19" s="1"/>
  <c r="D151" i="19" s="1"/>
  <c r="B147" i="20"/>
  <c r="E102" i="24" l="1"/>
  <c r="E152" i="20"/>
  <c r="E158" i="20" s="1"/>
  <c r="E109" i="23"/>
  <c r="E112" i="23" s="1"/>
  <c r="D112" i="23"/>
  <c r="D107" i="23"/>
  <c r="E107" i="23" s="1"/>
  <c r="E110" i="23" s="1"/>
  <c r="F109" i="24"/>
  <c r="F112" i="24" s="1"/>
  <c r="D107" i="24"/>
  <c r="F107" i="24" s="1"/>
  <c r="F110" i="24" s="1"/>
  <c r="B151" i="20"/>
  <c r="E147" i="20"/>
  <c r="E146" i="20"/>
  <c r="D156" i="19"/>
  <c r="D157" i="19"/>
  <c r="D104" i="23"/>
  <c r="D110" i="23" s="1"/>
  <c r="D111" i="23"/>
  <c r="E105" i="23"/>
  <c r="E111" i="23" s="1"/>
  <c r="D111" i="24"/>
  <c r="D110" i="24" l="1"/>
  <c r="E100" i="24" s="1"/>
  <c r="E104" i="24" s="1"/>
  <c r="E112" i="24" s="1"/>
  <c r="E101" i="24"/>
  <c r="E151" i="20"/>
  <c r="B156" i="20"/>
  <c r="C146" i="20" s="1"/>
  <c r="C150" i="20" s="1"/>
  <c r="B157" i="20"/>
  <c r="C147" i="20" s="1"/>
  <c r="C151" i="20" s="1"/>
  <c r="C157" i="20" l="1"/>
  <c r="D147" i="20" s="1"/>
  <c r="D151" i="20" s="1"/>
  <c r="C156" i="20"/>
  <c r="D146" i="20" s="1"/>
  <c r="D150" i="20" s="1"/>
  <c r="E150" i="20"/>
  <c r="E156" i="20" s="1"/>
  <c r="E157" i="20"/>
  <c r="E105" i="24"/>
  <c r="F101" i="24"/>
  <c r="E110" i="24" l="1"/>
  <c r="E111" i="24"/>
  <c r="F105" i="24"/>
  <c r="F111" i="24" s="1"/>
  <c r="D157" i="20"/>
  <c r="D15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8"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A165" authorId="0" shapeId="0" xr:uid="{FBF49275-580A-46AB-A749-29F3652F591C}">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<sst xmlns="http://schemas.openxmlformats.org/spreadsheetml/2006/main" count="1335" uniqueCount="228">
  <si>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</si>
  <si>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</si>
  <si>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</si>
  <si>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</si>
  <si>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</si>
  <si>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</si>
  <si>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</si>
  <si>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</si>
  <si>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</si>
  <si>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</si>
  <si>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</si>
  <si>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</si>
  <si>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</si>
  <si>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</si>
  <si>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</si>
  <si>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</si>
  <si>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</si>
  <si>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</si>
  <si>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</si>
  <si>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</si>
  <si>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</si>
  <si>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</si>
  <si>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</si>
  <si>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</si>
  <si>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</si>
  <si>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</si>
  <si>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</si>
  <si>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</si>
  <si>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</si>
  <si>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</si>
  <si>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</si>
  <si>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</si>
  <si>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</si>
  <si>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</si>
  <si>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</si>
  <si>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</si>
  <si>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</si>
  <si>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</si>
  <si>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</si>
  <si>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</si>
  <si>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</si>
  <si>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</si>
  <si>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</si>
  <si>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</si>
  <si>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</si>
  <si>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</si>
  <si>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</si>
  <si>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</si>
  <si>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</si>
  <si>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</si>
  <si>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</si>
  <si>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</si>
  <si>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</si>
  <si>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</si>
  <si>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</si>
  <si>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</si>
  <si>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</si>
  <si>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</si>
  <si>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</si>
  <si>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</si>
  <si>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</si>
  <si>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</si>
  <si>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</si>
  <si>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</si>
  <si>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</si>
  <si>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</si>
  <si>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</si>
  <si>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</si>
  <si>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</si>
  <si>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</si>
  <si>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</si>
  <si>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</si>
  <si>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</si>
  <si>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</si>
  <si>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</si>
  <si>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</si>
  <si>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</si>
  <si>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</si>
  <si>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</si>
  <si>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</si>
  <si>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</si>
  <si>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</si>
  <si>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</si>
  <si>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</si>
  <si>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</si>
  <si>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</si>
  <si>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</si>
  <si>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</si>
  <si>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</si>
  <si>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</si>
  <si>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</si>
  <si>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</si>
  <si>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</si>
  <si>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</si>
  <si>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</si>
  <si>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</si>
  <si>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</si>
  <si>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</si>
  <si>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</si>
  <si>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</si>
  <si>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</si>
  <si>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</si>
  <si>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</si>
  <si>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</si>
  <si>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</si>
  <si>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</si>
  <si>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</si>
  <si>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</si>
  <si>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</si>
  <si>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</si>
  <si>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</si>
  <si>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</si>
  <si>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</si>
  <si>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</si>
  <si>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</si>
  <si>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</si>
  <si>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</si>
  <si>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</si>
  <si>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</si>
  <si>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</si>
  <si>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</si>
  <si>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</si>
  <si>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</si>
  <si>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</si>
  <si>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</si>
  <si>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</si>
  <si>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</si>
  <si>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</si>
  <si>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</si>
  <si>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</si>
  <si>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</si>
  <si>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</si>
  <si>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</si>
  <si>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</si>
  <si>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</si>
  <si>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</si>
  <si>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</si>
  <si>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</si>
  <si>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</si>
  <si>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</si>
  <si>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</si>
  <si>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</si>
  <si>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</si>
  <si>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</si>
  <si>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</si>
  <si>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</si>
  <si>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</si>
  <si>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</si>
  <si>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</si>
  <si>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</si>
  <si>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</si>
  <si>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</si>
  <si>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</si>
  <si>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</si>
  <si>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</si>
  <si>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r>
      <t xml:space="preserve">Observaciones: 
</t>
    </r>
    <r>
      <rPr>
        <sz val="11"/>
        <color theme="1"/>
        <rFont val="Palatino Linotype"/>
        <family val="1"/>
      </rPr>
      <t>En este espacio se establecen las observaciones y/o justificaciones relacionadas con el uso del Sinirube .</t>
    </r>
  </si>
  <si>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</si>
  <si>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</si>
  <si>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</si>
  <si>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</si>
  <si>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</si>
  <si>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</si>
  <si>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</si>
  <si>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</si>
  <si>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</si>
  <si>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</si>
  <si>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</si>
  <si>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</si>
  <si>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</si>
  <si>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</si>
  <si>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</si>
  <si>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</si>
  <si>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</si>
  <si>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Compromisos acumulados </t>
  </si>
  <si>
    <t>Pagados en el mes</t>
  </si>
  <si>
    <t>Pago de compromisos</t>
  </si>
  <si>
    <t>Subsidio para la atención adultos mayores institucionalizados (OBS-Hogar)</t>
  </si>
  <si>
    <t>Subsidio para la atención diurna de adultos mayores (centros diurnos)</t>
  </si>
  <si>
    <t>Subsidio Red de Cuido (OBS, Municipalidades)</t>
  </si>
  <si>
    <t xml:space="preserve"> Subsidio Personas de 65 años o más en Abandonados</t>
  </si>
  <si>
    <t>Pagos del período</t>
  </si>
  <si>
    <t>Compromisos cancelados</t>
  </si>
  <si>
    <t>Informe I trimestre: Martes 24 de abril de 2023</t>
  </si>
  <si>
    <t>Lazos de solidaridad</t>
  </si>
  <si>
    <t>CONAPAM</t>
  </si>
  <si>
    <t>UNIDAD DE FISCALIZACION OPERATIVA</t>
  </si>
  <si>
    <t>MTSS-DMT-OF-619-2022 del 5-05-2022</t>
  </si>
  <si>
    <t>MTSS-DESAF-OF-46-2023 del 16-01-2023</t>
  </si>
  <si>
    <t>I Trimestre 2023</t>
  </si>
  <si>
    <t>X</t>
  </si>
  <si>
    <t>x</t>
  </si>
  <si>
    <t>Estamos en el proceso de solicitar acceso al SINIRUBE</t>
  </si>
  <si>
    <t>Se maneja un control auxiliar, y se va consultar por el acceso al SIBINET</t>
  </si>
  <si>
    <t>6.04.01</t>
  </si>
  <si>
    <t>6.04.02</t>
  </si>
  <si>
    <t>6.01.04</t>
  </si>
  <si>
    <t>Unidad de Fiscalización Operativa</t>
  </si>
  <si>
    <t>Algren Anchía Vargas</t>
  </si>
  <si>
    <t>Fiscalizador</t>
  </si>
  <si>
    <t>Cinthia Chacón Carvajal</t>
  </si>
  <si>
    <t>Profesional</t>
  </si>
  <si>
    <t>Unidad Financiera</t>
  </si>
  <si>
    <t>E6010421002900</t>
  </si>
  <si>
    <t>E6040120002900</t>
  </si>
  <si>
    <t>E6040220002900</t>
  </si>
  <si>
    <t>II Trimestre 2023</t>
  </si>
  <si>
    <t>Mensualmente</t>
  </si>
  <si>
    <t>Tranferencias corrientes Asociaciones</t>
  </si>
  <si>
    <t>Ingresos Corrientes</t>
  </si>
  <si>
    <t>Tranferencias corrietes Gobiernos Locales</t>
  </si>
  <si>
    <t>Transferencias Corrientes Fundaciones</t>
  </si>
  <si>
    <t>1.0.0.0.00.00.0.0.000</t>
  </si>
  <si>
    <t>III Trimestre 2023</t>
  </si>
  <si>
    <t>LAZOS DE SOLIDARIDAD</t>
  </si>
  <si>
    <t>Steven Nuñez Rimola</t>
  </si>
  <si>
    <t>Director Administrativo Financiero</t>
  </si>
  <si>
    <t>I Semestre 2023</t>
  </si>
  <si>
    <t>III Trimestre Acumulado 2023</t>
  </si>
  <si>
    <t>Ingresos Corrientes GL</t>
  </si>
  <si>
    <t>Ingresos Corrientes OBS</t>
  </si>
  <si>
    <t>Ingresos Corrientes Fundaciones</t>
  </si>
  <si>
    <t>MTSS-DMT-OF-818-2023 04-08- 2023</t>
  </si>
  <si>
    <t>Si</t>
  </si>
  <si>
    <t>mensualmente</t>
  </si>
  <si>
    <t>no</t>
  </si>
  <si>
    <t>Trimestralmente</t>
  </si>
  <si>
    <t>IV Trimestre 2023</t>
  </si>
  <si>
    <t>Anual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</si>
</sst>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0.000000"/>
    <numFmt numFmtId="167" formatCode="#,##0.00000"/>
  </numFmts>
  <fonts count="36"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8"/>
      <name val="Palatino Linotype"/>
      <family val="1"/>
    </font>
  </fonts>
  <fills count="11">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cellStyleXfs>
  <cellXfs count="276">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7" xfId="1" applyNumberFormat="1" applyFont="1" applyBorder="1" applyAlignment="1">
      <alignment vertical="center"/>
    </xf>
    <xf numFmtId="4" fontId="2" fillId="0" borderId="47"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50"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Alignment="1">
      <alignment vertical="center"/>
    </xf>
    <xf numFmtId="3" fontId="11" fillId="4" borderId="0" xfId="1" applyNumberFormat="1" applyFont="1" applyFill="1" applyBorder="1" applyAlignment="1">
      <alignment horizontal="right" vertical="center" wrapText="1"/>
    </xf>
    <xf numFmtId="165" fontId="5"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right" vertical="center" wrapText="1"/>
    </xf>
    <xf numFmtId="165" fontId="5" fillId="4" borderId="0" xfId="1" applyNumberFormat="1" applyFont="1" applyFill="1" applyBorder="1" applyAlignment="1">
      <alignment horizontal="left" vertical="center" wrapText="1"/>
    </xf>
    <xf numFmtId="2" fontId="5" fillId="4" borderId="0" xfId="1" applyNumberFormat="1" applyFont="1" applyFill="1" applyBorder="1" applyAlignment="1">
      <alignment horizontal="right" vertical="center" wrapText="1"/>
    </xf>
    <xf numFmtId="2" fontId="4" fillId="0" borderId="0" xfId="1" applyNumberFormat="1" applyFont="1" applyFill="1" applyBorder="1" applyAlignment="1">
      <alignment horizontal="right" vertical="center" wrapText="1"/>
    </xf>
    <xf numFmtId="165" fontId="2" fillId="0" borderId="0" xfId="1" applyNumberFormat="1" applyFont="1" applyFill="1" applyBorder="1" applyAlignment="1">
      <alignment wrapText="1"/>
    </xf>
    <xf numFmtId="165" fontId="10" fillId="2" borderId="13" xfId="1" applyNumberFormat="1" applyFont="1" applyFill="1" applyBorder="1" applyAlignment="1">
      <alignment vertical="center" wrapText="1"/>
    </xf>
    <xf numFmtId="165" fontId="11" fillId="4" borderId="0" xfId="1" applyNumberFormat="1" applyFont="1" applyFill="1" applyBorder="1" applyAlignment="1">
      <alignment vertical="center" wrapText="1"/>
    </xf>
    <xf numFmtId="4" fontId="13" fillId="0" borderId="0" xfId="1" applyNumberFormat="1" applyFont="1" applyFill="1" applyBorder="1" applyAlignment="1">
      <alignment horizontal="left" vertical="center" wrapText="1"/>
    </xf>
    <xf numFmtId="2" fontId="12"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9" fillId="4" borderId="0" xfId="0" applyNumberFormat="1" applyFont="1" applyFill="1" applyAlignment="1">
      <alignment horizontal="right" vertical="center"/>
    </xf>
    <xf numFmtId="2" fontId="2" fillId="0" borderId="0" xfId="1" applyNumberFormat="1" applyFont="1" applyFill="1" applyBorder="1" applyAlignment="1">
      <alignment horizontal="right" vertical="center" wrapText="1"/>
    </xf>
    <xf numFmtId="2" fontId="12" fillId="0" borderId="1" xfId="1" applyNumberFormat="1" applyFont="1" applyFill="1" applyBorder="1" applyAlignment="1">
      <alignment horizontal="right" vertical="center" wrapText="1"/>
    </xf>
    <xf numFmtId="3" fontId="12" fillId="0" borderId="1" xfId="0" applyNumberFormat="1" applyFont="1" applyBorder="1" applyAlignment="1">
      <alignment horizontal="right" vertical="center"/>
    </xf>
    <xf numFmtId="2" fontId="2" fillId="0" borderId="1" xfId="1" applyNumberFormat="1" applyFont="1" applyFill="1" applyBorder="1" applyAlignment="1">
      <alignment horizontal="right" vertical="center" wrapText="1"/>
    </xf>
    <xf numFmtId="4" fontId="13" fillId="0" borderId="1" xfId="1" applyNumberFormat="1" applyFont="1" applyFill="1" applyBorder="1" applyAlignment="1">
      <alignment horizontal="left" vertical="center" wrapText="1"/>
    </xf>
    <xf numFmtId="0" fontId="2" fillId="0" borderId="0" xfId="0" applyFont="1" applyAlignment="1">
      <alignment horizontal="left" vertical="center" wrapText="1"/>
    </xf>
    <xf numFmtId="165" fontId="4"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0" fontId="12" fillId="0" borderId="0" xfId="0" applyFont="1" applyAlignment="1">
      <alignment horizontal="left" vertical="center" wrapText="1"/>
    </xf>
    <xf numFmtId="165" fontId="13" fillId="0" borderId="0" xfId="1" applyNumberFormat="1" applyFont="1" applyFill="1" applyBorder="1" applyAlignment="1">
      <alignment horizontal="left" vertical="center" wrapText="1"/>
    </xf>
    <xf numFmtId="0" fontId="2" fillId="0" borderId="0" xfId="0" applyFont="1" applyAlignment="1">
      <alignment horizontal="center" vertical="center"/>
    </xf>
    <xf numFmtId="165" fontId="10" fillId="2" borderId="0" xfId="1" applyNumberFormat="1" applyFont="1" applyFill="1" applyBorder="1" applyAlignment="1">
      <alignment horizontal="center" vertical="center" wrapText="1"/>
    </xf>
    <xf numFmtId="165" fontId="4" fillId="2" borderId="13" xfId="1" applyNumberFormat="1" applyFont="1" applyFill="1" applyBorder="1" applyAlignment="1">
      <alignment horizontal="center" vertical="center" wrapText="1"/>
    </xf>
    <xf numFmtId="4" fontId="14" fillId="0" borderId="16" xfId="0" applyNumberFormat="1" applyFont="1" applyBorder="1" applyAlignment="1">
      <alignment vertical="center"/>
    </xf>
    <xf numFmtId="0" fontId="3" fillId="0" borderId="0" xfId="0" applyFont="1" applyAlignment="1">
      <alignment horizontal="center" vertical="center"/>
    </xf>
    <xf numFmtId="0" fontId="5" fillId="0" borderId="0" xfId="1" applyNumberFormat="1" applyFont="1" applyFill="1" applyBorder="1" applyAlignment="1">
      <alignment horizontal="left" vertical="center" wrapText="1"/>
    </xf>
    <xf numFmtId="0" fontId="2" fillId="5" borderId="0" xfId="0" applyFont="1" applyFill="1"/>
    <xf numFmtId="165" fontId="12" fillId="7" borderId="0" xfId="1" applyNumberFormat="1" applyFont="1" applyFill="1" applyBorder="1" applyAlignment="1">
      <alignment horizontal="left" vertical="center" wrapText="1"/>
    </xf>
    <xf numFmtId="0" fontId="12" fillId="7" borderId="0" xfId="0" applyFont="1" applyFill="1" applyAlignment="1">
      <alignment vertical="center"/>
    </xf>
    <xf numFmtId="164" fontId="2" fillId="0" borderId="0" xfId="1" applyFont="1" applyAlignment="1">
      <alignment vertical="center"/>
    </xf>
    <xf numFmtId="4" fontId="13" fillId="8" borderId="0" xfId="1" applyNumberFormat="1" applyFont="1" applyFill="1" applyBorder="1" applyAlignment="1">
      <alignment horizontal="left" vertical="center" wrapText="1"/>
    </xf>
    <xf numFmtId="4" fontId="13" fillId="8" borderId="0" xfId="1" applyNumberFormat="1" applyFont="1" applyFill="1" applyBorder="1" applyAlignment="1">
      <alignment horizontal="right" vertical="center" wrapText="1"/>
    </xf>
    <xf numFmtId="4" fontId="13" fillId="8" borderId="1" xfId="1" applyNumberFormat="1" applyFont="1" applyFill="1" applyBorder="1" applyAlignment="1">
      <alignment horizontal="right" vertical="center" wrapText="1"/>
    </xf>
    <xf numFmtId="165" fontId="2" fillId="8" borderId="0" xfId="1" applyNumberFormat="1" applyFont="1" applyFill="1" applyBorder="1" applyAlignment="1">
      <alignment wrapText="1"/>
    </xf>
    <xf numFmtId="3" fontId="12" fillId="8" borderId="0" xfId="1" applyNumberFormat="1" applyFont="1" applyFill="1" applyBorder="1" applyAlignment="1">
      <alignment horizontal="right"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wrapText="1"/>
    </xf>
    <xf numFmtId="0" fontId="12" fillId="0" borderId="18" xfId="0" applyFont="1" applyBorder="1" applyAlignment="1">
      <alignment vertical="center"/>
    </xf>
    <xf numFmtId="0" fontId="12" fillId="0" borderId="20" xfId="0" applyFont="1" applyBorder="1" applyAlignment="1">
      <alignment vertical="center"/>
    </xf>
    <xf numFmtId="0" fontId="12" fillId="0" borderId="22" xfId="0" applyFont="1" applyBorder="1" applyAlignment="1">
      <alignment horizontal="center" vertical="center"/>
    </xf>
    <xf numFmtId="165" fontId="15" fillId="5" borderId="0" xfId="1" applyNumberFormat="1" applyFont="1" applyFill="1" applyBorder="1" applyAlignment="1">
      <alignment horizontal="center" vertical="center" wrapText="1"/>
    </xf>
    <xf numFmtId="165" fontId="35" fillId="5" borderId="0" xfId="1" applyNumberFormat="1" applyFont="1" applyFill="1" applyBorder="1" applyAlignment="1">
      <alignment horizontal="center" vertical="center" wrapText="1"/>
    </xf>
    <xf numFmtId="0" fontId="0" fillId="0" borderId="0" xfId="0" applyAlignment="1">
      <alignment vertical="center" wrapText="1"/>
    </xf>
    <xf numFmtId="165" fontId="2" fillId="9" borderId="0" xfId="1" applyNumberFormat="1" applyFont="1" applyFill="1" applyBorder="1" applyAlignment="1">
      <alignment wrapText="1"/>
    </xf>
    <xf numFmtId="3" fontId="12" fillId="9" borderId="0" xfId="1" applyNumberFormat="1" applyFont="1" applyFill="1" applyBorder="1" applyAlignment="1">
      <alignment horizontal="right" vertical="center" wrapText="1"/>
    </xf>
    <xf numFmtId="4" fontId="13" fillId="9" borderId="0" xfId="1" applyNumberFormat="1" applyFont="1" applyFill="1" applyBorder="1" applyAlignment="1">
      <alignment horizontal="left" vertical="center" wrapText="1"/>
    </xf>
    <xf numFmtId="4" fontId="13" fillId="9" borderId="0" xfId="1" applyNumberFormat="1" applyFont="1" applyFill="1" applyBorder="1" applyAlignment="1">
      <alignment horizontal="right" vertical="center" wrapText="1"/>
    </xf>
    <xf numFmtId="4" fontId="13" fillId="9" borderId="1" xfId="1" applyNumberFormat="1" applyFont="1" applyFill="1" applyBorder="1" applyAlignment="1">
      <alignment horizontal="right" vertical="center" wrapText="1"/>
    </xf>
    <xf numFmtId="164" fontId="13" fillId="0" borderId="0" xfId="1" applyFont="1" applyFill="1" applyBorder="1" applyAlignment="1">
      <alignment horizontal="right" vertical="center" wrapText="1"/>
    </xf>
    <xf numFmtId="164" fontId="13" fillId="9" borderId="0" xfId="1" applyFont="1" applyFill="1" applyBorder="1" applyAlignment="1">
      <alignment horizontal="right" vertical="center" wrapText="1"/>
    </xf>
    <xf numFmtId="4" fontId="0" fillId="0" borderId="0" xfId="0" applyNumberFormat="1"/>
    <xf numFmtId="166" fontId="2" fillId="0" borderId="0" xfId="0" applyNumberFormat="1" applyFont="1" applyAlignment="1">
      <alignment vertical="center"/>
    </xf>
    <xf numFmtId="49" fontId="0" fillId="0" borderId="0" xfId="0" applyNumberFormat="1"/>
    <xf numFmtId="0" fontId="0" fillId="0" borderId="0" xfId="0" applyAlignment="1">
      <alignment horizontal="left"/>
    </xf>
    <xf numFmtId="0" fontId="0" fillId="0" borderId="0" xfId="0" applyAlignment="1">
      <alignment horizontal="left" vertical="center" wrapText="1"/>
    </xf>
    <xf numFmtId="3" fontId="2" fillId="0" borderId="0" xfId="0" applyNumberFormat="1" applyFont="1" applyAlignment="1">
      <alignment vertical="center"/>
    </xf>
    <xf numFmtId="3" fontId="12" fillId="9" borderId="0" xfId="0" applyNumberFormat="1" applyFont="1" applyFill="1" applyAlignment="1">
      <alignment horizontal="right" vertical="center"/>
    </xf>
    <xf numFmtId="43" fontId="2" fillId="0" borderId="0" xfId="0" applyNumberFormat="1" applyFont="1" applyAlignment="1">
      <alignment vertical="center"/>
    </xf>
    <xf numFmtId="164" fontId="2" fillId="0" borderId="0" xfId="0" applyNumberFormat="1" applyFont="1" applyAlignment="1">
      <alignment vertical="center"/>
    </xf>
    <xf numFmtId="164" fontId="5" fillId="0" borderId="0" xfId="1" applyFont="1" applyAlignment="1">
      <alignment vertical="center"/>
    </xf>
    <xf numFmtId="167" fontId="2" fillId="0" borderId="0" xfId="0" applyNumberFormat="1" applyFont="1" applyAlignment="1">
      <alignment vertical="center"/>
    </xf>
    <xf numFmtId="164" fontId="2" fillId="0" borderId="0" xfId="1" applyFont="1"/>
    <xf numFmtId="4" fontId="2" fillId="0" borderId="0" xfId="0" applyNumberFormat="1" applyFont="1"/>
    <xf numFmtId="43" fontId="2" fillId="0" borderId="0" xfId="0" applyNumberFormat="1" applyFont="1"/>
    <xf numFmtId="4" fontId="13" fillId="10" borderId="0" xfId="1" applyNumberFormat="1" applyFont="1" applyFill="1" applyBorder="1" applyAlignment="1">
      <alignment horizontal="left" vertical="center" wrapText="1"/>
    </xf>
    <xf numFmtId="4" fontId="13" fillId="10" borderId="0" xfId="1" applyNumberFormat="1" applyFont="1" applyFill="1" applyBorder="1" applyAlignment="1">
      <alignment horizontal="right" vertical="center" wrapText="1"/>
    </xf>
    <xf numFmtId="4" fontId="13" fillId="10" borderId="1" xfId="1" applyNumberFormat="1" applyFont="1" applyFill="1" applyBorder="1" applyAlignment="1">
      <alignment horizontal="right" vertical="center" wrapText="1"/>
    </xf>
    <xf numFmtId="164" fontId="12" fillId="0" borderId="0" xfId="1" applyFont="1" applyFill="1" applyBorder="1" applyAlignment="1">
      <alignment horizontal="right" vertical="center" wrapText="1"/>
    </xf>
    <xf numFmtId="164" fontId="12" fillId="0" borderId="1" xfId="1" applyFont="1" applyFill="1" applyBorder="1" applyAlignment="1">
      <alignment horizontal="right" vertical="center" wrapText="1"/>
    </xf>
    <xf numFmtId="164" fontId="19" fillId="4" borderId="0" xfId="1" applyFont="1" applyFill="1" applyBorder="1" applyAlignment="1">
      <alignment horizontal="right" vertical="center" wrapText="1"/>
    </xf>
    <xf numFmtId="0" fontId="21" fillId="3" borderId="0" xfId="0" applyFont="1" applyFill="1" applyAlignment="1">
      <alignment horizontal="center" vertical="center" wrapText="1"/>
    </xf>
    <xf numFmtId="0" fontId="2" fillId="0" borderId="0" xfId="0" applyFont="1" applyAlignment="1">
      <alignment horizontal="left"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0" fontId="32" fillId="0" borderId="0" xfId="1" applyNumberFormat="1"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0" xfId="0" applyFont="1" applyFill="1" applyAlignment="1">
      <alignment horizontal="left" vertical="center"/>
    </xf>
    <xf numFmtId="4" fontId="14" fillId="0" borderId="17" xfId="0" applyNumberFormat="1" applyFont="1" applyBorder="1" applyAlignment="1">
      <alignment horizontal="left" vertical="center"/>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165" fontId="21" fillId="3" borderId="0" xfId="1" applyNumberFormat="1" applyFont="1" applyFill="1" applyBorder="1" applyAlignment="1">
      <alignment horizontal="center" vertical="center" wrapText="1"/>
    </xf>
    <xf numFmtId="0" fontId="5" fillId="7" borderId="0" xfId="0" applyFont="1" applyFill="1" applyAlignment="1">
      <alignment horizontal="center" vertical="center"/>
    </xf>
    <xf numFmtId="0" fontId="5" fillId="0" borderId="0" xfId="0" applyFont="1" applyAlignment="1">
      <alignment horizontal="center" vertical="center" wrapText="1"/>
    </xf>
    <xf numFmtId="165" fontId="10"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165" fontId="13" fillId="0" borderId="0" xfId="1" applyNumberFormat="1" applyFont="1" applyFill="1" applyBorder="1" applyAlignment="1">
      <alignment horizontal="left" vertical="center" wrapText="1"/>
    </xf>
    <xf numFmtId="165" fontId="13" fillId="8" borderId="0" xfId="1" applyNumberFormat="1" applyFont="1" applyFill="1" applyBorder="1" applyAlignment="1">
      <alignment horizontal="left" vertical="center" wrapText="1"/>
    </xf>
    <xf numFmtId="165" fontId="13" fillId="8" borderId="1" xfId="1" applyNumberFormat="1" applyFont="1" applyFill="1" applyBorder="1" applyAlignment="1">
      <alignment horizontal="left" vertical="center" wrapText="1"/>
    </xf>
    <xf numFmtId="4" fontId="14" fillId="0" borderId="16" xfId="0" applyNumberFormat="1" applyFont="1" applyBorder="1" applyAlignment="1">
      <alignment horizontal="left" vertical="center"/>
    </xf>
    <xf numFmtId="165" fontId="4" fillId="2" borderId="0" xfId="1" applyNumberFormat="1" applyFont="1" applyFill="1" applyBorder="1" applyAlignment="1">
      <alignment horizontal="center" vertical="center" wrapText="1"/>
    </xf>
    <xf numFmtId="0" fontId="12" fillId="0" borderId="18" xfId="0" applyFont="1" applyBorder="1" applyAlignment="1">
      <alignment horizontal="left" vertical="center" wrapText="1"/>
    </xf>
    <xf numFmtId="0" fontId="12" fillId="0" borderId="23" xfId="0" applyFont="1" applyBorder="1" applyAlignment="1">
      <alignment horizontal="left" vertical="center" wrapText="1"/>
    </xf>
    <xf numFmtId="0" fontId="16" fillId="0" borderId="18" xfId="0" applyFont="1" applyBorder="1" applyAlignment="1">
      <alignment horizontal="left" vertical="center"/>
    </xf>
    <xf numFmtId="0" fontId="16" fillId="0" borderId="1" xfId="0" applyFont="1" applyBorder="1" applyAlignment="1">
      <alignment horizontal="left" vertical="center" wrapText="1"/>
    </xf>
    <xf numFmtId="0" fontId="12" fillId="8" borderId="0" xfId="0" applyFont="1" applyFill="1" applyAlignment="1">
      <alignment horizontal="left" vertical="center" wrapText="1"/>
    </xf>
    <xf numFmtId="0" fontId="12" fillId="0" borderId="0" xfId="0" applyFont="1" applyAlignment="1">
      <alignment horizontal="left" vertical="center" wrapText="1"/>
    </xf>
    <xf numFmtId="0" fontId="12" fillId="8" borderId="1" xfId="0" applyFont="1" applyFill="1" applyBorder="1" applyAlignment="1">
      <alignment horizontal="left" vertical="center" wrapText="1"/>
    </xf>
    <xf numFmtId="0" fontId="7" fillId="0" borderId="0" xfId="0" applyFont="1" applyAlignment="1">
      <alignment horizontal="center" wrapText="1"/>
    </xf>
    <xf numFmtId="165" fontId="6" fillId="0" borderId="0" xfId="1" applyNumberFormat="1" applyFont="1" applyFill="1" applyBorder="1" applyAlignment="1">
      <alignment horizontal="center" vertical="center" wrapText="1"/>
    </xf>
    <xf numFmtId="0" fontId="3" fillId="0" borderId="0" xfId="0" applyFont="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11" fillId="4" borderId="0" xfId="1" applyNumberFormat="1" applyFont="1" applyFill="1" applyBorder="1" applyAlignment="1">
      <alignment horizontal="left" vertical="center" wrapText="1"/>
    </xf>
    <xf numFmtId="0" fontId="5" fillId="0" borderId="16" xfId="0" applyFont="1" applyBorder="1" applyAlignment="1">
      <alignment horizontal="center" vertical="center"/>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165" fontId="10" fillId="2" borderId="13" xfId="1" applyNumberFormat="1" applyFont="1" applyFill="1" applyBorder="1" applyAlignment="1">
      <alignment horizontal="center" vertical="center" wrapText="1"/>
    </xf>
    <xf numFmtId="165" fontId="13" fillId="9" borderId="0" xfId="1" applyNumberFormat="1" applyFont="1" applyFill="1" applyBorder="1" applyAlignment="1">
      <alignment horizontal="left" vertical="center" wrapText="1"/>
    </xf>
    <xf numFmtId="165" fontId="13" fillId="9" borderId="1" xfId="1" applyNumberFormat="1" applyFont="1" applyFill="1" applyBorder="1" applyAlignment="1">
      <alignment horizontal="left" vertical="center" wrapText="1"/>
    </xf>
    <xf numFmtId="0" fontId="12" fillId="9" borderId="0" xfId="0" applyFont="1" applyFill="1" applyAlignment="1">
      <alignment horizontal="left" vertical="center" wrapText="1"/>
    </xf>
    <xf numFmtId="0" fontId="12" fillId="0" borderId="1" xfId="0" applyFont="1" applyBorder="1" applyAlignment="1">
      <alignment horizontal="left"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165" fontId="20" fillId="0" borderId="17" xfId="1" applyNumberFormat="1" applyFont="1" applyFill="1" applyBorder="1" applyAlignment="1">
      <alignment vertical="center" wrapText="1"/>
    </xf>
    <xf numFmtId="4" fontId="14" fillId="0" borderId="16" xfId="0" applyNumberFormat="1" applyFont="1" applyBorder="1" applyAlignment="1">
      <alignment vertical="center"/>
    </xf>
    <xf numFmtId="0" fontId="5" fillId="0" borderId="44" xfId="1" applyNumberFormat="1" applyFont="1" applyFill="1" applyBorder="1" applyAlignment="1">
      <alignment horizontal="left" vertical="center" wrapText="1"/>
    </xf>
    <xf numFmtId="0" fontId="5" fillId="0" borderId="45" xfId="1" applyNumberFormat="1" applyFont="1" applyFill="1" applyBorder="1" applyAlignment="1">
      <alignment horizontal="left" vertical="center" wrapText="1"/>
    </xf>
    <xf numFmtId="0" fontId="5" fillId="0" borderId="46" xfId="1" applyNumberFormat="1" applyFont="1" applyFill="1" applyBorder="1" applyAlignment="1">
      <alignment horizontal="left" vertical="center" wrapText="1"/>
    </xf>
    <xf numFmtId="165" fontId="13" fillId="0" borderId="1"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2" fillId="9" borderId="1" xfId="0" applyFont="1" applyFill="1" applyBorder="1" applyAlignment="1">
      <alignment horizontal="left" vertical="center" wrapText="1"/>
    </xf>
    <xf numFmtId="4" fontId="14" fillId="0" borderId="0" xfId="0" applyNumberFormat="1" applyFont="1" applyAlignment="1">
      <alignment horizontal="left" vertical="center"/>
    </xf>
    <xf numFmtId="0" fontId="5" fillId="0" borderId="39" xfId="0" applyFont="1" applyBorder="1" applyAlignment="1">
      <alignment horizontal="center" vertical="center"/>
    </xf>
    <xf numFmtId="0" fontId="2" fillId="0" borderId="48"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7" xfId="0" applyFont="1" applyBorder="1" applyAlignment="1">
      <alignment horizontal="center" vertical="center"/>
    </xf>
    <xf numFmtId="0" fontId="2" fillId="0" borderId="43" xfId="0" applyFont="1" applyBorder="1" applyAlignment="1">
      <alignment horizontal="center" vertical="center"/>
    </xf>
    <xf numFmtId="0" fontId="5" fillId="0" borderId="49" xfId="0" applyFont="1" applyBorder="1" applyAlignment="1">
      <alignment horizontal="center" vertical="center"/>
    </xf>
    <xf numFmtId="0" fontId="5" fillId="0" borderId="17" xfId="0" applyFont="1" applyBorder="1" applyAlignment="1">
      <alignment horizontal="center" vertical="center"/>
    </xf>
    <xf numFmtId="0" fontId="5" fillId="0" borderId="49" xfId="0" applyFont="1" applyBorder="1" applyAlignment="1">
      <alignment horizontal="center" vertical="center" wrapText="1"/>
    </xf>
    <xf numFmtId="0" fontId="5" fillId="0" borderId="17" xfId="0" applyFont="1" applyBorder="1" applyAlignment="1">
      <alignment horizontal="center" vertical="center" wrapText="1"/>
    </xf>
    <xf numFmtId="165" fontId="13" fillId="10" borderId="0" xfId="1" applyNumberFormat="1" applyFont="1" applyFill="1" applyBorder="1" applyAlignment="1">
      <alignment horizontal="left" vertical="center" wrapText="1"/>
    </xf>
    <xf numFmtId="165" fontId="13" fillId="10" borderId="1" xfId="1" applyNumberFormat="1" applyFont="1" applyFill="1" applyBorder="1" applyAlignment="1">
      <alignment horizontal="left" vertical="center" wrapText="1"/>
    </xf>
    <xf numFmtId="0" fontId="5" fillId="0" borderId="38"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1000000}"/>
    <cellStyle name="Millares 3" xfId="3" xr:uid="{00000000-0005-0000-0000-000002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6" customWidth="1"/>
    <col min="7" max="16384" width="10.88671875" style="36"/>
  </cols>
  <sheetData>
    <row r="4" spans="1:6" ht="18" customHeight="1" x14ac:dyDescent="0.3"/>
    <row r="5" spans="1:6" ht="42.6" customHeight="1" x14ac:dyDescent="0.3">
      <c r="A5" s="187" t="s">
        <v>94</v>
      </c>
      <c r="B5" s="187"/>
      <c r="C5" s="187"/>
      <c r="D5" s="187"/>
      <c r="E5" s="42"/>
      <c r="F5" s="42"/>
    </row>
    <row r="6" spans="1:6" ht="16.2" customHeight="1" x14ac:dyDescent="0.3">
      <c r="A6" s="99"/>
      <c r="B6" s="99"/>
      <c r="C6" s="99"/>
      <c r="D6" s="99"/>
      <c r="E6" s="42"/>
      <c r="F6" s="42"/>
    </row>
    <row r="7" spans="1:6" ht="16.2" customHeight="1" x14ac:dyDescent="0.3">
      <c r="A7" s="100" t="s">
        <v>115</v>
      </c>
      <c r="B7" s="99"/>
      <c r="C7" s="99"/>
      <c r="D7" s="99"/>
      <c r="E7" s="42"/>
      <c r="F7" s="42"/>
    </row>
    <row r="8" spans="1:6" x14ac:dyDescent="0.3">
      <c r="A8" s="131"/>
      <c r="B8" s="131"/>
      <c r="C8" s="131"/>
      <c r="D8" s="131"/>
      <c r="E8" s="86"/>
      <c r="F8" s="86"/>
    </row>
    <row r="9" spans="1:6" ht="66.75" customHeight="1" x14ac:dyDescent="0.3">
      <c r="A9" s="188" t="s">
        <v>125</v>
      </c>
      <c r="B9" s="188"/>
      <c r="C9" s="188"/>
      <c r="D9" s="188"/>
      <c r="E9" s="86"/>
      <c r="F9" s="86"/>
    </row>
    <row r="10" spans="1:6" ht="92.4" customHeight="1" x14ac:dyDescent="0.3">
      <c r="A10" s="189" t="s">
        <v>114</v>
      </c>
      <c r="B10" s="189"/>
      <c r="C10" s="189"/>
      <c r="D10" s="189"/>
      <c r="E10" s="86"/>
      <c r="F10" s="86"/>
    </row>
    <row r="11" spans="1:6" ht="105" customHeight="1" x14ac:dyDescent="0.3">
      <c r="A11" s="190" t="s">
        <v>149</v>
      </c>
      <c r="B11" s="190"/>
      <c r="C11" s="190"/>
      <c r="D11" s="190"/>
      <c r="E11" s="86"/>
      <c r="F11" s="86"/>
    </row>
    <row r="12" spans="1:6" ht="81" customHeight="1" x14ac:dyDescent="0.3">
      <c r="A12" s="188" t="s">
        <v>169</v>
      </c>
      <c r="B12" s="188"/>
      <c r="C12" s="188"/>
      <c r="D12" s="188"/>
      <c r="E12" s="86"/>
      <c r="F12" s="86"/>
    </row>
    <row r="13" spans="1:6" ht="20.399999999999999" customHeight="1" x14ac:dyDescent="0.3">
      <c r="A13" s="131"/>
      <c r="B13" s="131"/>
      <c r="C13" s="131"/>
      <c r="D13" s="131"/>
      <c r="E13" s="86"/>
      <c r="F13" s="86"/>
    </row>
    <row r="14" spans="1:6" ht="20.399999999999999" customHeight="1" x14ac:dyDescent="0.3">
      <c r="A14" s="187" t="s">
        <v>116</v>
      </c>
      <c r="B14" s="187"/>
      <c r="C14" s="187"/>
      <c r="D14" s="187"/>
      <c r="E14" s="86"/>
      <c r="F14" s="86"/>
    </row>
    <row r="15" spans="1:6" ht="20.100000000000001" customHeight="1" x14ac:dyDescent="0.3">
      <c r="A15" s="83" t="s">
        <v>26</v>
      </c>
    </row>
    <row r="16" spans="1:6" ht="168.75" customHeight="1" x14ac:dyDescent="0.3">
      <c r="A16" s="188" t="s">
        <v>112</v>
      </c>
      <c r="B16" s="188"/>
      <c r="C16" s="188"/>
      <c r="D16" s="188"/>
      <c r="E16" s="86"/>
      <c r="F16" s="86"/>
    </row>
    <row r="17" spans="1:17" ht="9.9" customHeight="1" x14ac:dyDescent="0.3"/>
    <row r="18" spans="1:17" ht="20.100000000000001" customHeight="1" x14ac:dyDescent="0.3">
      <c r="A18" s="83" t="s">
        <v>113</v>
      </c>
    </row>
    <row r="20" spans="1:17" ht="15" customHeight="1" x14ac:dyDescent="0.3">
      <c r="A20" s="36" t="s">
        <v>102</v>
      </c>
    </row>
    <row r="21" spans="1:17" ht="15" customHeight="1" x14ac:dyDescent="0.3"/>
    <row r="22" spans="1:17" ht="15" customHeight="1" x14ac:dyDescent="0.3">
      <c r="A22" s="188" t="s">
        <v>103</v>
      </c>
      <c r="B22" s="188"/>
      <c r="C22" s="188"/>
      <c r="D22" s="188"/>
      <c r="E22" s="86"/>
      <c r="F22" s="86"/>
      <c r="G22" s="86"/>
      <c r="H22" s="86"/>
      <c r="I22" s="86"/>
      <c r="J22" s="86"/>
      <c r="K22" s="86"/>
      <c r="L22" s="86"/>
      <c r="M22" s="86"/>
      <c r="N22" s="86"/>
      <c r="O22" s="86"/>
      <c r="P22" s="86"/>
      <c r="Q22" s="86"/>
    </row>
    <row r="23" spans="1:17" ht="15" customHeight="1" x14ac:dyDescent="0.3">
      <c r="A23" s="131"/>
      <c r="B23" s="131"/>
      <c r="C23" s="131"/>
      <c r="D23" s="131"/>
      <c r="E23" s="86"/>
      <c r="F23" s="86"/>
      <c r="G23" s="86"/>
      <c r="H23" s="86"/>
      <c r="I23" s="86"/>
      <c r="J23" s="86"/>
      <c r="K23" s="86"/>
      <c r="L23" s="86"/>
      <c r="M23" s="86"/>
      <c r="N23" s="86"/>
      <c r="O23" s="86"/>
      <c r="P23" s="86"/>
      <c r="Q23" s="86"/>
    </row>
    <row r="24" spans="1:17" ht="33" customHeight="1" x14ac:dyDescent="0.3">
      <c r="A24" s="191" t="s">
        <v>141</v>
      </c>
      <c r="B24" s="191"/>
      <c r="C24" s="191"/>
      <c r="D24" s="191"/>
      <c r="E24" s="86"/>
      <c r="F24" s="86"/>
      <c r="G24" s="86"/>
      <c r="H24" s="86"/>
      <c r="I24" s="86"/>
      <c r="J24" s="86"/>
      <c r="K24" s="86"/>
      <c r="L24" s="86"/>
      <c r="M24" s="86"/>
      <c r="N24" s="86"/>
      <c r="O24" s="86"/>
      <c r="P24" s="86"/>
      <c r="Q24" s="86"/>
    </row>
    <row r="25" spans="1:17" ht="15" customHeight="1" x14ac:dyDescent="0.3">
      <c r="A25" s="131"/>
      <c r="B25" s="131"/>
      <c r="C25" s="131"/>
      <c r="D25" s="131"/>
      <c r="E25" s="86"/>
      <c r="F25" s="86"/>
      <c r="G25" s="86"/>
      <c r="H25" s="86"/>
      <c r="I25" s="86"/>
      <c r="J25" s="86"/>
      <c r="K25" s="86"/>
      <c r="L25" s="86"/>
      <c r="M25" s="86"/>
      <c r="N25" s="86"/>
      <c r="O25" s="86"/>
      <c r="P25" s="86"/>
      <c r="Q25" s="86"/>
    </row>
    <row r="26" spans="1:17" ht="20.100000000000001" customHeight="1" x14ac:dyDescent="0.3">
      <c r="A26" s="193" t="s">
        <v>117</v>
      </c>
      <c r="B26" s="193"/>
      <c r="C26" s="193"/>
      <c r="D26" s="193"/>
    </row>
    <row r="27" spans="1:17" ht="15" customHeight="1" x14ac:dyDescent="0.3">
      <c r="A27" s="36" t="s">
        <v>105</v>
      </c>
    </row>
    <row r="28" spans="1:17" ht="15" customHeight="1" x14ac:dyDescent="0.3">
      <c r="A28" s="36" t="s">
        <v>106</v>
      </c>
    </row>
    <row r="29" spans="1:17" ht="32.1" customHeight="1" x14ac:dyDescent="0.3">
      <c r="A29" s="188" t="s">
        <v>166</v>
      </c>
      <c r="B29" s="188"/>
      <c r="C29" s="188"/>
      <c r="D29" s="188"/>
    </row>
    <row r="30" spans="1:17" ht="15" customHeight="1" x14ac:dyDescent="0.3"/>
    <row r="31" spans="1:17" ht="20.100000000000001" customHeight="1" x14ac:dyDescent="0.3">
      <c r="A31" s="193" t="s">
        <v>118</v>
      </c>
      <c r="B31" s="193"/>
      <c r="C31" s="193"/>
      <c r="D31" s="193"/>
    </row>
    <row r="32" spans="1:17" ht="15" customHeight="1" x14ac:dyDescent="0.3">
      <c r="A32" s="36" t="s">
        <v>105</v>
      </c>
    </row>
    <row r="33" spans="1:6" ht="15" customHeight="1" x14ac:dyDescent="0.3">
      <c r="A33" s="36" t="s">
        <v>106</v>
      </c>
    </row>
    <row r="34" spans="1:6" ht="32.1" customHeight="1" x14ac:dyDescent="0.3">
      <c r="A34" s="188" t="s">
        <v>165</v>
      </c>
      <c r="B34" s="188"/>
      <c r="C34" s="188"/>
      <c r="D34" s="188"/>
    </row>
    <row r="35" spans="1:6" ht="15" customHeight="1" x14ac:dyDescent="0.3"/>
    <row r="36" spans="1:6" ht="35.1" customHeight="1" x14ac:dyDescent="0.3">
      <c r="A36" s="192" t="s">
        <v>119</v>
      </c>
      <c r="B36" s="192"/>
      <c r="C36" s="192"/>
      <c r="D36" s="192"/>
    </row>
    <row r="37" spans="1:6" ht="15" customHeight="1" x14ac:dyDescent="0.3">
      <c r="A37" s="36" t="s">
        <v>133</v>
      </c>
    </row>
    <row r="38" spans="1:6" x14ac:dyDescent="0.3">
      <c r="A38" s="188" t="s">
        <v>168</v>
      </c>
      <c r="B38" s="188"/>
      <c r="C38" s="188"/>
      <c r="D38" s="188"/>
    </row>
    <row r="39" spans="1:6" ht="15" customHeight="1" x14ac:dyDescent="0.3">
      <c r="A39" s="36" t="s">
        <v>104</v>
      </c>
    </row>
    <row r="40" spans="1:6" ht="20.100000000000001" customHeight="1" x14ac:dyDescent="0.3">
      <c r="A40" s="192" t="s">
        <v>120</v>
      </c>
      <c r="B40" s="192"/>
      <c r="C40" s="192"/>
      <c r="D40" s="192"/>
    </row>
    <row r="41" spans="1:6" ht="15" customHeight="1" x14ac:dyDescent="0.3">
      <c r="A41" s="36" t="s">
        <v>134</v>
      </c>
    </row>
    <row r="42" spans="1:6" ht="32.1" customHeight="1" x14ac:dyDescent="0.3">
      <c r="A42" s="188" t="s">
        <v>167</v>
      </c>
      <c r="B42" s="188"/>
      <c r="C42" s="188"/>
      <c r="D42" s="188"/>
    </row>
    <row r="43" spans="1:6" ht="14.25" customHeight="1" x14ac:dyDescent="0.3"/>
    <row r="44" spans="1:6" ht="33" customHeight="1" x14ac:dyDescent="0.3">
      <c r="A44" s="191" t="s">
        <v>142</v>
      </c>
      <c r="B44" s="191"/>
      <c r="C44" s="191"/>
      <c r="D44" s="191"/>
    </row>
    <row r="46" spans="1:6" ht="20.100000000000001" customHeight="1" x14ac:dyDescent="0.3">
      <c r="A46" s="192" t="s">
        <v>121</v>
      </c>
      <c r="B46" s="192"/>
      <c r="C46" s="192"/>
      <c r="D46" s="192"/>
      <c r="E46" s="42"/>
      <c r="F46" s="42"/>
    </row>
    <row r="47" spans="1:6" x14ac:dyDescent="0.3">
      <c r="A47" s="36" t="s">
        <v>107</v>
      </c>
    </row>
    <row r="48" spans="1:6" x14ac:dyDescent="0.3">
      <c r="A48" s="36" t="s">
        <v>135</v>
      </c>
    </row>
    <row r="50" spans="1:6" ht="35.1" customHeight="1" x14ac:dyDescent="0.3">
      <c r="A50" s="192" t="s">
        <v>122</v>
      </c>
      <c r="B50" s="192"/>
      <c r="C50" s="192"/>
      <c r="D50" s="192"/>
    </row>
    <row r="51" spans="1:6" x14ac:dyDescent="0.3">
      <c r="A51" s="36" t="s">
        <v>108</v>
      </c>
    </row>
    <row r="52" spans="1:6" x14ac:dyDescent="0.3">
      <c r="A52" s="36" t="s">
        <v>136</v>
      </c>
    </row>
    <row r="54" spans="1:6" ht="35.1" customHeight="1" x14ac:dyDescent="0.3">
      <c r="A54" s="192" t="s">
        <v>123</v>
      </c>
      <c r="B54" s="192"/>
      <c r="C54" s="192"/>
      <c r="D54" s="192"/>
      <c r="E54" s="3"/>
      <c r="F54" s="3"/>
    </row>
    <row r="55" spans="1:6" x14ac:dyDescent="0.3">
      <c r="A55" s="36" t="s">
        <v>109</v>
      </c>
    </row>
    <row r="56" spans="1:6" ht="32.1" customHeight="1" x14ac:dyDescent="0.3">
      <c r="A56" s="188" t="s">
        <v>137</v>
      </c>
      <c r="B56" s="188"/>
      <c r="C56" s="188"/>
      <c r="D56" s="188"/>
    </row>
    <row r="58" spans="1:6" ht="20.100000000000001" customHeight="1" x14ac:dyDescent="0.3">
      <c r="A58" s="192" t="s">
        <v>124</v>
      </c>
      <c r="B58" s="192"/>
      <c r="C58" s="192"/>
      <c r="D58" s="192"/>
      <c r="E58" s="42"/>
      <c r="F58" s="42"/>
    </row>
    <row r="59" spans="1:6" x14ac:dyDescent="0.3">
      <c r="A59" s="36" t="s">
        <v>110</v>
      </c>
    </row>
    <row r="60" spans="1:6" x14ac:dyDescent="0.3">
      <c r="A60" s="36" t="s">
        <v>111</v>
      </c>
    </row>
    <row r="62" spans="1:6" ht="9.9" customHeight="1" x14ac:dyDescent="0.3"/>
    <row r="63" spans="1:6" ht="19.8" x14ac:dyDescent="0.3">
      <c r="A63" s="98" t="s">
        <v>126</v>
      </c>
    </row>
    <row r="64" spans="1:6" ht="69" customHeight="1" x14ac:dyDescent="0.3">
      <c r="A64" s="188" t="s">
        <v>132</v>
      </c>
      <c r="B64" s="188"/>
      <c r="C64" s="188"/>
      <c r="D64" s="188"/>
    </row>
    <row r="65" spans="1:4" ht="32.1" customHeight="1" x14ac:dyDescent="0.3">
      <c r="A65" s="188" t="s">
        <v>131</v>
      </c>
      <c r="B65" s="188"/>
      <c r="C65" s="188"/>
      <c r="D65" s="188"/>
    </row>
    <row r="66" spans="1:4" ht="17.399999999999999" x14ac:dyDescent="0.3">
      <c r="A66" s="42" t="s">
        <v>127</v>
      </c>
      <c r="C66" s="101" t="s">
        <v>128</v>
      </c>
      <c r="D66" s="102"/>
    </row>
    <row r="67" spans="1:4" ht="17.399999999999999" x14ac:dyDescent="0.3">
      <c r="A67" s="42" t="s">
        <v>151</v>
      </c>
      <c r="C67" s="101" t="s">
        <v>150</v>
      </c>
      <c r="D67" s="102"/>
    </row>
    <row r="68" spans="1:4" x14ac:dyDescent="0.3">
      <c r="A68" s="42" t="s">
        <v>130</v>
      </c>
      <c r="C68" s="101" t="s">
        <v>129</v>
      </c>
    </row>
    <row r="70" spans="1:4" x14ac:dyDescent="0.3">
      <c r="A70" s="36" t="s">
        <v>143</v>
      </c>
    </row>
    <row r="71" spans="1:4" x14ac:dyDescent="0.3">
      <c r="A71" s="36" t="s">
        <v>182</v>
      </c>
    </row>
    <row r="72" spans="1:4" x14ac:dyDescent="0.3">
      <c r="A72" s="36" t="s">
        <v>144</v>
      </c>
    </row>
    <row r="73" spans="1:4" x14ac:dyDescent="0.3">
      <c r="A73" s="36" t="s">
        <v>145</v>
      </c>
    </row>
    <row r="74" spans="1:4" x14ac:dyDescent="0.3">
      <c r="A74" s="36" t="s">
        <v>146</v>
      </c>
    </row>
  </sheetData>
  <mergeCells count="25">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 ref="A5:D5"/>
    <mergeCell ref="A12:D12"/>
    <mergeCell ref="A16:D16"/>
    <mergeCell ref="A22:D22"/>
    <mergeCell ref="A29:D29"/>
    <mergeCell ref="A9:D9"/>
    <mergeCell ref="A10:D10"/>
    <mergeCell ref="A11:D11"/>
    <mergeCell ref="A14:D14"/>
    <mergeCell ref="A24:D24"/>
  </mergeCells>
  <phoneticPr fontId="9" type="noConversion"/>
  <hyperlinks>
    <hyperlink ref="C67" r:id="rId1" xr:uid="{C6175826-96E3-4894-BC90-F1D6B87BBE31}"/>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5"/>
  <sheetViews>
    <sheetView showGridLines="0" zoomScale="80" zoomScaleNormal="80" workbookViewId="0">
      <selection sqref="A1:F2"/>
    </sheetView>
  </sheetViews>
  <sheetFormatPr baseColWidth="10" defaultColWidth="11.44140625" defaultRowHeight="15.6" x14ac:dyDescent="0.3"/>
  <cols>
    <col min="1" max="1" width="64.88671875" style="36" customWidth="1"/>
    <col min="2" max="2" width="28.88671875" style="36" customWidth="1"/>
    <col min="3" max="4" width="18.33203125" style="36" customWidth="1"/>
    <col min="5" max="5" width="20.109375" style="36" customWidth="1"/>
    <col min="6" max="6" width="19.5546875" style="36" customWidth="1"/>
    <col min="7" max="7" width="18.5546875" style="36" bestFit="1" customWidth="1"/>
    <col min="8" max="8" width="17.6640625" style="36" bestFit="1" customWidth="1"/>
    <col min="9" max="9" width="15.6640625" style="36" bestFit="1" customWidth="1"/>
    <col min="10" max="16384" width="11.44140625" style="36"/>
  </cols>
  <sheetData>
    <row r="1" spans="1:6" ht="21.9" customHeight="1" x14ac:dyDescent="0.3">
      <c r="A1" s="232" t="s">
        <v>94</v>
      </c>
      <c r="B1" s="232"/>
      <c r="C1" s="232"/>
      <c r="D1" s="232"/>
      <c r="E1" s="232"/>
      <c r="F1" s="232"/>
    </row>
    <row r="2" spans="1:6" ht="21.9" customHeight="1" x14ac:dyDescent="0.3">
      <c r="A2" s="232"/>
      <c r="B2" s="232"/>
      <c r="C2" s="232"/>
      <c r="D2" s="232"/>
      <c r="E2" s="232"/>
      <c r="F2" s="232"/>
    </row>
    <row r="3" spans="1:6" ht="17.399999999999999" x14ac:dyDescent="0.4">
      <c r="A3" s="234" t="s">
        <v>188</v>
      </c>
      <c r="B3" s="234"/>
      <c r="C3" s="234"/>
      <c r="D3" s="234"/>
      <c r="E3" s="234"/>
      <c r="F3" s="234"/>
    </row>
    <row r="4" spans="1:6" ht="15" customHeight="1" x14ac:dyDescent="0.3">
      <c r="A4" s="141"/>
      <c r="B4" s="141"/>
      <c r="C4" s="141"/>
      <c r="D4" s="141"/>
      <c r="E4" s="141"/>
      <c r="F4" s="141"/>
    </row>
    <row r="5" spans="1:6" ht="18" customHeight="1" x14ac:dyDescent="0.3">
      <c r="A5" s="70"/>
      <c r="B5" s="72" t="s">
        <v>22</v>
      </c>
      <c r="C5" s="199" t="s">
        <v>183</v>
      </c>
      <c r="D5" s="235"/>
      <c r="E5" s="235"/>
    </row>
    <row r="6" spans="1:6" ht="18" customHeight="1" x14ac:dyDescent="0.3">
      <c r="A6" s="71"/>
      <c r="B6" s="73" t="s">
        <v>33</v>
      </c>
      <c r="C6" s="236" t="s">
        <v>184</v>
      </c>
      <c r="D6" s="237"/>
      <c r="E6" s="237"/>
      <c r="F6" s="3"/>
    </row>
    <row r="7" spans="1:6" ht="18" customHeight="1" x14ac:dyDescent="0.3">
      <c r="A7" s="71"/>
      <c r="B7" s="74" t="s">
        <v>34</v>
      </c>
      <c r="C7" s="236" t="s">
        <v>185</v>
      </c>
      <c r="D7" s="237"/>
      <c r="E7" s="237"/>
      <c r="F7" s="3"/>
    </row>
    <row r="8" spans="1:6" s="1" customFormat="1" ht="18" customHeight="1" x14ac:dyDescent="0.35"/>
    <row r="9" spans="1:6" ht="15" customHeight="1" x14ac:dyDescent="0.3">
      <c r="A9" s="4"/>
      <c r="B9" s="133"/>
      <c r="C9" s="133"/>
      <c r="D9" s="133"/>
      <c r="E9" s="133"/>
      <c r="F9" s="133"/>
    </row>
    <row r="10" spans="1:6" ht="21.9" customHeight="1" x14ac:dyDescent="0.3">
      <c r="A10" s="214" t="s">
        <v>35</v>
      </c>
      <c r="B10" s="214"/>
      <c r="C10" s="214"/>
      <c r="D10" s="214"/>
      <c r="E10" s="214"/>
      <c r="F10" s="214"/>
    </row>
    <row r="11" spans="1:6" ht="15" customHeight="1" x14ac:dyDescent="0.3">
      <c r="A11" s="8"/>
      <c r="B11" s="8"/>
      <c r="C11" s="8"/>
      <c r="D11" s="8"/>
      <c r="E11" s="8"/>
      <c r="F11" s="8"/>
    </row>
    <row r="12" spans="1:6" x14ac:dyDescent="0.3">
      <c r="A12" s="233" t="s">
        <v>36</v>
      </c>
      <c r="B12" s="233"/>
      <c r="C12" s="233"/>
      <c r="D12" s="233"/>
      <c r="E12" s="233"/>
      <c r="F12" s="233"/>
    </row>
    <row r="13" spans="1:6" ht="15" customHeight="1" x14ac:dyDescent="0.3">
      <c r="A13" s="233" t="s">
        <v>19</v>
      </c>
      <c r="B13" s="233"/>
      <c r="C13" s="233"/>
      <c r="D13" s="233"/>
      <c r="E13" s="233"/>
      <c r="F13" s="233"/>
    </row>
    <row r="14" spans="1:6" ht="15" customHeight="1" x14ac:dyDescent="0.3">
      <c r="A14" s="133"/>
      <c r="B14" s="133"/>
      <c r="C14" s="133"/>
      <c r="D14" s="133"/>
      <c r="E14" s="133"/>
      <c r="F14" s="133"/>
    </row>
    <row r="15" spans="1:6" ht="16.95" customHeight="1" x14ac:dyDescent="0.3">
      <c r="A15" s="138" t="s">
        <v>17</v>
      </c>
      <c r="B15" s="9" t="s">
        <v>18</v>
      </c>
      <c r="C15" s="10" t="s">
        <v>0</v>
      </c>
      <c r="D15" s="9" t="s">
        <v>2</v>
      </c>
      <c r="E15" s="9" t="s">
        <v>1</v>
      </c>
      <c r="F15" s="138" t="s">
        <v>4</v>
      </c>
    </row>
    <row r="16" spans="1:6" ht="16.95" customHeight="1" x14ac:dyDescent="0.3">
      <c r="A16" s="238" t="s">
        <v>16</v>
      </c>
      <c r="B16" s="238"/>
      <c r="C16" s="113">
        <f>+C19+C20+C22+C23+C25+C26+C28+C29</f>
        <v>0</v>
      </c>
      <c r="D16" s="113">
        <f t="shared" ref="D16:E16" si="0">+D19+D20+D22+D23+D25+D26+D28+D29</f>
        <v>26635</v>
      </c>
      <c r="E16" s="113">
        <f t="shared" si="0"/>
        <v>14603</v>
      </c>
      <c r="F16" s="113">
        <f>+AVERAGE(C16:E16)</f>
        <v>13746</v>
      </c>
    </row>
    <row r="17" spans="1:6" ht="16.95" customHeight="1" x14ac:dyDescent="0.3">
      <c r="A17" s="135"/>
      <c r="B17" s="110"/>
      <c r="C17" s="111"/>
      <c r="D17" s="111"/>
      <c r="E17" s="111"/>
      <c r="F17" s="111"/>
    </row>
    <row r="18" spans="1:6" ht="16.95" customHeight="1" x14ac:dyDescent="0.35">
      <c r="A18" s="230" t="s">
        <v>176</v>
      </c>
      <c r="B18" s="119" t="s">
        <v>173</v>
      </c>
      <c r="C18" s="111">
        <v>1601</v>
      </c>
      <c r="D18" s="111">
        <f>+(C18-D20)+(57)</f>
        <v>65</v>
      </c>
      <c r="E18" s="111">
        <f>+(D18-E20)+59</f>
        <v>70</v>
      </c>
      <c r="F18" s="111">
        <f>+E18</f>
        <v>70</v>
      </c>
    </row>
    <row r="19" spans="1:6" ht="16.95" customHeight="1" x14ac:dyDescent="0.35">
      <c r="A19" s="230"/>
      <c r="B19" s="119" t="s">
        <v>174</v>
      </c>
      <c r="C19" s="111">
        <v>0</v>
      </c>
      <c r="D19" s="111">
        <v>1545</v>
      </c>
      <c r="E19" s="111">
        <v>1532</v>
      </c>
      <c r="F19" s="111">
        <f>+AVERAGE(C19:E19)</f>
        <v>1025.6666666666667</v>
      </c>
    </row>
    <row r="20" spans="1:6" ht="16.95" customHeight="1" x14ac:dyDescent="0.35">
      <c r="A20" s="230"/>
      <c r="B20" s="119" t="s">
        <v>175</v>
      </c>
      <c r="C20" s="111">
        <v>0</v>
      </c>
      <c r="D20" s="111">
        <v>1593</v>
      </c>
      <c r="E20" s="111">
        <f>+(8+46)</f>
        <v>54</v>
      </c>
      <c r="F20" s="111">
        <f>+AVERAGE(C20:E20)</f>
        <v>549</v>
      </c>
    </row>
    <row r="21" spans="1:6" ht="16.95" customHeight="1" x14ac:dyDescent="0.35">
      <c r="A21" s="229" t="s">
        <v>177</v>
      </c>
      <c r="B21" s="150" t="s">
        <v>173</v>
      </c>
      <c r="C21" s="151">
        <v>1420</v>
      </c>
      <c r="D21" s="151">
        <f>+(C21-D23)+28</f>
        <v>40</v>
      </c>
      <c r="E21" s="151">
        <f>+(D21-E23)+79</f>
        <v>79</v>
      </c>
      <c r="F21" s="151">
        <f>+E21</f>
        <v>79</v>
      </c>
    </row>
    <row r="22" spans="1:6" ht="16.95" customHeight="1" x14ac:dyDescent="0.35">
      <c r="A22" s="229"/>
      <c r="B22" s="150" t="s">
        <v>174</v>
      </c>
      <c r="C22" s="151">
        <v>0</v>
      </c>
      <c r="D22" s="151">
        <v>1402</v>
      </c>
      <c r="E22" s="151">
        <v>1355</v>
      </c>
      <c r="F22" s="151">
        <f>+AVERAGE(C22:E22)</f>
        <v>919</v>
      </c>
    </row>
    <row r="23" spans="1:6" ht="16.95" customHeight="1" x14ac:dyDescent="0.35">
      <c r="A23" s="229"/>
      <c r="B23" s="150" t="s">
        <v>175</v>
      </c>
      <c r="C23" s="151">
        <v>0</v>
      </c>
      <c r="D23" s="151">
        <v>1408</v>
      </c>
      <c r="E23" s="151">
        <v>40</v>
      </c>
      <c r="F23" s="151">
        <f>+AVERAGE(C23:E23)</f>
        <v>482.66666666666669</v>
      </c>
    </row>
    <row r="24" spans="1:6" ht="16.95" customHeight="1" x14ac:dyDescent="0.35">
      <c r="A24" s="230" t="s">
        <v>178</v>
      </c>
      <c r="B24" s="119" t="s">
        <v>173</v>
      </c>
      <c r="C24" s="111">
        <v>10859</v>
      </c>
      <c r="D24" s="111">
        <f>+(C24-D26)+(922+211+151)</f>
        <v>1925</v>
      </c>
      <c r="E24" s="111">
        <f>+(D24-E26)+(218+209)</f>
        <v>1163</v>
      </c>
      <c r="F24" s="111">
        <f>+E24</f>
        <v>1163</v>
      </c>
    </row>
    <row r="25" spans="1:6" ht="16.95" customHeight="1" x14ac:dyDescent="0.35">
      <c r="A25" s="230"/>
      <c r="B25" s="119" t="s">
        <v>174</v>
      </c>
      <c r="C25" s="111">
        <v>0</v>
      </c>
      <c r="D25" s="111">
        <v>9309</v>
      </c>
      <c r="E25" s="111">
        <v>10225</v>
      </c>
      <c r="F25" s="111">
        <f>+AVERAGE(C25:E25)</f>
        <v>6511.333333333333</v>
      </c>
    </row>
    <row r="26" spans="1:6" ht="16.95" customHeight="1" x14ac:dyDescent="0.35">
      <c r="A26" s="230"/>
      <c r="B26" s="119" t="s">
        <v>175</v>
      </c>
      <c r="C26" s="111">
        <v>0</v>
      </c>
      <c r="D26" s="111">
        <v>10218</v>
      </c>
      <c r="E26" s="111">
        <f>922+267</f>
        <v>1189</v>
      </c>
      <c r="F26" s="111">
        <f>+AVERAGE(C26:E26)</f>
        <v>3802.3333333333335</v>
      </c>
    </row>
    <row r="27" spans="1:6" ht="16.95" customHeight="1" x14ac:dyDescent="0.35">
      <c r="A27" s="229" t="s">
        <v>179</v>
      </c>
      <c r="B27" s="150" t="s">
        <v>173</v>
      </c>
      <c r="C27" s="151">
        <v>949</v>
      </c>
      <c r="D27" s="151">
        <f>+(C27-D29)+731</f>
        <v>731</v>
      </c>
      <c r="E27" s="151">
        <f>+(D27-E29)+721</f>
        <v>1452</v>
      </c>
      <c r="F27" s="151">
        <f>+E27</f>
        <v>1452</v>
      </c>
    </row>
    <row r="28" spans="1:6" ht="16.95" customHeight="1" x14ac:dyDescent="0.35">
      <c r="A28" s="229"/>
      <c r="B28" s="150" t="s">
        <v>174</v>
      </c>
      <c r="C28" s="151">
        <v>0</v>
      </c>
      <c r="D28" s="151">
        <v>211</v>
      </c>
      <c r="E28" s="151">
        <v>208</v>
      </c>
      <c r="F28" s="151">
        <f>+AVERAGE(C28:E28)</f>
        <v>139.66666666666666</v>
      </c>
    </row>
    <row r="29" spans="1:6" ht="16.95" customHeight="1" x14ac:dyDescent="0.35">
      <c r="A29" s="231"/>
      <c r="B29" s="150" t="s">
        <v>175</v>
      </c>
      <c r="C29" s="151">
        <v>0</v>
      </c>
      <c r="D29" s="151">
        <v>949</v>
      </c>
      <c r="E29" s="151"/>
      <c r="F29" s="151">
        <f>+AVERAGE(C29:E29)</f>
        <v>474.5</v>
      </c>
    </row>
    <row r="30" spans="1:6" x14ac:dyDescent="0.3">
      <c r="A30" s="223" t="s">
        <v>43</v>
      </c>
      <c r="B30" s="223"/>
      <c r="C30" s="223"/>
      <c r="D30" s="223"/>
      <c r="E30" s="223"/>
      <c r="F30" s="223"/>
    </row>
    <row r="31" spans="1:6" ht="67.2" customHeight="1" x14ac:dyDescent="0.3">
      <c r="A31" s="195" t="s">
        <v>162</v>
      </c>
      <c r="B31" s="196"/>
      <c r="C31" s="196"/>
      <c r="D31" s="196"/>
      <c r="E31" s="196"/>
      <c r="F31" s="197"/>
    </row>
    <row r="32" spans="1:6" x14ac:dyDescent="0.3">
      <c r="A32" s="37"/>
      <c r="B32" s="37"/>
      <c r="C32" s="37"/>
      <c r="D32" s="38"/>
      <c r="E32" s="38"/>
      <c r="F32" s="39"/>
    </row>
    <row r="33" spans="1:6" x14ac:dyDescent="0.3">
      <c r="A33" s="233" t="s">
        <v>37</v>
      </c>
      <c r="B33" s="233"/>
      <c r="C33" s="233"/>
      <c r="D33" s="233"/>
      <c r="E33" s="233"/>
      <c r="F33" s="233"/>
    </row>
    <row r="34" spans="1:6" ht="15" customHeight="1" x14ac:dyDescent="0.3">
      <c r="A34" s="233" t="s">
        <v>20</v>
      </c>
      <c r="B34" s="233"/>
      <c r="C34" s="233"/>
      <c r="D34" s="233"/>
      <c r="E34" s="233"/>
      <c r="F34" s="233"/>
    </row>
    <row r="35" spans="1:6" x14ac:dyDescent="0.3">
      <c r="A35" s="37"/>
      <c r="B35" s="37"/>
      <c r="C35" s="38"/>
      <c r="D35" s="38"/>
      <c r="E35" s="38"/>
      <c r="F35" s="40"/>
    </row>
    <row r="36" spans="1:6" ht="16.95" customHeight="1" x14ac:dyDescent="0.3">
      <c r="A36" s="138" t="s">
        <v>17</v>
      </c>
      <c r="B36" s="120"/>
      <c r="C36" s="10" t="s">
        <v>0</v>
      </c>
      <c r="D36" s="9" t="s">
        <v>2</v>
      </c>
      <c r="E36" s="9" t="s">
        <v>1</v>
      </c>
      <c r="F36" s="138" t="s">
        <v>4</v>
      </c>
    </row>
    <row r="37" spans="1:6" ht="16.95" customHeight="1" x14ac:dyDescent="0.3">
      <c r="A37" s="121" t="s">
        <v>16</v>
      </c>
      <c r="B37" s="121"/>
      <c r="C37" s="12">
        <f t="shared" ref="C37:E37" si="1">+SUM(C39:C46)</f>
        <v>0</v>
      </c>
      <c r="D37" s="12">
        <f t="shared" si="1"/>
        <v>2569300090</v>
      </c>
      <c r="E37" s="12">
        <f t="shared" si="1"/>
        <v>1235652456.24</v>
      </c>
      <c r="F37" s="12">
        <f>+SUM(F39:F46)</f>
        <v>3804952546.2399998</v>
      </c>
    </row>
    <row r="38" spans="1:6" ht="16.95" customHeight="1" x14ac:dyDescent="0.3">
      <c r="A38" s="136"/>
      <c r="B38" s="14"/>
      <c r="C38" s="14"/>
      <c r="D38" s="14"/>
      <c r="E38" s="14"/>
      <c r="F38" s="14"/>
    </row>
    <row r="39" spans="1:6" ht="16.95" customHeight="1" x14ac:dyDescent="0.3">
      <c r="A39" s="220" t="s">
        <v>176</v>
      </c>
      <c r="B39" s="122" t="s">
        <v>180</v>
      </c>
      <c r="C39" s="115">
        <v>0</v>
      </c>
      <c r="D39" s="115">
        <v>311975670</v>
      </c>
      <c r="E39" s="115">
        <v>309350632</v>
      </c>
      <c r="F39" s="115">
        <f>+SUM(C39:E39)</f>
        <v>621326302</v>
      </c>
    </row>
    <row r="40" spans="1:6" ht="16.95" customHeight="1" x14ac:dyDescent="0.3">
      <c r="A40" s="220"/>
      <c r="B40" s="122" t="s">
        <v>181</v>
      </c>
      <c r="C40" s="115">
        <v>0</v>
      </c>
      <c r="D40" s="115">
        <v>321668118</v>
      </c>
      <c r="E40" s="115">
        <f>1615408+9288596</f>
        <v>10904004</v>
      </c>
      <c r="F40" s="115">
        <f t="shared" ref="F40:F46" si="2">+SUM(C40:E40)</f>
        <v>332572122</v>
      </c>
    </row>
    <row r="41" spans="1:6" ht="16.95" customHeight="1" x14ac:dyDescent="0.3">
      <c r="A41" s="221" t="s">
        <v>177</v>
      </c>
      <c r="B41" s="147" t="s">
        <v>180</v>
      </c>
      <c r="C41" s="148">
        <v>0</v>
      </c>
      <c r="D41" s="148">
        <v>113239540</v>
      </c>
      <c r="E41" s="148">
        <v>109443350</v>
      </c>
      <c r="F41" s="148">
        <f t="shared" si="2"/>
        <v>222682890</v>
      </c>
    </row>
    <row r="42" spans="1:6" ht="16.95" customHeight="1" x14ac:dyDescent="0.3">
      <c r="A42" s="221"/>
      <c r="B42" s="147" t="s">
        <v>181</v>
      </c>
      <c r="C42" s="148">
        <v>0</v>
      </c>
      <c r="D42" s="148">
        <v>113724160</v>
      </c>
      <c r="E42" s="148">
        <f>969240+2261560</f>
        <v>3230800</v>
      </c>
      <c r="F42" s="148">
        <f t="shared" si="2"/>
        <v>116954960</v>
      </c>
    </row>
    <row r="43" spans="1:6" ht="16.95" customHeight="1" x14ac:dyDescent="0.3">
      <c r="A43" s="220" t="s">
        <v>178</v>
      </c>
      <c r="B43" s="122" t="s">
        <v>180</v>
      </c>
      <c r="C43" s="115">
        <v>0</v>
      </c>
      <c r="D43" s="115">
        <v>557663158</v>
      </c>
      <c r="E43" s="115">
        <v>619185816.08000004</v>
      </c>
      <c r="F43" s="115">
        <f t="shared" si="2"/>
        <v>1176848974.0799999</v>
      </c>
    </row>
    <row r="44" spans="1:6" ht="16.95" customHeight="1" x14ac:dyDescent="0.3">
      <c r="A44" s="220"/>
      <c r="B44" s="122" t="s">
        <v>181</v>
      </c>
      <c r="C44" s="115">
        <v>0</v>
      </c>
      <c r="D44" s="115">
        <v>589495444</v>
      </c>
      <c r="E44" s="115">
        <f>22311784.08+54144070.08</f>
        <v>76455854.159999996</v>
      </c>
      <c r="F44" s="115">
        <f t="shared" si="2"/>
        <v>665951298.15999997</v>
      </c>
    </row>
    <row r="45" spans="1:6" ht="16.95" customHeight="1" x14ac:dyDescent="0.3">
      <c r="A45" s="221" t="s">
        <v>179</v>
      </c>
      <c r="B45" s="147" t="s">
        <v>180</v>
      </c>
      <c r="C45" s="148">
        <v>0</v>
      </c>
      <c r="D45" s="148">
        <v>107882000</v>
      </c>
      <c r="E45" s="148">
        <v>107082000</v>
      </c>
      <c r="F45" s="148">
        <f t="shared" si="2"/>
        <v>214964000</v>
      </c>
    </row>
    <row r="46" spans="1:6" ht="16.95" customHeight="1" x14ac:dyDescent="0.3">
      <c r="A46" s="222"/>
      <c r="B46" s="147" t="s">
        <v>181</v>
      </c>
      <c r="C46" s="148">
        <v>0</v>
      </c>
      <c r="D46" s="148">
        <v>453652000</v>
      </c>
      <c r="E46" s="148">
        <v>0</v>
      </c>
      <c r="F46" s="149">
        <f t="shared" si="2"/>
        <v>453652000</v>
      </c>
    </row>
    <row r="47" spans="1:6" ht="15" customHeight="1" x14ac:dyDescent="0.3">
      <c r="A47" s="223" t="s">
        <v>43</v>
      </c>
      <c r="B47" s="223"/>
      <c r="C47" s="223"/>
      <c r="D47" s="223"/>
      <c r="E47" s="223"/>
      <c r="F47" s="41"/>
    </row>
    <row r="48" spans="1:6" ht="67.2" customHeight="1" x14ac:dyDescent="0.3">
      <c r="A48" s="195" t="s">
        <v>162</v>
      </c>
      <c r="B48" s="196"/>
      <c r="C48" s="196"/>
      <c r="D48" s="196"/>
      <c r="E48" s="196"/>
      <c r="F48" s="197"/>
    </row>
    <row r="50" spans="1:6" x14ac:dyDescent="0.3">
      <c r="A50" s="209" t="s">
        <v>39</v>
      </c>
      <c r="B50" s="209"/>
      <c r="C50" s="209"/>
      <c r="D50" s="209"/>
      <c r="E50" s="209"/>
      <c r="F50" s="209"/>
    </row>
    <row r="51" spans="1:6" ht="31.5" customHeight="1" x14ac:dyDescent="0.3">
      <c r="A51" s="216" t="s">
        <v>40</v>
      </c>
      <c r="B51" s="216"/>
      <c r="C51" s="216"/>
      <c r="D51" s="216"/>
      <c r="E51" s="216"/>
      <c r="F51" s="216"/>
    </row>
    <row r="53" spans="1:6" ht="35.4" customHeight="1" x14ac:dyDescent="0.3">
      <c r="A53" s="224" t="s">
        <v>23</v>
      </c>
      <c r="B53" s="224"/>
      <c r="C53" s="7" t="s">
        <v>41</v>
      </c>
      <c r="D53" s="132" t="s">
        <v>42</v>
      </c>
      <c r="E53" s="21" t="s">
        <v>44</v>
      </c>
      <c r="F53" s="132" t="s">
        <v>24</v>
      </c>
    </row>
    <row r="54" spans="1:6" ht="27.9" customHeight="1" x14ac:dyDescent="0.3">
      <c r="A54" s="225" t="s">
        <v>28</v>
      </c>
      <c r="B54" s="226"/>
      <c r="C54" s="152"/>
      <c r="D54" s="152" t="s">
        <v>189</v>
      </c>
      <c r="E54" s="153" t="s">
        <v>191</v>
      </c>
      <c r="F54" s="154"/>
    </row>
    <row r="55" spans="1:6" ht="27.9" customHeight="1" x14ac:dyDescent="0.3">
      <c r="A55" s="225" t="s">
        <v>29</v>
      </c>
      <c r="B55" s="225"/>
      <c r="C55" s="152"/>
      <c r="D55" s="152" t="s">
        <v>189</v>
      </c>
      <c r="E55" s="153" t="s">
        <v>191</v>
      </c>
      <c r="F55" s="155"/>
    </row>
    <row r="56" spans="1:6" ht="27.9" customHeight="1" x14ac:dyDescent="0.3">
      <c r="A56" s="227" t="s">
        <v>27</v>
      </c>
      <c r="B56" s="227"/>
      <c r="C56" s="152" t="s">
        <v>189</v>
      </c>
      <c r="D56" s="152"/>
      <c r="E56" s="152"/>
      <c r="F56" s="155"/>
    </row>
    <row r="57" spans="1:6" ht="27.9" customHeight="1" x14ac:dyDescent="0.3">
      <c r="A57" s="228" t="s">
        <v>30</v>
      </c>
      <c r="B57" s="228"/>
      <c r="C57" s="152"/>
      <c r="D57" s="152" t="s">
        <v>189</v>
      </c>
      <c r="E57" s="153" t="s">
        <v>191</v>
      </c>
      <c r="F57" s="47"/>
    </row>
    <row r="58" spans="1:6" ht="16.95" customHeight="1" x14ac:dyDescent="0.3">
      <c r="A58" s="223" t="s">
        <v>43</v>
      </c>
      <c r="B58" s="223"/>
      <c r="C58" s="223"/>
      <c r="D58" s="223"/>
      <c r="E58" s="223"/>
      <c r="F58" s="223"/>
    </row>
    <row r="59" spans="1:6" ht="54.9" customHeight="1" x14ac:dyDescent="0.3">
      <c r="A59" s="213" t="s">
        <v>88</v>
      </c>
      <c r="B59" s="213"/>
      <c r="C59" s="213"/>
      <c r="D59" s="213"/>
      <c r="E59" s="213"/>
      <c r="F59" s="213"/>
    </row>
    <row r="60" spans="1:6" ht="15" customHeight="1" x14ac:dyDescent="0.3">
      <c r="A60" s="142"/>
      <c r="B60" s="142"/>
      <c r="C60" s="142"/>
      <c r="D60" s="142"/>
      <c r="E60" s="142"/>
      <c r="F60" s="142"/>
    </row>
    <row r="61" spans="1:6" ht="15" customHeight="1" x14ac:dyDescent="0.3">
      <c r="A61" s="142"/>
      <c r="B61" s="142"/>
      <c r="C61" s="142"/>
      <c r="D61" s="142"/>
      <c r="E61" s="142"/>
      <c r="F61" s="142"/>
    </row>
    <row r="62" spans="1:6" ht="15" customHeight="1" x14ac:dyDescent="0.3">
      <c r="A62" s="142"/>
      <c r="B62" s="142"/>
      <c r="C62" s="142"/>
      <c r="D62" s="142"/>
      <c r="E62" s="142"/>
      <c r="F62" s="142"/>
    </row>
    <row r="63" spans="1:6" ht="15" customHeight="1" x14ac:dyDescent="0.3">
      <c r="A63" s="142"/>
      <c r="B63" s="142"/>
      <c r="C63" s="142"/>
      <c r="D63" s="142"/>
      <c r="E63" s="142"/>
      <c r="F63" s="142"/>
    </row>
    <row r="64" spans="1:6" ht="15" customHeight="1" x14ac:dyDescent="0.3">
      <c r="A64" s="142"/>
      <c r="B64" s="142"/>
      <c r="C64" s="142"/>
      <c r="D64" s="142"/>
      <c r="E64" s="142"/>
      <c r="F64" s="142"/>
    </row>
    <row r="65" spans="1:6" ht="15" customHeight="1" x14ac:dyDescent="0.3">
      <c r="A65" s="142"/>
      <c r="B65" s="142"/>
      <c r="C65" s="142"/>
      <c r="D65" s="142"/>
      <c r="E65" s="142"/>
      <c r="F65" s="142"/>
    </row>
    <row r="66" spans="1:6" ht="15" customHeight="1" x14ac:dyDescent="0.3">
      <c r="A66" s="142"/>
      <c r="B66" s="142"/>
      <c r="C66" s="142"/>
      <c r="D66" s="142"/>
      <c r="E66" s="142"/>
      <c r="F66" s="142"/>
    </row>
    <row r="67" spans="1:6" x14ac:dyDescent="0.3">
      <c r="A67" s="209" t="s">
        <v>45</v>
      </c>
      <c r="B67" s="209"/>
      <c r="C67" s="209"/>
      <c r="D67" s="209"/>
      <c r="E67" s="209"/>
      <c r="F67" s="209"/>
    </row>
    <row r="68" spans="1:6" x14ac:dyDescent="0.3">
      <c r="A68" s="209" t="s">
        <v>25</v>
      </c>
      <c r="B68" s="209"/>
      <c r="C68" s="209"/>
      <c r="D68" s="209"/>
      <c r="E68" s="209"/>
      <c r="F68" s="209"/>
    </row>
    <row r="70" spans="1:6" ht="32.4" customHeight="1" x14ac:dyDescent="0.3">
      <c r="A70" s="217" t="s">
        <v>23</v>
      </c>
      <c r="B70" s="217"/>
      <c r="C70" s="9" t="s">
        <v>41</v>
      </c>
      <c r="D70" s="138" t="s">
        <v>42</v>
      </c>
      <c r="E70" s="22" t="s">
        <v>87</v>
      </c>
      <c r="F70" s="138" t="s">
        <v>24</v>
      </c>
    </row>
    <row r="71" spans="1:6" s="87" customFormat="1" ht="42.6" customHeight="1" x14ac:dyDescent="0.3">
      <c r="A71" s="218" t="s">
        <v>31</v>
      </c>
      <c r="B71" s="218"/>
      <c r="C71" s="20"/>
      <c r="D71" s="156" t="s">
        <v>190</v>
      </c>
      <c r="E71" s="153" t="s">
        <v>192</v>
      </c>
      <c r="F71" s="43"/>
    </row>
    <row r="72" spans="1:6" s="87" customFormat="1" ht="31.95" customHeight="1" x14ac:dyDescent="0.3">
      <c r="A72" s="219" t="s">
        <v>32</v>
      </c>
      <c r="B72" s="219"/>
      <c r="C72" s="31" t="s">
        <v>190</v>
      </c>
      <c r="D72" s="31"/>
      <c r="E72" s="32"/>
      <c r="F72" s="44"/>
    </row>
    <row r="73" spans="1:6" x14ac:dyDescent="0.3">
      <c r="A73" s="194" t="s">
        <v>43</v>
      </c>
      <c r="B73" s="194"/>
      <c r="C73" s="194"/>
      <c r="D73" s="194"/>
      <c r="E73" s="194"/>
      <c r="F73" s="194"/>
    </row>
    <row r="74" spans="1:6" ht="67.2" customHeight="1" x14ac:dyDescent="0.3">
      <c r="A74" s="213" t="s">
        <v>57</v>
      </c>
      <c r="B74" s="213"/>
      <c r="C74" s="213"/>
      <c r="D74" s="213"/>
      <c r="E74" s="213"/>
      <c r="F74" s="213"/>
    </row>
    <row r="75" spans="1:6" x14ac:dyDescent="0.3">
      <c r="E75" s="45"/>
    </row>
    <row r="76" spans="1:6" ht="31.2" customHeight="1" x14ac:dyDescent="0.3">
      <c r="A76" s="2" t="s">
        <v>46</v>
      </c>
      <c r="B76" s="198" t="s">
        <v>197</v>
      </c>
      <c r="C76" s="199"/>
      <c r="D76" s="200" t="s">
        <v>49</v>
      </c>
      <c r="E76" s="201"/>
      <c r="F76" s="202"/>
    </row>
    <row r="77" spans="1:6" x14ac:dyDescent="0.3">
      <c r="A77" s="2" t="s">
        <v>47</v>
      </c>
      <c r="B77" s="198" t="s">
        <v>198</v>
      </c>
      <c r="C77" s="199"/>
      <c r="D77" s="203"/>
      <c r="E77" s="204"/>
      <c r="F77" s="205"/>
    </row>
    <row r="78" spans="1:6" x14ac:dyDescent="0.3">
      <c r="A78" s="2" t="s">
        <v>48</v>
      </c>
      <c r="B78" s="198" t="s">
        <v>196</v>
      </c>
      <c r="C78" s="199"/>
      <c r="D78" s="206"/>
      <c r="E78" s="207"/>
      <c r="F78" s="208"/>
    </row>
    <row r="79" spans="1:6" x14ac:dyDescent="0.35">
      <c r="A79" s="1"/>
      <c r="B79" s="67"/>
      <c r="C79" s="67"/>
      <c r="D79" s="137"/>
      <c r="E79" s="137"/>
      <c r="F79" s="137"/>
    </row>
    <row r="80" spans="1:6" ht="21.9" customHeight="1" x14ac:dyDescent="0.3">
      <c r="A80" s="214" t="s">
        <v>50</v>
      </c>
      <c r="B80" s="214"/>
      <c r="C80" s="214"/>
      <c r="D80" s="214"/>
      <c r="E80" s="214"/>
      <c r="F80" s="214"/>
    </row>
    <row r="81" spans="1:6" ht="9.9" customHeight="1" x14ac:dyDescent="0.3"/>
    <row r="82" spans="1:6" x14ac:dyDescent="0.3">
      <c r="A82" s="209" t="s">
        <v>51</v>
      </c>
      <c r="B82" s="209"/>
      <c r="C82" s="209"/>
      <c r="D82" s="209"/>
      <c r="E82" s="209"/>
      <c r="F82" s="209"/>
    </row>
    <row r="83" spans="1:6" x14ac:dyDescent="0.3">
      <c r="A83" s="209" t="s">
        <v>63</v>
      </c>
      <c r="B83" s="209"/>
      <c r="C83" s="209"/>
      <c r="D83" s="209"/>
      <c r="E83" s="209"/>
      <c r="F83" s="209"/>
    </row>
    <row r="84" spans="1:6" x14ac:dyDescent="0.3">
      <c r="A84" s="209" t="s">
        <v>52</v>
      </c>
      <c r="B84" s="209"/>
      <c r="C84" s="209"/>
      <c r="D84" s="209"/>
      <c r="E84" s="209"/>
      <c r="F84" s="209"/>
    </row>
    <row r="85" spans="1:6" ht="9.9" customHeight="1" x14ac:dyDescent="0.3"/>
    <row r="86" spans="1:6" ht="44.25" customHeight="1" x14ac:dyDescent="0.3">
      <c r="A86" s="69" t="s">
        <v>64</v>
      </c>
      <c r="B86" s="69" t="s">
        <v>68</v>
      </c>
      <c r="C86" s="69" t="s">
        <v>72</v>
      </c>
      <c r="D86" s="69" t="s">
        <v>69</v>
      </c>
      <c r="E86" s="69" t="s">
        <v>70</v>
      </c>
      <c r="F86" s="69" t="s">
        <v>71</v>
      </c>
    </row>
    <row r="87" spans="1:6" ht="15" customHeight="1" x14ac:dyDescent="0.3">
      <c r="A87" s="134" t="s">
        <v>16</v>
      </c>
      <c r="B87" s="35">
        <f>+SUM(B89:B93)</f>
        <v>18884839825</v>
      </c>
      <c r="C87" s="46">
        <f>+SUM(C89:C93)</f>
        <v>100</v>
      </c>
      <c r="D87" s="11"/>
      <c r="E87" s="11"/>
      <c r="F87" s="11"/>
    </row>
    <row r="88" spans="1:6" ht="9.9" customHeight="1" x14ac:dyDescent="0.3">
      <c r="A88" s="25"/>
      <c r="B88" s="33"/>
      <c r="C88" s="34"/>
      <c r="D88" s="24"/>
      <c r="E88" s="24"/>
      <c r="F88" s="24"/>
    </row>
    <row r="89" spans="1:6" s="88" customFormat="1" ht="20.399999999999999" customHeight="1" x14ac:dyDescent="0.3">
      <c r="A89" s="25" t="s">
        <v>65</v>
      </c>
      <c r="B89" s="26">
        <v>18884839825</v>
      </c>
      <c r="C89" s="34">
        <f>+B89/$B$87*100</f>
        <v>100</v>
      </c>
      <c r="D89" s="158" t="s">
        <v>186</v>
      </c>
      <c r="E89" s="157" t="s">
        <v>187</v>
      </c>
      <c r="F89" s="24"/>
    </row>
    <row r="90" spans="1:6" s="88" customFormat="1" ht="15" customHeight="1" x14ac:dyDescent="0.3">
      <c r="A90" s="25" t="s">
        <v>66</v>
      </c>
      <c r="B90" s="26">
        <v>0</v>
      </c>
      <c r="C90" s="34">
        <f t="shared" ref="C90:C91" si="3">+B90/$B$87*100</f>
        <v>0</v>
      </c>
      <c r="D90" s="25"/>
      <c r="E90" s="25"/>
      <c r="F90" s="25"/>
    </row>
    <row r="91" spans="1:6" s="88" customFormat="1" ht="15" customHeight="1" x14ac:dyDescent="0.3">
      <c r="A91" s="25" t="s">
        <v>67</v>
      </c>
      <c r="B91" s="26">
        <v>0</v>
      </c>
      <c r="C91" s="34">
        <f t="shared" si="3"/>
        <v>0</v>
      </c>
      <c r="D91" s="25"/>
      <c r="E91" s="25"/>
      <c r="F91" s="25"/>
    </row>
    <row r="92" spans="1:6" s="88" customFormat="1" ht="15" customHeight="1" x14ac:dyDescent="0.3">
      <c r="A92" s="25" t="s">
        <v>170</v>
      </c>
      <c r="B92" s="26">
        <v>0</v>
      </c>
      <c r="C92" s="34">
        <f t="shared" ref="C92:C93" si="4">+B92/$B$87*100</f>
        <v>0</v>
      </c>
      <c r="D92" s="25"/>
      <c r="E92" s="25"/>
      <c r="F92" s="25"/>
    </row>
    <row r="93" spans="1:6" ht="15" customHeight="1" x14ac:dyDescent="0.3">
      <c r="A93" s="27" t="s">
        <v>171</v>
      </c>
      <c r="B93" s="26">
        <v>0</v>
      </c>
      <c r="C93" s="34">
        <f t="shared" si="4"/>
        <v>0</v>
      </c>
      <c r="D93" s="47"/>
      <c r="E93" s="47"/>
      <c r="F93" s="47"/>
    </row>
    <row r="94" spans="1:6" ht="15" customHeight="1" x14ac:dyDescent="0.3">
      <c r="A94" s="194" t="s">
        <v>43</v>
      </c>
      <c r="B94" s="194"/>
      <c r="C94" s="194"/>
      <c r="D94" s="194"/>
      <c r="E94" s="194"/>
      <c r="F94" s="194"/>
    </row>
    <row r="95" spans="1:6" ht="49.5" customHeight="1" x14ac:dyDescent="0.3">
      <c r="A95" s="195" t="s">
        <v>172</v>
      </c>
      <c r="B95" s="196"/>
      <c r="C95" s="196"/>
      <c r="D95" s="196"/>
      <c r="E95" s="196"/>
      <c r="F95" s="197"/>
    </row>
    <row r="96" spans="1:6" ht="15" customHeight="1" x14ac:dyDescent="0.3">
      <c r="A96" s="25"/>
      <c r="B96" s="48"/>
      <c r="C96" s="24"/>
    </row>
    <row r="97" spans="1:9" x14ac:dyDescent="0.3">
      <c r="A97" s="215" t="s">
        <v>73</v>
      </c>
      <c r="B97" s="215"/>
      <c r="C97" s="215"/>
      <c r="D97" s="215"/>
      <c r="E97" s="215"/>
      <c r="F97" s="215"/>
    </row>
    <row r="98" spans="1:9" x14ac:dyDescent="0.3">
      <c r="A98" s="209" t="s">
        <v>74</v>
      </c>
      <c r="B98" s="209"/>
      <c r="C98" s="209"/>
      <c r="D98" s="209"/>
      <c r="E98" s="209"/>
      <c r="F98" s="209"/>
    </row>
    <row r="99" spans="1:9" x14ac:dyDescent="0.3">
      <c r="A99" s="209" t="s">
        <v>52</v>
      </c>
      <c r="B99" s="209"/>
      <c r="C99" s="209"/>
      <c r="D99" s="209"/>
      <c r="E99" s="209"/>
      <c r="F99" s="209"/>
    </row>
    <row r="100" spans="1:9" ht="9.9" customHeight="1" x14ac:dyDescent="0.3"/>
    <row r="101" spans="1:9" x14ac:dyDescent="0.3">
      <c r="A101" s="68" t="s">
        <v>55</v>
      </c>
      <c r="B101" s="68" t="s">
        <v>56</v>
      </c>
      <c r="C101" s="68" t="s">
        <v>0</v>
      </c>
      <c r="D101" s="68" t="s">
        <v>2</v>
      </c>
      <c r="E101" s="68" t="s">
        <v>3</v>
      </c>
      <c r="F101" s="68" t="s">
        <v>4</v>
      </c>
    </row>
    <row r="102" spans="1:9" x14ac:dyDescent="0.3">
      <c r="A102" s="134" t="s">
        <v>16</v>
      </c>
      <c r="B102" s="49"/>
      <c r="C102" s="12">
        <f>+C104+C108</f>
        <v>4721209956.25</v>
      </c>
      <c r="D102" s="12">
        <f t="shared" ref="D102:E102" si="5">+D104+D108</f>
        <v>0</v>
      </c>
      <c r="E102" s="12">
        <f t="shared" si="5"/>
        <v>0</v>
      </c>
      <c r="F102" s="35">
        <f>+F104+F108</f>
        <v>4721209956.25</v>
      </c>
      <c r="G102" s="146">
        <f>+F102*2</f>
        <v>9442419912.5</v>
      </c>
      <c r="H102" s="146">
        <v>9631254682.6100006</v>
      </c>
      <c r="I102" s="146">
        <f>+G102-H102</f>
        <v>-188834770.11000061</v>
      </c>
    </row>
    <row r="103" spans="1:9" ht="9.9" customHeight="1" x14ac:dyDescent="0.3">
      <c r="A103" s="13"/>
      <c r="B103" s="50"/>
      <c r="C103" s="14"/>
      <c r="D103" s="14"/>
      <c r="E103" s="14"/>
      <c r="F103" s="51"/>
      <c r="G103" s="40"/>
    </row>
    <row r="104" spans="1:9" x14ac:dyDescent="0.3">
      <c r="A104" s="210" t="s">
        <v>75</v>
      </c>
      <c r="B104" s="210"/>
      <c r="C104" s="52">
        <f>+SUM(C105:C107)</f>
        <v>4721209956.25</v>
      </c>
      <c r="D104" s="52">
        <f>+SUM(D105:D106)</f>
        <v>0</v>
      </c>
      <c r="E104" s="52">
        <f>+SUM(E105:E106)</f>
        <v>0</v>
      </c>
      <c r="F104" s="53">
        <f>+SUM(F105:F107)</f>
        <v>4721209956.25</v>
      </c>
    </row>
    <row r="105" spans="1:9" x14ac:dyDescent="0.3">
      <c r="A105" t="s">
        <v>202</v>
      </c>
      <c r="B105" s="54" t="s">
        <v>195</v>
      </c>
      <c r="C105" s="15">
        <v>204381066.25</v>
      </c>
      <c r="D105" s="15">
        <v>0</v>
      </c>
      <c r="E105" s="15">
        <v>0</v>
      </c>
      <c r="F105" s="55">
        <f>+C105+D105+E105</f>
        <v>204381066.25</v>
      </c>
      <c r="G105" s="146">
        <f>+C105*2</f>
        <v>408762132.5</v>
      </c>
      <c r="H105" s="146"/>
    </row>
    <row r="106" spans="1:9" x14ac:dyDescent="0.3">
      <c r="A106" t="s">
        <v>203</v>
      </c>
      <c r="B106" s="54" t="s">
        <v>193</v>
      </c>
      <c r="C106" s="15">
        <v>4370370492</v>
      </c>
      <c r="D106" s="15">
        <v>0</v>
      </c>
      <c r="E106" s="15">
        <v>0</v>
      </c>
      <c r="F106" s="55">
        <f t="shared" ref="F106" si="6">+C106+D106+E106</f>
        <v>4370370492</v>
      </c>
      <c r="G106" s="146">
        <f>+C106*2</f>
        <v>8740740984</v>
      </c>
      <c r="H106" s="146"/>
    </row>
    <row r="107" spans="1:9" x14ac:dyDescent="0.3">
      <c r="A107" s="159" t="s">
        <v>204</v>
      </c>
      <c r="B107" s="54" t="s">
        <v>194</v>
      </c>
      <c r="C107" s="15">
        <v>146458398</v>
      </c>
      <c r="D107" s="15">
        <v>0</v>
      </c>
      <c r="E107" s="15">
        <v>0</v>
      </c>
      <c r="F107" s="55">
        <f t="shared" ref="F107" si="7">+C107+D107+E107</f>
        <v>146458398</v>
      </c>
      <c r="G107" s="40">
        <f>+C107*2</f>
        <v>292916796</v>
      </c>
    </row>
    <row r="108" spans="1:9" x14ac:dyDescent="0.3">
      <c r="A108" s="210" t="s">
        <v>76</v>
      </c>
      <c r="B108" s="210"/>
      <c r="C108" s="52">
        <f>+SUM(C109:C110)</f>
        <v>0</v>
      </c>
      <c r="D108" s="52">
        <f>+SUM(D109:D110)</f>
        <v>0</v>
      </c>
      <c r="E108" s="52">
        <f>+SUM(E109:E110)</f>
        <v>0</v>
      </c>
      <c r="F108" s="53">
        <f>+SUM(F109:F110)</f>
        <v>0</v>
      </c>
      <c r="G108" s="40"/>
      <c r="H108" s="146"/>
    </row>
    <row r="109" spans="1:9" x14ac:dyDescent="0.3">
      <c r="A109" s="54" t="s">
        <v>59</v>
      </c>
      <c r="B109" s="50" t="s">
        <v>53</v>
      </c>
      <c r="C109" s="56">
        <v>0</v>
      </c>
      <c r="D109" s="56">
        <v>0</v>
      </c>
      <c r="E109" s="56">
        <v>0</v>
      </c>
      <c r="F109" s="57">
        <f t="shared" ref="F109:F110" si="8">+C109+D109+E109</f>
        <v>0</v>
      </c>
    </row>
    <row r="110" spans="1:9" x14ac:dyDescent="0.3">
      <c r="A110" s="54" t="s">
        <v>59</v>
      </c>
      <c r="B110" s="50" t="s">
        <v>53</v>
      </c>
      <c r="C110" s="56">
        <v>0</v>
      </c>
      <c r="D110" s="56">
        <v>0</v>
      </c>
      <c r="E110" s="56">
        <v>0</v>
      </c>
      <c r="F110" s="57">
        <f t="shared" si="8"/>
        <v>0</v>
      </c>
    </row>
    <row r="111" spans="1:9" x14ac:dyDescent="0.3">
      <c r="A111" s="194" t="s">
        <v>43</v>
      </c>
      <c r="B111" s="194"/>
      <c r="C111" s="194"/>
      <c r="D111" s="194"/>
      <c r="E111" s="194"/>
      <c r="F111" s="194"/>
      <c r="G111" s="36">
        <f>+C104*4</f>
        <v>18884839825</v>
      </c>
    </row>
    <row r="112" spans="1:9" ht="50.1" customHeight="1" x14ac:dyDescent="0.3">
      <c r="A112" s="213" t="s">
        <v>152</v>
      </c>
      <c r="B112" s="213"/>
      <c r="C112" s="213"/>
      <c r="D112" s="213"/>
      <c r="E112" s="213"/>
      <c r="F112" s="213"/>
    </row>
    <row r="113" spans="1:8" ht="9.9" customHeight="1" x14ac:dyDescent="0.3">
      <c r="A113" s="25"/>
      <c r="B113" s="48"/>
      <c r="C113" s="24"/>
    </row>
    <row r="114" spans="1:8" x14ac:dyDescent="0.3">
      <c r="A114" s="215" t="s">
        <v>77</v>
      </c>
      <c r="B114" s="215"/>
      <c r="C114" s="215"/>
      <c r="D114" s="215"/>
      <c r="E114" s="215"/>
      <c r="F114" s="215"/>
    </row>
    <row r="115" spans="1:8" ht="30.75" customHeight="1" x14ac:dyDescent="0.3">
      <c r="A115" s="216" t="s">
        <v>54</v>
      </c>
      <c r="B115" s="216"/>
      <c r="C115" s="216"/>
      <c r="D115" s="216"/>
      <c r="E115" s="216"/>
      <c r="F115" s="216"/>
    </row>
    <row r="116" spans="1:8" x14ac:dyDescent="0.3">
      <c r="A116" s="209" t="s">
        <v>52</v>
      </c>
      <c r="B116" s="209"/>
      <c r="C116" s="209"/>
      <c r="D116" s="209"/>
      <c r="E116" s="209"/>
      <c r="F116" s="209"/>
    </row>
    <row r="117" spans="1:8" ht="9.9" customHeight="1" x14ac:dyDescent="0.3">
      <c r="A117" s="89"/>
      <c r="B117" s="90"/>
      <c r="C117" s="90"/>
      <c r="D117" s="90"/>
      <c r="E117" s="90"/>
      <c r="F117" s="91"/>
    </row>
    <row r="118" spans="1:8" x14ac:dyDescent="0.3">
      <c r="A118" s="68" t="s">
        <v>55</v>
      </c>
      <c r="B118" s="68" t="s">
        <v>56</v>
      </c>
      <c r="C118" s="68" t="s">
        <v>0</v>
      </c>
      <c r="D118" s="68" t="s">
        <v>2</v>
      </c>
      <c r="E118" s="68" t="s">
        <v>3</v>
      </c>
      <c r="F118" s="68" t="s">
        <v>4</v>
      </c>
    </row>
    <row r="119" spans="1:8" x14ac:dyDescent="0.3">
      <c r="A119" s="134" t="s">
        <v>16</v>
      </c>
      <c r="B119" s="49"/>
      <c r="C119" s="35">
        <f>+C121+C128+C135</f>
        <v>0</v>
      </c>
      <c r="D119" s="35">
        <f>+D121+D128+D135</f>
        <v>2569300090</v>
      </c>
      <c r="E119" s="35">
        <f>+E121+E128+E135</f>
        <v>1235652456.24</v>
      </c>
      <c r="F119" s="35">
        <f t="shared" ref="F119" si="9">+F121+F128+F135</f>
        <v>3804952546.2399998</v>
      </c>
      <c r="H119" s="40"/>
    </row>
    <row r="120" spans="1:8" ht="9.9" customHeight="1" x14ac:dyDescent="0.3">
      <c r="A120" s="13"/>
      <c r="B120" s="50"/>
      <c r="C120" s="14"/>
      <c r="D120" s="14"/>
      <c r="E120" s="14"/>
      <c r="F120" s="51"/>
    </row>
    <row r="121" spans="1:8" x14ac:dyDescent="0.3">
      <c r="A121" s="210" t="s">
        <v>58</v>
      </c>
      <c r="B121" s="210"/>
      <c r="C121" s="53">
        <f>+SUM(C122:C126)</f>
        <v>0</v>
      </c>
      <c r="D121" s="53">
        <f t="shared" ref="D121:E121" si="10">+SUM(D122:D126)</f>
        <v>2569300090</v>
      </c>
      <c r="E121" s="53">
        <f t="shared" si="10"/>
        <v>1235652456.24</v>
      </c>
      <c r="F121" s="53">
        <f>+SUM(F122:F126)</f>
        <v>3804952546.2399998</v>
      </c>
    </row>
    <row r="122" spans="1:8" ht="15" customHeight="1" x14ac:dyDescent="0.3">
      <c r="A122" t="s">
        <v>202</v>
      </c>
      <c r="B122" s="54" t="s">
        <v>195</v>
      </c>
      <c r="C122" s="15">
        <v>0</v>
      </c>
      <c r="D122" s="15">
        <v>63205864</v>
      </c>
      <c r="E122" s="15">
        <v>82365248.239999995</v>
      </c>
      <c r="F122" s="55">
        <f>+C122+D122+E122</f>
        <v>145571112.24000001</v>
      </c>
      <c r="G122" s="40"/>
    </row>
    <row r="123" spans="1:8" ht="15" customHeight="1" x14ac:dyDescent="0.3">
      <c r="A123" t="s">
        <v>203</v>
      </c>
      <c r="B123" s="54" t="s">
        <v>193</v>
      </c>
      <c r="C123" s="15">
        <v>0</v>
      </c>
      <c r="D123" s="58">
        <v>2416384184</v>
      </c>
      <c r="E123" s="58">
        <v>1110946632</v>
      </c>
      <c r="F123" s="55">
        <f t="shared" ref="F123:F126" si="11">+C123+D123+E123</f>
        <v>3527330816</v>
      </c>
      <c r="G123" s="40"/>
    </row>
    <row r="124" spans="1:8" ht="15" customHeight="1" x14ac:dyDescent="0.3">
      <c r="A124" s="159" t="s">
        <v>204</v>
      </c>
      <c r="B124" s="54" t="s">
        <v>194</v>
      </c>
      <c r="C124" s="15">
        <v>0</v>
      </c>
      <c r="D124" s="15">
        <v>89710042</v>
      </c>
      <c r="E124" s="15">
        <v>42340576</v>
      </c>
      <c r="F124" s="55">
        <f t="shared" si="11"/>
        <v>132050618</v>
      </c>
      <c r="G124" s="40"/>
      <c r="H124" s="40"/>
    </row>
    <row r="125" spans="1:8" ht="15" customHeight="1" x14ac:dyDescent="0.3">
      <c r="A125" s="54" t="s">
        <v>59</v>
      </c>
      <c r="B125" s="50" t="s">
        <v>53</v>
      </c>
      <c r="C125" s="15">
        <v>0</v>
      </c>
      <c r="D125" s="15">
        <v>0</v>
      </c>
      <c r="E125" s="15">
        <v>0</v>
      </c>
      <c r="F125" s="55">
        <f t="shared" si="11"/>
        <v>0</v>
      </c>
      <c r="G125" s="40"/>
    </row>
    <row r="126" spans="1:8" ht="15" customHeight="1" x14ac:dyDescent="0.3">
      <c r="A126" s="54" t="s">
        <v>59</v>
      </c>
      <c r="B126" s="50" t="s">
        <v>53</v>
      </c>
      <c r="C126" s="15">
        <v>0</v>
      </c>
      <c r="D126" s="15">
        <v>0</v>
      </c>
      <c r="E126" s="15">
        <v>0</v>
      </c>
      <c r="F126" s="55">
        <f t="shared" si="11"/>
        <v>0</v>
      </c>
    </row>
    <row r="127" spans="1:8" ht="15" customHeight="1" x14ac:dyDescent="0.3">
      <c r="A127" s="136"/>
      <c r="B127" s="50"/>
      <c r="C127" s="15"/>
      <c r="D127" s="15"/>
      <c r="E127" s="15"/>
      <c r="F127" s="55"/>
    </row>
    <row r="128" spans="1:8" x14ac:dyDescent="0.3">
      <c r="A128" s="210" t="s">
        <v>60</v>
      </c>
      <c r="B128" s="210"/>
      <c r="C128" s="53">
        <f>+SUM(C129:C133)</f>
        <v>0</v>
      </c>
      <c r="D128" s="53">
        <f t="shared" ref="D128:F128" si="12">+SUM(D129:D133)</f>
        <v>0</v>
      </c>
      <c r="E128" s="53">
        <f t="shared" si="12"/>
        <v>0</v>
      </c>
      <c r="F128" s="53">
        <f t="shared" si="12"/>
        <v>0</v>
      </c>
    </row>
    <row r="129" spans="1:6" ht="15" customHeight="1" x14ac:dyDescent="0.3">
      <c r="A129" s="144" t="s">
        <v>59</v>
      </c>
      <c r="B129" s="145" t="s">
        <v>53</v>
      </c>
      <c r="C129" s="56">
        <v>0</v>
      </c>
      <c r="D129" s="56">
        <v>0</v>
      </c>
      <c r="E129" s="56">
        <v>0</v>
      </c>
      <c r="F129" s="40">
        <f>+C129+D129+E129</f>
        <v>0</v>
      </c>
    </row>
    <row r="130" spans="1:6" ht="15" customHeight="1" x14ac:dyDescent="0.3">
      <c r="A130" s="54" t="s">
        <v>59</v>
      </c>
      <c r="B130" s="50" t="s">
        <v>53</v>
      </c>
      <c r="C130" s="56">
        <v>0</v>
      </c>
      <c r="D130" s="56">
        <v>0</v>
      </c>
      <c r="E130" s="56">
        <v>0</v>
      </c>
      <c r="F130" s="40">
        <f t="shared" ref="F130:F133" si="13">+C130+D130+E130</f>
        <v>0</v>
      </c>
    </row>
    <row r="131" spans="1:6" ht="15" customHeight="1" x14ac:dyDescent="0.3">
      <c r="A131" s="54" t="s">
        <v>59</v>
      </c>
      <c r="B131" s="50" t="s">
        <v>53</v>
      </c>
      <c r="C131" s="56">
        <v>0</v>
      </c>
      <c r="D131" s="56">
        <v>0</v>
      </c>
      <c r="E131" s="56">
        <v>0</v>
      </c>
      <c r="F131" s="40">
        <f t="shared" si="13"/>
        <v>0</v>
      </c>
    </row>
    <row r="132" spans="1:6" ht="15" customHeight="1" x14ac:dyDescent="0.3">
      <c r="A132" s="54" t="s">
        <v>59</v>
      </c>
      <c r="B132" s="50" t="s">
        <v>53</v>
      </c>
      <c r="C132" s="56">
        <v>0</v>
      </c>
      <c r="D132" s="56">
        <v>0</v>
      </c>
      <c r="E132" s="56">
        <v>0</v>
      </c>
      <c r="F132" s="40">
        <f t="shared" si="13"/>
        <v>0</v>
      </c>
    </row>
    <row r="133" spans="1:6" ht="15" customHeight="1" x14ac:dyDescent="0.3">
      <c r="A133" s="54" t="s">
        <v>59</v>
      </c>
      <c r="B133" s="50" t="s">
        <v>53</v>
      </c>
      <c r="C133" s="56">
        <v>0</v>
      </c>
      <c r="D133" s="56">
        <v>0</v>
      </c>
      <c r="E133" s="56">
        <v>0</v>
      </c>
      <c r="F133" s="40">
        <f t="shared" si="13"/>
        <v>0</v>
      </c>
    </row>
    <row r="134" spans="1:6" ht="15" customHeight="1" x14ac:dyDescent="0.3">
      <c r="C134" s="40"/>
      <c r="D134" s="40"/>
      <c r="E134" s="40"/>
      <c r="F134" s="40"/>
    </row>
    <row r="135" spans="1:6" x14ac:dyDescent="0.3">
      <c r="A135" s="210" t="s">
        <v>61</v>
      </c>
      <c r="B135" s="210"/>
      <c r="C135" s="53">
        <f>+SUM(C136:C137)</f>
        <v>0</v>
      </c>
      <c r="D135" s="53">
        <f t="shared" ref="D135:F135" si="14">+SUM(D136:D137)</f>
        <v>0</v>
      </c>
      <c r="E135" s="53">
        <f t="shared" si="14"/>
        <v>0</v>
      </c>
      <c r="F135" s="53">
        <f t="shared" si="14"/>
        <v>0</v>
      </c>
    </row>
    <row r="136" spans="1:6" ht="15" customHeight="1" x14ac:dyDescent="0.3">
      <c r="A136" s="75" t="s">
        <v>59</v>
      </c>
      <c r="B136" s="50" t="s">
        <v>53</v>
      </c>
      <c r="C136" s="56">
        <v>0</v>
      </c>
      <c r="D136" s="56">
        <v>0</v>
      </c>
      <c r="E136" s="56">
        <v>0</v>
      </c>
      <c r="F136" s="40">
        <f>+C136+D136+E136</f>
        <v>0</v>
      </c>
    </row>
    <row r="137" spans="1:6" ht="15" customHeight="1" x14ac:dyDescent="0.3">
      <c r="A137" s="47" t="s">
        <v>59</v>
      </c>
      <c r="B137" s="47" t="s">
        <v>53</v>
      </c>
      <c r="C137" s="59">
        <v>0</v>
      </c>
      <c r="D137" s="59">
        <v>0</v>
      </c>
      <c r="E137" s="59">
        <v>0</v>
      </c>
      <c r="F137" s="60">
        <f>+C137+D137+E137</f>
        <v>0</v>
      </c>
    </row>
    <row r="138" spans="1:6" ht="15" customHeight="1" x14ac:dyDescent="0.3">
      <c r="A138" s="211" t="s">
        <v>62</v>
      </c>
      <c r="B138" s="212"/>
      <c r="C138" s="212"/>
      <c r="D138" s="212"/>
      <c r="E138" s="212"/>
      <c r="F138" s="212"/>
    </row>
    <row r="139" spans="1:6" ht="15" customHeight="1" x14ac:dyDescent="0.3">
      <c r="A139" s="194" t="s">
        <v>43</v>
      </c>
      <c r="B139" s="194"/>
      <c r="C139" s="194"/>
      <c r="D139" s="194"/>
      <c r="E139" s="194"/>
      <c r="F139" s="194"/>
    </row>
    <row r="140" spans="1:6" ht="50.1" customHeight="1" x14ac:dyDescent="0.3">
      <c r="A140" s="213" t="s">
        <v>153</v>
      </c>
      <c r="B140" s="213"/>
      <c r="C140" s="213"/>
      <c r="D140" s="213"/>
      <c r="E140" s="213"/>
      <c r="F140" s="213"/>
    </row>
    <row r="141" spans="1:6" x14ac:dyDescent="0.3">
      <c r="A141" s="54"/>
      <c r="B141" s="50"/>
    </row>
    <row r="142" spans="1:6" x14ac:dyDescent="0.3">
      <c r="A142" s="209" t="s">
        <v>79</v>
      </c>
      <c r="B142" s="209"/>
      <c r="C142" s="209"/>
      <c r="D142" s="209"/>
      <c r="E142" s="209"/>
      <c r="F142" s="209"/>
    </row>
    <row r="143" spans="1:6" ht="14.4" customHeight="1" x14ac:dyDescent="0.3">
      <c r="A143" s="209" t="s">
        <v>80</v>
      </c>
      <c r="B143" s="209"/>
      <c r="C143" s="209"/>
      <c r="D143" s="209"/>
      <c r="E143" s="209"/>
      <c r="F143" s="209"/>
    </row>
    <row r="144" spans="1:6" x14ac:dyDescent="0.3">
      <c r="A144" s="209" t="s">
        <v>52</v>
      </c>
      <c r="B144" s="209"/>
      <c r="C144" s="209"/>
      <c r="D144" s="209"/>
      <c r="E144" s="209"/>
      <c r="F144" s="209"/>
    </row>
    <row r="145" spans="1:7" x14ac:dyDescent="0.3">
      <c r="A145" s="89"/>
      <c r="B145" s="90"/>
      <c r="C145" s="90"/>
      <c r="D145" s="90"/>
      <c r="E145" s="90"/>
      <c r="F145" s="91"/>
    </row>
    <row r="146" spans="1:7" x14ac:dyDescent="0.3">
      <c r="A146" s="68" t="s">
        <v>78</v>
      </c>
      <c r="B146" s="68" t="s">
        <v>0</v>
      </c>
      <c r="C146" s="68" t="s">
        <v>2</v>
      </c>
      <c r="D146" s="68" t="s">
        <v>3</v>
      </c>
      <c r="E146" s="68" t="s">
        <v>4</v>
      </c>
      <c r="F146" s="23"/>
      <c r="G146" s="40"/>
    </row>
    <row r="147" spans="1:7" x14ac:dyDescent="0.3">
      <c r="A147" s="105" t="s">
        <v>82</v>
      </c>
      <c r="B147" s="61">
        <f>+B148</f>
        <v>0</v>
      </c>
      <c r="C147" s="61">
        <f t="shared" ref="C147:D149" si="15">+B157</f>
        <v>4721209956.25</v>
      </c>
      <c r="D147" s="61">
        <f t="shared" si="15"/>
        <v>2151909866.25</v>
      </c>
      <c r="E147" s="108">
        <f>+B147</f>
        <v>0</v>
      </c>
      <c r="F147" s="91"/>
      <c r="G147" s="146"/>
    </row>
    <row r="148" spans="1:7" x14ac:dyDescent="0.3">
      <c r="A148" s="106" t="s">
        <v>83</v>
      </c>
      <c r="B148" s="26">
        <v>0</v>
      </c>
      <c r="C148" s="26">
        <f>+B158</f>
        <v>0</v>
      </c>
      <c r="D148" s="26">
        <f>+C158</f>
        <v>0</v>
      </c>
      <c r="E148" s="65">
        <f>+B148</f>
        <v>0</v>
      </c>
      <c r="F148" s="23"/>
      <c r="G148" s="146"/>
    </row>
    <row r="149" spans="1:7" x14ac:dyDescent="0.3">
      <c r="A149" s="106" t="s">
        <v>81</v>
      </c>
      <c r="B149" s="26">
        <v>4721209956.25</v>
      </c>
      <c r="C149" s="26">
        <f t="shared" si="15"/>
        <v>4721209956.25</v>
      </c>
      <c r="D149" s="26">
        <f t="shared" si="15"/>
        <v>2151909866.25</v>
      </c>
      <c r="E149" s="65">
        <f>+B149</f>
        <v>4721209956.25</v>
      </c>
      <c r="F149" s="23"/>
    </row>
    <row r="150" spans="1:7" x14ac:dyDescent="0.3">
      <c r="A150" s="105" t="s">
        <v>85</v>
      </c>
      <c r="B150" s="61">
        <v>4721209956.25</v>
      </c>
      <c r="C150" s="61"/>
      <c r="D150" s="61">
        <v>0</v>
      </c>
      <c r="E150" s="61">
        <f>+B150+C150+D150</f>
        <v>4721209956.25</v>
      </c>
      <c r="F150" s="91"/>
    </row>
    <row r="151" spans="1:7" x14ac:dyDescent="0.3">
      <c r="A151" s="105" t="s">
        <v>147</v>
      </c>
      <c r="B151" s="61">
        <f>+B152+B153</f>
        <v>4721209956.25</v>
      </c>
      <c r="C151" s="61">
        <f t="shared" ref="C151" si="16">+C152+C153</f>
        <v>4721209956.25</v>
      </c>
      <c r="D151" s="61">
        <f>+D152+D153</f>
        <v>2151909866.25</v>
      </c>
      <c r="E151" s="61">
        <f>+E152+E153</f>
        <v>4721209956.25</v>
      </c>
      <c r="F151" s="91"/>
    </row>
    <row r="152" spans="1:7" x14ac:dyDescent="0.3">
      <c r="A152" s="106" t="s">
        <v>83</v>
      </c>
      <c r="B152" s="26">
        <f>+B148</f>
        <v>0</v>
      </c>
      <c r="C152" s="26">
        <f>+C148</f>
        <v>0</v>
      </c>
      <c r="D152" s="26">
        <f>+D148</f>
        <v>0</v>
      </c>
      <c r="E152" s="65">
        <f>+E148</f>
        <v>0</v>
      </c>
      <c r="F152" s="23"/>
    </row>
    <row r="153" spans="1:7" x14ac:dyDescent="0.3">
      <c r="A153" s="106" t="s">
        <v>81</v>
      </c>
      <c r="B153" s="26">
        <f>+B149</f>
        <v>4721209956.25</v>
      </c>
      <c r="C153" s="26">
        <f>+C150+C149</f>
        <v>4721209956.25</v>
      </c>
      <c r="D153" s="26">
        <f>+D150+D149</f>
        <v>2151909866.25</v>
      </c>
      <c r="E153" s="65">
        <f>+E150</f>
        <v>4721209956.25</v>
      </c>
      <c r="F153" s="23"/>
    </row>
    <row r="154" spans="1:7" x14ac:dyDescent="0.3">
      <c r="A154" s="105" t="s">
        <v>84</v>
      </c>
      <c r="B154" s="61">
        <f>+B155+B156</f>
        <v>0</v>
      </c>
      <c r="C154" s="61">
        <f>+C155+C156</f>
        <v>2569300090</v>
      </c>
      <c r="D154" s="61">
        <f>+D138</f>
        <v>0</v>
      </c>
      <c r="E154" s="61">
        <f>+B154+C154+D154</f>
        <v>2569300090</v>
      </c>
      <c r="F154" s="91"/>
    </row>
    <row r="155" spans="1:7" x14ac:dyDescent="0.3">
      <c r="A155" s="106" t="s">
        <v>83</v>
      </c>
      <c r="B155" s="82">
        <v>0</v>
      </c>
      <c r="C155" s="82">
        <v>0</v>
      </c>
      <c r="D155" s="82">
        <v>0</v>
      </c>
      <c r="E155" s="48">
        <f>+B155+C155+D155</f>
        <v>0</v>
      </c>
      <c r="F155" s="91"/>
    </row>
    <row r="156" spans="1:7" x14ac:dyDescent="0.3">
      <c r="A156" s="106" t="s">
        <v>81</v>
      </c>
      <c r="B156" s="82">
        <v>0</v>
      </c>
      <c r="C156" s="82">
        <v>2569300090</v>
      </c>
      <c r="D156" s="82">
        <v>1235652456.24</v>
      </c>
      <c r="E156" s="48">
        <f>+B156+C156+D156</f>
        <v>3804952546.2399998</v>
      </c>
      <c r="F156" s="91"/>
    </row>
    <row r="157" spans="1:7" x14ac:dyDescent="0.3">
      <c r="A157" s="105" t="s">
        <v>148</v>
      </c>
      <c r="B157" s="61">
        <f>+B151-B154</f>
        <v>4721209956.25</v>
      </c>
      <c r="C157" s="61">
        <f t="shared" ref="C157" si="17">+C151-C154</f>
        <v>2151909866.25</v>
      </c>
      <c r="D157" s="61">
        <f t="shared" ref="D157" si="18">+D151-D154</f>
        <v>2151909866.25</v>
      </c>
      <c r="E157" s="61">
        <f>+E151-E154</f>
        <v>2151909866.25</v>
      </c>
      <c r="F157" s="91"/>
    </row>
    <row r="158" spans="1:7" x14ac:dyDescent="0.3">
      <c r="A158" s="106" t="s">
        <v>83</v>
      </c>
      <c r="B158" s="82">
        <f>+B152-B155</f>
        <v>0</v>
      </c>
      <c r="C158" s="82">
        <f>+C152-C155</f>
        <v>0</v>
      </c>
      <c r="D158" s="82">
        <f>+D152-D155</f>
        <v>0</v>
      </c>
      <c r="E158" s="48">
        <f>+E152-E155</f>
        <v>0</v>
      </c>
    </row>
    <row r="159" spans="1:7" x14ac:dyDescent="0.3">
      <c r="A159" s="107" t="s">
        <v>81</v>
      </c>
      <c r="B159" s="77">
        <f>+B153+B158</f>
        <v>4721209956.25</v>
      </c>
      <c r="C159" s="77">
        <f>+C153-C156</f>
        <v>2151909866.25</v>
      </c>
      <c r="D159" s="77">
        <f>+D153-D156</f>
        <v>916257410.00999999</v>
      </c>
      <c r="E159" s="62">
        <f>+E153-E156</f>
        <v>916257410.01000023</v>
      </c>
    </row>
    <row r="160" spans="1:7" x14ac:dyDescent="0.3">
      <c r="A160" s="194" t="s">
        <v>43</v>
      </c>
      <c r="B160" s="194"/>
      <c r="C160" s="194"/>
      <c r="D160" s="194"/>
      <c r="E160" s="194"/>
      <c r="F160" s="41"/>
    </row>
    <row r="161" spans="1:6" ht="60" customHeight="1" x14ac:dyDescent="0.3">
      <c r="A161" s="195" t="s">
        <v>92</v>
      </c>
      <c r="B161" s="196"/>
      <c r="C161" s="196"/>
      <c r="D161" s="196"/>
      <c r="E161" s="197"/>
      <c r="F161" s="63"/>
    </row>
    <row r="162" spans="1:6" ht="26.4" customHeight="1" x14ac:dyDescent="0.3">
      <c r="A162" s="142"/>
      <c r="B162" s="64"/>
      <c r="C162" s="64"/>
      <c r="D162" s="64"/>
      <c r="E162" s="64"/>
      <c r="F162" s="63"/>
    </row>
    <row r="163" spans="1:6" x14ac:dyDescent="0.3">
      <c r="A163" s="28" t="s">
        <v>86</v>
      </c>
      <c r="B163" s="198" t="s">
        <v>199</v>
      </c>
      <c r="C163" s="199"/>
      <c r="D163" s="200" t="s">
        <v>49</v>
      </c>
      <c r="E163" s="201"/>
      <c r="F163" s="202"/>
    </row>
    <row r="164" spans="1:6" x14ac:dyDescent="0.3">
      <c r="A164" s="29" t="s">
        <v>47</v>
      </c>
      <c r="B164" s="198" t="s">
        <v>200</v>
      </c>
      <c r="C164" s="199"/>
      <c r="D164" s="203"/>
      <c r="E164" s="204"/>
      <c r="F164" s="205"/>
    </row>
    <row r="165" spans="1:6" x14ac:dyDescent="0.3">
      <c r="A165" s="30" t="s">
        <v>48</v>
      </c>
      <c r="B165" s="198" t="s">
        <v>201</v>
      </c>
      <c r="C165" s="199"/>
      <c r="D165" s="206"/>
      <c r="E165" s="207"/>
      <c r="F165" s="208"/>
    </row>
  </sheetData>
  <mergeCells count="74">
    <mergeCell ref="A1:F2"/>
    <mergeCell ref="A48:F48"/>
    <mergeCell ref="A12:F12"/>
    <mergeCell ref="A13:F13"/>
    <mergeCell ref="A30:F30"/>
    <mergeCell ref="A31:F31"/>
    <mergeCell ref="A33:F33"/>
    <mergeCell ref="A34:F34"/>
    <mergeCell ref="A3:F3"/>
    <mergeCell ref="A47:E47"/>
    <mergeCell ref="C5:E5"/>
    <mergeCell ref="C6:E6"/>
    <mergeCell ref="C7:E7"/>
    <mergeCell ref="A10:F10"/>
    <mergeCell ref="A16:B16"/>
    <mergeCell ref="A18:A20"/>
    <mergeCell ref="A21:A23"/>
    <mergeCell ref="A24:A26"/>
    <mergeCell ref="A27:A29"/>
    <mergeCell ref="A39:A40"/>
    <mergeCell ref="A41:A42"/>
    <mergeCell ref="A43:A44"/>
    <mergeCell ref="A45:A46"/>
    <mergeCell ref="B76:C76"/>
    <mergeCell ref="B77:C77"/>
    <mergeCell ref="B78:C78"/>
    <mergeCell ref="A58:F58"/>
    <mergeCell ref="A59:F59"/>
    <mergeCell ref="A50:F50"/>
    <mergeCell ref="A67:F67"/>
    <mergeCell ref="A68:F68"/>
    <mergeCell ref="A51:F51"/>
    <mergeCell ref="A53:B53"/>
    <mergeCell ref="A54:B54"/>
    <mergeCell ref="A55:B55"/>
    <mergeCell ref="A56:B56"/>
    <mergeCell ref="A57:B57"/>
    <mergeCell ref="D76:F78"/>
    <mergeCell ref="A70:B70"/>
    <mergeCell ref="A71:B71"/>
    <mergeCell ref="A72:B72"/>
    <mergeCell ref="A73:F73"/>
    <mergeCell ref="A74:F74"/>
    <mergeCell ref="A80:F80"/>
    <mergeCell ref="A114:F114"/>
    <mergeCell ref="A115:F115"/>
    <mergeCell ref="A116:F116"/>
    <mergeCell ref="A82:F82"/>
    <mergeCell ref="A83:F83"/>
    <mergeCell ref="A84:F84"/>
    <mergeCell ref="A95:F95"/>
    <mergeCell ref="A94:F94"/>
    <mergeCell ref="A97:F97"/>
    <mergeCell ref="A98:F98"/>
    <mergeCell ref="A99:F99"/>
    <mergeCell ref="A111:F111"/>
    <mergeCell ref="A112:F112"/>
    <mergeCell ref="A104:B104"/>
    <mergeCell ref="A108:B108"/>
    <mergeCell ref="A142:F142"/>
    <mergeCell ref="A143:F143"/>
    <mergeCell ref="A144:F144"/>
    <mergeCell ref="A121:B121"/>
    <mergeCell ref="A128:B128"/>
    <mergeCell ref="A135:B135"/>
    <mergeCell ref="A138:F138"/>
    <mergeCell ref="A140:F140"/>
    <mergeCell ref="A139:F139"/>
    <mergeCell ref="A160:E160"/>
    <mergeCell ref="A161:E161"/>
    <mergeCell ref="B163:C163"/>
    <mergeCell ref="D163:F165"/>
    <mergeCell ref="B164:C164"/>
    <mergeCell ref="B165:C165"/>
  </mergeCells>
  <phoneticPr fontId="9" type="noConversion"/>
  <printOptions horizontalCentered="1"/>
  <pageMargins left="0.70866141732283472" right="0.70866141732283472" top="0.94488188976377963" bottom="0.74803149606299213" header="0.19685039370078741" footer="0.31496062992125984"/>
  <pageSetup scale="5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8" max="5" man="1"/>
    <brk id="78" max="16383" man="1"/>
    <brk id="140" max="5" man="1"/>
  </rowBreaks>
  <ignoredErrors>
    <ignoredError sqref="F17 F19:F20" evalError="1"/>
    <ignoredError sqref="F21" formula="1"/>
    <ignoredError sqref="F22:F26" evalError="1" formula="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dimension ref="A1:L164"/>
  <sheetViews>
    <sheetView showGridLines="0" zoomScale="80" zoomScaleNormal="80" workbookViewId="0">
      <selection sqref="A1:F2"/>
    </sheetView>
  </sheetViews>
  <sheetFormatPr baseColWidth="10" defaultColWidth="11.44140625" defaultRowHeight="15.6" x14ac:dyDescent="0.3"/>
  <cols>
    <col min="1" max="1" width="67.88671875" style="36" customWidth="1"/>
    <col min="2" max="2" width="28.109375" style="36" customWidth="1"/>
    <col min="3" max="6" width="16.44140625" style="36" customWidth="1"/>
    <col min="7" max="7" width="17.6640625" style="36" bestFit="1" customWidth="1"/>
    <col min="8" max="8" width="19.88671875" style="36" bestFit="1" customWidth="1"/>
    <col min="9" max="11" width="17" style="36" bestFit="1" customWidth="1"/>
    <col min="12" max="12" width="18.33203125" style="36" bestFit="1" customWidth="1"/>
    <col min="13" max="16384" width="11.44140625" style="36"/>
  </cols>
  <sheetData>
    <row r="1" spans="1:6" ht="21.9" customHeight="1" x14ac:dyDescent="0.3">
      <c r="A1" s="232" t="s">
        <v>38</v>
      </c>
      <c r="B1" s="232"/>
      <c r="C1" s="232"/>
      <c r="D1" s="232"/>
      <c r="E1" s="232"/>
      <c r="F1" s="232"/>
    </row>
    <row r="2" spans="1:6" ht="21.9" customHeight="1" x14ac:dyDescent="0.3">
      <c r="A2" s="232"/>
      <c r="B2" s="232"/>
      <c r="C2" s="232"/>
      <c r="D2" s="232"/>
      <c r="E2" s="232"/>
      <c r="F2" s="232"/>
    </row>
    <row r="3" spans="1:6" ht="17.399999999999999" x14ac:dyDescent="0.4">
      <c r="A3" s="234" t="s">
        <v>205</v>
      </c>
      <c r="B3" s="234"/>
      <c r="C3" s="234"/>
      <c r="D3" s="234"/>
      <c r="E3" s="234"/>
      <c r="F3" s="234"/>
    </row>
    <row r="4" spans="1:6" ht="17.399999999999999" x14ac:dyDescent="0.3">
      <c r="A4" s="141"/>
      <c r="B4" s="141"/>
      <c r="C4" s="141"/>
      <c r="D4" s="141"/>
      <c r="E4" s="141"/>
      <c r="F4" s="141"/>
    </row>
    <row r="5" spans="1:6" ht="18" customHeight="1" x14ac:dyDescent="0.3">
      <c r="A5" s="70"/>
      <c r="B5" s="72" t="s">
        <v>22</v>
      </c>
      <c r="C5" s="199" t="s">
        <v>183</v>
      </c>
      <c r="D5" s="235"/>
      <c r="E5" s="235"/>
    </row>
    <row r="6" spans="1:6" ht="18" customHeight="1" x14ac:dyDescent="0.3">
      <c r="A6" s="71"/>
      <c r="B6" s="73" t="s">
        <v>33</v>
      </c>
      <c r="C6" s="236" t="s">
        <v>184</v>
      </c>
      <c r="D6" s="237"/>
      <c r="E6" s="237"/>
      <c r="F6" s="3"/>
    </row>
    <row r="7" spans="1:6" ht="18" customHeight="1" x14ac:dyDescent="0.3">
      <c r="A7" s="71"/>
      <c r="B7" s="74" t="s">
        <v>34</v>
      </c>
      <c r="C7" s="236" t="s">
        <v>185</v>
      </c>
      <c r="D7" s="237"/>
      <c r="E7" s="237"/>
      <c r="F7" s="3"/>
    </row>
    <row r="8" spans="1:6" s="1" customFormat="1" x14ac:dyDescent="0.35"/>
    <row r="9" spans="1:6" ht="15" customHeight="1" x14ac:dyDescent="0.3">
      <c r="A9" s="4"/>
      <c r="B9" s="133"/>
      <c r="C9" s="133"/>
      <c r="D9" s="133"/>
      <c r="E9" s="133"/>
      <c r="F9" s="133"/>
    </row>
    <row r="10" spans="1:6" ht="21.9" customHeight="1" x14ac:dyDescent="0.3">
      <c r="A10" s="214" t="s">
        <v>35</v>
      </c>
      <c r="B10" s="214"/>
      <c r="C10" s="214"/>
      <c r="D10" s="214"/>
      <c r="E10" s="214"/>
      <c r="F10" s="214"/>
    </row>
    <row r="11" spans="1:6" ht="15" customHeight="1" x14ac:dyDescent="0.3">
      <c r="A11" s="8"/>
      <c r="B11" s="8"/>
      <c r="C11" s="8"/>
      <c r="D11" s="8"/>
      <c r="E11" s="8"/>
      <c r="F11" s="8"/>
    </row>
    <row r="12" spans="1:6" ht="16.95" customHeight="1" x14ac:dyDescent="0.3">
      <c r="A12" s="233" t="s">
        <v>36</v>
      </c>
      <c r="B12" s="233"/>
      <c r="C12" s="233"/>
      <c r="D12" s="233"/>
      <c r="E12" s="233"/>
      <c r="F12" s="233"/>
    </row>
    <row r="13" spans="1:6" ht="16.95" customHeight="1" x14ac:dyDescent="0.3">
      <c r="A13" s="233" t="s">
        <v>19</v>
      </c>
      <c r="B13" s="233"/>
      <c r="C13" s="233"/>
      <c r="D13" s="233"/>
      <c r="E13" s="233"/>
      <c r="F13" s="233"/>
    </row>
    <row r="14" spans="1:6" ht="15" customHeight="1" x14ac:dyDescent="0.3">
      <c r="A14" s="133"/>
      <c r="B14" s="133"/>
      <c r="C14" s="133"/>
      <c r="D14" s="133"/>
      <c r="E14" s="133"/>
      <c r="F14" s="133"/>
    </row>
    <row r="15" spans="1:6" ht="18.600000000000001" customHeight="1" x14ac:dyDescent="0.3">
      <c r="A15" s="138" t="s">
        <v>17</v>
      </c>
      <c r="B15" s="9" t="s">
        <v>18</v>
      </c>
      <c r="C15" s="9" t="s">
        <v>5</v>
      </c>
      <c r="D15" s="9" t="s">
        <v>6</v>
      </c>
      <c r="E15" s="9" t="s">
        <v>7</v>
      </c>
      <c r="F15" s="138" t="s">
        <v>8</v>
      </c>
    </row>
    <row r="16" spans="1:6" ht="16.95" customHeight="1" x14ac:dyDescent="0.3">
      <c r="A16" s="238" t="s">
        <v>16</v>
      </c>
      <c r="B16" s="238"/>
      <c r="C16" s="113">
        <f>+C19+C20+C22+C23+C25+C26+C28+C29</f>
        <v>14107</v>
      </c>
      <c r="D16" s="113">
        <f t="shared" ref="D16:E16" si="0">+D19+D20+D22+D23+D25+D26+D28+D29</f>
        <v>14135</v>
      </c>
      <c r="E16" s="113">
        <f t="shared" si="0"/>
        <v>14266</v>
      </c>
      <c r="F16" s="113">
        <f>+AVERAGE(C16:E16)</f>
        <v>14169.333333333334</v>
      </c>
    </row>
    <row r="17" spans="1:6" ht="16.95" customHeight="1" x14ac:dyDescent="0.3">
      <c r="A17" s="135"/>
      <c r="B17" s="110"/>
      <c r="C17" s="111"/>
      <c r="D17" s="111"/>
      <c r="E17" s="111"/>
      <c r="F17" s="111"/>
    </row>
    <row r="18" spans="1:6" ht="16.95" customHeight="1" x14ac:dyDescent="0.35">
      <c r="A18" s="230" t="s">
        <v>176</v>
      </c>
      <c r="B18" s="119" t="s">
        <v>173</v>
      </c>
      <c r="C18" s="111">
        <f>+('1T'!E18-C20)+143</f>
        <v>143</v>
      </c>
      <c r="D18" s="111">
        <f>+(C18-D20)+69</f>
        <v>128</v>
      </c>
      <c r="E18" s="111">
        <f>+(D18-E20)+12</f>
        <v>40</v>
      </c>
      <c r="F18" s="111">
        <f>+E18</f>
        <v>40</v>
      </c>
    </row>
    <row r="19" spans="1:6" ht="16.95" customHeight="1" x14ac:dyDescent="0.35">
      <c r="A19" s="230"/>
      <c r="B19" s="119" t="s">
        <v>174</v>
      </c>
      <c r="C19" s="111">
        <v>1445</v>
      </c>
      <c r="D19" s="111">
        <v>1526</v>
      </c>
      <c r="E19" s="111">
        <v>1575</v>
      </c>
      <c r="F19" s="111">
        <f>+AVERAGE(C19:E19)</f>
        <v>1515.3333333333333</v>
      </c>
    </row>
    <row r="20" spans="1:6" ht="16.95" customHeight="1" x14ac:dyDescent="0.35">
      <c r="A20" s="230"/>
      <c r="B20" s="119" t="s">
        <v>175</v>
      </c>
      <c r="C20" s="111">
        <v>70</v>
      </c>
      <c r="D20" s="111">
        <v>84</v>
      </c>
      <c r="E20" s="111">
        <v>100</v>
      </c>
      <c r="F20" s="111">
        <f>+AVERAGE(C20:E20)</f>
        <v>84.666666666666671</v>
      </c>
    </row>
    <row r="21" spans="1:6" ht="16.95" customHeight="1" x14ac:dyDescent="0.35">
      <c r="A21" s="247" t="s">
        <v>177</v>
      </c>
      <c r="B21" s="160" t="s">
        <v>173</v>
      </c>
      <c r="C21" s="161">
        <f>+('1T'!E21-C23)+98</f>
        <v>99</v>
      </c>
      <c r="D21" s="161">
        <f>+(C21-D23)+83</f>
        <v>87</v>
      </c>
      <c r="E21" s="161">
        <f>+(D21-E23)+134</f>
        <v>134</v>
      </c>
      <c r="F21" s="161">
        <f>+E21</f>
        <v>134</v>
      </c>
    </row>
    <row r="22" spans="1:6" ht="16.95" customHeight="1" x14ac:dyDescent="0.35">
      <c r="A22" s="247"/>
      <c r="B22" s="160" t="s">
        <v>174</v>
      </c>
      <c r="C22" s="161">
        <v>1338</v>
      </c>
      <c r="D22" s="161">
        <v>1355</v>
      </c>
      <c r="E22" s="161">
        <v>1309</v>
      </c>
      <c r="F22" s="161">
        <f>+AVERAGE(C22:E22)</f>
        <v>1334</v>
      </c>
    </row>
    <row r="23" spans="1:6" ht="16.95" customHeight="1" x14ac:dyDescent="0.35">
      <c r="A23" s="247"/>
      <c r="B23" s="160" t="s">
        <v>175</v>
      </c>
      <c r="C23" s="161">
        <v>78</v>
      </c>
      <c r="D23" s="161">
        <v>95</v>
      </c>
      <c r="E23" s="161">
        <v>87</v>
      </c>
      <c r="F23" s="161">
        <f>+AVERAGE(C23:E23)</f>
        <v>86.666666666666671</v>
      </c>
    </row>
    <row r="24" spans="1:6" ht="16.95" customHeight="1" x14ac:dyDescent="0.35">
      <c r="A24" s="230" t="s">
        <v>178</v>
      </c>
      <c r="B24" s="119" t="s">
        <v>173</v>
      </c>
      <c r="C24" s="111">
        <f>+('1T'!E24-C26)+666</f>
        <v>1177</v>
      </c>
      <c r="D24" s="111">
        <f>+(C24-D26)+651</f>
        <v>1520</v>
      </c>
      <c r="E24" s="111">
        <f>+(D24-E26)+283</f>
        <v>1616</v>
      </c>
      <c r="F24" s="111">
        <f>+E24</f>
        <v>1616</v>
      </c>
    </row>
    <row r="25" spans="1:6" ht="16.95" customHeight="1" x14ac:dyDescent="0.35">
      <c r="A25" s="230"/>
      <c r="B25" s="119" t="s">
        <v>174</v>
      </c>
      <c r="C25" s="111">
        <v>9963</v>
      </c>
      <c r="D25" s="111">
        <v>9961</v>
      </c>
      <c r="E25" s="111">
        <v>10294</v>
      </c>
      <c r="F25" s="111">
        <f>+AVERAGE(C25:E25)</f>
        <v>10072.666666666666</v>
      </c>
    </row>
    <row r="26" spans="1:6" ht="16.95" customHeight="1" x14ac:dyDescent="0.35">
      <c r="A26" s="230"/>
      <c r="B26" s="119" t="s">
        <v>175</v>
      </c>
      <c r="C26" s="111">
        <v>652</v>
      </c>
      <c r="D26" s="111">
        <v>308</v>
      </c>
      <c r="E26" s="111">
        <v>187</v>
      </c>
      <c r="F26" s="111">
        <f>+AVERAGE(C26:E26)</f>
        <v>382.33333333333331</v>
      </c>
    </row>
    <row r="27" spans="1:6" ht="16.95" customHeight="1" x14ac:dyDescent="0.35">
      <c r="A27" s="230" t="s">
        <v>179</v>
      </c>
      <c r="B27" s="119" t="s">
        <v>173</v>
      </c>
      <c r="C27" s="111">
        <f>+('1T'!E27-C29)+324</f>
        <v>1776</v>
      </c>
      <c r="D27" s="111">
        <f>+(C27-D29)+196</f>
        <v>1872</v>
      </c>
      <c r="E27" s="111">
        <f>+(D27-E29)+182</f>
        <v>2054</v>
      </c>
      <c r="F27" s="111">
        <f>+E27</f>
        <v>2054</v>
      </c>
    </row>
    <row r="28" spans="1:6" ht="16.95" customHeight="1" x14ac:dyDescent="0.35">
      <c r="A28" s="230"/>
      <c r="B28" s="119" t="s">
        <v>174</v>
      </c>
      <c r="C28" s="111">
        <v>561</v>
      </c>
      <c r="D28" s="111">
        <v>706</v>
      </c>
      <c r="E28" s="111">
        <v>714</v>
      </c>
      <c r="F28" s="111">
        <f>+AVERAGE(C28:E28)</f>
        <v>660.33333333333337</v>
      </c>
    </row>
    <row r="29" spans="1:6" ht="16.95" customHeight="1" x14ac:dyDescent="0.35">
      <c r="A29" s="248"/>
      <c r="B29" s="119" t="s">
        <v>175</v>
      </c>
      <c r="C29" s="111">
        <v>0</v>
      </c>
      <c r="D29" s="111">
        <v>100</v>
      </c>
      <c r="E29" s="111">
        <v>0</v>
      </c>
      <c r="F29" s="111">
        <f>+AVERAGE(C29:E29)</f>
        <v>33.333333333333336</v>
      </c>
    </row>
    <row r="30" spans="1:6" ht="16.95" customHeight="1" x14ac:dyDescent="0.3">
      <c r="A30" s="223" t="s">
        <v>43</v>
      </c>
      <c r="B30" s="223"/>
      <c r="C30" s="223"/>
      <c r="D30" s="223"/>
      <c r="E30" s="223"/>
      <c r="F30" s="223"/>
    </row>
    <row r="31" spans="1:6" ht="67.95" customHeight="1" x14ac:dyDescent="0.3">
      <c r="A31" s="195" t="s">
        <v>162</v>
      </c>
      <c r="B31" s="196"/>
      <c r="C31" s="196"/>
      <c r="D31" s="196"/>
      <c r="E31" s="196"/>
      <c r="F31" s="197"/>
    </row>
    <row r="32" spans="1:6" ht="16.95" customHeight="1" x14ac:dyDescent="0.3">
      <c r="A32" s="37"/>
      <c r="B32" s="37"/>
      <c r="C32" s="37"/>
      <c r="D32" s="38"/>
      <c r="E32" s="38"/>
      <c r="F32" s="39"/>
    </row>
    <row r="33" spans="1:8" ht="16.95" customHeight="1" x14ac:dyDescent="0.3">
      <c r="A33" s="233" t="s">
        <v>37</v>
      </c>
      <c r="B33" s="233"/>
      <c r="C33" s="233"/>
      <c r="D33" s="233"/>
      <c r="E33" s="233"/>
      <c r="F33" s="233"/>
    </row>
    <row r="34" spans="1:8" ht="16.95" customHeight="1" x14ac:dyDescent="0.3">
      <c r="A34" s="233" t="s">
        <v>20</v>
      </c>
      <c r="B34" s="233"/>
      <c r="C34" s="233"/>
      <c r="D34" s="233"/>
      <c r="E34" s="233"/>
      <c r="F34" s="233"/>
    </row>
    <row r="35" spans="1:8" x14ac:dyDescent="0.3">
      <c r="A35" s="37"/>
      <c r="B35" s="37"/>
      <c r="C35" s="38"/>
      <c r="D35" s="38"/>
      <c r="E35" s="38"/>
      <c r="F35" s="40"/>
    </row>
    <row r="36" spans="1:8" ht="15" customHeight="1" x14ac:dyDescent="0.3">
      <c r="A36" s="217" t="s">
        <v>17</v>
      </c>
      <c r="B36" s="244"/>
      <c r="C36" s="9" t="s">
        <v>5</v>
      </c>
      <c r="D36" s="9" t="s">
        <v>6</v>
      </c>
      <c r="E36" s="9" t="s">
        <v>7</v>
      </c>
      <c r="F36" s="138" t="s">
        <v>8</v>
      </c>
    </row>
    <row r="37" spans="1:8" ht="16.95" customHeight="1" x14ac:dyDescent="0.3">
      <c r="A37" s="121" t="s">
        <v>16</v>
      </c>
      <c r="B37" s="121"/>
      <c r="C37" s="12">
        <f t="shared" ref="C37" si="1">+SUM(C39:C46)</f>
        <v>1327990334.0799999</v>
      </c>
      <c r="D37" s="12">
        <f>+SUM(D39:D46)</f>
        <v>1455909100.0799999</v>
      </c>
      <c r="E37" s="12">
        <f>+SUM(E39:E46)</f>
        <v>1429673533.5799999</v>
      </c>
      <c r="F37" s="12">
        <f>+SUM(F39:F46)</f>
        <v>4213572967.7399998</v>
      </c>
      <c r="H37" s="146"/>
    </row>
    <row r="38" spans="1:8" ht="16.95" customHeight="1" x14ac:dyDescent="0.3">
      <c r="A38" s="136"/>
      <c r="B38" s="14"/>
      <c r="C38" s="14"/>
      <c r="D38" s="14"/>
      <c r="E38" s="14"/>
      <c r="F38" s="14"/>
    </row>
    <row r="39" spans="1:8" ht="16.95" customHeight="1" x14ac:dyDescent="0.3">
      <c r="A39" s="220" t="s">
        <v>176</v>
      </c>
      <c r="B39" s="122" t="s">
        <v>180</v>
      </c>
      <c r="C39" s="165">
        <v>290975366</v>
      </c>
      <c r="D39" s="165">
        <v>308139076</v>
      </c>
      <c r="E39" s="146">
        <v>318033450</v>
      </c>
      <c r="F39" s="115">
        <f>+SUM(C39:E39)</f>
        <v>917147892</v>
      </c>
    </row>
    <row r="40" spans="1:8" ht="16.95" customHeight="1" x14ac:dyDescent="0.3">
      <c r="A40" s="220"/>
      <c r="B40" s="122" t="s">
        <v>181</v>
      </c>
      <c r="C40" s="165">
        <v>14134820</v>
      </c>
      <c r="D40" s="165">
        <v>16961784</v>
      </c>
      <c r="E40" s="165">
        <v>20192600</v>
      </c>
      <c r="F40" s="115">
        <f t="shared" ref="F40:F46" si="2">+SUM(C40:E40)</f>
        <v>51289204</v>
      </c>
    </row>
    <row r="41" spans="1:8" ht="16.95" customHeight="1" x14ac:dyDescent="0.3">
      <c r="A41" s="245" t="s">
        <v>177</v>
      </c>
      <c r="B41" s="162" t="s">
        <v>180</v>
      </c>
      <c r="C41" s="166">
        <v>107908720</v>
      </c>
      <c r="D41" s="166">
        <v>109524120</v>
      </c>
      <c r="E41" s="166">
        <v>105727930</v>
      </c>
      <c r="F41" s="163">
        <f t="shared" si="2"/>
        <v>323160770</v>
      </c>
    </row>
    <row r="42" spans="1:8" ht="16.95" customHeight="1" x14ac:dyDescent="0.3">
      <c r="A42" s="245"/>
      <c r="B42" s="162" t="s">
        <v>181</v>
      </c>
      <c r="C42" s="166">
        <v>6300060</v>
      </c>
      <c r="D42" s="166">
        <v>7673150</v>
      </c>
      <c r="E42" s="166">
        <v>7026990</v>
      </c>
      <c r="F42" s="163">
        <f t="shared" si="2"/>
        <v>21000200</v>
      </c>
    </row>
    <row r="43" spans="1:8" ht="16.95" customHeight="1" x14ac:dyDescent="0.3">
      <c r="A43" s="220" t="s">
        <v>178</v>
      </c>
      <c r="B43" s="122" t="s">
        <v>180</v>
      </c>
      <c r="C43" s="115">
        <v>593956610.07999992</v>
      </c>
      <c r="D43" s="115">
        <v>596618724.07999992</v>
      </c>
      <c r="E43" s="167">
        <v>612298879.57999992</v>
      </c>
      <c r="F43" s="115">
        <f t="shared" si="2"/>
        <v>1802874213.7399998</v>
      </c>
    </row>
    <row r="44" spans="1:8" ht="16.95" customHeight="1" x14ac:dyDescent="0.3">
      <c r="A44" s="220"/>
      <c r="B44" s="122" t="s">
        <v>181</v>
      </c>
      <c r="C44" s="115">
        <v>25264758</v>
      </c>
      <c r="D44" s="115">
        <v>25242246</v>
      </c>
      <c r="E44" s="115">
        <v>12193684</v>
      </c>
      <c r="F44" s="115">
        <f t="shared" si="2"/>
        <v>62700688</v>
      </c>
    </row>
    <row r="45" spans="1:8" ht="16.95" customHeight="1" x14ac:dyDescent="0.3">
      <c r="A45" s="245" t="s">
        <v>179</v>
      </c>
      <c r="B45" s="162" t="s">
        <v>180</v>
      </c>
      <c r="C45" s="163">
        <v>289450000</v>
      </c>
      <c r="D45" s="163">
        <v>349950000</v>
      </c>
      <c r="E45" s="163">
        <v>354200000</v>
      </c>
      <c r="F45" s="163">
        <f t="shared" si="2"/>
        <v>993600000</v>
      </c>
    </row>
    <row r="46" spans="1:8" ht="16.95" customHeight="1" x14ac:dyDescent="0.3">
      <c r="A46" s="246"/>
      <c r="B46" s="162" t="s">
        <v>181</v>
      </c>
      <c r="C46" s="163">
        <v>0</v>
      </c>
      <c r="D46" s="163">
        <v>41800000</v>
      </c>
      <c r="E46" s="163">
        <v>0</v>
      </c>
      <c r="F46" s="164">
        <f t="shared" si="2"/>
        <v>41800000</v>
      </c>
    </row>
    <row r="47" spans="1:8" ht="16.95" customHeight="1" x14ac:dyDescent="0.3">
      <c r="A47" s="223" t="s">
        <v>43</v>
      </c>
      <c r="B47" s="223"/>
      <c r="C47" s="223"/>
      <c r="D47" s="223"/>
      <c r="E47" s="223"/>
      <c r="F47" s="41"/>
    </row>
    <row r="48" spans="1:8" ht="72" customHeight="1" x14ac:dyDescent="0.3">
      <c r="A48" s="195" t="s">
        <v>162</v>
      </c>
      <c r="B48" s="196"/>
      <c r="C48" s="196"/>
      <c r="D48" s="196"/>
      <c r="E48" s="196"/>
      <c r="F48" s="197"/>
    </row>
    <row r="49" spans="1:7" ht="15" customHeight="1" x14ac:dyDescent="0.3"/>
    <row r="50" spans="1:7" ht="16.95" customHeight="1" x14ac:dyDescent="0.3">
      <c r="A50" s="209" t="s">
        <v>39</v>
      </c>
      <c r="B50" s="209"/>
      <c r="C50" s="209"/>
      <c r="D50" s="209"/>
      <c r="E50" s="209"/>
      <c r="F50" s="209"/>
    </row>
    <row r="51" spans="1:7" ht="30" customHeight="1" x14ac:dyDescent="0.3">
      <c r="A51" s="216" t="s">
        <v>40</v>
      </c>
      <c r="B51" s="216"/>
      <c r="C51" s="216"/>
      <c r="D51" s="216"/>
      <c r="E51" s="216"/>
      <c r="F51" s="216"/>
    </row>
    <row r="52" spans="1:7" ht="15" customHeight="1" x14ac:dyDescent="0.3"/>
    <row r="53" spans="1:7" ht="31.2" x14ac:dyDescent="0.3">
      <c r="A53" s="224" t="s">
        <v>23</v>
      </c>
      <c r="B53" s="224"/>
      <c r="C53" s="7" t="s">
        <v>41</v>
      </c>
      <c r="D53" s="132" t="s">
        <v>42</v>
      </c>
      <c r="E53" s="7" t="s">
        <v>44</v>
      </c>
      <c r="F53" s="132" t="s">
        <v>24</v>
      </c>
    </row>
    <row r="54" spans="1:7" ht="56.4" customHeight="1" x14ac:dyDescent="0.3">
      <c r="A54" s="242" t="s">
        <v>28</v>
      </c>
      <c r="B54" s="243"/>
      <c r="C54" s="152"/>
      <c r="D54" s="152" t="s">
        <v>189</v>
      </c>
      <c r="E54" s="153" t="s">
        <v>191</v>
      </c>
      <c r="F54" s="17" t="s">
        <v>206</v>
      </c>
    </row>
    <row r="55" spans="1:7" ht="53.4" customHeight="1" x14ac:dyDescent="0.3">
      <c r="A55" s="242" t="s">
        <v>29</v>
      </c>
      <c r="B55" s="242"/>
      <c r="C55" s="152"/>
      <c r="D55" s="152" t="s">
        <v>189</v>
      </c>
      <c r="E55" s="153" t="s">
        <v>191</v>
      </c>
      <c r="F55" s="18" t="s">
        <v>206</v>
      </c>
    </row>
    <row r="56" spans="1:7" ht="27.9" customHeight="1" x14ac:dyDescent="0.3">
      <c r="A56" s="240" t="s">
        <v>27</v>
      </c>
      <c r="B56" s="240"/>
      <c r="C56" s="152" t="s">
        <v>189</v>
      </c>
      <c r="D56" s="152"/>
      <c r="E56" s="152"/>
      <c r="F56" s="18" t="s">
        <v>206</v>
      </c>
    </row>
    <row r="57" spans="1:7" ht="54.6" customHeight="1" x14ac:dyDescent="0.3">
      <c r="A57" s="241" t="s">
        <v>30</v>
      </c>
      <c r="B57" s="241"/>
      <c r="C57" s="152"/>
      <c r="D57" s="152" t="s">
        <v>189</v>
      </c>
      <c r="E57" s="153" t="s">
        <v>191</v>
      </c>
      <c r="F57" s="19" t="s">
        <v>206</v>
      </c>
    </row>
    <row r="58" spans="1:7" s="87" customFormat="1" x14ac:dyDescent="0.3">
      <c r="A58" s="223" t="s">
        <v>43</v>
      </c>
      <c r="B58" s="223"/>
      <c r="C58" s="223"/>
      <c r="D58" s="223"/>
      <c r="E58" s="223"/>
      <c r="F58" s="223"/>
      <c r="G58" s="36"/>
    </row>
    <row r="59" spans="1:7" s="87" customFormat="1" ht="54.9" customHeight="1" x14ac:dyDescent="0.3">
      <c r="A59" s="213" t="s">
        <v>88</v>
      </c>
      <c r="B59" s="213"/>
      <c r="C59" s="213"/>
      <c r="D59" s="213"/>
      <c r="E59" s="213"/>
      <c r="F59" s="213"/>
      <c r="G59" s="36"/>
    </row>
    <row r="60" spans="1:7" s="87" customFormat="1" ht="15" customHeight="1" x14ac:dyDescent="0.3">
      <c r="A60" s="142"/>
      <c r="B60" s="142"/>
      <c r="C60" s="142"/>
      <c r="D60" s="142"/>
      <c r="E60" s="142"/>
      <c r="F60" s="142"/>
      <c r="G60" s="36"/>
    </row>
    <row r="61" spans="1:7" s="87" customFormat="1" ht="15" customHeight="1" x14ac:dyDescent="0.3">
      <c r="A61" s="142"/>
      <c r="B61" s="142"/>
      <c r="C61" s="142"/>
      <c r="D61" s="142"/>
      <c r="E61" s="142"/>
      <c r="F61" s="142"/>
      <c r="G61" s="36"/>
    </row>
    <row r="62" spans="1:7" s="87" customFormat="1" ht="15" customHeight="1" x14ac:dyDescent="0.3">
      <c r="A62" s="142"/>
      <c r="B62" s="142"/>
      <c r="C62" s="142"/>
      <c r="D62" s="142"/>
      <c r="E62" s="142"/>
      <c r="F62" s="142"/>
      <c r="G62" s="36"/>
    </row>
    <row r="63" spans="1:7" s="87" customFormat="1" ht="15" customHeight="1" x14ac:dyDescent="0.3">
      <c r="A63" s="142"/>
      <c r="B63" s="142"/>
      <c r="C63" s="142"/>
      <c r="D63" s="142"/>
      <c r="E63" s="142"/>
      <c r="F63" s="142"/>
      <c r="G63" s="36"/>
    </row>
    <row r="64" spans="1:7" s="87" customFormat="1" ht="15" customHeight="1" x14ac:dyDescent="0.3">
      <c r="A64" s="142"/>
      <c r="B64" s="142"/>
      <c r="C64" s="142"/>
      <c r="D64" s="142"/>
      <c r="E64" s="142"/>
      <c r="F64" s="142"/>
      <c r="G64" s="36"/>
    </row>
    <row r="65" spans="1:8" x14ac:dyDescent="0.3">
      <c r="A65" s="209" t="s">
        <v>45</v>
      </c>
      <c r="B65" s="209"/>
      <c r="C65" s="209"/>
      <c r="D65" s="209"/>
      <c r="E65" s="209"/>
      <c r="F65" s="209"/>
    </row>
    <row r="66" spans="1:8" x14ac:dyDescent="0.3">
      <c r="A66" s="209" t="s">
        <v>25</v>
      </c>
      <c r="B66" s="209"/>
      <c r="C66" s="209"/>
      <c r="D66" s="209"/>
      <c r="E66" s="209"/>
      <c r="F66" s="209"/>
    </row>
    <row r="68" spans="1:8" ht="30" x14ac:dyDescent="0.3">
      <c r="A68" s="217" t="s">
        <v>23</v>
      </c>
      <c r="B68" s="217"/>
      <c r="C68" s="9" t="s">
        <v>41</v>
      </c>
      <c r="D68" s="138" t="s">
        <v>42</v>
      </c>
      <c r="E68" s="9" t="s">
        <v>87</v>
      </c>
      <c r="F68" s="138" t="s">
        <v>24</v>
      </c>
    </row>
    <row r="69" spans="1:8" ht="87" customHeight="1" x14ac:dyDescent="0.3">
      <c r="A69" s="218" t="s">
        <v>31</v>
      </c>
      <c r="B69" s="218"/>
      <c r="C69" s="20"/>
      <c r="D69" s="156" t="s">
        <v>190</v>
      </c>
      <c r="E69" s="153" t="s">
        <v>192</v>
      </c>
      <c r="F69" s="43"/>
      <c r="G69" s="87"/>
    </row>
    <row r="70" spans="1:8" ht="15" customHeight="1" x14ac:dyDescent="0.3">
      <c r="A70" s="219" t="s">
        <v>32</v>
      </c>
      <c r="B70" s="219"/>
      <c r="C70" s="31" t="s">
        <v>190</v>
      </c>
      <c r="D70" s="31"/>
      <c r="E70" s="32"/>
      <c r="F70" s="44"/>
      <c r="G70" s="87"/>
    </row>
    <row r="71" spans="1:8" x14ac:dyDescent="0.3">
      <c r="A71" s="194" t="s">
        <v>43</v>
      </c>
      <c r="B71" s="194"/>
      <c r="C71" s="194"/>
      <c r="D71" s="194"/>
      <c r="E71" s="194"/>
      <c r="F71" s="194"/>
    </row>
    <row r="72" spans="1:8" ht="50.1" customHeight="1" x14ac:dyDescent="0.3">
      <c r="A72" s="213" t="s">
        <v>57</v>
      </c>
      <c r="B72" s="213"/>
      <c r="C72" s="213"/>
      <c r="D72" s="213"/>
      <c r="E72" s="213"/>
      <c r="F72" s="213"/>
    </row>
    <row r="73" spans="1:8" x14ac:dyDescent="0.3">
      <c r="E73" s="45"/>
    </row>
    <row r="74" spans="1:8" x14ac:dyDescent="0.35">
      <c r="A74" s="2" t="s">
        <v>46</v>
      </c>
      <c r="B74" s="198" t="s">
        <v>197</v>
      </c>
      <c r="C74" s="199"/>
      <c r="D74" s="200" t="s">
        <v>49</v>
      </c>
      <c r="E74" s="201"/>
      <c r="F74" s="202"/>
      <c r="G74" s="1"/>
      <c r="H74" s="1"/>
    </row>
    <row r="75" spans="1:8" x14ac:dyDescent="0.35">
      <c r="A75" s="2" t="s">
        <v>47</v>
      </c>
      <c r="B75" s="198" t="s">
        <v>198</v>
      </c>
      <c r="C75" s="199"/>
      <c r="D75" s="203"/>
      <c r="E75" s="204"/>
      <c r="F75" s="205"/>
      <c r="G75" s="1"/>
      <c r="H75" s="1"/>
    </row>
    <row r="76" spans="1:8" x14ac:dyDescent="0.35">
      <c r="A76" s="2" t="s">
        <v>48</v>
      </c>
      <c r="B76" s="198" t="s">
        <v>196</v>
      </c>
      <c r="C76" s="199"/>
      <c r="D76" s="206"/>
      <c r="E76" s="207"/>
      <c r="F76" s="208"/>
      <c r="G76" s="1"/>
      <c r="H76" s="1"/>
    </row>
    <row r="77" spans="1:8" x14ac:dyDescent="0.35">
      <c r="A77" s="1"/>
      <c r="B77" s="1"/>
      <c r="C77" s="1"/>
      <c r="D77" s="1"/>
      <c r="E77" s="1"/>
      <c r="F77" s="1"/>
      <c r="G77" s="1"/>
      <c r="H77" s="1"/>
    </row>
    <row r="79" spans="1:8" ht="21.9" customHeight="1" x14ac:dyDescent="0.3">
      <c r="A79" s="214" t="s">
        <v>50</v>
      </c>
      <c r="B79" s="214"/>
      <c r="C79" s="214"/>
      <c r="D79" s="214"/>
      <c r="E79" s="214"/>
      <c r="F79" s="214"/>
    </row>
    <row r="80" spans="1:8" ht="9.9" customHeight="1" x14ac:dyDescent="0.3"/>
    <row r="81" spans="1:7" x14ac:dyDescent="0.3">
      <c r="A81" s="209" t="s">
        <v>51</v>
      </c>
      <c r="B81" s="209"/>
      <c r="C81" s="209"/>
      <c r="D81" s="209"/>
      <c r="E81" s="209"/>
      <c r="F81" s="209"/>
    </row>
    <row r="82" spans="1:7" x14ac:dyDescent="0.3">
      <c r="A82" s="209" t="s">
        <v>63</v>
      </c>
      <c r="B82" s="209"/>
      <c r="C82" s="209"/>
      <c r="D82" s="209"/>
      <c r="E82" s="209"/>
      <c r="F82" s="209"/>
    </row>
    <row r="83" spans="1:7" x14ac:dyDescent="0.3">
      <c r="A83" s="209" t="s">
        <v>52</v>
      </c>
      <c r="B83" s="209"/>
      <c r="C83" s="209"/>
      <c r="D83" s="209"/>
      <c r="E83" s="209"/>
      <c r="F83" s="209"/>
    </row>
    <row r="84" spans="1:7" ht="9.9" customHeight="1" x14ac:dyDescent="0.3"/>
    <row r="85" spans="1:7" ht="45" x14ac:dyDescent="0.3">
      <c r="A85" s="69" t="s">
        <v>64</v>
      </c>
      <c r="B85" s="69" t="s">
        <v>68</v>
      </c>
      <c r="C85" s="69" t="s">
        <v>72</v>
      </c>
      <c r="D85" s="69" t="s">
        <v>69</v>
      </c>
      <c r="E85" s="69" t="s">
        <v>70</v>
      </c>
      <c r="F85" s="69" t="s">
        <v>71</v>
      </c>
    </row>
    <row r="86" spans="1:7" x14ac:dyDescent="0.3">
      <c r="A86" s="134" t="s">
        <v>16</v>
      </c>
      <c r="B86" s="35">
        <f>+SUM(B88:B92)</f>
        <v>18884839825</v>
      </c>
      <c r="C86" s="78">
        <f>+SUM(C88:C92)</f>
        <v>100</v>
      </c>
      <c r="D86" s="11"/>
      <c r="E86" s="11"/>
      <c r="F86" s="11"/>
    </row>
    <row r="87" spans="1:7" ht="9.9" customHeight="1" x14ac:dyDescent="0.3">
      <c r="A87" s="25"/>
      <c r="B87" s="26"/>
      <c r="C87" s="66"/>
      <c r="D87" s="24"/>
      <c r="E87" s="24"/>
      <c r="F87" s="24"/>
    </row>
    <row r="88" spans="1:7" ht="39.6" x14ac:dyDescent="0.3">
      <c r="A88" s="25" t="s">
        <v>65</v>
      </c>
      <c r="B88" s="26">
        <v>18884839825</v>
      </c>
      <c r="C88" s="34">
        <v>100</v>
      </c>
      <c r="D88" s="158" t="s">
        <v>186</v>
      </c>
      <c r="E88" s="157" t="s">
        <v>187</v>
      </c>
      <c r="F88" s="24"/>
      <c r="G88" s="88"/>
    </row>
    <row r="89" spans="1:7" x14ac:dyDescent="0.3">
      <c r="A89" s="25" t="s">
        <v>66</v>
      </c>
      <c r="B89" s="26">
        <v>0</v>
      </c>
      <c r="C89" s="66">
        <f t="shared" ref="C89" si="3">+B89/$B$86*100</f>
        <v>0</v>
      </c>
      <c r="D89" s="25"/>
      <c r="E89" s="25"/>
      <c r="F89" s="25"/>
      <c r="G89" s="88"/>
    </row>
    <row r="90" spans="1:7" x14ac:dyDescent="0.3">
      <c r="A90" s="25" t="s">
        <v>67</v>
      </c>
      <c r="B90" s="26">
        <v>0</v>
      </c>
      <c r="C90" s="66">
        <f>+B90/$B$86*100</f>
        <v>0</v>
      </c>
      <c r="D90" s="25"/>
      <c r="E90" s="25"/>
      <c r="F90" s="25"/>
      <c r="G90" s="88"/>
    </row>
    <row r="91" spans="1:7" x14ac:dyDescent="0.3">
      <c r="A91" s="25" t="s">
        <v>170</v>
      </c>
      <c r="B91" s="26">
        <v>0</v>
      </c>
      <c r="C91" s="66">
        <f t="shared" ref="C91:C92" si="4">+B91/$B$86*100</f>
        <v>0</v>
      </c>
      <c r="D91" s="24"/>
      <c r="E91" s="24"/>
      <c r="F91" s="24"/>
    </row>
    <row r="92" spans="1:7" x14ac:dyDescent="0.3">
      <c r="A92" s="27" t="s">
        <v>171</v>
      </c>
      <c r="B92" s="26">
        <v>0</v>
      </c>
      <c r="C92" s="66">
        <f t="shared" si="4"/>
        <v>0</v>
      </c>
      <c r="D92" s="76"/>
      <c r="E92" s="76"/>
      <c r="F92" s="76"/>
    </row>
    <row r="93" spans="1:7" x14ac:dyDescent="0.3">
      <c r="A93" s="194" t="s">
        <v>43</v>
      </c>
      <c r="B93" s="194"/>
      <c r="C93" s="194"/>
      <c r="D93" s="194"/>
      <c r="E93" s="194"/>
      <c r="F93" s="194"/>
    </row>
    <row r="94" spans="1:7" ht="50.1" customHeight="1" x14ac:dyDescent="0.3">
      <c r="A94" s="213" t="s">
        <v>172</v>
      </c>
      <c r="B94" s="213"/>
      <c r="C94" s="213"/>
      <c r="D94" s="213"/>
      <c r="E94" s="213"/>
      <c r="F94" s="213"/>
    </row>
    <row r="95" spans="1:7" ht="9.9" customHeight="1" x14ac:dyDescent="0.3">
      <c r="A95" s="25"/>
      <c r="B95" s="48"/>
      <c r="C95" s="24"/>
    </row>
    <row r="96" spans="1:7" x14ac:dyDescent="0.3">
      <c r="A96" s="209" t="s">
        <v>73</v>
      </c>
      <c r="B96" s="209"/>
      <c r="C96" s="209"/>
      <c r="D96" s="209"/>
      <c r="E96" s="209"/>
      <c r="F96" s="209"/>
    </row>
    <row r="97" spans="1:10" x14ac:dyDescent="0.3">
      <c r="A97" s="209" t="s">
        <v>74</v>
      </c>
      <c r="B97" s="209"/>
      <c r="C97" s="209"/>
      <c r="D97" s="209"/>
      <c r="E97" s="209"/>
      <c r="F97" s="209"/>
    </row>
    <row r="98" spans="1:10" x14ac:dyDescent="0.3">
      <c r="A98" s="209" t="s">
        <v>52</v>
      </c>
      <c r="B98" s="209"/>
      <c r="C98" s="209"/>
      <c r="D98" s="209"/>
      <c r="E98" s="209"/>
      <c r="F98" s="209"/>
    </row>
    <row r="99" spans="1:10" ht="9.9" customHeight="1" x14ac:dyDescent="0.3"/>
    <row r="100" spans="1:10" x14ac:dyDescent="0.3">
      <c r="A100" s="68" t="s">
        <v>55</v>
      </c>
      <c r="B100" s="68" t="s">
        <v>56</v>
      </c>
      <c r="C100" s="68" t="s">
        <v>5</v>
      </c>
      <c r="D100" s="68" t="s">
        <v>6</v>
      </c>
      <c r="E100" s="68" t="s">
        <v>7</v>
      </c>
      <c r="F100" s="68" t="s">
        <v>8</v>
      </c>
    </row>
    <row r="101" spans="1:10" x14ac:dyDescent="0.3">
      <c r="A101" s="134" t="s">
        <v>16</v>
      </c>
      <c r="B101" s="49"/>
      <c r="C101" s="12">
        <f>+C103+C107</f>
        <v>4532375186.1400108</v>
      </c>
      <c r="D101" s="12">
        <f t="shared" ref="D101:E101" si="5">+D103+D107</f>
        <v>0</v>
      </c>
      <c r="E101" s="12">
        <f t="shared" si="5"/>
        <v>0</v>
      </c>
      <c r="F101" s="35">
        <f>+F103+F107</f>
        <v>4532375186.1400108</v>
      </c>
      <c r="G101" s="40"/>
    </row>
    <row r="102" spans="1:10" ht="9.9" customHeight="1" x14ac:dyDescent="0.3">
      <c r="A102" s="13"/>
      <c r="B102" s="50"/>
      <c r="C102" s="14"/>
      <c r="D102" s="14"/>
      <c r="E102" s="14"/>
      <c r="F102" s="51"/>
      <c r="J102" s="40"/>
    </row>
    <row r="103" spans="1:10" x14ac:dyDescent="0.3">
      <c r="A103" s="210" t="s">
        <v>75</v>
      </c>
      <c r="B103" s="210"/>
      <c r="C103" s="52">
        <f>+SUM(C104:C106)</f>
        <v>4532375186.1400108</v>
      </c>
      <c r="D103" s="52">
        <f>+SUM(D104:D105)</f>
        <v>0</v>
      </c>
      <c r="E103" s="52">
        <f>+SUM(E104:E106)</f>
        <v>0</v>
      </c>
      <c r="F103" s="53">
        <f>+SUM(F104:F106)</f>
        <v>4532375186.1400108</v>
      </c>
      <c r="G103" s="40"/>
    </row>
    <row r="104" spans="1:10" x14ac:dyDescent="0.3">
      <c r="A104" s="169" t="s">
        <v>211</v>
      </c>
      <c r="B104" s="54" t="s">
        <v>208</v>
      </c>
      <c r="C104" s="15">
        <f>408762132.5-(204381066.25)</f>
        <v>204381066.25</v>
      </c>
      <c r="D104" s="15">
        <v>0</v>
      </c>
      <c r="E104" s="15">
        <v>0</v>
      </c>
      <c r="F104" s="55">
        <f>+C104+D104+E104</f>
        <v>204381066.25</v>
      </c>
    </row>
    <row r="105" spans="1:10" x14ac:dyDescent="0.3">
      <c r="A105" s="169" t="s">
        <v>211</v>
      </c>
      <c r="B105" s="54" t="s">
        <v>208</v>
      </c>
      <c r="C105" s="15">
        <f>8698364611.89001-(4370370492+146458398)</f>
        <v>4181535721.8900108</v>
      </c>
      <c r="D105" s="15">
        <v>0</v>
      </c>
      <c r="E105" s="15">
        <v>0</v>
      </c>
      <c r="F105" s="55">
        <f t="shared" ref="F105:F106" si="6">+C105+D105+E105</f>
        <v>4181535721.8900108</v>
      </c>
      <c r="G105" s="146"/>
      <c r="H105" s="40"/>
      <c r="J105" s="40"/>
    </row>
    <row r="106" spans="1:10" x14ac:dyDescent="0.3">
      <c r="A106" s="169" t="s">
        <v>211</v>
      </c>
      <c r="B106" s="54" t="s">
        <v>208</v>
      </c>
      <c r="C106" s="15">
        <v>146458398</v>
      </c>
      <c r="D106" s="15">
        <v>0</v>
      </c>
      <c r="E106" s="15">
        <v>0</v>
      </c>
      <c r="F106" s="55">
        <f t="shared" si="6"/>
        <v>146458398</v>
      </c>
    </row>
    <row r="107" spans="1:10" x14ac:dyDescent="0.3">
      <c r="A107" s="210" t="s">
        <v>76</v>
      </c>
      <c r="B107" s="210"/>
      <c r="C107" s="52">
        <f>+SUM(C108:C109)</f>
        <v>0</v>
      </c>
      <c r="D107" s="52">
        <f>+SUM(D108:D109)</f>
        <v>0</v>
      </c>
      <c r="E107" s="52">
        <f>+SUM(E108:E109)</f>
        <v>0</v>
      </c>
      <c r="F107" s="53">
        <f>+SUM(F108:F109)</f>
        <v>0</v>
      </c>
    </row>
    <row r="108" spans="1:10" x14ac:dyDescent="0.3">
      <c r="A108" s="54" t="s">
        <v>59</v>
      </c>
      <c r="B108" s="50" t="s">
        <v>53</v>
      </c>
      <c r="C108" s="56">
        <v>0</v>
      </c>
      <c r="D108" s="56">
        <v>0</v>
      </c>
      <c r="E108" s="56">
        <v>0</v>
      </c>
      <c r="F108" s="57">
        <f t="shared" ref="F108:F109" si="7">+C108+D108+E108</f>
        <v>0</v>
      </c>
    </row>
    <row r="109" spans="1:10" x14ac:dyDescent="0.3">
      <c r="A109" s="54" t="s">
        <v>59</v>
      </c>
      <c r="B109" s="50" t="s">
        <v>53</v>
      </c>
      <c r="C109" s="56">
        <v>0</v>
      </c>
      <c r="D109" s="56">
        <v>0</v>
      </c>
      <c r="E109" s="56">
        <v>0</v>
      </c>
      <c r="F109" s="57">
        <f t="shared" si="7"/>
        <v>0</v>
      </c>
    </row>
    <row r="110" spans="1:10" x14ac:dyDescent="0.3">
      <c r="A110" s="194" t="s">
        <v>43</v>
      </c>
      <c r="B110" s="194"/>
      <c r="C110" s="194"/>
      <c r="D110" s="194"/>
      <c r="E110" s="194"/>
      <c r="F110" s="194"/>
    </row>
    <row r="111" spans="1:10" ht="41.4" customHeight="1" x14ac:dyDescent="0.3">
      <c r="A111" s="213" t="s">
        <v>152</v>
      </c>
      <c r="B111" s="213"/>
      <c r="C111" s="213"/>
      <c r="D111" s="213"/>
      <c r="E111" s="213"/>
      <c r="F111" s="213"/>
    </row>
    <row r="112" spans="1:10" ht="9.9" customHeight="1" x14ac:dyDescent="0.3">
      <c r="A112" s="25"/>
      <c r="B112" s="48"/>
      <c r="C112" s="24"/>
    </row>
    <row r="113" spans="1:12" x14ac:dyDescent="0.3">
      <c r="A113" s="209" t="s">
        <v>77</v>
      </c>
      <c r="B113" s="209"/>
      <c r="C113" s="209"/>
      <c r="D113" s="209"/>
      <c r="E113" s="209"/>
      <c r="F113" s="209"/>
      <c r="J113" s="40"/>
      <c r="K113" s="146"/>
      <c r="L113" s="168"/>
    </row>
    <row r="114" spans="1:12" ht="32.25" customHeight="1" x14ac:dyDescent="0.3">
      <c r="A114" s="216" t="s">
        <v>54</v>
      </c>
      <c r="B114" s="216"/>
      <c r="C114" s="216"/>
      <c r="D114" s="216"/>
      <c r="E114" s="216"/>
      <c r="F114" s="216"/>
      <c r="J114" s="146"/>
    </row>
    <row r="115" spans="1:12" x14ac:dyDescent="0.3">
      <c r="A115" s="209" t="s">
        <v>52</v>
      </c>
      <c r="B115" s="209"/>
      <c r="C115" s="209"/>
      <c r="D115" s="209"/>
      <c r="E115" s="209"/>
      <c r="F115" s="209"/>
      <c r="J115" s="146"/>
    </row>
    <row r="116" spans="1:12" ht="9.9" customHeight="1" x14ac:dyDescent="0.3">
      <c r="A116" s="89"/>
      <c r="B116" s="90"/>
      <c r="C116" s="90"/>
      <c r="D116" s="90"/>
      <c r="E116" s="90"/>
      <c r="F116" s="91"/>
      <c r="J116" s="146"/>
    </row>
    <row r="117" spans="1:12" x14ac:dyDescent="0.3">
      <c r="A117" s="68" t="s">
        <v>55</v>
      </c>
      <c r="B117" s="68" t="s">
        <v>56</v>
      </c>
      <c r="C117" s="68" t="s">
        <v>5</v>
      </c>
      <c r="D117" s="68" t="s">
        <v>6</v>
      </c>
      <c r="E117" s="68" t="s">
        <v>7</v>
      </c>
      <c r="F117" s="68" t="s">
        <v>8</v>
      </c>
      <c r="J117" s="146"/>
    </row>
    <row r="118" spans="1:12" x14ac:dyDescent="0.3">
      <c r="A118" s="134" t="s">
        <v>16</v>
      </c>
      <c r="B118" s="49"/>
      <c r="C118" s="35">
        <f>+C120+C127+C134</f>
        <v>1327990334.0799999</v>
      </c>
      <c r="D118" s="35">
        <f t="shared" ref="D118:F118" si="8">+D120+D127+D134</f>
        <v>1455909100.0799999</v>
      </c>
      <c r="E118" s="35">
        <f t="shared" si="8"/>
        <v>1429673533.5799999</v>
      </c>
      <c r="F118" s="35">
        <f t="shared" si="8"/>
        <v>4213572967.7399998</v>
      </c>
      <c r="J118" s="146"/>
    </row>
    <row r="119" spans="1:12" ht="9.9" customHeight="1" x14ac:dyDescent="0.3">
      <c r="A119" s="13"/>
      <c r="B119" s="50"/>
      <c r="C119" s="14"/>
      <c r="D119" s="14"/>
      <c r="E119" s="14"/>
      <c r="F119" s="51"/>
      <c r="H119" s="40"/>
      <c r="I119" s="40"/>
      <c r="J119" s="146"/>
    </row>
    <row r="120" spans="1:12" ht="15" customHeight="1" x14ac:dyDescent="0.3">
      <c r="A120" s="210" t="s">
        <v>58</v>
      </c>
      <c r="B120" s="210"/>
      <c r="C120" s="53">
        <f>+SUM(C121:C125)</f>
        <v>1327990334.0799999</v>
      </c>
      <c r="D120" s="53">
        <f t="shared" ref="D120:E120" si="9">+SUM(D121:D125)</f>
        <v>1455909100.0799999</v>
      </c>
      <c r="E120" s="53">
        <f t="shared" si="9"/>
        <v>1429673533.5799999</v>
      </c>
      <c r="F120" s="53">
        <f>+SUM(F121:F125)</f>
        <v>4213572967.7399998</v>
      </c>
    </row>
    <row r="121" spans="1:12" ht="30" x14ac:dyDescent="0.3">
      <c r="A121" s="170">
        <v>60104</v>
      </c>
      <c r="B121" s="54" t="s">
        <v>209</v>
      </c>
      <c r="C121" s="15">
        <v>73801502.079999998</v>
      </c>
      <c r="D121" s="15">
        <v>56945290.079999998</v>
      </c>
      <c r="E121" s="15">
        <v>54257573.579999998</v>
      </c>
      <c r="F121" s="55">
        <f>+C121+D121+E121</f>
        <v>185004365.74000001</v>
      </c>
      <c r="H121" s="40"/>
      <c r="I121" s="40"/>
    </row>
    <row r="122" spans="1:12" ht="30" x14ac:dyDescent="0.3">
      <c r="A122" s="170">
        <v>60401</v>
      </c>
      <c r="B122" s="54" t="s">
        <v>207</v>
      </c>
      <c r="C122" s="15">
        <v>1206834698</v>
      </c>
      <c r="D122" s="58">
        <v>1358071308</v>
      </c>
      <c r="E122" s="58">
        <v>1330081086</v>
      </c>
      <c r="F122" s="55">
        <f t="shared" ref="F122:F125" si="10">+C122+D122+E122</f>
        <v>3894987092</v>
      </c>
      <c r="H122" s="40"/>
    </row>
    <row r="123" spans="1:12" ht="30" x14ac:dyDescent="0.3">
      <c r="A123" s="171">
        <v>60402</v>
      </c>
      <c r="B123" s="54" t="s">
        <v>210</v>
      </c>
      <c r="C123" s="15">
        <v>47354134</v>
      </c>
      <c r="D123" s="15">
        <v>40892502</v>
      </c>
      <c r="E123" s="15">
        <v>45334874</v>
      </c>
      <c r="F123" s="55">
        <f t="shared" si="10"/>
        <v>133581510</v>
      </c>
      <c r="H123" s="40"/>
      <c r="I123" s="40"/>
    </row>
    <row r="124" spans="1:12" x14ac:dyDescent="0.3">
      <c r="A124" s="54" t="s">
        <v>59</v>
      </c>
      <c r="B124" s="50" t="s">
        <v>53</v>
      </c>
      <c r="C124" s="15">
        <v>0</v>
      </c>
      <c r="D124" s="15">
        <v>0</v>
      </c>
      <c r="E124" s="15">
        <v>0</v>
      </c>
      <c r="F124" s="55">
        <f t="shared" si="10"/>
        <v>0</v>
      </c>
      <c r="H124" s="40"/>
      <c r="I124" s="40"/>
    </row>
    <row r="125" spans="1:12" x14ac:dyDescent="0.3">
      <c r="A125" s="54" t="s">
        <v>59</v>
      </c>
      <c r="B125" s="50" t="s">
        <v>53</v>
      </c>
      <c r="C125" s="15">
        <v>0</v>
      </c>
      <c r="D125" s="15">
        <v>0</v>
      </c>
      <c r="E125" s="15">
        <v>0</v>
      </c>
      <c r="F125" s="55">
        <f t="shared" si="10"/>
        <v>0</v>
      </c>
      <c r="I125" s="40"/>
    </row>
    <row r="126" spans="1:12" x14ac:dyDescent="0.3">
      <c r="A126" s="136"/>
      <c r="B126" s="50"/>
      <c r="C126" s="15"/>
      <c r="D126" s="15"/>
      <c r="E126" s="15"/>
      <c r="F126" s="55"/>
      <c r="H126" s="40"/>
    </row>
    <row r="127" spans="1:12" ht="15" customHeight="1" x14ac:dyDescent="0.3">
      <c r="A127" s="210" t="s">
        <v>60</v>
      </c>
      <c r="B127" s="210"/>
      <c r="C127" s="53">
        <f>+SUM(C128:C132)</f>
        <v>0</v>
      </c>
      <c r="D127" s="53">
        <f t="shared" ref="D127:F127" si="11">+SUM(D128:D132)</f>
        <v>0</v>
      </c>
      <c r="E127" s="53">
        <f t="shared" si="11"/>
        <v>0</v>
      </c>
      <c r="F127" s="53">
        <f t="shared" si="11"/>
        <v>0</v>
      </c>
      <c r="I127" s="40"/>
    </row>
    <row r="128" spans="1:12" x14ac:dyDescent="0.3">
      <c r="A128" s="54" t="s">
        <v>59</v>
      </c>
      <c r="B128" s="50" t="s">
        <v>53</v>
      </c>
      <c r="C128" s="56">
        <v>0</v>
      </c>
      <c r="D128" s="56">
        <v>0</v>
      </c>
      <c r="E128" s="56">
        <v>0</v>
      </c>
      <c r="F128" s="40">
        <f>+C128+D128+E128</f>
        <v>0</v>
      </c>
    </row>
    <row r="129" spans="1:6" x14ac:dyDescent="0.3">
      <c r="A129" s="54" t="s">
        <v>59</v>
      </c>
      <c r="B129" s="50" t="s">
        <v>53</v>
      </c>
      <c r="C129" s="56">
        <v>0</v>
      </c>
      <c r="D129" s="56">
        <v>0</v>
      </c>
      <c r="E129" s="56">
        <v>0</v>
      </c>
      <c r="F129" s="40">
        <f t="shared" ref="F129:F132" si="12">+C129+D129+E129</f>
        <v>0</v>
      </c>
    </row>
    <row r="130" spans="1:6" x14ac:dyDescent="0.3">
      <c r="A130" s="54" t="s">
        <v>59</v>
      </c>
      <c r="B130" s="50" t="s">
        <v>53</v>
      </c>
      <c r="C130" s="56">
        <v>0</v>
      </c>
      <c r="D130" s="56">
        <v>0</v>
      </c>
      <c r="E130" s="56">
        <v>0</v>
      </c>
      <c r="F130" s="40">
        <f t="shared" si="12"/>
        <v>0</v>
      </c>
    </row>
    <row r="131" spans="1:6" x14ac:dyDescent="0.3">
      <c r="A131" s="54" t="s">
        <v>59</v>
      </c>
      <c r="B131" s="50" t="s">
        <v>53</v>
      </c>
      <c r="C131" s="56">
        <v>0</v>
      </c>
      <c r="D131" s="56">
        <v>0</v>
      </c>
      <c r="E131" s="56">
        <v>0</v>
      </c>
      <c r="F131" s="40">
        <f t="shared" si="12"/>
        <v>0</v>
      </c>
    </row>
    <row r="132" spans="1:6" x14ac:dyDescent="0.3">
      <c r="A132" s="54" t="s">
        <v>59</v>
      </c>
      <c r="B132" s="50" t="s">
        <v>53</v>
      </c>
      <c r="C132" s="56">
        <v>0</v>
      </c>
      <c r="D132" s="56">
        <v>0</v>
      </c>
      <c r="E132" s="56">
        <v>0</v>
      </c>
      <c r="F132" s="40">
        <f t="shared" si="12"/>
        <v>0</v>
      </c>
    </row>
    <row r="133" spans="1:6" x14ac:dyDescent="0.3">
      <c r="C133" s="40"/>
      <c r="D133" s="40"/>
      <c r="E133" s="40"/>
      <c r="F133" s="40"/>
    </row>
    <row r="134" spans="1:6" x14ac:dyDescent="0.3">
      <c r="A134" s="210" t="s">
        <v>61</v>
      </c>
      <c r="B134" s="210"/>
      <c r="C134" s="53">
        <f>+SUM(C135:C136)</f>
        <v>0</v>
      </c>
      <c r="D134" s="53">
        <f t="shared" ref="D134:F134" si="13">+SUM(D135:D136)</f>
        <v>0</v>
      </c>
      <c r="E134" s="53">
        <f t="shared" si="13"/>
        <v>0</v>
      </c>
      <c r="F134" s="53">
        <f t="shared" si="13"/>
        <v>0</v>
      </c>
    </row>
    <row r="135" spans="1:6" x14ac:dyDescent="0.3">
      <c r="A135" s="75" t="s">
        <v>59</v>
      </c>
      <c r="B135" s="50" t="s">
        <v>53</v>
      </c>
      <c r="C135" s="56">
        <v>0</v>
      </c>
      <c r="D135" s="56">
        <v>0</v>
      </c>
      <c r="E135" s="56">
        <v>0</v>
      </c>
      <c r="F135" s="40">
        <f>+C135+D135+E135</f>
        <v>0</v>
      </c>
    </row>
    <row r="136" spans="1:6" x14ac:dyDescent="0.3">
      <c r="A136" s="47" t="s">
        <v>59</v>
      </c>
      <c r="B136" s="47" t="s">
        <v>53</v>
      </c>
      <c r="C136" s="59">
        <v>0</v>
      </c>
      <c r="D136" s="59">
        <v>0</v>
      </c>
      <c r="E136" s="59">
        <v>0</v>
      </c>
      <c r="F136" s="60">
        <f>+C136+D136+E136</f>
        <v>0</v>
      </c>
    </row>
    <row r="137" spans="1:6" ht="15" customHeight="1" x14ac:dyDescent="0.3">
      <c r="A137" s="212" t="s">
        <v>62</v>
      </c>
      <c r="B137" s="212"/>
      <c r="C137" s="212"/>
      <c r="D137" s="212"/>
      <c r="E137" s="212"/>
      <c r="F137" s="212"/>
    </row>
    <row r="138" spans="1:6" ht="15" customHeight="1" x14ac:dyDescent="0.3">
      <c r="A138" s="194" t="s">
        <v>43</v>
      </c>
      <c r="B138" s="194"/>
      <c r="C138" s="194"/>
      <c r="D138" s="194"/>
      <c r="E138" s="194"/>
      <c r="F138" s="194"/>
    </row>
    <row r="139" spans="1:6" ht="50.1" customHeight="1" x14ac:dyDescent="0.3">
      <c r="A139" s="213" t="s">
        <v>153</v>
      </c>
      <c r="B139" s="213"/>
      <c r="C139" s="213"/>
      <c r="D139" s="213"/>
      <c r="E139" s="213"/>
      <c r="F139" s="213"/>
    </row>
    <row r="140" spans="1:6" ht="15" customHeight="1" x14ac:dyDescent="0.3">
      <c r="A140" s="54"/>
      <c r="B140" s="50"/>
    </row>
    <row r="141" spans="1:6" x14ac:dyDescent="0.3">
      <c r="A141" s="209" t="s">
        <v>79</v>
      </c>
      <c r="B141" s="209"/>
      <c r="C141" s="209"/>
      <c r="D141" s="209"/>
      <c r="E141" s="209"/>
      <c r="F141" s="209"/>
    </row>
    <row r="142" spans="1:6" x14ac:dyDescent="0.3">
      <c r="A142" s="209" t="s">
        <v>80</v>
      </c>
      <c r="B142" s="209"/>
      <c r="C142" s="209"/>
      <c r="D142" s="209"/>
      <c r="E142" s="209"/>
      <c r="F142" s="209"/>
    </row>
    <row r="143" spans="1:6" x14ac:dyDescent="0.3">
      <c r="A143" s="209" t="s">
        <v>52</v>
      </c>
      <c r="B143" s="209"/>
      <c r="C143" s="209"/>
      <c r="D143" s="209"/>
      <c r="E143" s="209"/>
      <c r="F143" s="209"/>
    </row>
    <row r="144" spans="1:6" ht="15" customHeight="1" x14ac:dyDescent="0.3">
      <c r="A144" s="89"/>
      <c r="B144" s="90"/>
      <c r="C144" s="90"/>
      <c r="D144" s="90"/>
      <c r="E144" s="90"/>
      <c r="F144" s="91"/>
    </row>
    <row r="145" spans="1:7" x14ac:dyDescent="0.3">
      <c r="A145" s="68" t="s">
        <v>78</v>
      </c>
      <c r="B145" s="68" t="s">
        <v>5</v>
      </c>
      <c r="C145" s="68" t="s">
        <v>6</v>
      </c>
      <c r="D145" s="68" t="s">
        <v>7</v>
      </c>
      <c r="E145" s="68" t="s">
        <v>8</v>
      </c>
      <c r="F145" s="23"/>
    </row>
    <row r="146" spans="1:7" x14ac:dyDescent="0.3">
      <c r="A146" s="105" t="s">
        <v>82</v>
      </c>
      <c r="B146" s="61">
        <f>+B147+B148</f>
        <v>916257410.01000023</v>
      </c>
      <c r="C146" s="61">
        <f t="shared" ref="C146:D148" si="14">+B156</f>
        <v>4120642262.0700111</v>
      </c>
      <c r="D146" s="61">
        <f t="shared" si="14"/>
        <v>2664733161.9900112</v>
      </c>
      <c r="E146" s="61">
        <f>+B146</f>
        <v>916257410.01000023</v>
      </c>
      <c r="F146" s="91"/>
    </row>
    <row r="147" spans="1:7" x14ac:dyDescent="0.3">
      <c r="A147" s="106" t="s">
        <v>83</v>
      </c>
      <c r="B147" s="26">
        <f>+'1T'!E158</f>
        <v>0</v>
      </c>
      <c r="C147" s="26">
        <f t="shared" si="14"/>
        <v>0</v>
      </c>
      <c r="D147" s="26">
        <f t="shared" si="14"/>
        <v>0</v>
      </c>
      <c r="E147" s="65">
        <f>+B147</f>
        <v>0</v>
      </c>
      <c r="F147" s="23"/>
    </row>
    <row r="148" spans="1:7" x14ac:dyDescent="0.3">
      <c r="A148" s="106" t="s">
        <v>81</v>
      </c>
      <c r="B148" s="26">
        <f>+'1T'!E159</f>
        <v>916257410.01000023</v>
      </c>
      <c r="C148" s="26">
        <f t="shared" si="14"/>
        <v>4120642262.0700111</v>
      </c>
      <c r="D148" s="26">
        <f t="shared" si="14"/>
        <v>2664733161.9900112</v>
      </c>
      <c r="E148" s="65">
        <f t="shared" ref="E148" si="15">+B148</f>
        <v>916257410.01000023</v>
      </c>
      <c r="F148" s="23"/>
    </row>
    <row r="149" spans="1:7" x14ac:dyDescent="0.3">
      <c r="A149" s="105" t="s">
        <v>85</v>
      </c>
      <c r="B149" s="61">
        <f>+C103</f>
        <v>4532375186.1400108</v>
      </c>
      <c r="C149" s="61">
        <f>+D101</f>
        <v>0</v>
      </c>
      <c r="D149" s="61">
        <f>+E101</f>
        <v>0</v>
      </c>
      <c r="E149" s="61">
        <f>+B149+C149+D149</f>
        <v>4532375186.1400108</v>
      </c>
      <c r="F149" s="91"/>
    </row>
    <row r="150" spans="1:7" x14ac:dyDescent="0.3">
      <c r="A150" s="105" t="s">
        <v>147</v>
      </c>
      <c r="B150" s="61">
        <f>+B151+B152</f>
        <v>5448632596.1500111</v>
      </c>
      <c r="C150" s="61">
        <f t="shared" ref="C150" si="16">+C151+C152</f>
        <v>4120642262.0700111</v>
      </c>
      <c r="D150" s="61">
        <f>+D151+D152</f>
        <v>2664733161.9900112</v>
      </c>
      <c r="E150" s="61">
        <f>+E151+E152+E148</f>
        <v>5448632596.1500111</v>
      </c>
      <c r="F150" s="91"/>
    </row>
    <row r="151" spans="1:7" x14ac:dyDescent="0.3">
      <c r="A151" s="106" t="s">
        <v>83</v>
      </c>
      <c r="B151" s="26">
        <f>+B147</f>
        <v>0</v>
      </c>
      <c r="C151" s="26">
        <f>+C147</f>
        <v>0</v>
      </c>
      <c r="D151" s="26">
        <f>+D147</f>
        <v>0</v>
      </c>
      <c r="E151" s="65">
        <f>+E147</f>
        <v>0</v>
      </c>
      <c r="F151" s="23"/>
    </row>
    <row r="152" spans="1:7" x14ac:dyDescent="0.3">
      <c r="A152" s="106" t="s">
        <v>81</v>
      </c>
      <c r="B152" s="26">
        <f>+B149+B148</f>
        <v>5448632596.1500111</v>
      </c>
      <c r="C152" s="26">
        <f>+C149+C148</f>
        <v>4120642262.0700111</v>
      </c>
      <c r="D152" s="26">
        <f>+D149+D148</f>
        <v>2664733161.9900112</v>
      </c>
      <c r="E152" s="65">
        <f>+E149</f>
        <v>4532375186.1400108</v>
      </c>
      <c r="F152" s="23"/>
    </row>
    <row r="153" spans="1:7" x14ac:dyDescent="0.3">
      <c r="A153" s="105" t="s">
        <v>84</v>
      </c>
      <c r="B153" s="61">
        <f>+B154+B155</f>
        <v>1327990334.0799999</v>
      </c>
      <c r="C153" s="61">
        <f>+C154+C155</f>
        <v>1455909100.0799999</v>
      </c>
      <c r="D153" s="61">
        <f>+D154+D155</f>
        <v>1429673533.5799999</v>
      </c>
      <c r="E153" s="61">
        <f>+B153+C153+D153</f>
        <v>4213572967.7399998</v>
      </c>
      <c r="F153" s="91"/>
    </row>
    <row r="154" spans="1:7" x14ac:dyDescent="0.3">
      <c r="A154" s="106" t="s">
        <v>83</v>
      </c>
      <c r="B154" s="82">
        <v>0</v>
      </c>
      <c r="C154" s="82">
        <v>0</v>
      </c>
      <c r="D154" s="82">
        <v>0</v>
      </c>
      <c r="E154" s="48">
        <f>+B154+C154+D154</f>
        <v>0</v>
      </c>
      <c r="F154" s="91"/>
    </row>
    <row r="155" spans="1:7" x14ac:dyDescent="0.3">
      <c r="A155" s="106" t="s">
        <v>81</v>
      </c>
      <c r="B155" s="82">
        <f>+C118</f>
        <v>1327990334.0799999</v>
      </c>
      <c r="C155" s="82">
        <f>+D118</f>
        <v>1455909100.0799999</v>
      </c>
      <c r="D155" s="82">
        <f>+E118</f>
        <v>1429673533.5799999</v>
      </c>
      <c r="E155" s="48">
        <f>+B155+C155+D155</f>
        <v>4213572967.7399998</v>
      </c>
      <c r="F155" s="91"/>
    </row>
    <row r="156" spans="1:7" x14ac:dyDescent="0.3">
      <c r="A156" s="105" t="s">
        <v>148</v>
      </c>
      <c r="B156" s="61">
        <f>+B150-B153</f>
        <v>4120642262.0700111</v>
      </c>
      <c r="C156" s="61">
        <f t="shared" ref="C156:D156" si="17">+C150-C153</f>
        <v>2664733161.9900112</v>
      </c>
      <c r="D156" s="61">
        <f t="shared" si="17"/>
        <v>1235059628.4100113</v>
      </c>
      <c r="E156" s="61">
        <f>+E150-E153</f>
        <v>1235059628.4100113</v>
      </c>
      <c r="F156" s="91"/>
      <c r="G156" s="40"/>
    </row>
    <row r="157" spans="1:7" x14ac:dyDescent="0.3">
      <c r="A157" s="106" t="s">
        <v>83</v>
      </c>
      <c r="B157" s="82">
        <f>+B151-B154</f>
        <v>0</v>
      </c>
      <c r="C157" s="82">
        <f>+C151-C154</f>
        <v>0</v>
      </c>
      <c r="D157" s="82">
        <f>+D151-D154</f>
        <v>0</v>
      </c>
      <c r="E157" s="48">
        <f>+E151-E154</f>
        <v>0</v>
      </c>
    </row>
    <row r="158" spans="1:7" x14ac:dyDescent="0.3">
      <c r="A158" s="107" t="s">
        <v>81</v>
      </c>
      <c r="B158" s="77">
        <f>+B152-B155</f>
        <v>4120642262.0700111</v>
      </c>
      <c r="C158" s="77">
        <f>+C152-C155</f>
        <v>2664733161.9900112</v>
      </c>
      <c r="D158" s="77">
        <f>+D152-D155</f>
        <v>1235059628.4100113</v>
      </c>
      <c r="E158" s="62">
        <f>+E150-E153</f>
        <v>1235059628.4100113</v>
      </c>
    </row>
    <row r="159" spans="1:7" x14ac:dyDescent="0.3">
      <c r="A159" s="194" t="s">
        <v>43</v>
      </c>
      <c r="B159" s="194"/>
      <c r="C159" s="194"/>
      <c r="D159" s="194"/>
      <c r="E159" s="194"/>
      <c r="F159" s="41"/>
    </row>
    <row r="160" spans="1:7" ht="50.1" customHeight="1" x14ac:dyDescent="0.3">
      <c r="A160" s="195" t="s">
        <v>92</v>
      </c>
      <c r="B160" s="196"/>
      <c r="C160" s="196"/>
      <c r="D160" s="196"/>
      <c r="E160" s="197"/>
      <c r="F160" s="63"/>
    </row>
    <row r="161" spans="1:6" x14ac:dyDescent="0.3">
      <c r="A161" s="142"/>
      <c r="B161" s="64"/>
      <c r="C161" s="64"/>
      <c r="D161" s="64"/>
      <c r="E161" s="64"/>
      <c r="F161" s="63"/>
    </row>
    <row r="162" spans="1:6" x14ac:dyDescent="0.3">
      <c r="A162" s="79" t="s">
        <v>86</v>
      </c>
      <c r="B162" s="198" t="s">
        <v>199</v>
      </c>
      <c r="C162" s="199"/>
      <c r="D162" s="239" t="s">
        <v>49</v>
      </c>
      <c r="E162" s="201"/>
      <c r="F162" s="202"/>
    </row>
    <row r="163" spans="1:6" x14ac:dyDescent="0.3">
      <c r="A163" s="80" t="s">
        <v>47</v>
      </c>
      <c r="B163" s="198" t="s">
        <v>200</v>
      </c>
      <c r="C163" s="199"/>
      <c r="D163" s="204"/>
      <c r="E163" s="204"/>
      <c r="F163" s="205"/>
    </row>
    <row r="164" spans="1:6" x14ac:dyDescent="0.3">
      <c r="A164" s="81" t="s">
        <v>48</v>
      </c>
      <c r="B164" s="198" t="s">
        <v>201</v>
      </c>
      <c r="C164" s="199"/>
      <c r="D164" s="207"/>
      <c r="E164" s="207"/>
      <c r="F164" s="208"/>
    </row>
  </sheetData>
  <mergeCells count="75">
    <mergeCell ref="A1:F2"/>
    <mergeCell ref="A3:F3"/>
    <mergeCell ref="C5:E5"/>
    <mergeCell ref="C6:E6"/>
    <mergeCell ref="C7:E7"/>
    <mergeCell ref="A10:F10"/>
    <mergeCell ref="A12:F12"/>
    <mergeCell ref="A13:F13"/>
    <mergeCell ref="A30:F30"/>
    <mergeCell ref="A31:F31"/>
    <mergeCell ref="A16:B16"/>
    <mergeCell ref="A18:A20"/>
    <mergeCell ref="A21:A23"/>
    <mergeCell ref="A24:A26"/>
    <mergeCell ref="A27:A29"/>
    <mergeCell ref="A47:E47"/>
    <mergeCell ref="A33:F33"/>
    <mergeCell ref="A34:F34"/>
    <mergeCell ref="A36:B36"/>
    <mergeCell ref="A39:A40"/>
    <mergeCell ref="A41:A42"/>
    <mergeCell ref="A43:A44"/>
    <mergeCell ref="A45:A46"/>
    <mergeCell ref="A48:F48"/>
    <mergeCell ref="A50:F50"/>
    <mergeCell ref="A53:B53"/>
    <mergeCell ref="A54:B54"/>
    <mergeCell ref="A55:B55"/>
    <mergeCell ref="A51:F51"/>
    <mergeCell ref="A56:B56"/>
    <mergeCell ref="A57:B57"/>
    <mergeCell ref="A58:F58"/>
    <mergeCell ref="A59:F59"/>
    <mergeCell ref="A65:F65"/>
    <mergeCell ref="A66:F66"/>
    <mergeCell ref="A68:B68"/>
    <mergeCell ref="A69:B69"/>
    <mergeCell ref="A70:B70"/>
    <mergeCell ref="A71:F71"/>
    <mergeCell ref="A72:F72"/>
    <mergeCell ref="B74:C74"/>
    <mergeCell ref="D74:F76"/>
    <mergeCell ref="B75:C75"/>
    <mergeCell ref="B76:C76"/>
    <mergeCell ref="A79:F79"/>
    <mergeCell ref="A81:F81"/>
    <mergeCell ref="A82:F82"/>
    <mergeCell ref="A83:F83"/>
    <mergeCell ref="A93:F93"/>
    <mergeCell ref="A94:F94"/>
    <mergeCell ref="A96:F96"/>
    <mergeCell ref="A97:F97"/>
    <mergeCell ref="A98:F98"/>
    <mergeCell ref="A103:B103"/>
    <mergeCell ref="A134:B134"/>
    <mergeCell ref="A137:F137"/>
    <mergeCell ref="A107:B107"/>
    <mergeCell ref="A110:F110"/>
    <mergeCell ref="A111:F111"/>
    <mergeCell ref="A113:F113"/>
    <mergeCell ref="A114:F114"/>
    <mergeCell ref="A115:F115"/>
    <mergeCell ref="A120:B120"/>
    <mergeCell ref="A127:B127"/>
    <mergeCell ref="A159:E159"/>
    <mergeCell ref="A160:E160"/>
    <mergeCell ref="B162:C162"/>
    <mergeCell ref="D162:F164"/>
    <mergeCell ref="B163:C163"/>
    <mergeCell ref="B164:C164"/>
    <mergeCell ref="A138:F138"/>
    <mergeCell ref="A139:F139"/>
    <mergeCell ref="A141:F141"/>
    <mergeCell ref="A142:F142"/>
    <mergeCell ref="A143:F143"/>
  </mergeCells>
  <phoneticPr fontId="9" type="noConversion"/>
  <printOptions horizontalCentered="1"/>
  <pageMargins left="0.70866141732283472" right="0.70866141732283472" top="0.94488188976377963" bottom="0.74803149606299213" header="0.19685039370078741" footer="0.31496062992125984"/>
  <pageSetup scale="5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8" max="5" man="1"/>
    <brk id="77" max="16383" man="1"/>
    <brk id="139" max="5" man="1"/>
  </rowBreaks>
  <ignoredErrors>
    <ignoredError sqref="F19:F20 F28:F29" evalError="1"/>
    <ignoredError sqref="F21:F27" evalError="1"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dimension ref="A1:F119"/>
  <sheetViews>
    <sheetView showGridLines="0" zoomScale="80" zoomScaleNormal="80" workbookViewId="0">
      <selection sqref="A1:E1"/>
    </sheetView>
  </sheetViews>
  <sheetFormatPr baseColWidth="10" defaultColWidth="11.44140625" defaultRowHeight="15.6" x14ac:dyDescent="0.3"/>
  <cols>
    <col min="1" max="1" width="68.109375" style="36" customWidth="1"/>
    <col min="2" max="2" width="27.44140625" style="36" customWidth="1"/>
    <col min="3" max="6" width="20.6640625" style="36" customWidth="1"/>
    <col min="7" max="16384" width="11.44140625" style="36"/>
  </cols>
  <sheetData>
    <row r="1" spans="1:6" ht="42" customHeight="1" x14ac:dyDescent="0.3">
      <c r="A1" s="249" t="s">
        <v>38</v>
      </c>
      <c r="B1" s="249"/>
      <c r="C1" s="249"/>
      <c r="D1" s="249"/>
      <c r="E1" s="249"/>
      <c r="F1" s="103"/>
    </row>
    <row r="2" spans="1:6" ht="20.100000000000001" customHeight="1" x14ac:dyDescent="0.3">
      <c r="A2" s="250" t="s">
        <v>216</v>
      </c>
      <c r="B2" s="250"/>
      <c r="C2" s="250"/>
      <c r="D2" s="250"/>
      <c r="E2" s="250"/>
      <c r="F2" s="83"/>
    </row>
    <row r="3" spans="1:6" ht="15" customHeight="1" x14ac:dyDescent="0.3"/>
    <row r="4" spans="1:6" ht="18" customHeight="1" x14ac:dyDescent="0.3">
      <c r="A4" s="84"/>
      <c r="B4" s="72" t="s">
        <v>22</v>
      </c>
      <c r="C4" s="199" t="s">
        <v>183</v>
      </c>
      <c r="D4" s="235"/>
      <c r="E4" s="235"/>
      <c r="F4" s="3"/>
    </row>
    <row r="5" spans="1:6" ht="18" customHeight="1" x14ac:dyDescent="0.3">
      <c r="A5" s="84"/>
      <c r="B5" s="73" t="s">
        <v>33</v>
      </c>
      <c r="C5" s="236" t="s">
        <v>184</v>
      </c>
      <c r="D5" s="237"/>
      <c r="E5" s="237"/>
      <c r="F5" s="3"/>
    </row>
    <row r="6" spans="1:6" ht="18" customHeight="1" x14ac:dyDescent="0.3">
      <c r="A6" s="84"/>
      <c r="B6" s="74" t="s">
        <v>34</v>
      </c>
      <c r="C6" s="236" t="s">
        <v>185</v>
      </c>
      <c r="D6" s="237"/>
      <c r="E6" s="237"/>
      <c r="F6" s="3"/>
    </row>
    <row r="7" spans="1:6" ht="15" customHeight="1" x14ac:dyDescent="0.3">
      <c r="A7" s="84"/>
      <c r="B7" s="3"/>
      <c r="C7" s="3"/>
      <c r="D7" s="3"/>
      <c r="E7" s="3"/>
      <c r="F7" s="3"/>
    </row>
    <row r="8" spans="1:6" ht="21.9" customHeight="1" x14ac:dyDescent="0.3">
      <c r="A8" s="214" t="s">
        <v>139</v>
      </c>
      <c r="B8" s="214"/>
      <c r="C8" s="214"/>
      <c r="D8" s="214"/>
      <c r="E8" s="214"/>
    </row>
    <row r="9" spans="1:6" ht="15" customHeight="1" x14ac:dyDescent="0.3"/>
    <row r="10" spans="1:6" x14ac:dyDescent="0.3">
      <c r="A10" s="233" t="s">
        <v>36</v>
      </c>
      <c r="B10" s="233"/>
      <c r="C10" s="233"/>
      <c r="D10" s="233"/>
      <c r="E10" s="233"/>
      <c r="F10" s="85"/>
    </row>
    <row r="11" spans="1:6" ht="15" customHeight="1" x14ac:dyDescent="0.3">
      <c r="A11" s="233" t="s">
        <v>19</v>
      </c>
      <c r="B11" s="233"/>
      <c r="C11" s="233"/>
      <c r="D11" s="233"/>
      <c r="E11" s="233"/>
      <c r="F11" s="85"/>
    </row>
    <row r="12" spans="1:6" ht="15" customHeight="1" x14ac:dyDescent="0.3">
      <c r="A12" s="37"/>
      <c r="B12" s="37"/>
      <c r="C12" s="37"/>
      <c r="D12" s="38"/>
      <c r="E12" s="38"/>
      <c r="F12" s="39"/>
    </row>
    <row r="13" spans="1:6" x14ac:dyDescent="0.3">
      <c r="A13" s="132" t="s">
        <v>17</v>
      </c>
      <c r="B13" s="7" t="s">
        <v>18</v>
      </c>
      <c r="C13" s="132" t="s">
        <v>95</v>
      </c>
      <c r="D13" s="7" t="s">
        <v>96</v>
      </c>
      <c r="E13" s="7" t="s">
        <v>138</v>
      </c>
      <c r="F13" s="39"/>
    </row>
    <row r="14" spans="1:6" x14ac:dyDescent="0.3">
      <c r="A14" s="238" t="s">
        <v>16</v>
      </c>
      <c r="B14" s="238"/>
      <c r="C14" s="125">
        <f>+'3T'!C19+'3T'!C20+'3T'!C22+'3T'!C23+'3T'!C25+'3T'!C26+'3T'!C28+'3T'!C29</f>
        <v>15466</v>
      </c>
      <c r="D14" s="125">
        <f>+D17+D18+D20+D21+D23+D24+D26+D27</f>
        <v>14169.333333333334</v>
      </c>
      <c r="E14" s="125">
        <f>+AVERAGE(C14:D14)</f>
        <v>14817.666666666668</v>
      </c>
      <c r="F14" s="39"/>
    </row>
    <row r="15" spans="1:6" x14ac:dyDescent="0.3">
      <c r="A15" s="135"/>
      <c r="B15" s="110"/>
      <c r="F15" s="39"/>
    </row>
    <row r="16" spans="1:6" x14ac:dyDescent="0.35">
      <c r="A16" s="230" t="s">
        <v>176</v>
      </c>
      <c r="B16" s="119" t="s">
        <v>173</v>
      </c>
      <c r="D16" s="124">
        <f>+'2T'!F18</f>
        <v>40</v>
      </c>
      <c r="E16" s="124">
        <f>+D16</f>
        <v>40</v>
      </c>
      <c r="F16" s="39"/>
    </row>
    <row r="17" spans="1:6" x14ac:dyDescent="0.35">
      <c r="A17" s="230"/>
      <c r="B17" s="119" t="s">
        <v>174</v>
      </c>
      <c r="D17" s="124">
        <f>+'2T'!F19</f>
        <v>1515.3333333333333</v>
      </c>
      <c r="E17" s="124">
        <f>+AVERAGE(D17:D17)</f>
        <v>1515.3333333333333</v>
      </c>
      <c r="F17" s="39"/>
    </row>
    <row r="18" spans="1:6" x14ac:dyDescent="0.35">
      <c r="A18" s="230"/>
      <c r="B18" s="119" t="s">
        <v>175</v>
      </c>
      <c r="D18" s="124">
        <f>+'2T'!F20</f>
        <v>84.666666666666671</v>
      </c>
      <c r="E18" s="124">
        <f>+AVERAGE(D18:D18)</f>
        <v>84.666666666666671</v>
      </c>
      <c r="F18" s="39"/>
    </row>
    <row r="19" spans="1:6" x14ac:dyDescent="0.35">
      <c r="A19" s="230" t="s">
        <v>177</v>
      </c>
      <c r="B19" s="119" t="s">
        <v>173</v>
      </c>
      <c r="D19" s="124">
        <f>+'2T'!F21</f>
        <v>134</v>
      </c>
      <c r="E19" s="124">
        <f>+D19</f>
        <v>134</v>
      </c>
      <c r="F19" s="39"/>
    </row>
    <row r="20" spans="1:6" x14ac:dyDescent="0.35">
      <c r="A20" s="230"/>
      <c r="B20" s="119" t="s">
        <v>174</v>
      </c>
      <c r="D20" s="124">
        <f>+'2T'!F22</f>
        <v>1334</v>
      </c>
      <c r="E20" s="124">
        <f>+AVERAGE(D20:D20)</f>
        <v>1334</v>
      </c>
      <c r="F20" s="39"/>
    </row>
    <row r="21" spans="1:6" x14ac:dyDescent="0.35">
      <c r="A21" s="230"/>
      <c r="B21" s="119" t="s">
        <v>175</v>
      </c>
      <c r="D21" s="124">
        <f>+'2T'!F23</f>
        <v>86.666666666666671</v>
      </c>
      <c r="E21" s="124">
        <f>+AVERAGE(D21:D21)</f>
        <v>86.666666666666671</v>
      </c>
      <c r="F21" s="39"/>
    </row>
    <row r="22" spans="1:6" x14ac:dyDescent="0.35">
      <c r="A22" s="230" t="s">
        <v>178</v>
      </c>
      <c r="B22" s="119" t="s">
        <v>173</v>
      </c>
      <c r="D22" s="124">
        <f>+'2T'!F24</f>
        <v>1616</v>
      </c>
      <c r="E22" s="124">
        <f>+D22</f>
        <v>1616</v>
      </c>
      <c r="F22" s="39"/>
    </row>
    <row r="23" spans="1:6" x14ac:dyDescent="0.35">
      <c r="A23" s="230"/>
      <c r="B23" s="119" t="s">
        <v>174</v>
      </c>
      <c r="D23" s="124">
        <f>+'2T'!F25</f>
        <v>10072.666666666666</v>
      </c>
      <c r="E23" s="124">
        <f>+AVERAGE(D23:D23)</f>
        <v>10072.666666666666</v>
      </c>
      <c r="F23" s="39"/>
    </row>
    <row r="24" spans="1:6" x14ac:dyDescent="0.35">
      <c r="A24" s="230"/>
      <c r="B24" s="119" t="s">
        <v>175</v>
      </c>
      <c r="D24" s="124">
        <f>+'2T'!F26</f>
        <v>382.33333333333331</v>
      </c>
      <c r="E24" s="124">
        <f>+AVERAGE(D24:D24)</f>
        <v>382.33333333333331</v>
      </c>
      <c r="F24" s="39"/>
    </row>
    <row r="25" spans="1:6" ht="16.95" customHeight="1" x14ac:dyDescent="0.35">
      <c r="A25" s="230" t="s">
        <v>179</v>
      </c>
      <c r="B25" s="119" t="s">
        <v>173</v>
      </c>
      <c r="D25" s="124">
        <f>+'2T'!F27</f>
        <v>2054</v>
      </c>
      <c r="E25" s="124">
        <f>+D25</f>
        <v>2054</v>
      </c>
      <c r="F25" s="39"/>
    </row>
    <row r="26" spans="1:6" ht="16.95" customHeight="1" x14ac:dyDescent="0.35">
      <c r="A26" s="230"/>
      <c r="B26" s="119" t="s">
        <v>174</v>
      </c>
      <c r="D26" s="124">
        <f>+'2T'!F28</f>
        <v>660.33333333333337</v>
      </c>
      <c r="E26" s="124">
        <f>+AVERAGE(D26:D26)</f>
        <v>660.33333333333337</v>
      </c>
      <c r="F26" s="39"/>
    </row>
    <row r="27" spans="1:6" ht="16.95" customHeight="1" x14ac:dyDescent="0.35">
      <c r="A27" s="248"/>
      <c r="B27" s="119" t="s">
        <v>175</v>
      </c>
      <c r="D27" s="124">
        <f>+'2T'!F29</f>
        <v>33.333333333333336</v>
      </c>
      <c r="E27" s="124">
        <f>+AVERAGE(D27:D27)</f>
        <v>33.333333333333336</v>
      </c>
      <c r="F27" s="39"/>
    </row>
    <row r="28" spans="1:6" ht="15" customHeight="1" x14ac:dyDescent="0.3">
      <c r="A28" s="223" t="s">
        <v>43</v>
      </c>
      <c r="B28" s="223"/>
      <c r="C28" s="223"/>
      <c r="D28" s="223"/>
      <c r="E28" s="223"/>
      <c r="F28" s="39"/>
    </row>
    <row r="29" spans="1:6" ht="60" customHeight="1" x14ac:dyDescent="0.3">
      <c r="A29" s="213" t="s">
        <v>163</v>
      </c>
      <c r="B29" s="213"/>
      <c r="C29" s="213"/>
      <c r="D29" s="213"/>
      <c r="E29" s="213"/>
    </row>
    <row r="30" spans="1:6" ht="15" customHeight="1" x14ac:dyDescent="0.3">
      <c r="A30" s="37"/>
      <c r="B30" s="37"/>
      <c r="C30" s="37"/>
      <c r="D30" s="38"/>
      <c r="E30" s="38"/>
      <c r="F30" s="39"/>
    </row>
    <row r="31" spans="1:6" x14ac:dyDescent="0.3">
      <c r="A31" s="233" t="s">
        <v>37</v>
      </c>
      <c r="B31" s="233"/>
      <c r="C31" s="233"/>
      <c r="D31" s="233"/>
      <c r="E31" s="85"/>
      <c r="F31" s="133"/>
    </row>
    <row r="32" spans="1:6" ht="15" customHeight="1" x14ac:dyDescent="0.3">
      <c r="A32" s="233" t="s">
        <v>20</v>
      </c>
      <c r="B32" s="233"/>
      <c r="C32" s="233"/>
      <c r="D32" s="233"/>
      <c r="E32" s="85"/>
      <c r="F32" s="133"/>
    </row>
    <row r="33" spans="1:6" ht="15" customHeight="1" x14ac:dyDescent="0.3">
      <c r="A33" s="37"/>
      <c r="B33" s="37"/>
      <c r="C33" s="38"/>
      <c r="D33" s="38"/>
      <c r="E33" s="38"/>
      <c r="F33" s="40"/>
    </row>
    <row r="34" spans="1:6" ht="16.95" customHeight="1" x14ac:dyDescent="0.3">
      <c r="A34" s="224" t="s">
        <v>21</v>
      </c>
      <c r="B34" s="257"/>
      <c r="C34" s="7" t="s">
        <v>95</v>
      </c>
      <c r="D34" s="7" t="s">
        <v>96</v>
      </c>
      <c r="E34" s="132" t="s">
        <v>9</v>
      </c>
      <c r="F34" s="40"/>
    </row>
    <row r="35" spans="1:6" ht="16.95" customHeight="1" x14ac:dyDescent="0.3">
      <c r="A35" s="116" t="s">
        <v>16</v>
      </c>
      <c r="B35" s="117"/>
      <c r="C35" s="117">
        <f>+SUM(C37:C44)</f>
        <v>3804952546.2399998</v>
      </c>
      <c r="D35" s="117">
        <f t="shared" ref="D35:E35" si="0">+SUM(D37:D44)</f>
        <v>4213572967.7399998</v>
      </c>
      <c r="E35" s="117">
        <f t="shared" si="0"/>
        <v>8018525513.9799995</v>
      </c>
      <c r="F35" s="40"/>
    </row>
    <row r="36" spans="1:6" ht="16.95" customHeight="1" x14ac:dyDescent="0.3">
      <c r="A36" s="114"/>
      <c r="C36" s="118"/>
      <c r="D36" s="118"/>
      <c r="E36" s="118"/>
      <c r="F36" s="40"/>
    </row>
    <row r="37" spans="1:6" ht="16.95" customHeight="1" x14ac:dyDescent="0.3">
      <c r="A37" s="220" t="s">
        <v>176</v>
      </c>
      <c r="B37" s="122" t="s">
        <v>180</v>
      </c>
      <c r="C37" s="123">
        <f>+'1T'!F39</f>
        <v>621326302</v>
      </c>
      <c r="D37" s="123">
        <f>+'2T'!F39</f>
        <v>917147892</v>
      </c>
      <c r="E37" s="123">
        <f>+SUM(C37+D37)</f>
        <v>1538474194</v>
      </c>
      <c r="F37" s="40"/>
    </row>
    <row r="38" spans="1:6" ht="16.95" customHeight="1" x14ac:dyDescent="0.3">
      <c r="A38" s="220"/>
      <c r="B38" s="122" t="s">
        <v>181</v>
      </c>
      <c r="C38" s="123">
        <f>+'1T'!F40</f>
        <v>332572122</v>
      </c>
      <c r="D38" s="123">
        <f>+'2T'!F40</f>
        <v>51289204</v>
      </c>
      <c r="E38" s="123">
        <f t="shared" ref="E38:E44" si="1">+SUM(C38+D38)</f>
        <v>383861326</v>
      </c>
      <c r="F38" s="40"/>
    </row>
    <row r="39" spans="1:6" ht="16.95" customHeight="1" x14ac:dyDescent="0.3">
      <c r="A39" s="220" t="s">
        <v>177</v>
      </c>
      <c r="B39" s="122" t="s">
        <v>180</v>
      </c>
      <c r="C39" s="123">
        <f>+'1T'!F41</f>
        <v>222682890</v>
      </c>
      <c r="D39" s="123">
        <f>+'2T'!F41</f>
        <v>323160770</v>
      </c>
      <c r="E39" s="123">
        <f t="shared" si="1"/>
        <v>545843660</v>
      </c>
      <c r="F39" s="40"/>
    </row>
    <row r="40" spans="1:6" ht="16.95" customHeight="1" x14ac:dyDescent="0.3">
      <c r="A40" s="220"/>
      <c r="B40" s="122" t="s">
        <v>181</v>
      </c>
      <c r="C40" s="123">
        <f>+'1T'!F42</f>
        <v>116954960</v>
      </c>
      <c r="D40" s="123">
        <f>+'2T'!F42</f>
        <v>21000200</v>
      </c>
      <c r="E40" s="123">
        <f t="shared" si="1"/>
        <v>137955160</v>
      </c>
      <c r="F40" s="40"/>
    </row>
    <row r="41" spans="1:6" ht="16.95" customHeight="1" x14ac:dyDescent="0.3">
      <c r="A41" s="220" t="s">
        <v>178</v>
      </c>
      <c r="B41" s="122" t="s">
        <v>180</v>
      </c>
      <c r="C41" s="123">
        <f>+'1T'!F43</f>
        <v>1176848974.0799999</v>
      </c>
      <c r="D41" s="123">
        <f>+'2T'!F43</f>
        <v>1802874213.7399998</v>
      </c>
      <c r="E41" s="123">
        <f t="shared" si="1"/>
        <v>2979723187.8199997</v>
      </c>
      <c r="F41" s="40"/>
    </row>
    <row r="42" spans="1:6" ht="16.95" customHeight="1" x14ac:dyDescent="0.3">
      <c r="A42" s="220"/>
      <c r="B42" s="122" t="s">
        <v>181</v>
      </c>
      <c r="C42" s="123">
        <f>+'1T'!F44</f>
        <v>665951298.15999997</v>
      </c>
      <c r="D42" s="123">
        <f>+'2T'!F44</f>
        <v>62700688</v>
      </c>
      <c r="E42" s="123">
        <f t="shared" si="1"/>
        <v>728651986.15999997</v>
      </c>
      <c r="F42" s="40"/>
    </row>
    <row r="43" spans="1:6" ht="15" customHeight="1" x14ac:dyDescent="0.3">
      <c r="A43" s="220" t="s">
        <v>179</v>
      </c>
      <c r="B43" s="122" t="s">
        <v>180</v>
      </c>
      <c r="C43" s="123">
        <f>+'1T'!F45</f>
        <v>214964000</v>
      </c>
      <c r="D43" s="123">
        <f>+'2T'!F45</f>
        <v>993600000</v>
      </c>
      <c r="E43" s="123">
        <f t="shared" si="1"/>
        <v>1208564000</v>
      </c>
      <c r="F43" s="40"/>
    </row>
    <row r="44" spans="1:6" ht="15" customHeight="1" x14ac:dyDescent="0.3">
      <c r="A44" s="256"/>
      <c r="B44" s="122" t="s">
        <v>181</v>
      </c>
      <c r="C44" s="123">
        <f>+'1T'!F46</f>
        <v>453652000</v>
      </c>
      <c r="D44" s="123">
        <f>+'2T'!F46</f>
        <v>41800000</v>
      </c>
      <c r="E44" s="127">
        <f t="shared" si="1"/>
        <v>495452000</v>
      </c>
      <c r="F44" s="40"/>
    </row>
    <row r="45" spans="1:6" ht="15" customHeight="1" x14ac:dyDescent="0.35">
      <c r="A45" s="140" t="s">
        <v>43</v>
      </c>
      <c r="B45" s="140"/>
      <c r="C45" s="140"/>
      <c r="D45" s="140"/>
      <c r="E45" s="1"/>
      <c r="F45" s="41"/>
    </row>
    <row r="46" spans="1:6" ht="60" customHeight="1" x14ac:dyDescent="0.3">
      <c r="A46" s="213" t="s">
        <v>163</v>
      </c>
      <c r="B46" s="213"/>
      <c r="C46" s="213"/>
      <c r="D46" s="213"/>
      <c r="E46" s="213"/>
      <c r="F46" s="63"/>
    </row>
    <row r="47" spans="1:6" ht="15" customHeight="1" x14ac:dyDescent="0.3">
      <c r="A47" s="142"/>
      <c r="B47" s="142"/>
      <c r="C47" s="142"/>
      <c r="D47" s="142"/>
      <c r="E47" s="40"/>
      <c r="F47" s="63"/>
    </row>
    <row r="48" spans="1:6" ht="15" customHeight="1" x14ac:dyDescent="0.3"/>
    <row r="49" spans="1:6" ht="21.9" customHeight="1" x14ac:dyDescent="0.3">
      <c r="A49" s="214" t="s">
        <v>140</v>
      </c>
      <c r="B49" s="214"/>
      <c r="C49" s="214"/>
      <c r="D49" s="214"/>
      <c r="E49" s="214"/>
    </row>
    <row r="50" spans="1:6" ht="15" customHeight="1" x14ac:dyDescent="0.3"/>
    <row r="51" spans="1:6" x14ac:dyDescent="0.3">
      <c r="A51" s="209" t="s">
        <v>73</v>
      </c>
      <c r="B51" s="209"/>
      <c r="C51" s="209"/>
      <c r="D51" s="209"/>
      <c r="E51" s="209"/>
      <c r="F51" s="42"/>
    </row>
    <row r="52" spans="1:6" ht="31.5" customHeight="1" x14ac:dyDescent="0.3">
      <c r="A52" s="216" t="s">
        <v>74</v>
      </c>
      <c r="B52" s="216"/>
      <c r="C52" s="216"/>
      <c r="D52" s="216"/>
      <c r="E52" s="216"/>
      <c r="F52" s="42"/>
    </row>
    <row r="53" spans="1:6" x14ac:dyDescent="0.3">
      <c r="A53" s="209" t="s">
        <v>52</v>
      </c>
      <c r="B53" s="209"/>
      <c r="C53" s="209"/>
      <c r="D53" s="209"/>
      <c r="E53" s="209"/>
      <c r="F53" s="42"/>
    </row>
    <row r="54" spans="1:6" ht="15" customHeight="1" x14ac:dyDescent="0.3"/>
    <row r="55" spans="1:6" x14ac:dyDescent="0.3">
      <c r="A55" s="68" t="s">
        <v>55</v>
      </c>
      <c r="B55" s="68" t="s">
        <v>56</v>
      </c>
      <c r="C55" s="68" t="s">
        <v>95</v>
      </c>
      <c r="D55" s="68" t="s">
        <v>96</v>
      </c>
      <c r="E55" s="68" t="s">
        <v>9</v>
      </c>
    </row>
    <row r="56" spans="1:6" x14ac:dyDescent="0.3">
      <c r="A56" s="104" t="s">
        <v>16</v>
      </c>
      <c r="B56" s="49"/>
      <c r="C56" s="35">
        <f>+C58+C62</f>
        <v>4574751558.25</v>
      </c>
      <c r="D56" s="35">
        <f>+D58+D62</f>
        <v>4385916788.1400108</v>
      </c>
      <c r="E56" s="35">
        <f>+E58+E62</f>
        <v>8960668346.3900108</v>
      </c>
    </row>
    <row r="57" spans="1:6" ht="15" customHeight="1" x14ac:dyDescent="0.3">
      <c r="A57" s="13"/>
      <c r="B57" s="50"/>
      <c r="C57" s="14"/>
      <c r="D57" s="14"/>
      <c r="E57" s="14"/>
    </row>
    <row r="58" spans="1:6" x14ac:dyDescent="0.3">
      <c r="A58" s="210" t="s">
        <v>75</v>
      </c>
      <c r="B58" s="210"/>
      <c r="C58" s="53">
        <f>+SUM(C59:C60)</f>
        <v>4574751558.25</v>
      </c>
      <c r="D58" s="53">
        <f>+SUM(D59:D60)</f>
        <v>4385916788.1400108</v>
      </c>
      <c r="E58" s="53">
        <f>+SUM(E59:E60)</f>
        <v>8960668346.3900108</v>
      </c>
    </row>
    <row r="59" spans="1:6" ht="16.5" customHeight="1" x14ac:dyDescent="0.3">
      <c r="A59" s="169" t="s">
        <v>211</v>
      </c>
      <c r="B59" s="54" t="s">
        <v>208</v>
      </c>
      <c r="C59" s="15">
        <f>+'1T'!F105</f>
        <v>204381066.25</v>
      </c>
      <c r="D59" s="15">
        <f>+'2T'!F104</f>
        <v>204381066.25</v>
      </c>
      <c r="E59" s="15">
        <f>+C59+D59</f>
        <v>408762132.5</v>
      </c>
    </row>
    <row r="60" spans="1:6" ht="16.5" customHeight="1" x14ac:dyDescent="0.3">
      <c r="A60" s="169" t="s">
        <v>211</v>
      </c>
      <c r="B60" s="54" t="s">
        <v>208</v>
      </c>
      <c r="C60" s="15">
        <f>+'1T'!F106</f>
        <v>4370370492</v>
      </c>
      <c r="D60" s="15">
        <f>+'2T'!F105</f>
        <v>4181535721.8900108</v>
      </c>
      <c r="E60" s="15">
        <f>+C60+D60</f>
        <v>8551906213.8900108</v>
      </c>
    </row>
    <row r="61" spans="1:6" ht="16.5" customHeight="1" x14ac:dyDescent="0.3">
      <c r="A61" s="169" t="s">
        <v>211</v>
      </c>
      <c r="B61" s="54" t="s">
        <v>208</v>
      </c>
      <c r="C61" s="15">
        <f>+'1T'!F107</f>
        <v>146458398</v>
      </c>
      <c r="D61" s="15">
        <f>+'2T'!F106</f>
        <v>146458398</v>
      </c>
      <c r="E61" s="15">
        <f>+C61+D61</f>
        <v>292916796</v>
      </c>
    </row>
    <row r="62" spans="1:6" ht="16.5" customHeight="1" x14ac:dyDescent="0.3">
      <c r="A62" s="210" t="s">
        <v>76</v>
      </c>
      <c r="B62" s="210"/>
      <c r="C62" s="53">
        <f>+SUM(C63:C64)</f>
        <v>0</v>
      </c>
      <c r="D62" s="53">
        <f>+SUM(D63:D64)</f>
        <v>0</v>
      </c>
      <c r="E62" s="53">
        <f>+SUM(E63:E64)</f>
        <v>0</v>
      </c>
    </row>
    <row r="63" spans="1:6" ht="16.5" customHeight="1" x14ac:dyDescent="0.3">
      <c r="A63" s="54" t="s">
        <v>59</v>
      </c>
      <c r="B63" s="50" t="s">
        <v>53</v>
      </c>
      <c r="C63" s="56">
        <f>+'1T'!F109</f>
        <v>0</v>
      </c>
      <c r="D63" s="56">
        <f>+'2T'!F108</f>
        <v>0</v>
      </c>
      <c r="E63" s="56">
        <f>+C63+D63</f>
        <v>0</v>
      </c>
    </row>
    <row r="64" spans="1:6" ht="16.5" customHeight="1" x14ac:dyDescent="0.3">
      <c r="A64" s="54" t="s">
        <v>59</v>
      </c>
      <c r="B64" s="50" t="s">
        <v>53</v>
      </c>
      <c r="C64" s="56">
        <f>+'1T'!F110</f>
        <v>0</v>
      </c>
      <c r="D64" s="56">
        <f>+'2T'!F109</f>
        <v>0</v>
      </c>
      <c r="E64" s="56">
        <f>+C64+D64</f>
        <v>0</v>
      </c>
    </row>
    <row r="65" spans="1:6" x14ac:dyDescent="0.3">
      <c r="A65" s="223" t="s">
        <v>43</v>
      </c>
      <c r="B65" s="223"/>
      <c r="C65" s="223"/>
      <c r="D65" s="223"/>
      <c r="E65" s="223"/>
    </row>
    <row r="66" spans="1:6" ht="50.1" customHeight="1" x14ac:dyDescent="0.3">
      <c r="A66" s="253" t="s">
        <v>154</v>
      </c>
      <c r="B66" s="254"/>
      <c r="C66" s="254"/>
      <c r="D66" s="254"/>
      <c r="E66" s="255"/>
    </row>
    <row r="67" spans="1:6" x14ac:dyDescent="0.3">
      <c r="A67" s="25"/>
      <c r="B67" s="48"/>
      <c r="C67" s="24"/>
    </row>
    <row r="68" spans="1:6" x14ac:dyDescent="0.3">
      <c r="A68" s="209" t="s">
        <v>77</v>
      </c>
      <c r="B68" s="209"/>
      <c r="C68" s="209"/>
      <c r="D68" s="209"/>
      <c r="E68" s="209"/>
      <c r="F68" s="42"/>
    </row>
    <row r="69" spans="1:6" ht="32.25" customHeight="1" x14ac:dyDescent="0.3">
      <c r="A69" s="216" t="s">
        <v>54</v>
      </c>
      <c r="B69" s="216"/>
      <c r="C69" s="216"/>
      <c r="D69" s="216"/>
      <c r="E69" s="216"/>
      <c r="F69" s="3"/>
    </row>
    <row r="70" spans="1:6" x14ac:dyDescent="0.3">
      <c r="A70" s="209" t="s">
        <v>52</v>
      </c>
      <c r="B70" s="209"/>
      <c r="C70" s="209"/>
      <c r="D70" s="209"/>
      <c r="E70" s="209"/>
      <c r="F70" s="42"/>
    </row>
    <row r="71" spans="1:6" x14ac:dyDescent="0.3">
      <c r="A71" s="89"/>
      <c r="B71" s="90"/>
      <c r="C71" s="90"/>
      <c r="D71" s="90"/>
      <c r="E71" s="90"/>
      <c r="F71" s="91"/>
    </row>
    <row r="72" spans="1:6" x14ac:dyDescent="0.3">
      <c r="A72" s="68" t="s">
        <v>55</v>
      </c>
      <c r="B72" s="68" t="s">
        <v>56</v>
      </c>
      <c r="C72" s="68" t="s">
        <v>95</v>
      </c>
      <c r="D72" s="68" t="s">
        <v>96</v>
      </c>
      <c r="E72" s="68" t="s">
        <v>9</v>
      </c>
    </row>
    <row r="73" spans="1:6" x14ac:dyDescent="0.3">
      <c r="A73" s="104" t="s">
        <v>16</v>
      </c>
      <c r="B73" s="49"/>
      <c r="C73" s="35">
        <f>+C75+C82+C89</f>
        <v>3804952546.2399998</v>
      </c>
      <c r="D73" s="35">
        <f t="shared" ref="D73" si="2">+D75+D82+D89</f>
        <v>4213572967.7399998</v>
      </c>
      <c r="E73" s="35">
        <f>+E75+E82+E89</f>
        <v>8018525513.9799995</v>
      </c>
    </row>
    <row r="74" spans="1:6" x14ac:dyDescent="0.3">
      <c r="A74" s="13"/>
      <c r="B74" s="50"/>
      <c r="C74" s="14"/>
      <c r="D74" s="14"/>
      <c r="E74" s="51"/>
    </row>
    <row r="75" spans="1:6" x14ac:dyDescent="0.3">
      <c r="A75" s="210" t="s">
        <v>58</v>
      </c>
      <c r="B75" s="210"/>
      <c r="C75" s="53">
        <f>+SUM(C76:C80)</f>
        <v>3804952546.2399998</v>
      </c>
      <c r="D75" s="53">
        <f t="shared" ref="D75:E75" si="3">+SUM(D76:D80)</f>
        <v>4213572967.7399998</v>
      </c>
      <c r="E75" s="53">
        <f t="shared" si="3"/>
        <v>8018525513.9799995</v>
      </c>
    </row>
    <row r="76" spans="1:6" ht="30" x14ac:dyDescent="0.3">
      <c r="A76" s="170">
        <v>60104</v>
      </c>
      <c r="B76" s="54" t="s">
        <v>209</v>
      </c>
      <c r="C76" s="15">
        <f>+'1T'!F122</f>
        <v>145571112.24000001</v>
      </c>
      <c r="D76" s="15">
        <f>+'2T'!F121</f>
        <v>185004365.74000001</v>
      </c>
      <c r="E76" s="93">
        <f>+C76+D76</f>
        <v>330575477.98000002</v>
      </c>
    </row>
    <row r="77" spans="1:6" ht="30" x14ac:dyDescent="0.3">
      <c r="A77" s="170">
        <v>60401</v>
      </c>
      <c r="B77" s="54" t="s">
        <v>207</v>
      </c>
      <c r="C77" s="15">
        <f>+'1T'!F123</f>
        <v>3527330816</v>
      </c>
      <c r="D77" s="58">
        <f>+'2T'!F122</f>
        <v>3894987092</v>
      </c>
      <c r="E77" s="93">
        <f t="shared" ref="E77:E80" si="4">+C77+D77</f>
        <v>7422317908</v>
      </c>
    </row>
    <row r="78" spans="1:6" ht="30" x14ac:dyDescent="0.3">
      <c r="A78" s="171">
        <v>60402</v>
      </c>
      <c r="B78" s="54" t="s">
        <v>210</v>
      </c>
      <c r="C78" s="15">
        <f>+'1T'!F124</f>
        <v>132050618</v>
      </c>
      <c r="D78" s="15">
        <f>+'2T'!F123</f>
        <v>133581510</v>
      </c>
      <c r="E78" s="93">
        <f t="shared" si="4"/>
        <v>265632128</v>
      </c>
    </row>
    <row r="79" spans="1:6" x14ac:dyDescent="0.3">
      <c r="A79" s="54" t="s">
        <v>59</v>
      </c>
      <c r="B79" s="50" t="s">
        <v>53</v>
      </c>
      <c r="C79" s="15">
        <f>+'1T'!F125</f>
        <v>0</v>
      </c>
      <c r="D79" s="58">
        <f>+'2T'!F124</f>
        <v>0</v>
      </c>
      <c r="E79" s="93">
        <f t="shared" si="4"/>
        <v>0</v>
      </c>
    </row>
    <row r="80" spans="1:6" x14ac:dyDescent="0.3">
      <c r="A80" s="54" t="s">
        <v>59</v>
      </c>
      <c r="B80" s="50" t="s">
        <v>53</v>
      </c>
      <c r="C80" s="15">
        <f>+'1T'!F126</f>
        <v>0</v>
      </c>
      <c r="D80" s="15">
        <f>+'2T'!F125</f>
        <v>0</v>
      </c>
      <c r="E80" s="93">
        <f t="shared" si="4"/>
        <v>0</v>
      </c>
    </row>
    <row r="81" spans="1:6" x14ac:dyDescent="0.3">
      <c r="A81" s="136"/>
      <c r="B81" s="50"/>
      <c r="C81" s="15"/>
      <c r="D81" s="15"/>
      <c r="E81" s="93"/>
    </row>
    <row r="82" spans="1:6" x14ac:dyDescent="0.3">
      <c r="A82" s="210" t="s">
        <v>60</v>
      </c>
      <c r="B82" s="210"/>
      <c r="C82" s="53">
        <f>+SUM(C83:C87)</f>
        <v>0</v>
      </c>
      <c r="D82" s="53">
        <f t="shared" ref="D82:E82" si="5">+SUM(D83:D87)</f>
        <v>0</v>
      </c>
      <c r="E82" s="53">
        <f t="shared" si="5"/>
        <v>0</v>
      </c>
    </row>
    <row r="83" spans="1:6" x14ac:dyDescent="0.3">
      <c r="A83" s="54" t="s">
        <v>59</v>
      </c>
      <c r="B83" s="50" t="s">
        <v>53</v>
      </c>
      <c r="C83" s="56">
        <f>+'1T'!F129</f>
        <v>0</v>
      </c>
      <c r="D83" s="56">
        <f>+'2T'!F128</f>
        <v>0</v>
      </c>
      <c r="E83" s="94">
        <f>+C83+D83</f>
        <v>0</v>
      </c>
    </row>
    <row r="84" spans="1:6" x14ac:dyDescent="0.3">
      <c r="A84" s="54" t="s">
        <v>59</v>
      </c>
      <c r="B84" s="50" t="s">
        <v>53</v>
      </c>
      <c r="C84" s="56">
        <f>+'1T'!F130</f>
        <v>0</v>
      </c>
      <c r="D84" s="56">
        <f>+'2T'!F129</f>
        <v>0</v>
      </c>
      <c r="E84" s="94">
        <f t="shared" ref="E84:E87" si="6">+C84+D84</f>
        <v>0</v>
      </c>
    </row>
    <row r="85" spans="1:6" x14ac:dyDescent="0.3">
      <c r="A85" s="54" t="s">
        <v>59</v>
      </c>
      <c r="B85" s="50" t="s">
        <v>53</v>
      </c>
      <c r="C85" s="56">
        <f>+'1T'!F131</f>
        <v>0</v>
      </c>
      <c r="D85" s="56">
        <f>+'2T'!F130</f>
        <v>0</v>
      </c>
      <c r="E85" s="94">
        <f t="shared" si="6"/>
        <v>0</v>
      </c>
    </row>
    <row r="86" spans="1:6" x14ac:dyDescent="0.3">
      <c r="A86" s="54" t="s">
        <v>59</v>
      </c>
      <c r="B86" s="50" t="s">
        <v>53</v>
      </c>
      <c r="C86" s="56">
        <f>+'1T'!F132</f>
        <v>0</v>
      </c>
      <c r="D86" s="56">
        <f>+'2T'!F131</f>
        <v>0</v>
      </c>
      <c r="E86" s="94">
        <f t="shared" si="6"/>
        <v>0</v>
      </c>
    </row>
    <row r="87" spans="1:6" x14ac:dyDescent="0.3">
      <c r="A87" s="54" t="s">
        <v>59</v>
      </c>
      <c r="B87" s="50" t="s">
        <v>53</v>
      </c>
      <c r="C87" s="56">
        <f>+'1T'!F133</f>
        <v>0</v>
      </c>
      <c r="D87" s="56">
        <f>+'2T'!F132</f>
        <v>0</v>
      </c>
      <c r="E87" s="94">
        <f t="shared" si="6"/>
        <v>0</v>
      </c>
    </row>
    <row r="88" spans="1:6" x14ac:dyDescent="0.3">
      <c r="C88" s="40"/>
      <c r="D88" s="40"/>
      <c r="E88" s="40"/>
    </row>
    <row r="89" spans="1:6" x14ac:dyDescent="0.3">
      <c r="A89" s="210" t="s">
        <v>61</v>
      </c>
      <c r="B89" s="210"/>
      <c r="C89" s="53">
        <f>+SUM(C90:C91)</f>
        <v>0</v>
      </c>
      <c r="D89" s="53">
        <f t="shared" ref="D89:E89" si="7">+SUM(D90:D91)</f>
        <v>0</v>
      </c>
      <c r="E89" s="53">
        <f t="shared" si="7"/>
        <v>0</v>
      </c>
    </row>
    <row r="90" spans="1:6" x14ac:dyDescent="0.3">
      <c r="A90" s="75" t="s">
        <v>59</v>
      </c>
      <c r="B90" s="50" t="s">
        <v>53</v>
      </c>
      <c r="C90" s="56">
        <f>+'1T'!F136</f>
        <v>0</v>
      </c>
      <c r="D90" s="56">
        <f>+'2T'!F135</f>
        <v>0</v>
      </c>
      <c r="E90" s="56">
        <f>+C90+D90</f>
        <v>0</v>
      </c>
    </row>
    <row r="91" spans="1:6" x14ac:dyDescent="0.3">
      <c r="A91" s="47" t="s">
        <v>59</v>
      </c>
      <c r="B91" s="47" t="s">
        <v>53</v>
      </c>
      <c r="C91" s="59">
        <f>+'1T'!F137</f>
        <v>0</v>
      </c>
      <c r="D91" s="59">
        <f>+'2T'!F136</f>
        <v>0</v>
      </c>
      <c r="E91" s="59">
        <f>+C91+D91</f>
        <v>0</v>
      </c>
    </row>
    <row r="92" spans="1:6" ht="16.5" customHeight="1" x14ac:dyDescent="0.3">
      <c r="A92" s="251" t="s">
        <v>62</v>
      </c>
      <c r="B92" s="251"/>
      <c r="C92" s="251"/>
      <c r="D92" s="251"/>
      <c r="E92" s="251"/>
    </row>
    <row r="93" spans="1:6" x14ac:dyDescent="0.3">
      <c r="A93" s="252" t="s">
        <v>43</v>
      </c>
      <c r="B93" s="252"/>
      <c r="C93" s="252"/>
      <c r="D93" s="252"/>
      <c r="E93" s="252"/>
    </row>
    <row r="94" spans="1:6" x14ac:dyDescent="0.3">
      <c r="A94" s="54"/>
      <c r="B94" s="50"/>
    </row>
    <row r="95" spans="1:6" x14ac:dyDescent="0.3">
      <c r="A95" s="209" t="s">
        <v>79</v>
      </c>
      <c r="B95" s="209"/>
      <c r="C95" s="209"/>
      <c r="D95" s="209"/>
      <c r="E95" s="209"/>
      <c r="F95" s="67"/>
    </row>
    <row r="96" spans="1:6" x14ac:dyDescent="0.3">
      <c r="A96" s="209" t="s">
        <v>80</v>
      </c>
      <c r="B96" s="209"/>
      <c r="C96" s="209"/>
      <c r="D96" s="209"/>
      <c r="E96" s="209"/>
      <c r="F96" s="67"/>
    </row>
    <row r="97" spans="1:6" x14ac:dyDescent="0.3">
      <c r="A97" s="209" t="s">
        <v>52</v>
      </c>
      <c r="B97" s="209"/>
      <c r="C97" s="209"/>
      <c r="D97" s="209"/>
      <c r="E97" s="209"/>
      <c r="F97" s="67"/>
    </row>
    <row r="98" spans="1:6" x14ac:dyDescent="0.3">
      <c r="A98" s="89"/>
      <c r="B98" s="90"/>
      <c r="C98" s="90"/>
      <c r="D98" s="90"/>
      <c r="E98" s="90"/>
      <c r="F98" s="91"/>
    </row>
    <row r="99" spans="1:6" x14ac:dyDescent="0.3">
      <c r="A99" s="68" t="s">
        <v>78</v>
      </c>
      <c r="B99" s="68" t="s">
        <v>95</v>
      </c>
      <c r="C99" s="68" t="s">
        <v>96</v>
      </c>
      <c r="D99" s="68" t="s">
        <v>9</v>
      </c>
      <c r="F99" s="23"/>
    </row>
    <row r="100" spans="1:6" x14ac:dyDescent="0.3">
      <c r="A100" s="105" t="s">
        <v>82</v>
      </c>
      <c r="B100" s="61">
        <f>+B101</f>
        <v>0</v>
      </c>
      <c r="C100" s="61">
        <f t="shared" ref="C100" si="8">+B110</f>
        <v>916257410.01000023</v>
      </c>
      <c r="D100" s="61">
        <f>+B100</f>
        <v>0</v>
      </c>
      <c r="F100" s="91"/>
    </row>
    <row r="101" spans="1:6" x14ac:dyDescent="0.3">
      <c r="A101" s="106" t="s">
        <v>83</v>
      </c>
      <c r="B101" s="26">
        <f>+'1T'!E148</f>
        <v>0</v>
      </c>
      <c r="C101" s="26">
        <f>+'2T'!E147</f>
        <v>0</v>
      </c>
      <c r="D101" s="65">
        <f>+B101+C101</f>
        <v>0</v>
      </c>
      <c r="F101" s="23"/>
    </row>
    <row r="102" spans="1:6" x14ac:dyDescent="0.3">
      <c r="A102" s="106" t="s">
        <v>81</v>
      </c>
      <c r="B102" s="26" t="s">
        <v>93</v>
      </c>
      <c r="C102" s="26">
        <f>+'2T'!E148</f>
        <v>916257410.01000023</v>
      </c>
      <c r="D102" s="65" t="str">
        <f>+B102</f>
        <v>N/A</v>
      </c>
      <c r="F102" s="23"/>
    </row>
    <row r="103" spans="1:6" x14ac:dyDescent="0.3">
      <c r="A103" s="105" t="s">
        <v>85</v>
      </c>
      <c r="B103" s="61">
        <f>+'1T'!E150</f>
        <v>4721209956.25</v>
      </c>
      <c r="C103" s="61">
        <f>+'2T'!E149</f>
        <v>4532375186.1400108</v>
      </c>
      <c r="D103" s="61">
        <f>+B103+C103</f>
        <v>9253585142.3900108</v>
      </c>
      <c r="F103" s="91"/>
    </row>
    <row r="104" spans="1:6" x14ac:dyDescent="0.3">
      <c r="A104" s="105" t="s">
        <v>147</v>
      </c>
      <c r="B104" s="61">
        <f>+B105+B106</f>
        <v>4721209956.25</v>
      </c>
      <c r="C104" s="61">
        <f t="shared" ref="C104" si="9">+C105+C106</f>
        <v>4532375186.1400108</v>
      </c>
      <c r="D104" s="61">
        <f>+D100+D103</f>
        <v>9253585142.3900108</v>
      </c>
      <c r="F104" s="91"/>
    </row>
    <row r="105" spans="1:6" x14ac:dyDescent="0.3">
      <c r="A105" s="106" t="s">
        <v>83</v>
      </c>
      <c r="B105" s="26">
        <f>+B101</f>
        <v>0</v>
      </c>
      <c r="C105" s="26">
        <f>+C101</f>
        <v>0</v>
      </c>
      <c r="D105" s="65">
        <f>+B105+C105</f>
        <v>0</v>
      </c>
      <c r="F105" s="23"/>
    </row>
    <row r="106" spans="1:6" x14ac:dyDescent="0.3">
      <c r="A106" s="106" t="s">
        <v>81</v>
      </c>
      <c r="B106" s="26">
        <f>+B103</f>
        <v>4721209956.25</v>
      </c>
      <c r="C106" s="26">
        <f>+C103</f>
        <v>4532375186.1400108</v>
      </c>
      <c r="D106" s="65">
        <f>+B106+C106</f>
        <v>9253585142.3900108</v>
      </c>
      <c r="F106" s="23"/>
    </row>
    <row r="107" spans="1:6" x14ac:dyDescent="0.3">
      <c r="A107" s="105" t="s">
        <v>84</v>
      </c>
      <c r="B107" s="61">
        <f>+B108+B109</f>
        <v>3804952546.2399998</v>
      </c>
      <c r="C107" s="61">
        <f>+C108+C109</f>
        <v>4213572967.7399998</v>
      </c>
      <c r="D107" s="61">
        <f>+D108+D109</f>
        <v>8018525513.9799995</v>
      </c>
      <c r="F107" s="91"/>
    </row>
    <row r="108" spans="1:6" x14ac:dyDescent="0.3">
      <c r="A108" s="106" t="s">
        <v>83</v>
      </c>
      <c r="B108" s="82">
        <f>+'1T'!E155</f>
        <v>0</v>
      </c>
      <c r="C108" s="82">
        <f>+'2T'!E154</f>
        <v>0</v>
      </c>
      <c r="D108" s="48">
        <f>+B108+C108</f>
        <v>0</v>
      </c>
      <c r="F108" s="91"/>
    </row>
    <row r="109" spans="1:6" x14ac:dyDescent="0.3">
      <c r="A109" s="106" t="s">
        <v>81</v>
      </c>
      <c r="B109" s="82">
        <f>+'1T'!E156</f>
        <v>3804952546.2399998</v>
      </c>
      <c r="C109" s="82">
        <f>+'2T'!E155</f>
        <v>4213572967.7399998</v>
      </c>
      <c r="D109" s="48">
        <f>+B109+C109</f>
        <v>8018525513.9799995</v>
      </c>
      <c r="F109" s="91"/>
    </row>
    <row r="110" spans="1:6" x14ac:dyDescent="0.3">
      <c r="A110" s="105" t="s">
        <v>148</v>
      </c>
      <c r="B110" s="61">
        <f t="shared" ref="B110:D112" si="10">+B104-B107</f>
        <v>916257410.01000023</v>
      </c>
      <c r="C110" s="61">
        <f t="shared" si="10"/>
        <v>318802218.40001106</v>
      </c>
      <c r="D110" s="61">
        <f>+D104-D107</f>
        <v>1235059628.4100113</v>
      </c>
      <c r="F110" s="91"/>
    </row>
    <row r="111" spans="1:6" x14ac:dyDescent="0.3">
      <c r="A111" s="106" t="s">
        <v>83</v>
      </c>
      <c r="B111" s="82">
        <f t="shared" si="10"/>
        <v>0</v>
      </c>
      <c r="C111" s="82">
        <f t="shared" si="10"/>
        <v>0</v>
      </c>
      <c r="D111" s="48">
        <f>+D105-D108</f>
        <v>0</v>
      </c>
    </row>
    <row r="112" spans="1:6" x14ac:dyDescent="0.3">
      <c r="A112" s="107" t="s">
        <v>81</v>
      </c>
      <c r="B112" s="77">
        <f t="shared" si="10"/>
        <v>916257410.01000023</v>
      </c>
      <c r="C112" s="77">
        <f t="shared" si="10"/>
        <v>318802218.40001106</v>
      </c>
      <c r="D112" s="62">
        <f t="shared" si="10"/>
        <v>1235059628.4100113</v>
      </c>
    </row>
    <row r="113" spans="1:6" ht="18" customHeight="1" x14ac:dyDescent="0.3">
      <c r="A113" s="223" t="s">
        <v>43</v>
      </c>
      <c r="B113" s="223"/>
      <c r="C113" s="223"/>
      <c r="D113" s="223"/>
      <c r="F113" s="41"/>
    </row>
    <row r="114" spans="1:6" x14ac:dyDescent="0.3">
      <c r="A114" s="142"/>
      <c r="B114" s="142"/>
      <c r="C114" s="142"/>
      <c r="D114" s="142"/>
    </row>
    <row r="115" spans="1:6" x14ac:dyDescent="0.35">
      <c r="A115" s="1"/>
      <c r="B115" s="1"/>
      <c r="C115" s="1"/>
      <c r="D115" s="1"/>
      <c r="E115" s="1"/>
    </row>
    <row r="116" spans="1:6" x14ac:dyDescent="0.35">
      <c r="A116" s="1"/>
      <c r="B116" s="1"/>
      <c r="C116" s="1"/>
      <c r="D116" s="1"/>
      <c r="E116" s="1"/>
    </row>
    <row r="117" spans="1:6" x14ac:dyDescent="0.35">
      <c r="A117" s="1"/>
      <c r="B117" s="1"/>
      <c r="C117" s="1"/>
      <c r="D117" s="1"/>
      <c r="E117" s="1"/>
    </row>
    <row r="118" spans="1:6" x14ac:dyDescent="0.35">
      <c r="A118" s="1"/>
      <c r="B118" s="1"/>
      <c r="C118" s="1"/>
      <c r="D118" s="1"/>
      <c r="E118" s="1"/>
    </row>
    <row r="119" spans="1:6" x14ac:dyDescent="0.35">
      <c r="A119" s="1"/>
      <c r="B119" s="1"/>
      <c r="C119" s="1"/>
      <c r="D119" s="1"/>
      <c r="E119" s="1"/>
    </row>
  </sheetData>
  <mergeCells count="43">
    <mergeCell ref="A49:E49"/>
    <mergeCell ref="A31:D31"/>
    <mergeCell ref="A32:D32"/>
    <mergeCell ref="A25:A27"/>
    <mergeCell ref="A46:E46"/>
    <mergeCell ref="A37:A38"/>
    <mergeCell ref="A39:A40"/>
    <mergeCell ref="A41:A42"/>
    <mergeCell ref="A43:A44"/>
    <mergeCell ref="A34:B34"/>
    <mergeCell ref="A65:E65"/>
    <mergeCell ref="A66:E66"/>
    <mergeCell ref="A52:E52"/>
    <mergeCell ref="A51:E51"/>
    <mergeCell ref="A53:E53"/>
    <mergeCell ref="A58:B58"/>
    <mergeCell ref="A62:B62"/>
    <mergeCell ref="A69:E69"/>
    <mergeCell ref="A68:E68"/>
    <mergeCell ref="A70:E70"/>
    <mergeCell ref="A113:D113"/>
    <mergeCell ref="A95:E95"/>
    <mergeCell ref="A96:E96"/>
    <mergeCell ref="A97:E97"/>
    <mergeCell ref="A75:B75"/>
    <mergeCell ref="A82:B82"/>
    <mergeCell ref="A89:B89"/>
    <mergeCell ref="A92:E92"/>
    <mergeCell ref="A93:E93"/>
    <mergeCell ref="A1:E1"/>
    <mergeCell ref="A2:E2"/>
    <mergeCell ref="A29:E29"/>
    <mergeCell ref="A10:E10"/>
    <mergeCell ref="A11:E11"/>
    <mergeCell ref="A8:E8"/>
    <mergeCell ref="A28:E28"/>
    <mergeCell ref="A14:B14"/>
    <mergeCell ref="A16:A18"/>
    <mergeCell ref="A19:A21"/>
    <mergeCell ref="A22:A24"/>
    <mergeCell ref="C4:E4"/>
    <mergeCell ref="C5:E5"/>
    <mergeCell ref="C6:E6"/>
  </mergeCells>
  <printOptions horizontalCentered="1"/>
  <pageMargins left="0.70866141732283472" right="0.70866141732283472" top="0.94488188976377963" bottom="0.74803149606299213" header="0.19685039370078741" footer="0.31496062992125984"/>
  <pageSetup scale="5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6" max="4" man="1"/>
  </rowBreaks>
  <ignoredErrors>
    <ignoredError sqref="D17:D27 E17:E18 E26:E27 C14:E14" evalError="1"/>
    <ignoredError sqref="E19:E25" evalError="1"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dimension ref="A1:W164"/>
  <sheetViews>
    <sheetView showGridLines="0" zoomScale="80" zoomScaleNormal="80" workbookViewId="0">
      <selection sqref="A1:F2"/>
    </sheetView>
  </sheetViews>
  <sheetFormatPr baseColWidth="10" defaultColWidth="11.44140625" defaultRowHeight="15.6" x14ac:dyDescent="0.3"/>
  <cols>
    <col min="1" max="1" width="67.5546875" style="36" customWidth="1"/>
    <col min="2" max="2" width="28.109375" style="36" customWidth="1"/>
    <col min="3" max="4" width="16.44140625" style="36" customWidth="1"/>
    <col min="5" max="5" width="17.33203125" style="36" customWidth="1"/>
    <col min="6" max="6" width="16.44140625" style="36" customWidth="1"/>
    <col min="7" max="7" width="16.6640625" style="36" bestFit="1" customWidth="1"/>
    <col min="8" max="8" width="18.44140625" style="36" bestFit="1" customWidth="1"/>
    <col min="9" max="9" width="11.44140625" style="36"/>
    <col min="10" max="10" width="17.6640625" style="36" bestFit="1" customWidth="1"/>
    <col min="11" max="11" width="15" style="36" bestFit="1" customWidth="1"/>
    <col min="12" max="13" width="11.44140625" style="36"/>
    <col min="14" max="14" width="15" style="36" bestFit="1" customWidth="1"/>
    <col min="15" max="16" width="11.44140625" style="36"/>
    <col min="17" max="17" width="13.6640625" style="36" bestFit="1" customWidth="1"/>
    <col min="18" max="19" width="18.33203125" style="36" bestFit="1" customWidth="1"/>
    <col min="20" max="20" width="16.6640625" style="36" bestFit="1" customWidth="1"/>
    <col min="21" max="22" width="11.44140625" style="36"/>
    <col min="23" max="23" width="18.33203125" style="36" bestFit="1" customWidth="1"/>
    <col min="24" max="16384" width="11.44140625" style="36"/>
  </cols>
  <sheetData>
    <row r="1" spans="1:6" s="1" customFormat="1" ht="21.9" customHeight="1" x14ac:dyDescent="0.35">
      <c r="A1" s="232" t="s">
        <v>38</v>
      </c>
      <c r="B1" s="232"/>
      <c r="C1" s="232"/>
      <c r="D1" s="232"/>
      <c r="E1" s="232"/>
      <c r="F1" s="232"/>
    </row>
    <row r="2" spans="1:6" s="1" customFormat="1" ht="21.9" customHeight="1" x14ac:dyDescent="0.35">
      <c r="A2" s="232"/>
      <c r="B2" s="232"/>
      <c r="C2" s="232"/>
      <c r="D2" s="232"/>
      <c r="E2" s="232"/>
      <c r="F2" s="232"/>
    </row>
    <row r="3" spans="1:6" s="1" customFormat="1" ht="17.399999999999999" x14ac:dyDescent="0.4">
      <c r="A3" s="234" t="s">
        <v>212</v>
      </c>
      <c r="B3" s="234"/>
      <c r="C3" s="234"/>
      <c r="D3" s="234"/>
      <c r="E3" s="234"/>
      <c r="F3" s="234"/>
    </row>
    <row r="4" spans="1:6" ht="17.399999999999999" x14ac:dyDescent="0.3">
      <c r="A4" s="141"/>
      <c r="B4" s="141"/>
      <c r="C4" s="141"/>
      <c r="D4" s="141"/>
      <c r="E4" s="141"/>
      <c r="F4" s="141"/>
    </row>
    <row r="5" spans="1:6" ht="18" customHeight="1" x14ac:dyDescent="0.3">
      <c r="A5" s="70"/>
      <c r="B5" s="72" t="s">
        <v>22</v>
      </c>
      <c r="C5" s="199" t="s">
        <v>213</v>
      </c>
      <c r="D5" s="235"/>
      <c r="E5" s="235"/>
    </row>
    <row r="6" spans="1:6" ht="18" customHeight="1" x14ac:dyDescent="0.3">
      <c r="A6" s="71"/>
      <c r="B6" s="73" t="s">
        <v>33</v>
      </c>
      <c r="C6" s="236" t="s">
        <v>184</v>
      </c>
      <c r="D6" s="237"/>
      <c r="E6" s="237"/>
      <c r="F6" s="3"/>
    </row>
    <row r="7" spans="1:6" ht="18" customHeight="1" x14ac:dyDescent="0.3">
      <c r="A7" s="71"/>
      <c r="B7" s="74" t="s">
        <v>34</v>
      </c>
      <c r="C7" s="236" t="s">
        <v>185</v>
      </c>
      <c r="D7" s="237"/>
      <c r="E7" s="237"/>
      <c r="F7" s="3"/>
    </row>
    <row r="8" spans="1:6" ht="15" customHeight="1" x14ac:dyDescent="0.3">
      <c r="A8" s="4"/>
      <c r="B8" s="133"/>
      <c r="C8" s="133"/>
      <c r="D8" s="133"/>
      <c r="E8" s="133"/>
      <c r="F8" s="133"/>
    </row>
    <row r="9" spans="1:6" x14ac:dyDescent="0.3">
      <c r="A9" s="6"/>
      <c r="B9" s="133"/>
      <c r="C9" s="133"/>
      <c r="D9" s="133"/>
      <c r="E9" s="133"/>
      <c r="F9" s="133"/>
    </row>
    <row r="10" spans="1:6" ht="21.9" customHeight="1" x14ac:dyDescent="0.3">
      <c r="A10" s="214" t="s">
        <v>35</v>
      </c>
      <c r="B10" s="214"/>
      <c r="C10" s="214"/>
      <c r="D10" s="214"/>
      <c r="E10" s="214"/>
      <c r="F10" s="214"/>
    </row>
    <row r="11" spans="1:6" ht="16.95" customHeight="1" x14ac:dyDescent="0.3">
      <c r="A11" s="8"/>
      <c r="B11" s="8"/>
      <c r="C11" s="8"/>
      <c r="D11" s="8"/>
      <c r="E11" s="8"/>
      <c r="F11" s="8"/>
    </row>
    <row r="12" spans="1:6" ht="16.95" customHeight="1" x14ac:dyDescent="0.3">
      <c r="A12" s="233" t="s">
        <v>36</v>
      </c>
      <c r="B12" s="233"/>
      <c r="C12" s="233"/>
      <c r="D12" s="233"/>
      <c r="E12" s="233"/>
      <c r="F12" s="233"/>
    </row>
    <row r="13" spans="1:6" ht="16.95" customHeight="1" x14ac:dyDescent="0.3">
      <c r="A13" s="233" t="s">
        <v>19</v>
      </c>
      <c r="B13" s="233"/>
      <c r="C13" s="233"/>
      <c r="D13" s="233"/>
      <c r="E13" s="233"/>
      <c r="F13" s="233"/>
    </row>
    <row r="14" spans="1:6" ht="16.95" customHeight="1" x14ac:dyDescent="0.3">
      <c r="A14" s="133"/>
      <c r="B14" s="133"/>
      <c r="C14" s="133"/>
      <c r="D14" s="133"/>
      <c r="E14" s="133"/>
      <c r="F14" s="133"/>
    </row>
    <row r="15" spans="1:6" ht="16.95" customHeight="1" x14ac:dyDescent="0.3">
      <c r="A15" s="138" t="s">
        <v>17</v>
      </c>
      <c r="B15" s="9" t="s">
        <v>18</v>
      </c>
      <c r="C15" s="9" t="s">
        <v>11</v>
      </c>
      <c r="D15" s="9" t="s">
        <v>89</v>
      </c>
      <c r="E15" s="9" t="s">
        <v>90</v>
      </c>
      <c r="F15" s="138" t="s">
        <v>10</v>
      </c>
    </row>
    <row r="16" spans="1:6" ht="16.95" customHeight="1" x14ac:dyDescent="0.3">
      <c r="A16" s="238" t="s">
        <v>16</v>
      </c>
      <c r="B16" s="238"/>
      <c r="C16" s="113">
        <f>+C19+C20+C22+C23+C25+C26+C28+C29</f>
        <v>15466</v>
      </c>
      <c r="D16" s="113">
        <f t="shared" ref="D16:E16" si="0">+D19+D20+D22+D23+D25+D26+D28+D29</f>
        <v>12344</v>
      </c>
      <c r="E16" s="113">
        <f t="shared" si="0"/>
        <v>16252</v>
      </c>
      <c r="F16" s="113">
        <f>+AVERAGE(C16:E16)</f>
        <v>14687.333333333334</v>
      </c>
    </row>
    <row r="17" spans="1:8" ht="16.95" customHeight="1" x14ac:dyDescent="0.3">
      <c r="A17" s="135"/>
      <c r="B17" s="110"/>
      <c r="C17" s="111"/>
      <c r="D17" s="111"/>
      <c r="E17" s="111"/>
      <c r="F17" s="111"/>
    </row>
    <row r="18" spans="1:8" ht="16.95" customHeight="1" x14ac:dyDescent="0.35">
      <c r="A18" s="230" t="s">
        <v>176</v>
      </c>
      <c r="B18" s="119" t="s">
        <v>173</v>
      </c>
      <c r="C18" s="111">
        <f>+('2T'!E18-C20)+70</f>
        <v>110</v>
      </c>
      <c r="D18" s="111">
        <f>+(C18-D20)+116</f>
        <v>134</v>
      </c>
      <c r="E18" s="111">
        <f>+(D18-E20)+71</f>
        <v>71</v>
      </c>
      <c r="F18" s="111">
        <f>+E18</f>
        <v>71</v>
      </c>
      <c r="H18" s="172"/>
    </row>
    <row r="19" spans="1:8" ht="16.95" customHeight="1" x14ac:dyDescent="0.35">
      <c r="A19" s="230"/>
      <c r="B19" s="119" t="s">
        <v>174</v>
      </c>
      <c r="C19" s="124">
        <v>1519</v>
      </c>
      <c r="D19" s="111">
        <v>1470</v>
      </c>
      <c r="E19" s="111">
        <v>1512</v>
      </c>
      <c r="F19" s="111">
        <f>+AVERAGE(C19:E19)</f>
        <v>1500.3333333333333</v>
      </c>
    </row>
    <row r="20" spans="1:8" ht="16.95" customHeight="1" x14ac:dyDescent="0.35">
      <c r="A20" s="230"/>
      <c r="B20" s="119" t="s">
        <v>175</v>
      </c>
      <c r="C20" s="124">
        <v>0</v>
      </c>
      <c r="D20" s="111">
        <v>92</v>
      </c>
      <c r="E20" s="111">
        <v>134</v>
      </c>
      <c r="F20" s="111">
        <f>+AVERAGE(C20:E20)</f>
        <v>75.333333333333329</v>
      </c>
    </row>
    <row r="21" spans="1:8" ht="16.95" customHeight="1" x14ac:dyDescent="0.35">
      <c r="A21" s="247" t="s">
        <v>177</v>
      </c>
      <c r="B21" s="160" t="s">
        <v>173</v>
      </c>
      <c r="C21" s="161">
        <f>+('2T'!E21-C23)+69</f>
        <v>118</v>
      </c>
      <c r="D21" s="161">
        <f>+(C21-D23)+113</f>
        <v>167</v>
      </c>
      <c r="E21" s="161">
        <f>+(D21-E23)+78</f>
        <v>160</v>
      </c>
      <c r="F21" s="161">
        <f>+E21</f>
        <v>160</v>
      </c>
    </row>
    <row r="22" spans="1:8" ht="16.95" customHeight="1" x14ac:dyDescent="0.35">
      <c r="A22" s="247"/>
      <c r="B22" s="160" t="s">
        <v>174</v>
      </c>
      <c r="C22" s="173">
        <v>1363</v>
      </c>
      <c r="D22" s="161">
        <v>1320</v>
      </c>
      <c r="E22" s="161">
        <v>1353</v>
      </c>
      <c r="F22" s="161">
        <f>+AVERAGE(C22:E22)</f>
        <v>1345.3333333333333</v>
      </c>
    </row>
    <row r="23" spans="1:8" ht="16.95" customHeight="1" x14ac:dyDescent="0.35">
      <c r="A23" s="247"/>
      <c r="B23" s="160" t="s">
        <v>175</v>
      </c>
      <c r="C23" s="173">
        <v>85</v>
      </c>
      <c r="D23" s="161">
        <v>64</v>
      </c>
      <c r="E23" s="161">
        <v>85</v>
      </c>
      <c r="F23" s="161">
        <f>+AVERAGE(C23:E23)</f>
        <v>78</v>
      </c>
    </row>
    <row r="24" spans="1:8" ht="16.95" customHeight="1" x14ac:dyDescent="0.35">
      <c r="A24" s="230" t="s">
        <v>178</v>
      </c>
      <c r="B24" s="119" t="s">
        <v>173</v>
      </c>
      <c r="C24" s="111">
        <f>+('2T'!E24-C26)+266</f>
        <v>498</v>
      </c>
      <c r="D24" s="111">
        <f>+(C24-D26)+2185</f>
        <v>2475</v>
      </c>
      <c r="E24" s="111">
        <f>+(D24-E26)+168</f>
        <v>515</v>
      </c>
      <c r="F24" s="111">
        <f>+E24</f>
        <v>515</v>
      </c>
    </row>
    <row r="25" spans="1:8" ht="16.95" customHeight="1" x14ac:dyDescent="0.35">
      <c r="A25" s="230"/>
      <c r="B25" s="119" t="s">
        <v>174</v>
      </c>
      <c r="C25" s="124">
        <v>10256</v>
      </c>
      <c r="D25" s="111">
        <v>8263</v>
      </c>
      <c r="E25" s="111">
        <v>10012</v>
      </c>
      <c r="F25" s="111">
        <f>+AVERAGE(C25:E25)</f>
        <v>9510.3333333333339</v>
      </c>
    </row>
    <row r="26" spans="1:8" ht="16.95" customHeight="1" x14ac:dyDescent="0.35">
      <c r="A26" s="230"/>
      <c r="B26" s="119" t="s">
        <v>175</v>
      </c>
      <c r="C26" s="124">
        <v>1384</v>
      </c>
      <c r="D26" s="111">
        <v>208</v>
      </c>
      <c r="E26" s="111">
        <v>2128</v>
      </c>
      <c r="F26" s="111">
        <f>+AVERAGE(C26:E26)</f>
        <v>1240</v>
      </c>
    </row>
    <row r="27" spans="1:8" ht="16.95" customHeight="1" x14ac:dyDescent="0.35">
      <c r="A27" s="247" t="s">
        <v>179</v>
      </c>
      <c r="B27" s="160" t="s">
        <v>173</v>
      </c>
      <c r="C27" s="161">
        <f>+('2T'!E27-C29)+135</f>
        <v>2136</v>
      </c>
      <c r="D27" s="161">
        <f>+(C27-D29)+73</f>
        <v>2142</v>
      </c>
      <c r="E27" s="161">
        <f>+(D27-E29)-2051</f>
        <v>0</v>
      </c>
      <c r="F27" s="161">
        <f>+E27</f>
        <v>0</v>
      </c>
    </row>
    <row r="28" spans="1:8" ht="16.95" customHeight="1" x14ac:dyDescent="0.35">
      <c r="A28" s="247"/>
      <c r="B28" s="160" t="s">
        <v>174</v>
      </c>
      <c r="C28" s="173">
        <v>806</v>
      </c>
      <c r="D28" s="161">
        <v>860</v>
      </c>
      <c r="E28" s="161">
        <v>937</v>
      </c>
      <c r="F28" s="161">
        <f>+AVERAGE(C28:E28)</f>
        <v>867.66666666666663</v>
      </c>
    </row>
    <row r="29" spans="1:8" ht="16.95" customHeight="1" x14ac:dyDescent="0.35">
      <c r="A29" s="258"/>
      <c r="B29" s="160" t="s">
        <v>175</v>
      </c>
      <c r="C29" s="173">
        <v>53</v>
      </c>
      <c r="D29" s="161">
        <v>67</v>
      </c>
      <c r="E29" s="161">
        <v>91</v>
      </c>
      <c r="F29" s="161">
        <f>+AVERAGE(C29:E29)</f>
        <v>70.333333333333329</v>
      </c>
    </row>
    <row r="30" spans="1:8" ht="16.95" customHeight="1" x14ac:dyDescent="0.3">
      <c r="A30" s="223" t="s">
        <v>43</v>
      </c>
      <c r="B30" s="223"/>
      <c r="C30" s="223"/>
      <c r="D30" s="223"/>
      <c r="E30" s="223"/>
      <c r="F30" s="223"/>
    </row>
    <row r="31" spans="1:8" ht="85.2" customHeight="1" x14ac:dyDescent="0.3">
      <c r="A31" s="195" t="s">
        <v>163</v>
      </c>
      <c r="B31" s="196"/>
      <c r="C31" s="196"/>
      <c r="D31" s="196"/>
      <c r="E31" s="196"/>
      <c r="F31" s="197"/>
    </row>
    <row r="32" spans="1:8" ht="16.95" customHeight="1" x14ac:dyDescent="0.3">
      <c r="A32" s="37"/>
      <c r="B32" s="37"/>
      <c r="C32" s="37"/>
      <c r="D32" s="38"/>
      <c r="E32" s="38"/>
      <c r="F32" s="39"/>
    </row>
    <row r="33" spans="1:6" ht="16.95" customHeight="1" x14ac:dyDescent="0.3">
      <c r="A33" s="233" t="s">
        <v>37</v>
      </c>
      <c r="B33" s="233"/>
      <c r="C33" s="233"/>
      <c r="D33" s="233"/>
      <c r="E33" s="233"/>
      <c r="F33" s="233"/>
    </row>
    <row r="34" spans="1:6" ht="16.95" customHeight="1" x14ac:dyDescent="0.3">
      <c r="A34" s="233" t="s">
        <v>20</v>
      </c>
      <c r="B34" s="233"/>
      <c r="C34" s="233"/>
      <c r="D34" s="233"/>
      <c r="E34" s="233"/>
      <c r="F34" s="233"/>
    </row>
    <row r="35" spans="1:6" x14ac:dyDescent="0.3">
      <c r="A35" s="37"/>
      <c r="B35" s="37"/>
      <c r="C35" s="38"/>
      <c r="D35" s="38"/>
      <c r="E35" s="38"/>
      <c r="F35" s="40"/>
    </row>
    <row r="36" spans="1:6" ht="15" customHeight="1" x14ac:dyDescent="0.3">
      <c r="A36" s="217" t="s">
        <v>17</v>
      </c>
      <c r="B36" s="244"/>
      <c r="C36" s="9" t="s">
        <v>11</v>
      </c>
      <c r="D36" s="9" t="s">
        <v>89</v>
      </c>
      <c r="E36" s="9" t="s">
        <v>90</v>
      </c>
      <c r="F36" s="138" t="s">
        <v>10</v>
      </c>
    </row>
    <row r="37" spans="1:6" ht="16.95" customHeight="1" x14ac:dyDescent="0.3">
      <c r="A37" s="121" t="s">
        <v>16</v>
      </c>
      <c r="B37" s="121"/>
      <c r="C37" s="12">
        <f t="shared" ref="C37:E37" si="1">+SUM(C39:C46)</f>
        <v>1548531353.3800001</v>
      </c>
      <c r="D37" s="12">
        <f t="shared" si="1"/>
        <v>1411682695</v>
      </c>
      <c r="E37" s="12">
        <f t="shared" si="1"/>
        <v>1667411445.72</v>
      </c>
      <c r="F37" s="12">
        <f>+SUM(F39:F46)</f>
        <v>4627625494.1000004</v>
      </c>
    </row>
    <row r="38" spans="1:6" ht="16.95" customHeight="1" x14ac:dyDescent="0.3">
      <c r="A38" s="136"/>
      <c r="B38" s="14"/>
      <c r="C38" s="14"/>
      <c r="D38" s="14"/>
      <c r="E38" s="14"/>
      <c r="F38" s="14"/>
    </row>
    <row r="39" spans="1:6" ht="16.95" customHeight="1" x14ac:dyDescent="0.3">
      <c r="A39" s="220" t="s">
        <v>176</v>
      </c>
      <c r="B39" s="122" t="s">
        <v>180</v>
      </c>
      <c r="C39" s="115">
        <v>306725594</v>
      </c>
      <c r="D39" s="115">
        <v>296831220</v>
      </c>
      <c r="E39" s="115">
        <v>305312112</v>
      </c>
      <c r="F39" s="115">
        <f>+SUM(C39:E39)</f>
        <v>908868926</v>
      </c>
    </row>
    <row r="40" spans="1:6" ht="16.95" customHeight="1" x14ac:dyDescent="0.3">
      <c r="A40" s="220"/>
      <c r="B40" s="122" t="s">
        <v>181</v>
      </c>
      <c r="C40" s="115"/>
      <c r="D40" s="115">
        <v>18173340</v>
      </c>
      <c r="E40" s="115">
        <v>27058084</v>
      </c>
      <c r="F40" s="115">
        <f t="shared" ref="F40:F46" si="2">+SUM(C40:E40)</f>
        <v>45231424</v>
      </c>
    </row>
    <row r="41" spans="1:6" ht="16.95" customHeight="1" x14ac:dyDescent="0.3">
      <c r="A41" s="245" t="s">
        <v>177</v>
      </c>
      <c r="B41" s="162" t="s">
        <v>180</v>
      </c>
      <c r="C41" s="163">
        <v>110089510</v>
      </c>
      <c r="D41" s="163">
        <v>106616400</v>
      </c>
      <c r="E41" s="163">
        <v>109281810</v>
      </c>
      <c r="F41" s="163">
        <f t="shared" si="2"/>
        <v>325987720</v>
      </c>
    </row>
    <row r="42" spans="1:6" ht="16.95" customHeight="1" x14ac:dyDescent="0.3">
      <c r="A42" s="245"/>
      <c r="B42" s="162" t="s">
        <v>181</v>
      </c>
      <c r="C42" s="163">
        <v>6865450</v>
      </c>
      <c r="D42" s="163">
        <v>5088510</v>
      </c>
      <c r="E42" s="163">
        <v>6865450</v>
      </c>
      <c r="F42" s="163">
        <f t="shared" si="2"/>
        <v>18819410</v>
      </c>
    </row>
    <row r="43" spans="1:6" ht="16.95" customHeight="1" x14ac:dyDescent="0.3">
      <c r="A43" s="220" t="s">
        <v>178</v>
      </c>
      <c r="B43" s="122" t="s">
        <v>180</v>
      </c>
      <c r="C43" s="115">
        <v>623447599.38</v>
      </c>
      <c r="D43" s="115">
        <v>521941495</v>
      </c>
      <c r="E43" s="115">
        <v>617122614.36000001</v>
      </c>
      <c r="F43" s="115">
        <f t="shared" si="2"/>
        <v>1762511708.7400002</v>
      </c>
    </row>
    <row r="44" spans="1:6" ht="16.95" customHeight="1" x14ac:dyDescent="0.3">
      <c r="A44" s="220"/>
      <c r="B44" s="122" t="s">
        <v>181</v>
      </c>
      <c r="C44" s="115">
        <v>76925200</v>
      </c>
      <c r="D44" s="115">
        <v>11333730</v>
      </c>
      <c r="E44" s="115">
        <v>112223375.36</v>
      </c>
      <c r="F44" s="115">
        <f t="shared" si="2"/>
        <v>200482305.36000001</v>
      </c>
    </row>
    <row r="45" spans="1:6" ht="16.95" customHeight="1" x14ac:dyDescent="0.3">
      <c r="A45" s="245" t="s">
        <v>179</v>
      </c>
      <c r="B45" s="162" t="s">
        <v>180</v>
      </c>
      <c r="C45" s="163">
        <v>403028000</v>
      </c>
      <c r="D45" s="163">
        <v>429998000</v>
      </c>
      <c r="E45" s="163">
        <v>459598000</v>
      </c>
      <c r="F45" s="163">
        <f t="shared" si="2"/>
        <v>1292624000</v>
      </c>
    </row>
    <row r="46" spans="1:6" ht="16.95" customHeight="1" x14ac:dyDescent="0.3">
      <c r="A46" s="246"/>
      <c r="B46" s="162" t="s">
        <v>181</v>
      </c>
      <c r="C46" s="163">
        <v>21450000</v>
      </c>
      <c r="D46" s="163">
        <v>21700000</v>
      </c>
      <c r="E46" s="163">
        <v>29950000</v>
      </c>
      <c r="F46" s="164">
        <f t="shared" si="2"/>
        <v>73100000</v>
      </c>
    </row>
    <row r="47" spans="1:6" ht="16.95" customHeight="1" x14ac:dyDescent="0.3">
      <c r="A47" s="223" t="s">
        <v>43</v>
      </c>
      <c r="B47" s="223"/>
      <c r="C47" s="223"/>
      <c r="D47" s="223"/>
      <c r="E47" s="223"/>
      <c r="F47" s="41"/>
    </row>
    <row r="48" spans="1:6" ht="73.2" customHeight="1" x14ac:dyDescent="0.3">
      <c r="A48" s="195" t="s">
        <v>163</v>
      </c>
      <c r="B48" s="196"/>
      <c r="C48" s="196"/>
      <c r="D48" s="196"/>
      <c r="E48" s="196"/>
      <c r="F48" s="197"/>
    </row>
    <row r="49" spans="1:6" ht="16.95" customHeight="1" x14ac:dyDescent="0.3"/>
    <row r="50" spans="1:6" ht="16.95" customHeight="1" x14ac:dyDescent="0.3">
      <c r="A50" s="209" t="s">
        <v>39</v>
      </c>
      <c r="B50" s="209"/>
      <c r="C50" s="209"/>
      <c r="D50" s="209"/>
      <c r="E50" s="209"/>
      <c r="F50" s="209"/>
    </row>
    <row r="51" spans="1:6" ht="35.25" customHeight="1" x14ac:dyDescent="0.3">
      <c r="A51" s="216" t="s">
        <v>40</v>
      </c>
      <c r="B51" s="216"/>
      <c r="C51" s="216"/>
      <c r="D51" s="216"/>
      <c r="E51" s="216"/>
      <c r="F51" s="216"/>
    </row>
    <row r="53" spans="1:6" ht="31.2" x14ac:dyDescent="0.3">
      <c r="A53" s="224" t="s">
        <v>23</v>
      </c>
      <c r="B53" s="224"/>
      <c r="C53" s="7" t="s">
        <v>41</v>
      </c>
      <c r="D53" s="7" t="s">
        <v>42</v>
      </c>
      <c r="E53" s="7" t="s">
        <v>44</v>
      </c>
      <c r="F53" s="132" t="s">
        <v>24</v>
      </c>
    </row>
    <row r="54" spans="1:6" ht="27.9" customHeight="1" x14ac:dyDescent="0.3">
      <c r="A54" s="242" t="s">
        <v>28</v>
      </c>
      <c r="B54" s="243"/>
      <c r="C54" s="152"/>
      <c r="D54" s="152" t="s">
        <v>189</v>
      </c>
      <c r="E54" s="153" t="s">
        <v>191</v>
      </c>
      <c r="F54" s="17" t="s">
        <v>206</v>
      </c>
    </row>
    <row r="55" spans="1:6" ht="27.9" customHeight="1" x14ac:dyDescent="0.3">
      <c r="A55" s="242" t="s">
        <v>29</v>
      </c>
      <c r="B55" s="242"/>
      <c r="C55" s="152"/>
      <c r="D55" s="152" t="s">
        <v>189</v>
      </c>
      <c r="E55" s="153" t="s">
        <v>191</v>
      </c>
      <c r="F55" s="18" t="s">
        <v>206</v>
      </c>
    </row>
    <row r="56" spans="1:6" ht="27.9" customHeight="1" x14ac:dyDescent="0.3">
      <c r="A56" s="240" t="s">
        <v>27</v>
      </c>
      <c r="B56" s="240"/>
      <c r="C56" s="152" t="s">
        <v>189</v>
      </c>
      <c r="D56" s="152"/>
      <c r="E56" s="152"/>
      <c r="F56" s="18" t="s">
        <v>206</v>
      </c>
    </row>
    <row r="57" spans="1:6" ht="27.9" customHeight="1" x14ac:dyDescent="0.3">
      <c r="A57" s="241" t="s">
        <v>30</v>
      </c>
      <c r="B57" s="241"/>
      <c r="C57" s="152"/>
      <c r="D57" s="152" t="s">
        <v>189</v>
      </c>
      <c r="E57" s="153" t="s">
        <v>191</v>
      </c>
      <c r="F57" s="19" t="s">
        <v>206</v>
      </c>
    </row>
    <row r="58" spans="1:6" s="87" customFormat="1" x14ac:dyDescent="0.3">
      <c r="A58" s="223" t="s">
        <v>43</v>
      </c>
      <c r="B58" s="223"/>
      <c r="C58" s="223"/>
      <c r="D58" s="223"/>
      <c r="E58" s="223"/>
      <c r="F58" s="223"/>
    </row>
    <row r="59" spans="1:6" s="87" customFormat="1" ht="60.6" customHeight="1" x14ac:dyDescent="0.3">
      <c r="A59" s="213" t="s">
        <v>155</v>
      </c>
      <c r="B59" s="213"/>
      <c r="C59" s="213"/>
      <c r="D59" s="213"/>
      <c r="E59" s="213"/>
      <c r="F59" s="213"/>
    </row>
    <row r="60" spans="1:6" s="87" customFormat="1" ht="15" customHeight="1" x14ac:dyDescent="0.3">
      <c r="A60" s="142"/>
      <c r="B60" s="142"/>
      <c r="C60" s="142"/>
      <c r="D60" s="142"/>
      <c r="E60" s="142"/>
      <c r="F60" s="142"/>
    </row>
    <row r="61" spans="1:6" s="87" customFormat="1" ht="15" customHeight="1" x14ac:dyDescent="0.3">
      <c r="A61" s="142"/>
      <c r="B61" s="142"/>
      <c r="C61" s="142"/>
      <c r="D61" s="142"/>
      <c r="E61" s="142"/>
      <c r="F61" s="142"/>
    </row>
    <row r="63" spans="1:6" x14ac:dyDescent="0.3">
      <c r="A63" s="209" t="s">
        <v>45</v>
      </c>
      <c r="B63" s="209"/>
      <c r="C63" s="209"/>
      <c r="D63" s="209"/>
      <c r="E63" s="209"/>
      <c r="F63" s="209"/>
    </row>
    <row r="64" spans="1:6" x14ac:dyDescent="0.3">
      <c r="A64" s="209" t="s">
        <v>25</v>
      </c>
      <c r="B64" s="209"/>
      <c r="C64" s="209"/>
      <c r="D64" s="209"/>
      <c r="E64" s="209"/>
      <c r="F64" s="209"/>
    </row>
    <row r="66" spans="1:6" ht="30" x14ac:dyDescent="0.3">
      <c r="A66" s="217" t="s">
        <v>23</v>
      </c>
      <c r="B66" s="217"/>
      <c r="C66" s="9" t="s">
        <v>41</v>
      </c>
      <c r="D66" s="9" t="s">
        <v>42</v>
      </c>
      <c r="E66" s="9" t="s">
        <v>87</v>
      </c>
      <c r="F66" s="138" t="s">
        <v>24</v>
      </c>
    </row>
    <row r="67" spans="1:6" ht="27.9" customHeight="1" x14ac:dyDescent="0.3">
      <c r="A67" s="218" t="s">
        <v>31</v>
      </c>
      <c r="B67" s="218"/>
      <c r="C67" s="20"/>
      <c r="D67" s="156" t="s">
        <v>190</v>
      </c>
      <c r="E67" s="153" t="s">
        <v>192</v>
      </c>
      <c r="F67" s="43"/>
    </row>
    <row r="68" spans="1:6" ht="27.9" customHeight="1" x14ac:dyDescent="0.3">
      <c r="A68" s="219" t="s">
        <v>32</v>
      </c>
      <c r="B68" s="219"/>
      <c r="C68" s="31" t="s">
        <v>190</v>
      </c>
      <c r="D68" s="31"/>
      <c r="E68" s="32"/>
      <c r="F68" s="44"/>
    </row>
    <row r="69" spans="1:6" x14ac:dyDescent="0.3">
      <c r="A69" s="194" t="s">
        <v>43</v>
      </c>
      <c r="B69" s="194"/>
      <c r="C69" s="194"/>
      <c r="D69" s="194"/>
      <c r="E69" s="194"/>
      <c r="F69" s="194"/>
    </row>
    <row r="70" spans="1:6" ht="45" customHeight="1" x14ac:dyDescent="0.3">
      <c r="A70" s="213" t="s">
        <v>57</v>
      </c>
      <c r="B70" s="213"/>
      <c r="C70" s="213"/>
      <c r="D70" s="213"/>
      <c r="E70" s="213"/>
      <c r="F70" s="213"/>
    </row>
    <row r="71" spans="1:6" x14ac:dyDescent="0.3">
      <c r="E71" s="45"/>
    </row>
    <row r="72" spans="1:6" x14ac:dyDescent="0.3">
      <c r="A72" s="92" t="s">
        <v>46</v>
      </c>
      <c r="B72" s="198" t="s">
        <v>197</v>
      </c>
      <c r="C72" s="199"/>
      <c r="D72" s="200" t="s">
        <v>49</v>
      </c>
      <c r="E72" s="201"/>
      <c r="F72" s="202"/>
    </row>
    <row r="73" spans="1:6" x14ac:dyDescent="0.3">
      <c r="A73" s="73" t="s">
        <v>47</v>
      </c>
      <c r="B73" s="198" t="s">
        <v>198</v>
      </c>
      <c r="C73" s="199"/>
      <c r="D73" s="203"/>
      <c r="E73" s="204"/>
      <c r="F73" s="205"/>
    </row>
    <row r="74" spans="1:6" x14ac:dyDescent="0.3">
      <c r="A74" s="74" t="s">
        <v>48</v>
      </c>
      <c r="B74" s="198" t="s">
        <v>196</v>
      </c>
      <c r="C74" s="199"/>
      <c r="D74" s="206"/>
      <c r="E74" s="207"/>
      <c r="F74" s="208"/>
    </row>
    <row r="75" spans="1:6" x14ac:dyDescent="0.35">
      <c r="A75" s="1"/>
      <c r="B75" s="67"/>
      <c r="C75" s="67"/>
      <c r="D75" s="137"/>
      <c r="E75" s="137"/>
      <c r="F75" s="137"/>
    </row>
    <row r="76" spans="1:6" x14ac:dyDescent="0.35">
      <c r="A76" s="1"/>
      <c r="B76" s="67"/>
      <c r="C76" s="67"/>
      <c r="D76" s="137"/>
      <c r="E76" s="137"/>
      <c r="F76" s="137"/>
    </row>
    <row r="77" spans="1:6" x14ac:dyDescent="0.35">
      <c r="A77" s="1"/>
      <c r="B77" s="67"/>
      <c r="C77" s="67"/>
      <c r="D77" s="137"/>
      <c r="E77" s="137"/>
      <c r="F77" s="137"/>
    </row>
    <row r="79" spans="1:6" ht="21.9" customHeight="1" x14ac:dyDescent="0.3">
      <c r="A79" s="214" t="s">
        <v>50</v>
      </c>
      <c r="B79" s="214"/>
      <c r="C79" s="214"/>
      <c r="D79" s="214"/>
      <c r="E79" s="214"/>
      <c r="F79" s="214"/>
    </row>
    <row r="80" spans="1:6" ht="9.9" customHeight="1" x14ac:dyDescent="0.3"/>
    <row r="81" spans="1:23" x14ac:dyDescent="0.3">
      <c r="A81" s="209" t="s">
        <v>51</v>
      </c>
      <c r="B81" s="209"/>
      <c r="C81" s="209"/>
      <c r="D81" s="209"/>
      <c r="E81" s="209"/>
      <c r="F81" s="209"/>
    </row>
    <row r="82" spans="1:23" x14ac:dyDescent="0.3">
      <c r="A82" s="209" t="s">
        <v>63</v>
      </c>
      <c r="B82" s="209"/>
      <c r="C82" s="209"/>
      <c r="D82" s="209"/>
      <c r="E82" s="209"/>
      <c r="F82" s="209"/>
    </row>
    <row r="83" spans="1:23" x14ac:dyDescent="0.3">
      <c r="A83" s="209" t="s">
        <v>52</v>
      </c>
      <c r="B83" s="209"/>
      <c r="C83" s="209"/>
      <c r="D83" s="209"/>
      <c r="E83" s="209"/>
      <c r="F83" s="209"/>
    </row>
    <row r="84" spans="1:23" ht="9.9" customHeight="1" x14ac:dyDescent="0.3"/>
    <row r="85" spans="1:23" ht="30" x14ac:dyDescent="0.3">
      <c r="A85" s="69" t="s">
        <v>64</v>
      </c>
      <c r="B85" s="69" t="s">
        <v>68</v>
      </c>
      <c r="C85" s="69" t="s">
        <v>72</v>
      </c>
      <c r="D85" s="69" t="s">
        <v>69</v>
      </c>
      <c r="E85" s="69" t="s">
        <v>70</v>
      </c>
      <c r="F85" s="69" t="s">
        <v>71</v>
      </c>
    </row>
    <row r="86" spans="1:23" x14ac:dyDescent="0.3">
      <c r="A86" s="134" t="s">
        <v>16</v>
      </c>
      <c r="B86" s="35">
        <f>+SUM(B88:B92)</f>
        <v>18884839825</v>
      </c>
      <c r="C86" s="78">
        <f>+SUM(C88:C92)</f>
        <v>100</v>
      </c>
      <c r="D86" s="11"/>
      <c r="E86" s="11"/>
      <c r="F86" s="11"/>
    </row>
    <row r="87" spans="1:23" x14ac:dyDescent="0.3">
      <c r="A87" s="25"/>
      <c r="B87" s="26"/>
      <c r="C87" s="66"/>
      <c r="D87" s="24"/>
      <c r="E87" s="24"/>
      <c r="F87" s="24"/>
    </row>
    <row r="88" spans="1:23" ht="24.6" customHeight="1" x14ac:dyDescent="0.3">
      <c r="A88" s="25" t="s">
        <v>65</v>
      </c>
      <c r="B88" s="26">
        <v>18884839825</v>
      </c>
      <c r="C88" s="34">
        <v>100</v>
      </c>
      <c r="D88" s="158" t="s">
        <v>186</v>
      </c>
      <c r="E88" s="157" t="s">
        <v>187</v>
      </c>
      <c r="F88" s="24"/>
    </row>
    <row r="89" spans="1:23" ht="15" customHeight="1" x14ac:dyDescent="0.3">
      <c r="A89" s="25" t="s">
        <v>66</v>
      </c>
      <c r="B89" s="26">
        <v>0</v>
      </c>
      <c r="C89" s="66">
        <f t="shared" ref="C89:C92" si="3">+B89/$B$86*100</f>
        <v>0</v>
      </c>
      <c r="D89" s="25"/>
      <c r="E89" s="25"/>
      <c r="F89" s="25"/>
    </row>
    <row r="90" spans="1:23" ht="15" customHeight="1" x14ac:dyDescent="0.3">
      <c r="A90" s="25" t="s">
        <v>67</v>
      </c>
      <c r="B90" s="26">
        <v>0</v>
      </c>
      <c r="C90" s="66">
        <f t="shared" si="3"/>
        <v>0</v>
      </c>
      <c r="D90" s="25"/>
      <c r="E90" s="25"/>
      <c r="F90" s="25"/>
      <c r="S90" s="146"/>
    </row>
    <row r="91" spans="1:23" ht="15" customHeight="1" x14ac:dyDescent="0.3">
      <c r="A91" s="25" t="s">
        <v>170</v>
      </c>
      <c r="B91" s="26">
        <v>0</v>
      </c>
      <c r="C91" s="66">
        <f t="shared" si="3"/>
        <v>0</v>
      </c>
      <c r="D91" s="25"/>
      <c r="E91" s="25"/>
      <c r="F91" s="25"/>
      <c r="S91" s="146"/>
      <c r="W91" s="36">
        <v>80846414.959999993</v>
      </c>
    </row>
    <row r="92" spans="1:23" ht="15" customHeight="1" x14ac:dyDescent="0.3">
      <c r="A92" s="27" t="s">
        <v>171</v>
      </c>
      <c r="B92" s="26">
        <v>0</v>
      </c>
      <c r="C92" s="66">
        <f t="shared" si="3"/>
        <v>0</v>
      </c>
      <c r="D92" s="76"/>
      <c r="E92" s="76"/>
      <c r="F92" s="76"/>
      <c r="S92" s="146"/>
      <c r="W92" s="36">
        <v>71800735.170000002</v>
      </c>
    </row>
    <row r="93" spans="1:23" ht="15" customHeight="1" x14ac:dyDescent="0.3">
      <c r="A93" s="194" t="s">
        <v>43</v>
      </c>
      <c r="B93" s="194"/>
      <c r="C93" s="194"/>
      <c r="D93" s="194"/>
      <c r="E93" s="194"/>
      <c r="F93" s="194"/>
      <c r="S93" s="146"/>
      <c r="W93" s="36">
        <v>94772653.260000005</v>
      </c>
    </row>
    <row r="94" spans="1:23" ht="50.1" customHeight="1" x14ac:dyDescent="0.3">
      <c r="A94" s="213" t="s">
        <v>172</v>
      </c>
      <c r="B94" s="213"/>
      <c r="C94" s="213"/>
      <c r="D94" s="213"/>
      <c r="E94" s="213"/>
      <c r="F94" s="213"/>
      <c r="S94" s="146"/>
      <c r="W94" s="36">
        <f>SUM(W91:W93)</f>
        <v>247419803.38999999</v>
      </c>
    </row>
    <row r="95" spans="1:23" ht="9.9" customHeight="1" x14ac:dyDescent="0.3">
      <c r="A95" s="25"/>
      <c r="B95" s="48"/>
      <c r="C95" s="24"/>
      <c r="S95" s="146"/>
    </row>
    <row r="96" spans="1:23" x14ac:dyDescent="0.3">
      <c r="A96" s="209" t="s">
        <v>73</v>
      </c>
      <c r="B96" s="209"/>
      <c r="C96" s="209"/>
      <c r="D96" s="209"/>
      <c r="E96" s="209"/>
      <c r="F96" s="209"/>
      <c r="S96" s="146"/>
    </row>
    <row r="97" spans="1:23" x14ac:dyDescent="0.3">
      <c r="A97" s="209" t="s">
        <v>74</v>
      </c>
      <c r="B97" s="209"/>
      <c r="C97" s="209"/>
      <c r="D97" s="209"/>
      <c r="E97" s="209"/>
      <c r="F97" s="209"/>
      <c r="S97" s="146"/>
    </row>
    <row r="98" spans="1:23" x14ac:dyDescent="0.3">
      <c r="A98" s="209" t="s">
        <v>52</v>
      </c>
      <c r="B98" s="209"/>
      <c r="C98" s="209"/>
      <c r="D98" s="209"/>
      <c r="E98" s="209"/>
      <c r="F98" s="209"/>
      <c r="S98" s="146"/>
    </row>
    <row r="99" spans="1:23" ht="9.9" customHeight="1" x14ac:dyDescent="0.3">
      <c r="S99" s="146"/>
    </row>
    <row r="100" spans="1:23" x14ac:dyDescent="0.3">
      <c r="A100" s="68" t="s">
        <v>55</v>
      </c>
      <c r="B100" s="68" t="s">
        <v>56</v>
      </c>
      <c r="C100" s="68" t="s">
        <v>11</v>
      </c>
      <c r="D100" s="68" t="s">
        <v>89</v>
      </c>
      <c r="E100" s="68" t="s">
        <v>90</v>
      </c>
      <c r="F100" s="68" t="s">
        <v>10</v>
      </c>
      <c r="S100" s="146"/>
    </row>
    <row r="101" spans="1:23" x14ac:dyDescent="0.3">
      <c r="A101" s="134" t="s">
        <v>16</v>
      </c>
      <c r="B101" s="49"/>
      <c r="C101" s="35">
        <f>+C103+C107+C111</f>
        <v>4857004150.25</v>
      </c>
      <c r="D101" s="35">
        <f>+D103+D107+D111</f>
        <v>0</v>
      </c>
      <c r="E101" s="35">
        <f>+E103+E107+E111</f>
        <v>0</v>
      </c>
      <c r="F101" s="35">
        <f>+F103+F107+F111</f>
        <v>4857004150.25</v>
      </c>
      <c r="S101" s="146"/>
      <c r="W101" s="146">
        <v>4721209956.25</v>
      </c>
    </row>
    <row r="102" spans="1:23" ht="9.9" customHeight="1" x14ac:dyDescent="0.3">
      <c r="A102" s="13"/>
      <c r="B102" s="50"/>
      <c r="C102" s="14"/>
      <c r="D102" s="14"/>
      <c r="E102" s="14"/>
      <c r="F102" s="51"/>
      <c r="S102" s="146"/>
      <c r="W102" s="40">
        <f>+Q113</f>
        <v>0</v>
      </c>
    </row>
    <row r="103" spans="1:23" x14ac:dyDescent="0.3">
      <c r="A103" s="210" t="s">
        <v>75</v>
      </c>
      <c r="B103" s="210"/>
      <c r="C103" s="53">
        <f>+SUM(C104:C106)</f>
        <v>4857004150.25</v>
      </c>
      <c r="D103" s="53">
        <f t="shared" ref="D103:F103" si="4">+SUM(D104:D106)</f>
        <v>0</v>
      </c>
      <c r="E103" s="53">
        <f t="shared" si="4"/>
        <v>0</v>
      </c>
      <c r="F103" s="53">
        <f t="shared" si="4"/>
        <v>4857004150.25</v>
      </c>
      <c r="S103" s="146"/>
      <c r="W103" s="176">
        <f>SUM(W101:W102)</f>
        <v>4721209956.25</v>
      </c>
    </row>
    <row r="104" spans="1:23" x14ac:dyDescent="0.3">
      <c r="A104" s="169" t="s">
        <v>211</v>
      </c>
      <c r="B104" s="54" t="s">
        <v>208</v>
      </c>
      <c r="C104" s="15">
        <v>204381066.25</v>
      </c>
      <c r="D104" s="15">
        <v>0</v>
      </c>
      <c r="E104" s="15">
        <v>0</v>
      </c>
      <c r="F104" s="55">
        <f>+C104+D104+E104</f>
        <v>204381066.25</v>
      </c>
      <c r="N104" s="146"/>
      <c r="S104" s="40"/>
    </row>
    <row r="105" spans="1:23" ht="30" x14ac:dyDescent="0.3">
      <c r="A105" s="169" t="s">
        <v>211</v>
      </c>
      <c r="B105" s="54" t="s">
        <v>208</v>
      </c>
      <c r="C105" s="15">
        <f>4506164685.97+0.03</f>
        <v>4506164686</v>
      </c>
      <c r="D105" s="15">
        <v>0</v>
      </c>
      <c r="E105" s="15">
        <v>0</v>
      </c>
      <c r="F105" s="55">
        <f>+C105+D105+E105</f>
        <v>4506164686</v>
      </c>
      <c r="G105" s="146"/>
      <c r="H105" s="40"/>
      <c r="K105" s="146"/>
      <c r="N105" s="146"/>
      <c r="R105" s="146"/>
      <c r="S105" s="168"/>
      <c r="W105" s="177">
        <f>+S103-W103</f>
        <v>-4721209956.25</v>
      </c>
    </row>
    <row r="106" spans="1:23" x14ac:dyDescent="0.3">
      <c r="A106" s="169" t="s">
        <v>211</v>
      </c>
      <c r="B106" s="54" t="s">
        <v>208</v>
      </c>
      <c r="C106" s="15">
        <v>146458398</v>
      </c>
      <c r="D106" s="15">
        <v>0</v>
      </c>
      <c r="E106" s="15"/>
      <c r="F106" s="55">
        <f>SUM(C106:E106)</f>
        <v>146458398</v>
      </c>
      <c r="H106" s="40"/>
      <c r="J106" s="146"/>
      <c r="R106" s="146"/>
      <c r="S106" s="168"/>
    </row>
    <row r="107" spans="1:23" x14ac:dyDescent="0.3">
      <c r="A107" s="210" t="s">
        <v>76</v>
      </c>
      <c r="B107" s="210"/>
      <c r="C107" s="53">
        <f>+SUM(C108:C109)</f>
        <v>0</v>
      </c>
      <c r="D107" s="53">
        <f>+SUM(D108:D109)</f>
        <v>0</v>
      </c>
      <c r="E107" s="53">
        <f>+SUM(E108:E109)</f>
        <v>0</v>
      </c>
      <c r="F107" s="53">
        <f>+SUM(F108:F109)</f>
        <v>0</v>
      </c>
      <c r="G107" s="174"/>
      <c r="H107" s="40"/>
      <c r="N107" s="146"/>
      <c r="R107" s="146"/>
    </row>
    <row r="108" spans="1:23" x14ac:dyDescent="0.3">
      <c r="A108" s="54" t="s">
        <v>59</v>
      </c>
      <c r="B108" s="50" t="s">
        <v>53</v>
      </c>
      <c r="C108" s="56">
        <v>0</v>
      </c>
      <c r="D108" s="56">
        <v>0</v>
      </c>
      <c r="E108" s="56">
        <v>0</v>
      </c>
      <c r="F108" s="57">
        <f>+C108+D108+E108</f>
        <v>0</v>
      </c>
      <c r="J108" s="146"/>
      <c r="N108" s="175"/>
      <c r="R108" s="146"/>
    </row>
    <row r="109" spans="1:23" x14ac:dyDescent="0.3">
      <c r="A109" s="54" t="s">
        <v>59</v>
      </c>
      <c r="B109" s="50" t="s">
        <v>53</v>
      </c>
      <c r="C109" s="56">
        <v>0</v>
      </c>
      <c r="D109" s="56">
        <v>0</v>
      </c>
      <c r="E109" s="56">
        <v>0</v>
      </c>
      <c r="F109" s="57">
        <f t="shared" ref="F109" si="5">+C109+D109+E109</f>
        <v>0</v>
      </c>
      <c r="J109" s="146"/>
      <c r="S109" s="146"/>
      <c r="T109" s="174"/>
      <c r="W109" s="146">
        <v>146458398</v>
      </c>
    </row>
    <row r="110" spans="1:23" x14ac:dyDescent="0.3">
      <c r="A110" s="194" t="s">
        <v>43</v>
      </c>
      <c r="B110" s="194"/>
      <c r="C110" s="194"/>
      <c r="D110" s="194"/>
      <c r="E110" s="194"/>
      <c r="F110" s="194"/>
      <c r="J110" s="146"/>
      <c r="N110" s="40"/>
      <c r="S110" s="146"/>
      <c r="W110" s="146">
        <v>146458398</v>
      </c>
    </row>
    <row r="111" spans="1:23" ht="39" customHeight="1" x14ac:dyDescent="0.3">
      <c r="A111" s="213" t="s">
        <v>152</v>
      </c>
      <c r="B111" s="213"/>
      <c r="C111" s="213"/>
      <c r="D111" s="213"/>
      <c r="E111" s="213"/>
      <c r="F111" s="213"/>
      <c r="H111" s="146"/>
      <c r="R111" s="146"/>
      <c r="W111" s="146">
        <f>SUM(W109:W110)</f>
        <v>292916796</v>
      </c>
    </row>
    <row r="112" spans="1:23" ht="9.9" customHeight="1" x14ac:dyDescent="0.3">
      <c r="A112" s="25"/>
      <c r="B112" s="48"/>
      <c r="C112" s="24"/>
      <c r="H112" s="168"/>
      <c r="R112" s="40"/>
      <c r="S112" s="146"/>
      <c r="W112" s="36">
        <v>247419803.38999999</v>
      </c>
    </row>
    <row r="113" spans="1:23" x14ac:dyDescent="0.3">
      <c r="A113" s="209" t="s">
        <v>77</v>
      </c>
      <c r="B113" s="209"/>
      <c r="C113" s="209"/>
      <c r="D113" s="209"/>
      <c r="E113" s="209"/>
      <c r="F113" s="209"/>
      <c r="H113" s="168"/>
      <c r="Q113" s="40"/>
      <c r="R113" s="60"/>
      <c r="S113" s="40"/>
      <c r="W113" s="175">
        <f>+W111-W112</f>
        <v>45496992.610000014</v>
      </c>
    </row>
    <row r="114" spans="1:23" ht="30.75" customHeight="1" x14ac:dyDescent="0.3">
      <c r="A114" s="216" t="s">
        <v>54</v>
      </c>
      <c r="B114" s="216"/>
      <c r="C114" s="216"/>
      <c r="D114" s="216"/>
      <c r="E114" s="216"/>
      <c r="F114" s="216"/>
      <c r="R114" s="175"/>
      <c r="S114" s="40"/>
    </row>
    <row r="115" spans="1:23" x14ac:dyDescent="0.3">
      <c r="A115" s="209" t="s">
        <v>52</v>
      </c>
      <c r="B115" s="209"/>
      <c r="C115" s="209"/>
      <c r="D115" s="209"/>
      <c r="E115" s="209"/>
      <c r="F115" s="209"/>
      <c r="R115" s="174"/>
      <c r="S115" s="175"/>
    </row>
    <row r="116" spans="1:23" ht="9.9" customHeight="1" x14ac:dyDescent="0.3">
      <c r="A116" s="89"/>
      <c r="B116" s="90"/>
      <c r="C116" s="90"/>
      <c r="D116" s="90"/>
      <c r="E116" s="90"/>
      <c r="F116" s="91"/>
    </row>
    <row r="117" spans="1:23" x14ac:dyDescent="0.3">
      <c r="A117" s="68" t="s">
        <v>55</v>
      </c>
      <c r="B117" s="68" t="s">
        <v>56</v>
      </c>
      <c r="C117" s="68" t="s">
        <v>11</v>
      </c>
      <c r="D117" s="68" t="s">
        <v>89</v>
      </c>
      <c r="E117" s="68" t="s">
        <v>90</v>
      </c>
      <c r="F117" s="68" t="s">
        <v>10</v>
      </c>
    </row>
    <row r="118" spans="1:23" x14ac:dyDescent="0.3">
      <c r="A118" s="134" t="s">
        <v>16</v>
      </c>
      <c r="B118" s="49"/>
      <c r="C118" s="35">
        <f>+C120+C127+C134</f>
        <v>1548531353.3800001</v>
      </c>
      <c r="D118" s="35">
        <f t="shared" ref="D118:F118" si="6">+D120+D127+D134</f>
        <v>1411682695</v>
      </c>
      <c r="E118" s="35">
        <f t="shared" si="6"/>
        <v>1667411445.72</v>
      </c>
      <c r="F118" s="35">
        <f t="shared" si="6"/>
        <v>4627625494.1000004</v>
      </c>
    </row>
    <row r="119" spans="1:23" x14ac:dyDescent="0.3">
      <c r="A119" s="13"/>
      <c r="B119" s="50"/>
      <c r="C119" s="14"/>
      <c r="D119" s="14"/>
      <c r="E119" s="14"/>
      <c r="F119" s="51"/>
    </row>
    <row r="120" spans="1:23" ht="15" customHeight="1" x14ac:dyDescent="0.3">
      <c r="A120" s="210" t="s">
        <v>58</v>
      </c>
      <c r="B120" s="210"/>
      <c r="C120" s="53">
        <f>+SUM(C121:C125)</f>
        <v>1548531353.3800001</v>
      </c>
      <c r="D120" s="53">
        <f t="shared" ref="D120:E120" si="7">+SUM(D121:D125)</f>
        <v>1411682695</v>
      </c>
      <c r="E120" s="53">
        <f t="shared" si="7"/>
        <v>1667411445.72</v>
      </c>
      <c r="F120" s="53">
        <f>+SUM(F121:F125)</f>
        <v>4627625494.1000004</v>
      </c>
    </row>
    <row r="121" spans="1:23" ht="30" x14ac:dyDescent="0.3">
      <c r="A121" s="170">
        <v>60104</v>
      </c>
      <c r="B121" s="54" t="s">
        <v>209</v>
      </c>
      <c r="C121" s="15">
        <v>109628617.38</v>
      </c>
      <c r="D121" s="15"/>
      <c r="E121" s="15">
        <v>113279470.72</v>
      </c>
      <c r="F121" s="55">
        <f>+C121+D121+E121</f>
        <v>222908088.09999999</v>
      </c>
    </row>
    <row r="122" spans="1:23" ht="30" x14ac:dyDescent="0.3">
      <c r="A122" s="170">
        <v>60401</v>
      </c>
      <c r="B122" s="54" t="s">
        <v>207</v>
      </c>
      <c r="C122" s="15">
        <v>1395440974</v>
      </c>
      <c r="D122" s="58">
        <v>1366167081</v>
      </c>
      <c r="E122" s="58">
        <v>1509020213</v>
      </c>
      <c r="F122" s="55">
        <f t="shared" ref="F122:F125" si="8">+C122+D122+E122</f>
        <v>4270628268</v>
      </c>
    </row>
    <row r="123" spans="1:23" ht="30" x14ac:dyDescent="0.3">
      <c r="A123" s="171">
        <v>60402</v>
      </c>
      <c r="B123" s="54" t="s">
        <v>210</v>
      </c>
      <c r="C123" s="15">
        <v>43461762</v>
      </c>
      <c r="D123" s="15">
        <v>45515614</v>
      </c>
      <c r="E123" s="15">
        <v>45111762</v>
      </c>
      <c r="F123" s="55">
        <f t="shared" si="8"/>
        <v>134089138</v>
      </c>
    </row>
    <row r="124" spans="1:23" x14ac:dyDescent="0.3">
      <c r="A124" s="54" t="s">
        <v>59</v>
      </c>
      <c r="B124" s="50" t="s">
        <v>53</v>
      </c>
      <c r="C124" s="15">
        <v>0</v>
      </c>
      <c r="D124" s="15">
        <v>0</v>
      </c>
      <c r="E124" s="15">
        <v>0</v>
      </c>
      <c r="F124" s="55">
        <f t="shared" si="8"/>
        <v>0</v>
      </c>
    </row>
    <row r="125" spans="1:23" x14ac:dyDescent="0.3">
      <c r="A125" s="54" t="s">
        <v>59</v>
      </c>
      <c r="B125" s="50" t="s">
        <v>53</v>
      </c>
      <c r="C125" s="15">
        <v>0</v>
      </c>
      <c r="D125" s="15">
        <v>0</v>
      </c>
      <c r="E125" s="15">
        <v>0</v>
      </c>
      <c r="F125" s="55">
        <f t="shared" si="8"/>
        <v>0</v>
      </c>
    </row>
    <row r="126" spans="1:23" x14ac:dyDescent="0.3">
      <c r="A126" s="136"/>
      <c r="B126" s="50"/>
      <c r="C126" s="15"/>
      <c r="D126" s="15"/>
      <c r="E126" s="15"/>
      <c r="F126" s="55"/>
    </row>
    <row r="127" spans="1:23" ht="15" customHeight="1" x14ac:dyDescent="0.3">
      <c r="A127" s="210" t="s">
        <v>60</v>
      </c>
      <c r="B127" s="210"/>
      <c r="C127" s="53">
        <f>+SUM(C128:C132)</f>
        <v>0</v>
      </c>
      <c r="D127" s="53">
        <f t="shared" ref="D127:F127" si="9">+SUM(D128:D132)</f>
        <v>0</v>
      </c>
      <c r="E127" s="53">
        <f t="shared" si="9"/>
        <v>0</v>
      </c>
      <c r="F127" s="53">
        <f t="shared" si="9"/>
        <v>0</v>
      </c>
    </row>
    <row r="128" spans="1:23" x14ac:dyDescent="0.3">
      <c r="A128" s="54" t="s">
        <v>59</v>
      </c>
      <c r="B128" s="50" t="s">
        <v>53</v>
      </c>
      <c r="C128" s="56">
        <v>0</v>
      </c>
      <c r="D128" s="56">
        <v>0</v>
      </c>
      <c r="E128" s="56">
        <v>0</v>
      </c>
      <c r="F128" s="40">
        <f>+C128+D128+E128</f>
        <v>0</v>
      </c>
    </row>
    <row r="129" spans="1:6" x14ac:dyDescent="0.3">
      <c r="A129" s="54" t="s">
        <v>59</v>
      </c>
      <c r="B129" s="50" t="s">
        <v>53</v>
      </c>
      <c r="C129" s="56">
        <v>0</v>
      </c>
      <c r="D129" s="56">
        <v>0</v>
      </c>
      <c r="E129" s="56">
        <v>0</v>
      </c>
      <c r="F129" s="40">
        <f t="shared" ref="F129:F132" si="10">+C129+D129+E129</f>
        <v>0</v>
      </c>
    </row>
    <row r="130" spans="1:6" x14ac:dyDescent="0.3">
      <c r="A130" s="54" t="s">
        <v>59</v>
      </c>
      <c r="B130" s="50" t="s">
        <v>53</v>
      </c>
      <c r="C130" s="56">
        <v>0</v>
      </c>
      <c r="D130" s="56">
        <v>0</v>
      </c>
      <c r="E130" s="56">
        <v>0</v>
      </c>
      <c r="F130" s="40">
        <f t="shared" si="10"/>
        <v>0</v>
      </c>
    </row>
    <row r="131" spans="1:6" x14ac:dyDescent="0.3">
      <c r="A131" s="54" t="s">
        <v>59</v>
      </c>
      <c r="B131" s="50" t="s">
        <v>53</v>
      </c>
      <c r="C131" s="56">
        <v>0</v>
      </c>
      <c r="D131" s="56">
        <v>0</v>
      </c>
      <c r="E131" s="56">
        <v>0</v>
      </c>
      <c r="F131" s="40">
        <f t="shared" si="10"/>
        <v>0</v>
      </c>
    </row>
    <row r="132" spans="1:6" x14ac:dyDescent="0.3">
      <c r="A132" s="54" t="s">
        <v>59</v>
      </c>
      <c r="B132" s="50" t="s">
        <v>53</v>
      </c>
      <c r="C132" s="56">
        <v>0</v>
      </c>
      <c r="D132" s="56">
        <v>0</v>
      </c>
      <c r="E132" s="56">
        <v>0</v>
      </c>
      <c r="F132" s="40">
        <f t="shared" si="10"/>
        <v>0</v>
      </c>
    </row>
    <row r="133" spans="1:6" x14ac:dyDescent="0.3">
      <c r="C133" s="40"/>
      <c r="D133" s="40"/>
      <c r="E133" s="40"/>
      <c r="F133" s="40"/>
    </row>
    <row r="134" spans="1:6" x14ac:dyDescent="0.3">
      <c r="A134" s="210" t="s">
        <v>61</v>
      </c>
      <c r="B134" s="210"/>
      <c r="C134" s="53">
        <f>+SUM(C135:C136)</f>
        <v>0</v>
      </c>
      <c r="D134" s="53">
        <f t="shared" ref="D134:F134" si="11">+SUM(D135:D136)</f>
        <v>0</v>
      </c>
      <c r="E134" s="53">
        <f t="shared" si="11"/>
        <v>0</v>
      </c>
      <c r="F134" s="53">
        <f t="shared" si="11"/>
        <v>0</v>
      </c>
    </row>
    <row r="135" spans="1:6" x14ac:dyDescent="0.3">
      <c r="A135" s="75" t="s">
        <v>59</v>
      </c>
      <c r="B135" s="50" t="s">
        <v>53</v>
      </c>
      <c r="C135" s="56">
        <v>0</v>
      </c>
      <c r="D135" s="56">
        <v>0</v>
      </c>
      <c r="E135" s="56">
        <v>0</v>
      </c>
      <c r="F135" s="40">
        <f>+C135+D135+E135</f>
        <v>0</v>
      </c>
    </row>
    <row r="136" spans="1:6" x14ac:dyDescent="0.3">
      <c r="A136" s="47" t="s">
        <v>59</v>
      </c>
      <c r="B136" s="47" t="s">
        <v>53</v>
      </c>
      <c r="C136" s="59">
        <v>0</v>
      </c>
      <c r="D136" s="59">
        <v>0</v>
      </c>
      <c r="E136" s="59">
        <v>0</v>
      </c>
      <c r="F136" s="60">
        <f>+C136+D136+E136</f>
        <v>0</v>
      </c>
    </row>
    <row r="137" spans="1:6" ht="14.25" customHeight="1" x14ac:dyDescent="0.3">
      <c r="A137" s="212" t="s">
        <v>62</v>
      </c>
      <c r="B137" s="212"/>
      <c r="C137" s="212"/>
      <c r="D137" s="212"/>
      <c r="E137" s="212"/>
      <c r="F137" s="212"/>
    </row>
    <row r="138" spans="1:6" x14ac:dyDescent="0.3">
      <c r="A138" s="194" t="s">
        <v>43</v>
      </c>
      <c r="B138" s="194"/>
      <c r="C138" s="194"/>
      <c r="D138" s="194"/>
      <c r="E138" s="194"/>
      <c r="F138" s="194"/>
    </row>
    <row r="139" spans="1:6" ht="50.1" customHeight="1" x14ac:dyDescent="0.3">
      <c r="A139" s="213" t="s">
        <v>153</v>
      </c>
      <c r="B139" s="213"/>
      <c r="C139" s="213"/>
      <c r="D139" s="213"/>
      <c r="E139" s="213"/>
      <c r="F139" s="213"/>
    </row>
    <row r="140" spans="1:6" ht="9.9" customHeight="1" x14ac:dyDescent="0.3">
      <c r="A140" s="54"/>
      <c r="B140" s="50"/>
    </row>
    <row r="141" spans="1:6" x14ac:dyDescent="0.3">
      <c r="A141" s="209" t="s">
        <v>79</v>
      </c>
      <c r="B141" s="209"/>
      <c r="C141" s="209"/>
      <c r="D141" s="209"/>
      <c r="E141" s="209"/>
      <c r="F141" s="209"/>
    </row>
    <row r="142" spans="1:6" x14ac:dyDescent="0.3">
      <c r="A142" s="209" t="s">
        <v>80</v>
      </c>
      <c r="B142" s="209"/>
      <c r="C142" s="209"/>
      <c r="D142" s="209"/>
      <c r="E142" s="209"/>
      <c r="F142" s="209"/>
    </row>
    <row r="143" spans="1:6" x14ac:dyDescent="0.3">
      <c r="A143" s="209" t="s">
        <v>52</v>
      </c>
      <c r="B143" s="209"/>
      <c r="C143" s="209"/>
      <c r="D143" s="209"/>
      <c r="E143" s="209"/>
      <c r="F143" s="209"/>
    </row>
    <row r="144" spans="1:6" ht="9.9" customHeight="1" x14ac:dyDescent="0.3">
      <c r="A144" s="89"/>
      <c r="B144" s="90"/>
      <c r="C144" s="90"/>
      <c r="D144" s="90"/>
      <c r="E144" s="90"/>
      <c r="F144" s="91"/>
    </row>
    <row r="145" spans="1:6" x14ac:dyDescent="0.3">
      <c r="A145" s="68" t="s">
        <v>78</v>
      </c>
      <c r="B145" s="68" t="s">
        <v>11</v>
      </c>
      <c r="C145" s="68" t="s">
        <v>89</v>
      </c>
      <c r="D145" s="68" t="s">
        <v>90</v>
      </c>
      <c r="E145" s="68" t="s">
        <v>10</v>
      </c>
      <c r="F145" s="23"/>
    </row>
    <row r="146" spans="1:6" x14ac:dyDescent="0.3">
      <c r="A146" s="105" t="s">
        <v>82</v>
      </c>
      <c r="B146" s="61">
        <f>+B147+B148</f>
        <v>1235059628.4100113</v>
      </c>
      <c r="C146" s="61">
        <f t="shared" ref="C146:D148" si="12">+B156</f>
        <v>4543532425.2800112</v>
      </c>
      <c r="D146" s="61">
        <f t="shared" si="12"/>
        <v>3131849730.2800112</v>
      </c>
      <c r="E146" s="61">
        <f>+B146</f>
        <v>1235059628.4100113</v>
      </c>
      <c r="F146" s="91"/>
    </row>
    <row r="147" spans="1:6" x14ac:dyDescent="0.3">
      <c r="A147" s="106" t="s">
        <v>83</v>
      </c>
      <c r="B147" s="26">
        <f>+'2T'!E157</f>
        <v>0</v>
      </c>
      <c r="C147" s="26">
        <f t="shared" si="12"/>
        <v>0</v>
      </c>
      <c r="D147" s="26">
        <f t="shared" si="12"/>
        <v>0</v>
      </c>
      <c r="E147" s="65">
        <f>+B147</f>
        <v>0</v>
      </c>
      <c r="F147" s="23"/>
    </row>
    <row r="148" spans="1:6" x14ac:dyDescent="0.3">
      <c r="A148" s="106" t="s">
        <v>81</v>
      </c>
      <c r="B148" s="26">
        <f>+'2T'!E158</f>
        <v>1235059628.4100113</v>
      </c>
      <c r="C148" s="26">
        <f t="shared" si="12"/>
        <v>4543532425.2800112</v>
      </c>
      <c r="D148" s="26">
        <f t="shared" si="12"/>
        <v>3131849730.2800112</v>
      </c>
      <c r="E148" s="65">
        <f t="shared" ref="E148" si="13">+B148</f>
        <v>1235059628.4100113</v>
      </c>
      <c r="F148" s="23"/>
    </row>
    <row r="149" spans="1:6" x14ac:dyDescent="0.3">
      <c r="A149" s="105" t="s">
        <v>85</v>
      </c>
      <c r="B149" s="61">
        <f>+C103</f>
        <v>4857004150.25</v>
      </c>
      <c r="C149" s="61">
        <v>0</v>
      </c>
      <c r="D149" s="61">
        <v>0</v>
      </c>
      <c r="E149" s="61">
        <f>+B149+C149+D149</f>
        <v>4857004150.25</v>
      </c>
      <c r="F149" s="91"/>
    </row>
    <row r="150" spans="1:6" x14ac:dyDescent="0.3">
      <c r="A150" s="105" t="s">
        <v>147</v>
      </c>
      <c r="B150" s="61">
        <f>+B148+B149</f>
        <v>6092063778.6600113</v>
      </c>
      <c r="C150" s="61">
        <f t="shared" ref="C150:D150" si="14">+C148+C149</f>
        <v>4543532425.2800112</v>
      </c>
      <c r="D150" s="61">
        <f t="shared" si="14"/>
        <v>3131849730.2800112</v>
      </c>
      <c r="E150" s="61">
        <f>+E151+E152+E148</f>
        <v>6092063778.6600113</v>
      </c>
      <c r="F150" s="91"/>
    </row>
    <row r="151" spans="1:6" x14ac:dyDescent="0.3">
      <c r="A151" s="106" t="s">
        <v>83</v>
      </c>
      <c r="B151" s="26">
        <f>+B147</f>
        <v>0</v>
      </c>
      <c r="C151" s="26">
        <f>+C147</f>
        <v>0</v>
      </c>
      <c r="D151" s="26">
        <f>+D147</f>
        <v>0</v>
      </c>
      <c r="E151" s="65">
        <f>+E147</f>
        <v>0</v>
      </c>
      <c r="F151" s="23"/>
    </row>
    <row r="152" spans="1:6" x14ac:dyDescent="0.3">
      <c r="A152" s="106" t="s">
        <v>81</v>
      </c>
      <c r="B152" s="26">
        <f>+B148+B149</f>
        <v>6092063778.6600113</v>
      </c>
      <c r="C152" s="26">
        <f t="shared" ref="C152:D152" si="15">+C148+C149</f>
        <v>4543532425.2800112</v>
      </c>
      <c r="D152" s="26">
        <f t="shared" si="15"/>
        <v>3131849730.2800112</v>
      </c>
      <c r="E152" s="65">
        <f>+E149</f>
        <v>4857004150.25</v>
      </c>
      <c r="F152" s="23"/>
    </row>
    <row r="153" spans="1:6" x14ac:dyDescent="0.3">
      <c r="A153" s="105" t="s">
        <v>84</v>
      </c>
      <c r="B153" s="61">
        <f>+B154+B155</f>
        <v>1548531353.3800001</v>
      </c>
      <c r="C153" s="61">
        <f t="shared" ref="C153:D153" si="16">+C154+C155</f>
        <v>1411682695</v>
      </c>
      <c r="D153" s="61">
        <f t="shared" si="16"/>
        <v>1667411445.72</v>
      </c>
      <c r="E153" s="61">
        <f>+B153+C153+D153</f>
        <v>4627625494.1000004</v>
      </c>
      <c r="F153" s="91"/>
    </row>
    <row r="154" spans="1:6" x14ac:dyDescent="0.3">
      <c r="A154" s="106" t="s">
        <v>83</v>
      </c>
      <c r="B154" s="82">
        <v>0</v>
      </c>
      <c r="C154" s="82">
        <v>0</v>
      </c>
      <c r="D154" s="82">
        <v>0</v>
      </c>
      <c r="E154" s="48">
        <f>+B154+C154+D154</f>
        <v>0</v>
      </c>
      <c r="F154" s="91"/>
    </row>
    <row r="155" spans="1:6" x14ac:dyDescent="0.3">
      <c r="A155" s="106" t="s">
        <v>81</v>
      </c>
      <c r="B155" s="82">
        <f>+C118</f>
        <v>1548531353.3800001</v>
      </c>
      <c r="C155" s="82">
        <f t="shared" ref="C155:D155" si="17">+D118</f>
        <v>1411682695</v>
      </c>
      <c r="D155" s="82">
        <f t="shared" si="17"/>
        <v>1667411445.72</v>
      </c>
      <c r="E155" s="48">
        <f>+B155+C155+D155</f>
        <v>4627625494.1000004</v>
      </c>
      <c r="F155" s="91"/>
    </row>
    <row r="156" spans="1:6" x14ac:dyDescent="0.3">
      <c r="A156" s="105" t="s">
        <v>148</v>
      </c>
      <c r="B156" s="61">
        <f>+B150-B153</f>
        <v>4543532425.2800112</v>
      </c>
      <c r="C156" s="61">
        <f t="shared" ref="C156:D156" si="18">+C150-C153</f>
        <v>3131849730.2800112</v>
      </c>
      <c r="D156" s="61">
        <f t="shared" si="18"/>
        <v>1464438284.5600111</v>
      </c>
      <c r="E156" s="61">
        <f>+E150-E153</f>
        <v>1464438284.5600109</v>
      </c>
      <c r="F156" s="91"/>
    </row>
    <row r="157" spans="1:6" x14ac:dyDescent="0.3">
      <c r="A157" s="106" t="s">
        <v>83</v>
      </c>
      <c r="B157" s="82">
        <f>+B151-B154</f>
        <v>0</v>
      </c>
      <c r="C157" s="82">
        <f>+C151-C154</f>
        <v>0</v>
      </c>
      <c r="D157" s="82">
        <f>+D151-D154</f>
        <v>0</v>
      </c>
      <c r="E157" s="48">
        <f>+E151-E154</f>
        <v>0</v>
      </c>
    </row>
    <row r="158" spans="1:6" x14ac:dyDescent="0.3">
      <c r="A158" s="107" t="s">
        <v>81</v>
      </c>
      <c r="B158" s="77">
        <f>+B152-B155</f>
        <v>4543532425.2800112</v>
      </c>
      <c r="C158" s="77">
        <f>+C152-C155</f>
        <v>3131849730.2800112</v>
      </c>
      <c r="D158" s="77">
        <f>+D152-D155</f>
        <v>1464438284.5600111</v>
      </c>
      <c r="E158" s="62">
        <f>+E150-E153</f>
        <v>1464438284.5600109</v>
      </c>
    </row>
    <row r="159" spans="1:6" x14ac:dyDescent="0.3">
      <c r="A159" s="194" t="s">
        <v>43</v>
      </c>
      <c r="B159" s="194"/>
      <c r="C159" s="194"/>
      <c r="D159" s="194"/>
      <c r="E159" s="194"/>
      <c r="F159" s="41"/>
    </row>
    <row r="160" spans="1:6" ht="43.95" customHeight="1" x14ac:dyDescent="0.3">
      <c r="A160" s="195" t="s">
        <v>92</v>
      </c>
      <c r="B160" s="196"/>
      <c r="C160" s="196"/>
      <c r="D160" s="196"/>
      <c r="E160" s="197"/>
      <c r="F160" s="63"/>
    </row>
    <row r="161" spans="1:6" x14ac:dyDescent="0.3">
      <c r="A161" s="142"/>
      <c r="B161" s="64"/>
      <c r="C161" s="64"/>
      <c r="D161" s="64"/>
      <c r="E161" s="64"/>
      <c r="F161" s="63"/>
    </row>
    <row r="162" spans="1:6" x14ac:dyDescent="0.3">
      <c r="A162" s="92" t="s">
        <v>86</v>
      </c>
      <c r="B162" s="198" t="s">
        <v>214</v>
      </c>
      <c r="C162" s="199"/>
      <c r="D162" s="200" t="s">
        <v>49</v>
      </c>
      <c r="E162" s="201"/>
      <c r="F162" s="202"/>
    </row>
    <row r="163" spans="1:6" x14ac:dyDescent="0.3">
      <c r="A163" s="73" t="s">
        <v>47</v>
      </c>
      <c r="B163" s="198" t="s">
        <v>215</v>
      </c>
      <c r="C163" s="199"/>
      <c r="D163" s="203"/>
      <c r="E163" s="204"/>
      <c r="F163" s="205"/>
    </row>
    <row r="164" spans="1:6" x14ac:dyDescent="0.3">
      <c r="A164" s="74" t="s">
        <v>48</v>
      </c>
      <c r="B164" s="198" t="s">
        <v>201</v>
      </c>
      <c r="C164" s="199"/>
      <c r="D164" s="206"/>
      <c r="E164" s="207"/>
      <c r="F164" s="208"/>
    </row>
  </sheetData>
  <mergeCells count="75">
    <mergeCell ref="A24:A26"/>
    <mergeCell ref="A27:A29"/>
    <mergeCell ref="A56:B56"/>
    <mergeCell ref="A51:F51"/>
    <mergeCell ref="A48:F48"/>
    <mergeCell ref="A50:F50"/>
    <mergeCell ref="A53:B53"/>
    <mergeCell ref="A54:B54"/>
    <mergeCell ref="A55:B55"/>
    <mergeCell ref="A10:F10"/>
    <mergeCell ref="A47:E47"/>
    <mergeCell ref="A12:F12"/>
    <mergeCell ref="A13:F13"/>
    <mergeCell ref="A30:F30"/>
    <mergeCell ref="A31:F31"/>
    <mergeCell ref="A33:F33"/>
    <mergeCell ref="A34:F34"/>
    <mergeCell ref="A36:B36"/>
    <mergeCell ref="A39:A40"/>
    <mergeCell ref="A41:A42"/>
    <mergeCell ref="A43:A44"/>
    <mergeCell ref="A45:A46"/>
    <mergeCell ref="A16:B16"/>
    <mergeCell ref="A18:A20"/>
    <mergeCell ref="A21:A23"/>
    <mergeCell ref="A1:F2"/>
    <mergeCell ref="A3:F3"/>
    <mergeCell ref="C5:E5"/>
    <mergeCell ref="C6:E6"/>
    <mergeCell ref="C7:E7"/>
    <mergeCell ref="A57:B57"/>
    <mergeCell ref="A58:F58"/>
    <mergeCell ref="A59:F59"/>
    <mergeCell ref="A63:F63"/>
    <mergeCell ref="A64:F64"/>
    <mergeCell ref="A66:B66"/>
    <mergeCell ref="A67:B67"/>
    <mergeCell ref="A68:B68"/>
    <mergeCell ref="A69:F69"/>
    <mergeCell ref="A70:F70"/>
    <mergeCell ref="B72:C72"/>
    <mergeCell ref="D72:F74"/>
    <mergeCell ref="B73:C73"/>
    <mergeCell ref="B74:C74"/>
    <mergeCell ref="A79:F79"/>
    <mergeCell ref="A81:F81"/>
    <mergeCell ref="A82:F82"/>
    <mergeCell ref="A83:F83"/>
    <mergeCell ref="A93:F93"/>
    <mergeCell ref="A94:F94"/>
    <mergeCell ref="A96:F96"/>
    <mergeCell ref="A97:F97"/>
    <mergeCell ref="A98:F98"/>
    <mergeCell ref="A103:B103"/>
    <mergeCell ref="A107:B107"/>
    <mergeCell ref="A110:F110"/>
    <mergeCell ref="A111:F111"/>
    <mergeCell ref="A113:F113"/>
    <mergeCell ref="A114:F114"/>
    <mergeCell ref="A115:F115"/>
    <mergeCell ref="A160:E160"/>
    <mergeCell ref="B162:C162"/>
    <mergeCell ref="D162:F164"/>
    <mergeCell ref="B163:C163"/>
    <mergeCell ref="B164:C164"/>
    <mergeCell ref="A139:F139"/>
    <mergeCell ref="A141:F141"/>
    <mergeCell ref="A142:F142"/>
    <mergeCell ref="A143:F143"/>
    <mergeCell ref="A159:E159"/>
    <mergeCell ref="A120:B120"/>
    <mergeCell ref="A127:B127"/>
    <mergeCell ref="A134:B134"/>
    <mergeCell ref="A137:F137"/>
    <mergeCell ref="A138:F138"/>
  </mergeCells>
  <printOptions horizontalCentered="1"/>
  <pageMargins left="0.70866141732283472" right="0.70866141732283472" top="0.94488188976377963" bottom="0.74803149606299213" header="0.19685039370078741" footer="0.31496062992125984"/>
  <pageSetup scale="5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8" max="5" man="1"/>
    <brk id="77" max="16383" man="1"/>
    <brk id="139" max="5" man="1"/>
  </rowBreaks>
  <ignoredErrors>
    <ignoredError sqref="F19:F20 F28:F29" evalError="1"/>
    <ignoredError sqref="F23:F27" evalError="1" 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dimension ref="A1:G128"/>
  <sheetViews>
    <sheetView showGridLines="0" zoomScale="80" zoomScaleNormal="80" workbookViewId="0">
      <selection sqref="A1:F1"/>
    </sheetView>
  </sheetViews>
  <sheetFormatPr baseColWidth="10" defaultColWidth="11.44140625" defaultRowHeight="15.6" x14ac:dyDescent="0.3"/>
  <cols>
    <col min="1" max="1" width="67.5546875" style="36" customWidth="1"/>
    <col min="2" max="2" width="26.5546875" style="36" customWidth="1"/>
    <col min="3" max="6" width="20.6640625" style="36" customWidth="1"/>
    <col min="7" max="16384" width="11.44140625" style="36"/>
  </cols>
  <sheetData>
    <row r="1" spans="1:6" ht="42" customHeight="1" x14ac:dyDescent="0.45">
      <c r="A1" s="232" t="s">
        <v>38</v>
      </c>
      <c r="B1" s="232"/>
      <c r="C1" s="232"/>
      <c r="D1" s="232"/>
      <c r="E1" s="232"/>
      <c r="F1" s="232"/>
    </row>
    <row r="2" spans="1:6" ht="17.399999999999999" x14ac:dyDescent="0.4">
      <c r="A2" s="234" t="s">
        <v>217</v>
      </c>
      <c r="B2" s="234"/>
      <c r="C2" s="234"/>
      <c r="D2" s="234"/>
      <c r="E2" s="234"/>
      <c r="F2" s="234"/>
    </row>
    <row r="4" spans="1:6" ht="18" customHeight="1" x14ac:dyDescent="0.3">
      <c r="A4" s="84"/>
      <c r="B4" s="72" t="s">
        <v>22</v>
      </c>
      <c r="C4" s="199" t="s">
        <v>213</v>
      </c>
      <c r="D4" s="235"/>
      <c r="E4" s="235"/>
    </row>
    <row r="5" spans="1:6" ht="18" customHeight="1" x14ac:dyDescent="0.3">
      <c r="A5" s="84"/>
      <c r="B5" s="73" t="s">
        <v>33</v>
      </c>
      <c r="C5" s="236" t="s">
        <v>184</v>
      </c>
      <c r="D5" s="237"/>
      <c r="E5" s="237"/>
    </row>
    <row r="6" spans="1:6" ht="18" customHeight="1" x14ac:dyDescent="0.3">
      <c r="A6" s="84"/>
      <c r="B6" s="74" t="s">
        <v>34</v>
      </c>
      <c r="C6" s="236" t="s">
        <v>185</v>
      </c>
      <c r="D6" s="237"/>
      <c r="E6" s="237"/>
    </row>
    <row r="7" spans="1:6" x14ac:dyDescent="0.3">
      <c r="A7" s="84"/>
      <c r="B7" s="3"/>
      <c r="C7" s="3"/>
      <c r="D7" s="3"/>
      <c r="E7" s="3"/>
      <c r="F7" s="3"/>
    </row>
    <row r="8" spans="1:6" ht="21" customHeight="1" x14ac:dyDescent="0.3">
      <c r="A8" s="214" t="s">
        <v>156</v>
      </c>
      <c r="B8" s="214"/>
      <c r="C8" s="214"/>
      <c r="D8" s="214"/>
      <c r="E8" s="214"/>
      <c r="F8" s="214"/>
    </row>
    <row r="10" spans="1:6" x14ac:dyDescent="0.3">
      <c r="A10" s="233" t="s">
        <v>36</v>
      </c>
      <c r="B10" s="233"/>
      <c r="C10" s="233"/>
      <c r="D10" s="233"/>
      <c r="E10" s="233"/>
      <c r="F10" s="233"/>
    </row>
    <row r="11" spans="1:6" ht="15" customHeight="1" x14ac:dyDescent="0.3">
      <c r="A11" s="233" t="s">
        <v>19</v>
      </c>
      <c r="B11" s="233"/>
      <c r="C11" s="233"/>
      <c r="D11" s="233"/>
      <c r="E11" s="233"/>
      <c r="F11" s="233"/>
    </row>
    <row r="12" spans="1:6" x14ac:dyDescent="0.35">
      <c r="A12" s="37"/>
      <c r="B12" s="37"/>
      <c r="C12" s="37"/>
      <c r="D12" s="38"/>
      <c r="E12" s="38"/>
      <c r="F12" s="1"/>
    </row>
    <row r="13" spans="1:6" ht="31.2" x14ac:dyDescent="0.3">
      <c r="A13" s="132" t="s">
        <v>17</v>
      </c>
      <c r="B13" s="7" t="s">
        <v>18</v>
      </c>
      <c r="C13" s="132" t="s">
        <v>95</v>
      </c>
      <c r="D13" s="7" t="s">
        <v>96</v>
      </c>
      <c r="E13" s="7" t="s">
        <v>98</v>
      </c>
      <c r="F13" s="139" t="s">
        <v>99</v>
      </c>
    </row>
    <row r="14" spans="1:6" x14ac:dyDescent="0.3">
      <c r="A14" s="238" t="s">
        <v>16</v>
      </c>
      <c r="B14" s="238"/>
      <c r="C14" s="125">
        <f>+C17+C18+C20+C21+C23+C24+C26+C27</f>
        <v>13904.166666666666</v>
      </c>
      <c r="D14" s="125">
        <f t="shared" ref="D14:E14" si="0">+D17+D18+D20+D21+D23+D24+D26+D27</f>
        <v>14169.333333333334</v>
      </c>
      <c r="E14" s="125">
        <f t="shared" si="0"/>
        <v>14687.333333333334</v>
      </c>
      <c r="F14" s="125">
        <f>+AVERAGE(C14:E14)</f>
        <v>14253.611111111111</v>
      </c>
    </row>
    <row r="15" spans="1:6" x14ac:dyDescent="0.3">
      <c r="A15" s="135"/>
      <c r="B15" s="110"/>
    </row>
    <row r="16" spans="1:6" x14ac:dyDescent="0.35">
      <c r="A16" s="230" t="s">
        <v>176</v>
      </c>
      <c r="B16" s="119" t="s">
        <v>173</v>
      </c>
      <c r="C16" s="124">
        <f>+'1T'!F18</f>
        <v>70</v>
      </c>
      <c r="D16" s="124">
        <f>+'2T'!F18</f>
        <v>40</v>
      </c>
      <c r="E16" s="124">
        <f>+'3T'!F18</f>
        <v>71</v>
      </c>
      <c r="F16" s="124">
        <f>+E16</f>
        <v>71</v>
      </c>
    </row>
    <row r="17" spans="1:6" x14ac:dyDescent="0.35">
      <c r="A17" s="230"/>
      <c r="B17" s="119" t="s">
        <v>174</v>
      </c>
      <c r="C17" s="124">
        <f>+'1T'!F19</f>
        <v>1025.6666666666667</v>
      </c>
      <c r="D17" s="124">
        <f>+'2T'!F19</f>
        <v>1515.3333333333333</v>
      </c>
      <c r="E17" s="124">
        <f>+'3T'!F19</f>
        <v>1500.3333333333333</v>
      </c>
      <c r="F17" s="124">
        <f>+AVERAGE(C17:E17)</f>
        <v>1347.1111111111111</v>
      </c>
    </row>
    <row r="18" spans="1:6" x14ac:dyDescent="0.35">
      <c r="A18" s="230"/>
      <c r="B18" s="119" t="s">
        <v>175</v>
      </c>
      <c r="C18" s="124">
        <f>+'1T'!F20</f>
        <v>549</v>
      </c>
      <c r="D18" s="124">
        <f>+'2T'!F20</f>
        <v>84.666666666666671</v>
      </c>
      <c r="E18" s="124">
        <f>+'3T'!F20</f>
        <v>75.333333333333329</v>
      </c>
      <c r="F18" s="124">
        <f>+AVERAGE(C18:E18)</f>
        <v>236.33333333333334</v>
      </c>
    </row>
    <row r="19" spans="1:6" x14ac:dyDescent="0.35">
      <c r="A19" s="230" t="s">
        <v>177</v>
      </c>
      <c r="B19" s="119" t="s">
        <v>173</v>
      </c>
      <c r="C19" s="124">
        <f>+'1T'!F21</f>
        <v>79</v>
      </c>
      <c r="D19" s="124">
        <f>+'2T'!F21</f>
        <v>134</v>
      </c>
      <c r="E19" s="124">
        <f>+'3T'!F21</f>
        <v>160</v>
      </c>
      <c r="F19" s="124">
        <f>+E19</f>
        <v>160</v>
      </c>
    </row>
    <row r="20" spans="1:6" x14ac:dyDescent="0.35">
      <c r="A20" s="230"/>
      <c r="B20" s="119" t="s">
        <v>174</v>
      </c>
      <c r="C20" s="124">
        <f>+'1T'!F22</f>
        <v>919</v>
      </c>
      <c r="D20" s="124">
        <f>+'2T'!F22</f>
        <v>1334</v>
      </c>
      <c r="E20" s="124">
        <f>+'3T'!F22</f>
        <v>1345.3333333333333</v>
      </c>
      <c r="F20" s="124">
        <f>+AVERAGE(C20:E20)</f>
        <v>1199.4444444444443</v>
      </c>
    </row>
    <row r="21" spans="1:6" x14ac:dyDescent="0.35">
      <c r="A21" s="230"/>
      <c r="B21" s="119" t="s">
        <v>175</v>
      </c>
      <c r="C21" s="124">
        <f>+'1T'!F23</f>
        <v>482.66666666666669</v>
      </c>
      <c r="D21" s="124">
        <f>+'2T'!F23</f>
        <v>86.666666666666671</v>
      </c>
      <c r="E21" s="124">
        <f>+'3T'!F23</f>
        <v>78</v>
      </c>
      <c r="F21" s="124">
        <f>+AVERAGE(C21:E21)</f>
        <v>215.7777777777778</v>
      </c>
    </row>
    <row r="22" spans="1:6" x14ac:dyDescent="0.35">
      <c r="A22" s="230" t="s">
        <v>178</v>
      </c>
      <c r="B22" s="119" t="s">
        <v>173</v>
      </c>
      <c r="C22" s="124">
        <f>+'1T'!F24</f>
        <v>1163</v>
      </c>
      <c r="D22" s="124">
        <f>+'2T'!F24</f>
        <v>1616</v>
      </c>
      <c r="E22" s="124">
        <f>+'3T'!F24</f>
        <v>515</v>
      </c>
      <c r="F22" s="124">
        <f>+E22</f>
        <v>515</v>
      </c>
    </row>
    <row r="23" spans="1:6" x14ac:dyDescent="0.35">
      <c r="A23" s="230"/>
      <c r="B23" s="119" t="s">
        <v>174</v>
      </c>
      <c r="C23" s="124">
        <f>+'1T'!F25</f>
        <v>6511.333333333333</v>
      </c>
      <c r="D23" s="124">
        <f>+'2T'!F25</f>
        <v>10072.666666666666</v>
      </c>
      <c r="E23" s="124">
        <f>+'3T'!F25</f>
        <v>9510.3333333333339</v>
      </c>
      <c r="F23" s="124">
        <f>+AVERAGE(C23:E23)</f>
        <v>8698.1111111111113</v>
      </c>
    </row>
    <row r="24" spans="1:6" x14ac:dyDescent="0.35">
      <c r="A24" s="230"/>
      <c r="B24" s="119" t="s">
        <v>175</v>
      </c>
      <c r="C24" s="124">
        <f>+'1T'!F26</f>
        <v>3802.3333333333335</v>
      </c>
      <c r="D24" s="124">
        <f>+'2T'!F26</f>
        <v>382.33333333333331</v>
      </c>
      <c r="E24" s="124">
        <f>+'3T'!F26</f>
        <v>1240</v>
      </c>
      <c r="F24" s="124">
        <f>+AVERAGE(C24:E24)</f>
        <v>1808.2222222222224</v>
      </c>
    </row>
    <row r="25" spans="1:6" ht="16.95" customHeight="1" x14ac:dyDescent="0.35">
      <c r="A25" s="230" t="s">
        <v>179</v>
      </c>
      <c r="B25" s="119" t="s">
        <v>173</v>
      </c>
      <c r="C25" s="124">
        <f>+'1T'!F27</f>
        <v>1452</v>
      </c>
      <c r="D25" s="124">
        <f>+'2T'!F27</f>
        <v>2054</v>
      </c>
      <c r="E25" s="124">
        <f>+'3T'!F27</f>
        <v>0</v>
      </c>
      <c r="F25" s="124">
        <f>+E25</f>
        <v>0</v>
      </c>
    </row>
    <row r="26" spans="1:6" ht="16.95" customHeight="1" x14ac:dyDescent="0.35">
      <c r="A26" s="230"/>
      <c r="B26" s="119" t="s">
        <v>174</v>
      </c>
      <c r="C26" s="124">
        <f>+'1T'!F28</f>
        <v>139.66666666666666</v>
      </c>
      <c r="D26" s="124">
        <f>+'2T'!F28</f>
        <v>660.33333333333337</v>
      </c>
      <c r="E26" s="124">
        <f>+'3T'!F28</f>
        <v>867.66666666666663</v>
      </c>
      <c r="F26" s="124">
        <f>+AVERAGE(C26:E26)</f>
        <v>555.8888888888888</v>
      </c>
    </row>
    <row r="27" spans="1:6" ht="16.95" customHeight="1" x14ac:dyDescent="0.35">
      <c r="A27" s="248"/>
      <c r="B27" s="119" t="s">
        <v>175</v>
      </c>
      <c r="C27" s="124">
        <f>+'1T'!F29</f>
        <v>474.5</v>
      </c>
      <c r="D27" s="124">
        <f>+'2T'!F29</f>
        <v>33.333333333333336</v>
      </c>
      <c r="E27" s="124">
        <f>+'3T'!F29</f>
        <v>70.333333333333329</v>
      </c>
      <c r="F27" s="128">
        <f>+AVERAGE(C27:E27)</f>
        <v>192.7222222222222</v>
      </c>
    </row>
    <row r="28" spans="1:6" ht="15" customHeight="1" x14ac:dyDescent="0.35">
      <c r="A28" s="223" t="s">
        <v>43</v>
      </c>
      <c r="B28" s="223"/>
      <c r="C28" s="223"/>
      <c r="D28" s="223"/>
      <c r="E28" s="223"/>
      <c r="F28" s="1"/>
    </row>
    <row r="29" spans="1:6" ht="50.1" customHeight="1" x14ac:dyDescent="0.3">
      <c r="A29" s="195" t="s">
        <v>162</v>
      </c>
      <c r="B29" s="196"/>
      <c r="C29" s="196"/>
      <c r="D29" s="196"/>
      <c r="E29" s="196"/>
      <c r="F29" s="197"/>
    </row>
    <row r="30" spans="1:6" x14ac:dyDescent="0.35">
      <c r="A30" s="37"/>
      <c r="B30" s="37"/>
      <c r="C30" s="37"/>
      <c r="D30" s="38"/>
      <c r="E30" s="38"/>
      <c r="F30" s="1"/>
    </row>
    <row r="31" spans="1:6" ht="15" customHeight="1" x14ac:dyDescent="0.35">
      <c r="A31" s="233" t="s">
        <v>37</v>
      </c>
      <c r="B31" s="233"/>
      <c r="C31" s="233"/>
      <c r="D31" s="233"/>
      <c r="E31" s="233"/>
      <c r="F31" s="1"/>
    </row>
    <row r="32" spans="1:6" ht="17.25" customHeight="1" x14ac:dyDescent="0.35">
      <c r="A32" s="233" t="s">
        <v>20</v>
      </c>
      <c r="B32" s="233"/>
      <c r="C32" s="233"/>
      <c r="D32" s="233"/>
      <c r="E32" s="233"/>
      <c r="F32" s="1"/>
    </row>
    <row r="33" spans="1:6" ht="16.95" customHeight="1" x14ac:dyDescent="0.35">
      <c r="A33" s="37"/>
      <c r="B33" s="37"/>
      <c r="C33" s="38"/>
      <c r="D33" s="38"/>
      <c r="E33" s="38"/>
      <c r="F33" s="1"/>
    </row>
    <row r="34" spans="1:6" ht="31.2" x14ac:dyDescent="0.3">
      <c r="A34" s="224" t="s">
        <v>21</v>
      </c>
      <c r="B34" s="257"/>
      <c r="C34" s="109" t="s">
        <v>95</v>
      </c>
      <c r="D34" s="109" t="s">
        <v>96</v>
      </c>
      <c r="E34" s="109" t="s">
        <v>98</v>
      </c>
      <c r="F34" s="109" t="s">
        <v>99</v>
      </c>
    </row>
    <row r="35" spans="1:6" x14ac:dyDescent="0.3">
      <c r="A35" s="116" t="s">
        <v>16</v>
      </c>
      <c r="B35" s="117"/>
      <c r="C35" s="117">
        <f t="shared" ref="C35:E35" si="1">+SUM(C37:C44)</f>
        <v>3804952546.2399998</v>
      </c>
      <c r="D35" s="117">
        <f t="shared" si="1"/>
        <v>4213572967.7399998</v>
      </c>
      <c r="E35" s="117">
        <f t="shared" si="1"/>
        <v>4627625494.1000004</v>
      </c>
      <c r="F35" s="117">
        <f>+SUM(F37:F44)</f>
        <v>12646151008.08</v>
      </c>
    </row>
    <row r="36" spans="1:6" x14ac:dyDescent="0.3">
      <c r="A36" s="114"/>
      <c r="B36" s="118"/>
      <c r="C36" s="118"/>
      <c r="D36" s="118"/>
      <c r="E36" s="118"/>
      <c r="F36" s="118"/>
    </row>
    <row r="37" spans="1:6" x14ac:dyDescent="0.3">
      <c r="A37" s="220" t="s">
        <v>176</v>
      </c>
      <c r="B37" s="122" t="s">
        <v>180</v>
      </c>
      <c r="C37" s="126">
        <f>+'1T'!F39</f>
        <v>621326302</v>
      </c>
      <c r="D37" s="126">
        <f>+'2T'!F39</f>
        <v>917147892</v>
      </c>
      <c r="E37" s="126">
        <f>+'3T'!F39</f>
        <v>908868926</v>
      </c>
      <c r="F37" s="126">
        <f>+SUM(C37:E37)</f>
        <v>2447343120</v>
      </c>
    </row>
    <row r="38" spans="1:6" x14ac:dyDescent="0.3">
      <c r="A38" s="220"/>
      <c r="B38" s="122" t="s">
        <v>181</v>
      </c>
      <c r="C38" s="126">
        <f>+'1T'!F40</f>
        <v>332572122</v>
      </c>
      <c r="D38" s="126">
        <f>+'2T'!F40</f>
        <v>51289204</v>
      </c>
      <c r="E38" s="126">
        <f>+'3T'!F40</f>
        <v>45231424</v>
      </c>
      <c r="F38" s="126">
        <f t="shared" ref="F38:F44" si="2">+SUM(C38:E38)</f>
        <v>429092750</v>
      </c>
    </row>
    <row r="39" spans="1:6" x14ac:dyDescent="0.3">
      <c r="A39" s="220" t="s">
        <v>177</v>
      </c>
      <c r="B39" s="122" t="s">
        <v>180</v>
      </c>
      <c r="C39" s="126">
        <f>+'1T'!F41</f>
        <v>222682890</v>
      </c>
      <c r="D39" s="126">
        <f>+'2T'!F41</f>
        <v>323160770</v>
      </c>
      <c r="E39" s="126">
        <f>+'3T'!F41</f>
        <v>325987720</v>
      </c>
      <c r="F39" s="126">
        <f t="shared" si="2"/>
        <v>871831380</v>
      </c>
    </row>
    <row r="40" spans="1:6" x14ac:dyDescent="0.3">
      <c r="A40" s="220"/>
      <c r="B40" s="122" t="s">
        <v>181</v>
      </c>
      <c r="C40" s="126">
        <f>+'1T'!F42</f>
        <v>116954960</v>
      </c>
      <c r="D40" s="126">
        <f>+'2T'!F42</f>
        <v>21000200</v>
      </c>
      <c r="E40" s="126">
        <f>+'3T'!F42</f>
        <v>18819410</v>
      </c>
      <c r="F40" s="126">
        <f t="shared" si="2"/>
        <v>156774570</v>
      </c>
    </row>
    <row r="41" spans="1:6" x14ac:dyDescent="0.3">
      <c r="A41" s="220" t="s">
        <v>178</v>
      </c>
      <c r="B41" s="122" t="s">
        <v>180</v>
      </c>
      <c r="C41" s="126">
        <f>+'1T'!F43</f>
        <v>1176848974.0799999</v>
      </c>
      <c r="D41" s="126">
        <f>+'2T'!F43</f>
        <v>1802874213.7399998</v>
      </c>
      <c r="E41" s="126">
        <f>+'3T'!F43</f>
        <v>1762511708.7400002</v>
      </c>
      <c r="F41" s="126">
        <f t="shared" si="2"/>
        <v>4742234896.5599995</v>
      </c>
    </row>
    <row r="42" spans="1:6" ht="18" customHeight="1" x14ac:dyDescent="0.3">
      <c r="A42" s="220"/>
      <c r="B42" s="122" t="s">
        <v>181</v>
      </c>
      <c r="C42" s="126">
        <f>+'1T'!F44</f>
        <v>665951298.15999997</v>
      </c>
      <c r="D42" s="126">
        <f>+'2T'!F44</f>
        <v>62700688</v>
      </c>
      <c r="E42" s="126">
        <f>+'3T'!F44</f>
        <v>200482305.36000001</v>
      </c>
      <c r="F42" s="126">
        <f t="shared" si="2"/>
        <v>929134291.51999998</v>
      </c>
    </row>
    <row r="43" spans="1:6" ht="15" customHeight="1" x14ac:dyDescent="0.3">
      <c r="A43" s="220" t="s">
        <v>179</v>
      </c>
      <c r="B43" s="122" t="s">
        <v>180</v>
      </c>
      <c r="C43" s="126">
        <f>+'1T'!F45</f>
        <v>214964000</v>
      </c>
      <c r="D43" s="126">
        <f>+'2T'!F45</f>
        <v>993600000</v>
      </c>
      <c r="E43" s="126">
        <f>+'3T'!F45</f>
        <v>1292624000</v>
      </c>
      <c r="F43" s="126">
        <f t="shared" si="2"/>
        <v>2501188000</v>
      </c>
    </row>
    <row r="44" spans="1:6" ht="15" customHeight="1" x14ac:dyDescent="0.3">
      <c r="A44" s="256"/>
      <c r="B44" s="122" t="s">
        <v>181</v>
      </c>
      <c r="C44" s="126">
        <f>+'1T'!F46</f>
        <v>453652000</v>
      </c>
      <c r="D44" s="126">
        <f>+'2T'!F46</f>
        <v>41800000</v>
      </c>
      <c r="E44" s="129">
        <f>+'3T'!F46</f>
        <v>73100000</v>
      </c>
      <c r="F44" s="129">
        <f t="shared" si="2"/>
        <v>568552000</v>
      </c>
    </row>
    <row r="45" spans="1:6" ht="15" customHeight="1" x14ac:dyDescent="0.35">
      <c r="A45" s="140" t="s">
        <v>43</v>
      </c>
      <c r="B45" s="140"/>
      <c r="C45" s="140"/>
      <c r="D45" s="140"/>
      <c r="E45" s="1"/>
      <c r="F45" s="1"/>
    </row>
    <row r="46" spans="1:6" ht="50.1" customHeight="1" x14ac:dyDescent="0.3">
      <c r="A46" s="213" t="s">
        <v>162</v>
      </c>
      <c r="B46" s="213"/>
      <c r="C46" s="213"/>
      <c r="D46" s="213"/>
      <c r="E46" s="213"/>
      <c r="F46" s="213"/>
    </row>
    <row r="47" spans="1:6" ht="15" customHeight="1" x14ac:dyDescent="0.35">
      <c r="A47" s="1"/>
      <c r="B47" s="1"/>
      <c r="C47" s="1"/>
      <c r="D47" s="1"/>
      <c r="E47" s="1"/>
      <c r="F47" s="1"/>
    </row>
    <row r="49" spans="1:6" ht="21" customHeight="1" x14ac:dyDescent="0.3">
      <c r="A49" s="214" t="s">
        <v>97</v>
      </c>
      <c r="B49" s="214"/>
      <c r="C49" s="214"/>
      <c r="D49" s="214"/>
      <c r="E49" s="214"/>
      <c r="F49" s="214"/>
    </row>
    <row r="50" spans="1:6" ht="9.9" customHeight="1" x14ac:dyDescent="0.3"/>
    <row r="51" spans="1:6" x14ac:dyDescent="0.3">
      <c r="A51" s="209" t="s">
        <v>73</v>
      </c>
      <c r="B51" s="209"/>
      <c r="C51" s="209"/>
      <c r="D51" s="209"/>
      <c r="E51" s="209"/>
      <c r="F51" s="209"/>
    </row>
    <row r="52" spans="1:6" ht="17.25" customHeight="1" x14ac:dyDescent="0.3">
      <c r="A52" s="216" t="s">
        <v>74</v>
      </c>
      <c r="B52" s="216"/>
      <c r="C52" s="216"/>
      <c r="D52" s="216"/>
      <c r="E52" s="216"/>
      <c r="F52" s="216"/>
    </row>
    <row r="53" spans="1:6" x14ac:dyDescent="0.3">
      <c r="A53" s="209" t="s">
        <v>52</v>
      </c>
      <c r="B53" s="209"/>
      <c r="C53" s="209"/>
      <c r="D53" s="209"/>
      <c r="E53" s="209"/>
      <c r="F53" s="209"/>
    </row>
    <row r="54" spans="1:6" ht="9.9" customHeight="1" x14ac:dyDescent="0.3"/>
    <row r="55" spans="1:6" ht="31.2" x14ac:dyDescent="0.3">
      <c r="A55" s="68" t="s">
        <v>55</v>
      </c>
      <c r="B55" s="68" t="s">
        <v>56</v>
      </c>
      <c r="C55" s="68" t="s">
        <v>95</v>
      </c>
      <c r="D55" s="68" t="s">
        <v>96</v>
      </c>
      <c r="E55" s="68" t="s">
        <v>98</v>
      </c>
      <c r="F55" s="68" t="s">
        <v>99</v>
      </c>
    </row>
    <row r="56" spans="1:6" x14ac:dyDescent="0.3">
      <c r="A56" s="134" t="s">
        <v>16</v>
      </c>
      <c r="B56" s="49"/>
      <c r="C56" s="35">
        <f>+C58+C62</f>
        <v>4721209956.25</v>
      </c>
      <c r="D56" s="35">
        <f>+D58+D62</f>
        <v>4532375186.1400108</v>
      </c>
      <c r="E56" s="35">
        <f>+E58+E62</f>
        <v>4857004150.25</v>
      </c>
      <c r="F56" s="35">
        <f>+F58+F62</f>
        <v>14110589292.640011</v>
      </c>
    </row>
    <row r="57" spans="1:6" x14ac:dyDescent="0.3">
      <c r="A57" s="13"/>
      <c r="B57" s="50"/>
      <c r="C57" s="14"/>
      <c r="D57" s="14"/>
      <c r="E57" s="14"/>
      <c r="F57" s="51"/>
    </row>
    <row r="58" spans="1:6" x14ac:dyDescent="0.3">
      <c r="A58" s="210" t="s">
        <v>75</v>
      </c>
      <c r="B58" s="210"/>
      <c r="C58" s="53">
        <f>+SUM(C59:C61)</f>
        <v>4721209956.25</v>
      </c>
      <c r="D58" s="53">
        <f t="shared" ref="D58:F58" si="3">+SUM(D59:D61)</f>
        <v>4532375186.1400108</v>
      </c>
      <c r="E58" s="53">
        <f t="shared" si="3"/>
        <v>4857004150.25</v>
      </c>
      <c r="F58" s="53">
        <f t="shared" si="3"/>
        <v>14110589292.640011</v>
      </c>
    </row>
    <row r="59" spans="1:6" x14ac:dyDescent="0.3">
      <c r="A59" s="169" t="s">
        <v>211</v>
      </c>
      <c r="B59" s="54" t="s">
        <v>208</v>
      </c>
      <c r="C59" s="15">
        <f>+'1T'!F105</f>
        <v>204381066.25</v>
      </c>
      <c r="D59" s="15">
        <f>+'2T'!F104</f>
        <v>204381066.25</v>
      </c>
      <c r="E59" s="15">
        <f>+'3T'!F104</f>
        <v>204381066.25</v>
      </c>
      <c r="F59" s="93">
        <f>+C59+D59+E59</f>
        <v>613143198.75</v>
      </c>
    </row>
    <row r="60" spans="1:6" x14ac:dyDescent="0.3">
      <c r="A60" s="169" t="s">
        <v>211</v>
      </c>
      <c r="B60" s="54" t="s">
        <v>208</v>
      </c>
      <c r="C60" s="15">
        <f>+'1T'!F106</f>
        <v>4370370492</v>
      </c>
      <c r="D60" s="15">
        <f>+'2T'!F105</f>
        <v>4181535721.8900108</v>
      </c>
      <c r="E60" s="15">
        <f>+'3T'!F105</f>
        <v>4506164686</v>
      </c>
      <c r="F60" s="93">
        <f>+C60+D60+E60</f>
        <v>13058070899.890011</v>
      </c>
    </row>
    <row r="61" spans="1:6" x14ac:dyDescent="0.3">
      <c r="A61" s="169" t="s">
        <v>211</v>
      </c>
      <c r="B61" s="54" t="s">
        <v>208</v>
      </c>
      <c r="C61" s="15">
        <f>+'1T'!F107</f>
        <v>146458398</v>
      </c>
      <c r="D61" s="15">
        <f>+'2T'!F106</f>
        <v>146458398</v>
      </c>
      <c r="E61" s="15">
        <f>+'3T'!F106</f>
        <v>146458398</v>
      </c>
      <c r="F61" s="93">
        <f>+C61+D61+E61</f>
        <v>439375194</v>
      </c>
    </row>
    <row r="62" spans="1:6" x14ac:dyDescent="0.3">
      <c r="A62" s="210" t="s">
        <v>76</v>
      </c>
      <c r="B62" s="210"/>
      <c r="C62" s="53">
        <f>+SUM(C63:C64)</f>
        <v>0</v>
      </c>
      <c r="D62" s="53">
        <f>+SUM(D63:D64)</f>
        <v>0</v>
      </c>
      <c r="E62" s="53">
        <f>+SUM(E63:E64)</f>
        <v>0</v>
      </c>
      <c r="F62" s="53">
        <f>+SUM(F63:F64)</f>
        <v>0</v>
      </c>
    </row>
    <row r="63" spans="1:6" x14ac:dyDescent="0.3">
      <c r="A63" s="54" t="s">
        <v>59</v>
      </c>
      <c r="B63" s="50" t="s">
        <v>53</v>
      </c>
      <c r="C63" s="56">
        <f>+'1T'!F109</f>
        <v>0</v>
      </c>
      <c r="D63" s="56">
        <f>+'2T'!F108</f>
        <v>0</v>
      </c>
      <c r="E63" s="56">
        <f>+'3T'!F108</f>
        <v>0</v>
      </c>
      <c r="F63" s="94">
        <f>+C63+D63+E63</f>
        <v>0</v>
      </c>
    </row>
    <row r="64" spans="1:6" x14ac:dyDescent="0.3">
      <c r="A64" s="54" t="s">
        <v>59</v>
      </c>
      <c r="B64" s="50" t="s">
        <v>53</v>
      </c>
      <c r="C64" s="56">
        <f>+'1T'!F110</f>
        <v>0</v>
      </c>
      <c r="D64" s="56">
        <f>+'2T'!F109</f>
        <v>0</v>
      </c>
      <c r="E64" s="56">
        <f>+'3T'!F109</f>
        <v>0</v>
      </c>
      <c r="F64" s="96">
        <f>+C64+D64+E64</f>
        <v>0</v>
      </c>
    </row>
    <row r="65" spans="1:6" x14ac:dyDescent="0.3">
      <c r="A65" s="223" t="s">
        <v>43</v>
      </c>
      <c r="B65" s="223"/>
      <c r="C65" s="223"/>
      <c r="D65" s="223"/>
      <c r="E65" s="223"/>
    </row>
    <row r="66" spans="1:6" ht="50.1" customHeight="1" x14ac:dyDescent="0.3">
      <c r="A66" s="195" t="s">
        <v>157</v>
      </c>
      <c r="B66" s="196"/>
      <c r="C66" s="196"/>
      <c r="D66" s="196"/>
      <c r="E66" s="196"/>
      <c r="F66" s="197"/>
    </row>
    <row r="67" spans="1:6" x14ac:dyDescent="0.3">
      <c r="A67" s="25"/>
      <c r="B67" s="48"/>
      <c r="C67" s="24"/>
    </row>
    <row r="68" spans="1:6" x14ac:dyDescent="0.3">
      <c r="A68" s="209" t="s">
        <v>77</v>
      </c>
      <c r="B68" s="209"/>
      <c r="C68" s="209"/>
      <c r="D68" s="209"/>
      <c r="E68" s="209"/>
      <c r="F68" s="209"/>
    </row>
    <row r="69" spans="1:6" ht="17.25" customHeight="1" x14ac:dyDescent="0.3">
      <c r="A69" s="216" t="s">
        <v>54</v>
      </c>
      <c r="B69" s="216"/>
      <c r="C69" s="216"/>
      <c r="D69" s="216"/>
      <c r="E69" s="216"/>
      <c r="F69" s="216"/>
    </row>
    <row r="70" spans="1:6" x14ac:dyDescent="0.3">
      <c r="A70" s="209" t="s">
        <v>52</v>
      </c>
      <c r="B70" s="209"/>
      <c r="C70" s="209"/>
      <c r="D70" s="209"/>
      <c r="E70" s="209"/>
      <c r="F70" s="209"/>
    </row>
    <row r="71" spans="1:6" x14ac:dyDescent="0.3">
      <c r="A71" s="89"/>
      <c r="B71" s="90"/>
      <c r="C71" s="90"/>
      <c r="D71" s="90"/>
      <c r="E71" s="90"/>
    </row>
    <row r="72" spans="1:6" ht="31.2" x14ac:dyDescent="0.3">
      <c r="A72" s="68" t="s">
        <v>55</v>
      </c>
      <c r="B72" s="68" t="s">
        <v>56</v>
      </c>
      <c r="C72" s="68" t="s">
        <v>95</v>
      </c>
      <c r="D72" s="68" t="s">
        <v>96</v>
      </c>
      <c r="E72" s="68" t="s">
        <v>98</v>
      </c>
      <c r="F72" s="68" t="s">
        <v>99</v>
      </c>
    </row>
    <row r="73" spans="1:6" x14ac:dyDescent="0.3">
      <c r="A73" s="134" t="s">
        <v>16</v>
      </c>
      <c r="B73" s="49"/>
      <c r="C73" s="35">
        <f>+C75+C82+C89</f>
        <v>3804952546.2399998</v>
      </c>
      <c r="D73" s="35">
        <f t="shared" ref="D73:E73" si="4">+D75+D82+D89</f>
        <v>4213572967.7399998</v>
      </c>
      <c r="E73" s="35">
        <f t="shared" si="4"/>
        <v>4627625494.1000004</v>
      </c>
      <c r="F73" s="35">
        <f>+F75+F82+F89</f>
        <v>12646151008.08</v>
      </c>
    </row>
    <row r="74" spans="1:6" x14ac:dyDescent="0.3">
      <c r="A74" s="13"/>
      <c r="B74" s="50"/>
      <c r="C74" s="14"/>
      <c r="D74" s="14"/>
      <c r="E74" s="14"/>
      <c r="F74" s="51"/>
    </row>
    <row r="75" spans="1:6" x14ac:dyDescent="0.3">
      <c r="A75" s="210" t="s">
        <v>58</v>
      </c>
      <c r="B75" s="210"/>
      <c r="C75" s="53">
        <f>+SUM(C76:C80)</f>
        <v>3804952546.2399998</v>
      </c>
      <c r="D75" s="53">
        <f t="shared" ref="D75:E75" si="5">+SUM(D76:D80)</f>
        <v>4213572967.7399998</v>
      </c>
      <c r="E75" s="53">
        <f t="shared" si="5"/>
        <v>4627625494.1000004</v>
      </c>
      <c r="F75" s="53">
        <f>+SUM(F76:F80)</f>
        <v>12646151008.08</v>
      </c>
    </row>
    <row r="76" spans="1:6" ht="30" x14ac:dyDescent="0.3">
      <c r="A76" s="170">
        <v>60104</v>
      </c>
      <c r="B76" s="54" t="s">
        <v>209</v>
      </c>
      <c r="C76" s="15">
        <f>+'1T'!F122</f>
        <v>145571112.24000001</v>
      </c>
      <c r="D76" s="15">
        <f>+'2T'!F121</f>
        <v>185004365.74000001</v>
      </c>
      <c r="E76" s="15">
        <f>+'3T'!F121</f>
        <v>222908088.09999999</v>
      </c>
      <c r="F76" s="93">
        <f>+C76+D76+E76</f>
        <v>553483566.08000004</v>
      </c>
    </row>
    <row r="77" spans="1:6" ht="30" x14ac:dyDescent="0.3">
      <c r="A77" s="170">
        <v>60401</v>
      </c>
      <c r="B77" s="54" t="s">
        <v>207</v>
      </c>
      <c r="C77" s="15">
        <f>+'1T'!F123</f>
        <v>3527330816</v>
      </c>
      <c r="D77" s="15">
        <f>+'2T'!F122</f>
        <v>3894987092</v>
      </c>
      <c r="E77" s="58">
        <f>+'3T'!F122</f>
        <v>4270628268</v>
      </c>
      <c r="F77" s="93">
        <f t="shared" ref="F77:F80" si="6">+C77+D77+E77</f>
        <v>11692946176</v>
      </c>
    </row>
    <row r="78" spans="1:6" ht="30" x14ac:dyDescent="0.3">
      <c r="A78" s="171">
        <v>60402</v>
      </c>
      <c r="B78" s="54" t="s">
        <v>210</v>
      </c>
      <c r="C78" s="15">
        <f>+'1T'!F124</f>
        <v>132050618</v>
      </c>
      <c r="D78" s="15">
        <f>+'2T'!F123</f>
        <v>133581510</v>
      </c>
      <c r="E78" s="15">
        <f>+'3T'!F123</f>
        <v>134089138</v>
      </c>
      <c r="F78" s="93">
        <f t="shared" si="6"/>
        <v>399721266</v>
      </c>
    </row>
    <row r="79" spans="1:6" x14ac:dyDescent="0.3">
      <c r="A79" s="54" t="s">
        <v>59</v>
      </c>
      <c r="B79" s="50" t="s">
        <v>53</v>
      </c>
      <c r="C79" s="15">
        <f>+'1T'!F125</f>
        <v>0</v>
      </c>
      <c r="D79" s="15">
        <f>+'2T'!F124</f>
        <v>0</v>
      </c>
      <c r="E79" s="58">
        <f>+'3T'!F124</f>
        <v>0</v>
      </c>
      <c r="F79" s="93">
        <f t="shared" si="6"/>
        <v>0</v>
      </c>
    </row>
    <row r="80" spans="1:6" x14ac:dyDescent="0.3">
      <c r="A80" s="54" t="s">
        <v>59</v>
      </c>
      <c r="B80" s="50" t="s">
        <v>53</v>
      </c>
      <c r="C80" s="15">
        <f>+'1T'!F126</f>
        <v>0</v>
      </c>
      <c r="D80" s="15">
        <f>+'2T'!F125</f>
        <v>0</v>
      </c>
      <c r="E80" s="15">
        <f>+'3T'!F125</f>
        <v>0</v>
      </c>
      <c r="F80" s="93">
        <f t="shared" si="6"/>
        <v>0</v>
      </c>
    </row>
    <row r="81" spans="1:6" x14ac:dyDescent="0.3">
      <c r="A81" s="136"/>
      <c r="B81" s="50"/>
      <c r="C81" s="15"/>
      <c r="D81" s="15"/>
      <c r="E81" s="15"/>
      <c r="F81" s="93"/>
    </row>
    <row r="82" spans="1:6" x14ac:dyDescent="0.3">
      <c r="A82" s="210" t="s">
        <v>60</v>
      </c>
      <c r="B82" s="210"/>
      <c r="C82" s="53">
        <f>+SUM(C83:C87)</f>
        <v>0</v>
      </c>
      <c r="D82" s="53">
        <f t="shared" ref="D82:E82" si="7">+SUM(D83:D87)</f>
        <v>0</v>
      </c>
      <c r="E82" s="53">
        <f t="shared" si="7"/>
        <v>0</v>
      </c>
      <c r="F82" s="53">
        <f>+SUM(F83:F87)</f>
        <v>0</v>
      </c>
    </row>
    <row r="83" spans="1:6" x14ac:dyDescent="0.3">
      <c r="A83" s="54" t="s">
        <v>59</v>
      </c>
      <c r="B83" s="50" t="s">
        <v>53</v>
      </c>
      <c r="C83" s="56">
        <f>+'1T'!F129</f>
        <v>0</v>
      </c>
      <c r="D83" s="56">
        <f>+'2T'!F128</f>
        <v>0</v>
      </c>
      <c r="E83" s="56">
        <f>+'3T'!F128</f>
        <v>0</v>
      </c>
      <c r="F83" s="94">
        <f>+C83+D83+E83</f>
        <v>0</v>
      </c>
    </row>
    <row r="84" spans="1:6" x14ac:dyDescent="0.3">
      <c r="A84" s="54" t="s">
        <v>59</v>
      </c>
      <c r="B84" s="50" t="s">
        <v>53</v>
      </c>
      <c r="C84" s="56">
        <f>+'1T'!F130</f>
        <v>0</v>
      </c>
      <c r="D84" s="56">
        <f>+'2T'!F129</f>
        <v>0</v>
      </c>
      <c r="E84" s="56">
        <f>+'3T'!F129</f>
        <v>0</v>
      </c>
      <c r="F84" s="94">
        <f>+C84+D84+E84</f>
        <v>0</v>
      </c>
    </row>
    <row r="85" spans="1:6" x14ac:dyDescent="0.3">
      <c r="A85" s="54" t="s">
        <v>59</v>
      </c>
      <c r="B85" s="50" t="s">
        <v>53</v>
      </c>
      <c r="C85" s="56">
        <f>+'1T'!F131</f>
        <v>0</v>
      </c>
      <c r="D85" s="56">
        <f>+'2T'!F130</f>
        <v>0</v>
      </c>
      <c r="E85" s="56">
        <f>+'3T'!F130</f>
        <v>0</v>
      </c>
      <c r="F85" s="94">
        <f>+C85+D85+E85</f>
        <v>0</v>
      </c>
    </row>
    <row r="86" spans="1:6" x14ac:dyDescent="0.3">
      <c r="A86" s="54" t="s">
        <v>59</v>
      </c>
      <c r="B86" s="50" t="s">
        <v>53</v>
      </c>
      <c r="C86" s="56">
        <f>+'1T'!F132</f>
        <v>0</v>
      </c>
      <c r="D86" s="56">
        <f>+'2T'!F131</f>
        <v>0</v>
      </c>
      <c r="E86" s="56">
        <f>+'3T'!F131</f>
        <v>0</v>
      </c>
      <c r="F86" s="94">
        <f t="shared" ref="F86" si="8">+C86+D86+E86</f>
        <v>0</v>
      </c>
    </row>
    <row r="87" spans="1:6" x14ac:dyDescent="0.3">
      <c r="A87" s="54" t="s">
        <v>59</v>
      </c>
      <c r="B87" s="50" t="s">
        <v>53</v>
      </c>
      <c r="C87" s="56">
        <f>+'1T'!F133</f>
        <v>0</v>
      </c>
      <c r="D87" s="56">
        <f>+'2T'!F132</f>
        <v>0</v>
      </c>
      <c r="E87" s="56">
        <f>+'3T'!F132</f>
        <v>0</v>
      </c>
      <c r="F87" s="94">
        <f>+C87+D87+E87</f>
        <v>0</v>
      </c>
    </row>
    <row r="88" spans="1:6" x14ac:dyDescent="0.3">
      <c r="C88" s="40"/>
      <c r="D88" s="40"/>
      <c r="E88" s="40"/>
      <c r="F88" s="40"/>
    </row>
    <row r="89" spans="1:6" x14ac:dyDescent="0.3">
      <c r="A89" s="210" t="s">
        <v>61</v>
      </c>
      <c r="B89" s="210"/>
      <c r="C89" s="53">
        <f>+SUM(C90:C91)</f>
        <v>0</v>
      </c>
      <c r="D89" s="53">
        <f t="shared" ref="D89:E89" si="9">+SUM(D90:D91)</f>
        <v>0</v>
      </c>
      <c r="E89" s="53">
        <f t="shared" si="9"/>
        <v>0</v>
      </c>
      <c r="F89" s="53">
        <f>+SUM(F90:F91)</f>
        <v>0</v>
      </c>
    </row>
    <row r="90" spans="1:6" x14ac:dyDescent="0.3">
      <c r="A90" s="75" t="s">
        <v>59</v>
      </c>
      <c r="B90" s="50" t="s">
        <v>53</v>
      </c>
      <c r="C90" s="56">
        <f>+'1T'!F136</f>
        <v>0</v>
      </c>
      <c r="D90" s="56">
        <f>+'2T'!F135</f>
        <v>0</v>
      </c>
      <c r="E90" s="56">
        <f>+'3T'!F135</f>
        <v>0</v>
      </c>
      <c r="F90" s="94">
        <f>+C90+D90+E90</f>
        <v>0</v>
      </c>
    </row>
    <row r="91" spans="1:6" x14ac:dyDescent="0.3">
      <c r="A91" s="47" t="s">
        <v>59</v>
      </c>
      <c r="B91" s="47" t="s">
        <v>53</v>
      </c>
      <c r="C91" s="95">
        <f>+'1T'!F137</f>
        <v>0</v>
      </c>
      <c r="D91" s="95">
        <f>+'2T'!F136</f>
        <v>0</v>
      </c>
      <c r="E91" s="59">
        <f>+'3T'!F136</f>
        <v>0</v>
      </c>
      <c r="F91" s="96">
        <f>+C91+D91+E91</f>
        <v>0</v>
      </c>
    </row>
    <row r="92" spans="1:6" ht="14.25" customHeight="1" x14ac:dyDescent="0.3">
      <c r="A92" s="211" t="s">
        <v>62</v>
      </c>
      <c r="B92" s="211"/>
      <c r="C92" s="211"/>
      <c r="D92" s="211"/>
      <c r="E92" s="211"/>
      <c r="F92" s="211"/>
    </row>
    <row r="93" spans="1:6" x14ac:dyDescent="0.3">
      <c r="A93" s="259" t="s">
        <v>43</v>
      </c>
      <c r="B93" s="259"/>
      <c r="C93" s="259"/>
      <c r="D93" s="259"/>
      <c r="E93" s="259"/>
      <c r="F93" s="259"/>
    </row>
    <row r="94" spans="1:6" x14ac:dyDescent="0.3">
      <c r="A94" s="54"/>
      <c r="B94" s="50"/>
    </row>
    <row r="95" spans="1:6" x14ac:dyDescent="0.3">
      <c r="A95" s="209" t="s">
        <v>79</v>
      </c>
      <c r="B95" s="209"/>
      <c r="C95" s="209"/>
      <c r="D95" s="209"/>
      <c r="E95" s="209"/>
      <c r="F95" s="42"/>
    </row>
    <row r="96" spans="1:6" x14ac:dyDescent="0.3">
      <c r="A96" s="209" t="s">
        <v>80</v>
      </c>
      <c r="B96" s="209"/>
      <c r="C96" s="209"/>
      <c r="D96" s="209"/>
      <c r="E96" s="209"/>
      <c r="F96" s="42"/>
    </row>
    <row r="97" spans="1:6" x14ac:dyDescent="0.3">
      <c r="A97" s="209" t="s">
        <v>52</v>
      </c>
      <c r="B97" s="209"/>
      <c r="C97" s="209"/>
      <c r="D97" s="209"/>
      <c r="E97" s="209"/>
      <c r="F97" s="42"/>
    </row>
    <row r="98" spans="1:6" x14ac:dyDescent="0.3">
      <c r="A98" s="89"/>
      <c r="B98" s="90"/>
      <c r="C98" s="90"/>
      <c r="D98" s="90"/>
      <c r="E98" s="90"/>
    </row>
    <row r="99" spans="1:6" ht="31.2" x14ac:dyDescent="0.3">
      <c r="A99" s="68" t="s">
        <v>78</v>
      </c>
      <c r="B99" s="68" t="s">
        <v>95</v>
      </c>
      <c r="C99" s="68" t="s">
        <v>96</v>
      </c>
      <c r="D99" s="68" t="s">
        <v>98</v>
      </c>
      <c r="E99" s="68" t="s">
        <v>99</v>
      </c>
    </row>
    <row r="100" spans="1:6" x14ac:dyDescent="0.3">
      <c r="A100" s="105" t="s">
        <v>82</v>
      </c>
      <c r="B100" s="61">
        <f>+B101</f>
        <v>0</v>
      </c>
      <c r="C100" s="61">
        <f t="shared" ref="C100:D100" si="10">+B110</f>
        <v>916257410.01000023</v>
      </c>
      <c r="D100" s="61">
        <f t="shared" si="10"/>
        <v>318802218.40001106</v>
      </c>
      <c r="E100" s="61">
        <f>+B100</f>
        <v>0</v>
      </c>
    </row>
    <row r="101" spans="1:6" x14ac:dyDescent="0.3">
      <c r="A101" s="106" t="s">
        <v>83</v>
      </c>
      <c r="B101" s="26">
        <f>+'1T'!E148</f>
        <v>0</v>
      </c>
      <c r="C101" s="26">
        <f>+'2T'!E147</f>
        <v>0</v>
      </c>
      <c r="D101" s="26">
        <f>+'3T'!E147</f>
        <v>0</v>
      </c>
      <c r="E101" s="65">
        <f>+B101+C101+D101</f>
        <v>0</v>
      </c>
    </row>
    <row r="102" spans="1:6" x14ac:dyDescent="0.3">
      <c r="A102" s="106" t="s">
        <v>81</v>
      </c>
      <c r="B102" s="26">
        <f>+'1T'!E149</f>
        <v>4721209956.25</v>
      </c>
      <c r="C102" s="26">
        <f>+'2T'!E148</f>
        <v>916257410.01000023</v>
      </c>
      <c r="D102" s="26">
        <f>+'3T'!E148</f>
        <v>1235059628.4100113</v>
      </c>
      <c r="E102" s="65">
        <f>+B102</f>
        <v>4721209956.25</v>
      </c>
    </row>
    <row r="103" spans="1:6" x14ac:dyDescent="0.3">
      <c r="A103" s="105" t="s">
        <v>85</v>
      </c>
      <c r="B103" s="61">
        <f>+'1T'!E150</f>
        <v>4721209956.25</v>
      </c>
      <c r="C103" s="61">
        <f>+'2T'!E149</f>
        <v>4532375186.1400108</v>
      </c>
      <c r="D103" s="61">
        <f>+'3T'!E149</f>
        <v>4857004150.25</v>
      </c>
      <c r="E103" s="61">
        <f>+B103+C103+D103</f>
        <v>14110589292.640011</v>
      </c>
    </row>
    <row r="104" spans="1:6" x14ac:dyDescent="0.3">
      <c r="A104" s="105" t="s">
        <v>147</v>
      </c>
      <c r="B104" s="61">
        <f>+B105+B106</f>
        <v>4721209956.25</v>
      </c>
      <c r="C104" s="61">
        <f>+C105+C106</f>
        <v>4532375186.1400108</v>
      </c>
      <c r="D104" s="61">
        <f>+D105+D106</f>
        <v>4857004150.25</v>
      </c>
      <c r="E104" s="61">
        <f>+E100+E103</f>
        <v>14110589292.640011</v>
      </c>
    </row>
    <row r="105" spans="1:6" x14ac:dyDescent="0.3">
      <c r="A105" s="106" t="s">
        <v>83</v>
      </c>
      <c r="B105" s="26">
        <f>+B101</f>
        <v>0</v>
      </c>
      <c r="C105" s="26">
        <f>+C101</f>
        <v>0</v>
      </c>
      <c r="D105" s="26">
        <f>+D101</f>
        <v>0</v>
      </c>
      <c r="E105" s="65">
        <f>+B105+C105+D105</f>
        <v>0</v>
      </c>
    </row>
    <row r="106" spans="1:6" x14ac:dyDescent="0.3">
      <c r="A106" s="106" t="s">
        <v>81</v>
      </c>
      <c r="B106" s="26">
        <f>+B103</f>
        <v>4721209956.25</v>
      </c>
      <c r="C106" s="26">
        <f>+C103</f>
        <v>4532375186.1400108</v>
      </c>
      <c r="D106" s="26">
        <f>+D103</f>
        <v>4857004150.25</v>
      </c>
      <c r="E106" s="65">
        <f>+B106+C106+D106</f>
        <v>14110589292.640011</v>
      </c>
    </row>
    <row r="107" spans="1:6" x14ac:dyDescent="0.3">
      <c r="A107" s="105" t="s">
        <v>84</v>
      </c>
      <c r="B107" s="61">
        <f>+B108+B109</f>
        <v>3804952546.2399998</v>
      </c>
      <c r="C107" s="61">
        <f>+C108+C109</f>
        <v>4213572967.7399998</v>
      </c>
      <c r="D107" s="61">
        <f>+D108+D109</f>
        <v>4627625494.1000004</v>
      </c>
      <c r="E107" s="61">
        <f>+B107+C107+D107</f>
        <v>12646151008.08</v>
      </c>
    </row>
    <row r="108" spans="1:6" x14ac:dyDescent="0.3">
      <c r="A108" s="106" t="s">
        <v>83</v>
      </c>
      <c r="B108" s="82">
        <f>+'1T'!E155</f>
        <v>0</v>
      </c>
      <c r="C108" s="82">
        <f>+'2T'!E154</f>
        <v>0</v>
      </c>
      <c r="D108" s="82">
        <f>+'3T'!E154</f>
        <v>0</v>
      </c>
      <c r="E108" s="48">
        <f>+B108+C108+D108</f>
        <v>0</v>
      </c>
    </row>
    <row r="109" spans="1:6" x14ac:dyDescent="0.3">
      <c r="A109" s="106" t="s">
        <v>81</v>
      </c>
      <c r="B109" s="82">
        <f>+'1T'!E156</f>
        <v>3804952546.2399998</v>
      </c>
      <c r="C109" s="82">
        <f>+'2T'!E155</f>
        <v>4213572967.7399998</v>
      </c>
      <c r="D109" s="82">
        <f>+'3T'!E155</f>
        <v>4627625494.1000004</v>
      </c>
      <c r="E109" s="48">
        <f>+B109+C109+D109</f>
        <v>12646151008.08</v>
      </c>
    </row>
    <row r="110" spans="1:6" x14ac:dyDescent="0.3">
      <c r="A110" s="105" t="s">
        <v>148</v>
      </c>
      <c r="B110" s="61">
        <f t="shared" ref="B110:E112" si="11">+B104-B107</f>
        <v>916257410.01000023</v>
      </c>
      <c r="C110" s="61">
        <f t="shared" si="11"/>
        <v>318802218.40001106</v>
      </c>
      <c r="D110" s="61">
        <f t="shared" si="11"/>
        <v>229378656.14999962</v>
      </c>
      <c r="E110" s="61">
        <f t="shared" si="11"/>
        <v>1464438284.5600109</v>
      </c>
    </row>
    <row r="111" spans="1:6" x14ac:dyDescent="0.3">
      <c r="A111" s="106" t="s">
        <v>83</v>
      </c>
      <c r="B111" s="82">
        <f t="shared" si="11"/>
        <v>0</v>
      </c>
      <c r="C111" s="82">
        <f t="shared" si="11"/>
        <v>0</v>
      </c>
      <c r="D111" s="82">
        <f t="shared" si="11"/>
        <v>0</v>
      </c>
      <c r="E111" s="48">
        <f t="shared" si="11"/>
        <v>0</v>
      </c>
    </row>
    <row r="112" spans="1:6" x14ac:dyDescent="0.3">
      <c r="A112" s="107" t="s">
        <v>81</v>
      </c>
      <c r="B112" s="77">
        <f t="shared" si="11"/>
        <v>916257410.01000023</v>
      </c>
      <c r="C112" s="77">
        <f t="shared" si="11"/>
        <v>318802218.40001106</v>
      </c>
      <c r="D112" s="77">
        <f t="shared" si="11"/>
        <v>229378656.14999962</v>
      </c>
      <c r="E112" s="62">
        <f t="shared" si="11"/>
        <v>1464438284.5600109</v>
      </c>
    </row>
    <row r="113" spans="1:7" x14ac:dyDescent="0.3">
      <c r="A113" s="223" t="s">
        <v>43</v>
      </c>
      <c r="B113" s="223"/>
      <c r="C113" s="223"/>
      <c r="D113" s="223"/>
    </row>
    <row r="114" spans="1:7" x14ac:dyDescent="0.3">
      <c r="A114" s="142"/>
      <c r="B114" s="142"/>
      <c r="C114" s="142"/>
      <c r="D114" s="142"/>
    </row>
    <row r="123" spans="1:7" x14ac:dyDescent="0.35">
      <c r="A123" s="1"/>
      <c r="B123" s="1"/>
      <c r="C123" s="1"/>
      <c r="D123" s="1"/>
      <c r="E123" s="1"/>
      <c r="F123" s="1"/>
      <c r="G123" s="1"/>
    </row>
    <row r="124" spans="1:7" x14ac:dyDescent="0.35">
      <c r="A124" s="1"/>
      <c r="B124" s="1"/>
      <c r="C124" s="1"/>
      <c r="D124" s="1"/>
      <c r="E124" s="1"/>
      <c r="F124" s="1"/>
      <c r="G124" s="1"/>
    </row>
    <row r="125" spans="1:7" x14ac:dyDescent="0.35">
      <c r="A125" s="1"/>
      <c r="B125" s="1"/>
      <c r="C125" s="1"/>
      <c r="D125" s="1"/>
      <c r="E125" s="1"/>
      <c r="F125" s="1"/>
      <c r="G125" s="1"/>
    </row>
    <row r="126" spans="1:7" x14ac:dyDescent="0.35">
      <c r="A126" s="1"/>
      <c r="B126" s="1"/>
      <c r="C126" s="1"/>
      <c r="D126" s="1"/>
      <c r="E126" s="1"/>
      <c r="F126" s="1"/>
      <c r="G126" s="1"/>
    </row>
    <row r="127" spans="1:7" x14ac:dyDescent="0.35">
      <c r="A127" s="1"/>
      <c r="B127" s="1"/>
      <c r="C127" s="1"/>
      <c r="D127" s="1"/>
      <c r="E127" s="1"/>
      <c r="F127" s="1"/>
      <c r="G127" s="1"/>
    </row>
    <row r="128" spans="1:7" x14ac:dyDescent="0.35">
      <c r="A128" s="1"/>
      <c r="B128" s="1"/>
      <c r="C128" s="1"/>
      <c r="D128" s="1"/>
      <c r="E128" s="1"/>
      <c r="F128" s="1"/>
      <c r="G128" s="1"/>
    </row>
  </sheetData>
  <mergeCells count="43">
    <mergeCell ref="A34:B34"/>
    <mergeCell ref="A46:F46"/>
    <mergeCell ref="A37:A38"/>
    <mergeCell ref="A39:A40"/>
    <mergeCell ref="A41:A42"/>
    <mergeCell ref="A43:A44"/>
    <mergeCell ref="A32:E32"/>
    <mergeCell ref="A95:E95"/>
    <mergeCell ref="A113:D113"/>
    <mergeCell ref="A93:F93"/>
    <mergeCell ref="A96:E96"/>
    <mergeCell ref="A97:E97"/>
    <mergeCell ref="A75:B75"/>
    <mergeCell ref="A82:B82"/>
    <mergeCell ref="A89:B89"/>
    <mergeCell ref="A70:F70"/>
    <mergeCell ref="A92:F92"/>
    <mergeCell ref="A62:B62"/>
    <mergeCell ref="A65:E65"/>
    <mergeCell ref="A68:F68"/>
    <mergeCell ref="A69:F69"/>
    <mergeCell ref="A66:F66"/>
    <mergeCell ref="A58:B58"/>
    <mergeCell ref="A49:F49"/>
    <mergeCell ref="A51:F51"/>
    <mergeCell ref="A52:F52"/>
    <mergeCell ref="A53:F53"/>
    <mergeCell ref="A31:E31"/>
    <mergeCell ref="A10:F10"/>
    <mergeCell ref="A11:F11"/>
    <mergeCell ref="A28:E28"/>
    <mergeCell ref="A8:F8"/>
    <mergeCell ref="A29:F29"/>
    <mergeCell ref="A14:B14"/>
    <mergeCell ref="A16:A18"/>
    <mergeCell ref="A19:A21"/>
    <mergeCell ref="A22:A24"/>
    <mergeCell ref="A25:A27"/>
    <mergeCell ref="A2:F2"/>
    <mergeCell ref="A1:F1"/>
    <mergeCell ref="C4:E4"/>
    <mergeCell ref="C5:E5"/>
    <mergeCell ref="C6:E6"/>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6" max="5" man="1"/>
  </rowBreaks>
  <ignoredErrors>
    <ignoredError sqref="C14:F18 C26:F27 C19:E25" evalError="1"/>
    <ignoredError sqref="F19:F25" evalError="1" 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dimension ref="A1:L194"/>
  <sheetViews>
    <sheetView showGridLines="0" zoomScale="80" zoomScaleNormal="80" workbookViewId="0">
      <selection sqref="A1:F2"/>
    </sheetView>
  </sheetViews>
  <sheetFormatPr baseColWidth="10" defaultColWidth="11.44140625" defaultRowHeight="15.6" x14ac:dyDescent="0.35"/>
  <cols>
    <col min="1" max="1" width="67.5546875" style="1" customWidth="1"/>
    <col min="2" max="2" width="28.109375" style="1" customWidth="1"/>
    <col min="3" max="4" width="16.44140625" style="1" customWidth="1"/>
    <col min="5" max="5" width="19.33203125" style="1" customWidth="1"/>
    <col min="6" max="6" width="16.44140625" style="1" customWidth="1"/>
    <col min="7" max="7" width="11.44140625" style="1"/>
    <col min="8" max="8" width="16.6640625" style="1" bestFit="1" customWidth="1"/>
    <col min="9" max="9" width="11.44140625" style="1"/>
    <col min="10" max="10" width="15" style="1" bestFit="1" customWidth="1"/>
    <col min="11" max="12" width="13.6640625" style="1" bestFit="1" customWidth="1"/>
    <col min="13" max="16384" width="11.44140625" style="1"/>
  </cols>
  <sheetData>
    <row r="1" spans="1:7" ht="21.9" customHeight="1" x14ac:dyDescent="0.35">
      <c r="A1" s="232" t="s">
        <v>38</v>
      </c>
      <c r="B1" s="232"/>
      <c r="C1" s="232"/>
      <c r="D1" s="232"/>
      <c r="E1" s="232"/>
      <c r="F1" s="232"/>
    </row>
    <row r="2" spans="1:7" ht="21.9" customHeight="1" x14ac:dyDescent="0.35">
      <c r="A2" s="232"/>
      <c r="B2" s="232"/>
      <c r="C2" s="232"/>
      <c r="D2" s="232"/>
      <c r="E2" s="232"/>
      <c r="F2" s="232"/>
    </row>
    <row r="3" spans="1:7" ht="17.399999999999999" x14ac:dyDescent="0.4">
      <c r="A3" s="234" t="s">
        <v>226</v>
      </c>
      <c r="B3" s="234"/>
      <c r="C3" s="234"/>
      <c r="D3" s="234"/>
      <c r="E3" s="234"/>
      <c r="F3" s="234"/>
    </row>
    <row r="4" spans="1:7" ht="17.399999999999999" x14ac:dyDescent="0.35">
      <c r="A4" s="141"/>
      <c r="B4" s="141"/>
      <c r="C4" s="141"/>
      <c r="D4" s="141"/>
      <c r="E4" s="141"/>
      <c r="F4" s="141"/>
    </row>
    <row r="5" spans="1:7" ht="18" customHeight="1" x14ac:dyDescent="0.35">
      <c r="A5" s="70"/>
      <c r="B5" s="72" t="s">
        <v>22</v>
      </c>
      <c r="C5" s="268" t="s">
        <v>213</v>
      </c>
      <c r="D5" s="269"/>
      <c r="E5" s="199"/>
      <c r="F5" s="36"/>
    </row>
    <row r="6" spans="1:7" ht="18" customHeight="1" x14ac:dyDescent="0.35">
      <c r="A6" s="71"/>
      <c r="B6" s="73" t="s">
        <v>33</v>
      </c>
      <c r="C6" s="270" t="s">
        <v>184</v>
      </c>
      <c r="D6" s="271"/>
      <c r="E6" s="236"/>
      <c r="F6" s="3"/>
    </row>
    <row r="7" spans="1:7" ht="18" customHeight="1" x14ac:dyDescent="0.35">
      <c r="A7" s="71"/>
      <c r="B7" s="74" t="s">
        <v>34</v>
      </c>
      <c r="C7" s="270" t="s">
        <v>185</v>
      </c>
      <c r="D7" s="271"/>
      <c r="E7" s="236"/>
      <c r="F7" s="3"/>
    </row>
    <row r="8" spans="1:7" ht="15" customHeight="1" x14ac:dyDescent="0.35">
      <c r="A8" s="4"/>
      <c r="B8" s="133"/>
      <c r="C8" s="133"/>
      <c r="D8" s="133"/>
      <c r="E8" s="133"/>
      <c r="F8" s="133"/>
    </row>
    <row r="9" spans="1:7" x14ac:dyDescent="0.35">
      <c r="A9" s="6"/>
      <c r="B9" s="133"/>
      <c r="C9" s="133"/>
      <c r="D9" s="133"/>
      <c r="E9" s="133"/>
      <c r="F9" s="133"/>
    </row>
    <row r="10" spans="1:7" ht="21.9" customHeight="1" x14ac:dyDescent="0.35">
      <c r="A10" s="214" t="s">
        <v>35</v>
      </c>
      <c r="B10" s="214"/>
      <c r="C10" s="214"/>
      <c r="D10" s="214"/>
      <c r="E10" s="214"/>
      <c r="F10" s="214"/>
    </row>
    <row r="11" spans="1:7" s="36" customFormat="1" ht="16.95" customHeight="1" x14ac:dyDescent="0.35">
      <c r="A11" s="8"/>
      <c r="B11" s="8"/>
      <c r="C11" s="8"/>
      <c r="D11" s="8"/>
      <c r="E11" s="8"/>
      <c r="F11" s="8"/>
      <c r="G11" s="1"/>
    </row>
    <row r="12" spans="1:7" s="36" customFormat="1" ht="16.95" customHeight="1" x14ac:dyDescent="0.35">
      <c r="A12" s="233" t="s">
        <v>36</v>
      </c>
      <c r="B12" s="233"/>
      <c r="C12" s="233"/>
      <c r="D12" s="233"/>
      <c r="E12" s="233"/>
      <c r="F12" s="233"/>
      <c r="G12" s="1"/>
    </row>
    <row r="13" spans="1:7" s="36" customFormat="1" ht="16.95" customHeight="1" x14ac:dyDescent="0.35">
      <c r="A13" s="233" t="s">
        <v>19</v>
      </c>
      <c r="B13" s="233"/>
      <c r="C13" s="233"/>
      <c r="D13" s="233"/>
      <c r="E13" s="233"/>
      <c r="F13" s="233"/>
      <c r="G13" s="1"/>
    </row>
    <row r="14" spans="1:7" s="36" customFormat="1" ht="16.95" customHeight="1" x14ac:dyDescent="0.35">
      <c r="A14" s="133"/>
      <c r="B14" s="133"/>
      <c r="C14" s="133"/>
      <c r="D14" s="133"/>
      <c r="E14" s="133"/>
      <c r="F14" s="133"/>
      <c r="G14" s="1"/>
    </row>
    <row r="15" spans="1:7" s="36" customFormat="1" ht="16.95" customHeight="1" x14ac:dyDescent="0.35">
      <c r="A15" s="138" t="s">
        <v>17</v>
      </c>
      <c r="B15" s="9" t="s">
        <v>18</v>
      </c>
      <c r="C15" s="9" t="s">
        <v>14</v>
      </c>
      <c r="D15" s="9" t="s">
        <v>15</v>
      </c>
      <c r="E15" s="9" t="s">
        <v>91</v>
      </c>
      <c r="F15" s="138" t="s">
        <v>12</v>
      </c>
      <c r="G15" s="1"/>
    </row>
    <row r="16" spans="1:7" s="36" customFormat="1" ht="16.95" customHeight="1" x14ac:dyDescent="0.3">
      <c r="A16" s="238" t="s">
        <v>16</v>
      </c>
      <c r="B16" s="238"/>
      <c r="C16" s="113">
        <f>+C19+C20+C22+C23+C25+C26+C28+C29</f>
        <v>12484</v>
      </c>
      <c r="D16" s="113">
        <f t="shared" ref="D16:E16" si="0">+D19+D20+D22+D23+D25+D26+D28+D29</f>
        <v>14168</v>
      </c>
      <c r="E16" s="113">
        <f t="shared" si="0"/>
        <v>15212</v>
      </c>
      <c r="F16" s="113">
        <f>+AVERAGE(C16:E16)</f>
        <v>13954.666666666666</v>
      </c>
    </row>
    <row r="17" spans="1:7" s="36" customFormat="1" ht="16.95" customHeight="1" x14ac:dyDescent="0.3">
      <c r="A17" s="135"/>
      <c r="B17" s="110"/>
      <c r="C17" s="111"/>
      <c r="D17" s="111"/>
      <c r="E17" s="111"/>
      <c r="F17" s="111"/>
    </row>
    <row r="18" spans="1:7" s="36" customFormat="1" ht="16.95" customHeight="1" x14ac:dyDescent="0.35">
      <c r="A18" s="230" t="s">
        <v>176</v>
      </c>
      <c r="B18" s="119" t="s">
        <v>173</v>
      </c>
      <c r="C18" s="111">
        <f>+('3T'!E18-C20)+196</f>
        <v>196</v>
      </c>
      <c r="D18" s="111">
        <f>+(C18-D20)+56</f>
        <v>132</v>
      </c>
      <c r="E18" s="111">
        <f>+(D18-E20)+18</f>
        <v>36</v>
      </c>
      <c r="F18" s="111">
        <f>+E18</f>
        <v>36</v>
      </c>
    </row>
    <row r="19" spans="1:7" s="36" customFormat="1" ht="16.95" customHeight="1" x14ac:dyDescent="0.35">
      <c r="A19" s="230"/>
      <c r="B19" s="119" t="s">
        <v>174</v>
      </c>
      <c r="C19" s="124">
        <v>1461</v>
      </c>
      <c r="D19" s="111">
        <v>1485</v>
      </c>
      <c r="E19" s="111">
        <v>1513</v>
      </c>
      <c r="F19" s="111">
        <f>+AVERAGE(C19:E19)</f>
        <v>1486.3333333333333</v>
      </c>
    </row>
    <row r="20" spans="1:7" s="36" customFormat="1" ht="16.95" customHeight="1" x14ac:dyDescent="0.35">
      <c r="A20" s="230"/>
      <c r="B20" s="119" t="s">
        <v>175</v>
      </c>
      <c r="C20" s="124">
        <v>71</v>
      </c>
      <c r="D20" s="111">
        <v>120</v>
      </c>
      <c r="E20" s="111">
        <v>114</v>
      </c>
      <c r="F20" s="111">
        <f>+AVERAGE(C20:E20)</f>
        <v>101.66666666666667</v>
      </c>
    </row>
    <row r="21" spans="1:7" s="36" customFormat="1" ht="16.95" customHeight="1" x14ac:dyDescent="0.35">
      <c r="A21" s="247" t="s">
        <v>177</v>
      </c>
      <c r="B21" s="160" t="s">
        <v>173</v>
      </c>
      <c r="C21" s="161">
        <f>+('3T'!E21-C23)+116</f>
        <v>190</v>
      </c>
      <c r="D21" s="161">
        <f>+(C21-D23)+59</f>
        <v>147</v>
      </c>
      <c r="E21" s="161">
        <f>+(D21-E23)+0</f>
        <v>54</v>
      </c>
      <c r="F21" s="161">
        <f>+E21</f>
        <v>54</v>
      </c>
    </row>
    <row r="22" spans="1:7" s="36" customFormat="1" ht="16.95" customHeight="1" x14ac:dyDescent="0.35">
      <c r="A22" s="247"/>
      <c r="B22" s="160" t="s">
        <v>174</v>
      </c>
      <c r="C22" s="173">
        <v>1322</v>
      </c>
      <c r="D22" s="161">
        <v>1376</v>
      </c>
      <c r="E22" s="161">
        <v>1429</v>
      </c>
      <c r="F22" s="161">
        <f>+AVERAGE(C22:E22)</f>
        <v>1375.6666666666667</v>
      </c>
    </row>
    <row r="23" spans="1:7" s="36" customFormat="1" ht="16.95" customHeight="1" x14ac:dyDescent="0.35">
      <c r="A23" s="247"/>
      <c r="B23" s="160" t="s">
        <v>175</v>
      </c>
      <c r="C23" s="173">
        <f>58+28</f>
        <v>86</v>
      </c>
      <c r="D23" s="161">
        <f>20+82</f>
        <v>102</v>
      </c>
      <c r="E23" s="161">
        <f>34+59</f>
        <v>93</v>
      </c>
      <c r="F23" s="161">
        <f>+AVERAGE(C23:E23)</f>
        <v>93.666666666666671</v>
      </c>
    </row>
    <row r="24" spans="1:7" s="36" customFormat="1" ht="16.95" customHeight="1" x14ac:dyDescent="0.35">
      <c r="A24" s="230" t="s">
        <v>178</v>
      </c>
      <c r="B24" s="119" t="s">
        <v>173</v>
      </c>
      <c r="C24" s="111">
        <f>+('3T'!E24-C26)+1465</f>
        <v>1980</v>
      </c>
      <c r="D24" s="111">
        <f>+(C24-D26)+982</f>
        <v>2258</v>
      </c>
      <c r="E24" s="111">
        <f>+(D24-E26)+265</f>
        <v>1229</v>
      </c>
      <c r="F24" s="111">
        <f>+E24</f>
        <v>1229</v>
      </c>
    </row>
    <row r="25" spans="1:7" s="36" customFormat="1" ht="16.95" customHeight="1" x14ac:dyDescent="0.35">
      <c r="A25" s="230"/>
      <c r="B25" s="119" t="s">
        <v>174</v>
      </c>
      <c r="C25" s="124">
        <v>8703</v>
      </c>
      <c r="D25" s="111">
        <v>9332</v>
      </c>
      <c r="E25" s="111">
        <v>9806</v>
      </c>
      <c r="F25" s="111">
        <f>+AVERAGE(C25:E25)</f>
        <v>9280.3333333333339</v>
      </c>
    </row>
    <row r="26" spans="1:7" s="36" customFormat="1" ht="16.95" customHeight="1" x14ac:dyDescent="0.35">
      <c r="A26" s="230"/>
      <c r="B26" s="119" t="s">
        <v>175</v>
      </c>
      <c r="C26" s="124"/>
      <c r="D26" s="111">
        <f>35+669</f>
        <v>704</v>
      </c>
      <c r="E26" s="111">
        <v>1294</v>
      </c>
      <c r="F26" s="111">
        <f>+AVERAGE(C26:E26)</f>
        <v>999</v>
      </c>
    </row>
    <row r="27" spans="1:7" s="36" customFormat="1" ht="16.95" customHeight="1" x14ac:dyDescent="0.35">
      <c r="A27" s="247" t="s">
        <v>179</v>
      </c>
      <c r="B27" s="160" t="s">
        <v>173</v>
      </c>
      <c r="C27" s="161">
        <f>+('3T'!E27-C29)+98</f>
        <v>98</v>
      </c>
      <c r="D27" s="161">
        <f>+(C27-D29)+0</f>
        <v>0</v>
      </c>
      <c r="E27" s="161">
        <f>+(D27-E29)+0</f>
        <v>0</v>
      </c>
      <c r="F27" s="161">
        <f>+E27</f>
        <v>0</v>
      </c>
    </row>
    <row r="28" spans="1:7" s="36" customFormat="1" ht="16.95" customHeight="1" x14ac:dyDescent="0.35">
      <c r="A28" s="247"/>
      <c r="B28" s="160" t="s">
        <v>174</v>
      </c>
      <c r="C28" s="173">
        <v>841</v>
      </c>
      <c r="D28" s="161">
        <v>951</v>
      </c>
      <c r="E28" s="161">
        <v>963</v>
      </c>
      <c r="F28" s="161">
        <f>+AVERAGE(C28:E28)</f>
        <v>918.33333333333337</v>
      </c>
    </row>
    <row r="29" spans="1:7" s="36" customFormat="1" ht="16.95" customHeight="1" x14ac:dyDescent="0.35">
      <c r="A29" s="258"/>
      <c r="B29" s="160" t="s">
        <v>175</v>
      </c>
      <c r="C29" s="173"/>
      <c r="D29" s="161">
        <v>98</v>
      </c>
      <c r="E29" s="161"/>
      <c r="F29" s="161">
        <f>+AVERAGE(C29:E29)</f>
        <v>98</v>
      </c>
    </row>
    <row r="30" spans="1:7" ht="16.95" customHeight="1" x14ac:dyDescent="0.35">
      <c r="A30" s="223" t="s">
        <v>43</v>
      </c>
      <c r="B30" s="223"/>
      <c r="C30" s="223"/>
      <c r="D30" s="223"/>
      <c r="E30" s="223"/>
      <c r="F30" s="223"/>
    </row>
    <row r="31" spans="1:7" s="36" customFormat="1" ht="66" customHeight="1" x14ac:dyDescent="0.35">
      <c r="A31" s="195" t="s">
        <v>164</v>
      </c>
      <c r="B31" s="196"/>
      <c r="C31" s="196"/>
      <c r="D31" s="196"/>
      <c r="E31" s="196"/>
      <c r="F31" s="197"/>
      <c r="G31" s="1"/>
    </row>
    <row r="32" spans="1:7" s="36" customFormat="1" ht="16.95" customHeight="1" x14ac:dyDescent="0.35">
      <c r="A32" s="37"/>
      <c r="B32" s="37"/>
      <c r="C32" s="37"/>
      <c r="D32" s="38"/>
      <c r="E32" s="38"/>
      <c r="F32" s="39"/>
      <c r="G32" s="1"/>
    </row>
    <row r="33" spans="1:8" s="36" customFormat="1" ht="16.95" customHeight="1" x14ac:dyDescent="0.35">
      <c r="A33" s="233" t="s">
        <v>37</v>
      </c>
      <c r="B33" s="233"/>
      <c r="C33" s="233"/>
      <c r="D33" s="233"/>
      <c r="E33" s="233"/>
      <c r="F33" s="233"/>
      <c r="G33" s="1"/>
    </row>
    <row r="34" spans="1:8" s="36" customFormat="1" ht="16.95" customHeight="1" x14ac:dyDescent="0.35">
      <c r="A34" s="233" t="s">
        <v>20</v>
      </c>
      <c r="B34" s="233"/>
      <c r="C34" s="233"/>
      <c r="D34" s="233"/>
      <c r="E34" s="233"/>
      <c r="F34" s="233"/>
      <c r="G34" s="1"/>
    </row>
    <row r="35" spans="1:8" s="36" customFormat="1" x14ac:dyDescent="0.35">
      <c r="A35" s="37"/>
      <c r="B35" s="37"/>
      <c r="C35" s="38"/>
      <c r="D35" s="38"/>
      <c r="E35" s="38"/>
      <c r="F35" s="40"/>
      <c r="G35" s="1"/>
    </row>
    <row r="36" spans="1:8" ht="15" customHeight="1" x14ac:dyDescent="0.35">
      <c r="A36" s="217" t="s">
        <v>17</v>
      </c>
      <c r="B36" s="244"/>
      <c r="C36" s="9" t="s">
        <v>14</v>
      </c>
      <c r="D36" s="9" t="s">
        <v>15</v>
      </c>
      <c r="E36" s="9" t="s">
        <v>91</v>
      </c>
      <c r="F36" s="138" t="s">
        <v>12</v>
      </c>
    </row>
    <row r="37" spans="1:8" s="36" customFormat="1" ht="16.95" customHeight="1" x14ac:dyDescent="0.3">
      <c r="A37" s="121" t="s">
        <v>16</v>
      </c>
      <c r="B37" s="121"/>
      <c r="C37" s="12">
        <f t="shared" ref="C37:E37" si="1">+SUM(C39:C46)</f>
        <v>1374490555</v>
      </c>
      <c r="D37" s="12">
        <f t="shared" si="1"/>
        <v>1591335735</v>
      </c>
      <c r="E37" s="12">
        <f t="shared" si="1"/>
        <v>3570836390.0999999</v>
      </c>
      <c r="F37" s="12">
        <f>+SUM(F39:F46)</f>
        <v>6536662680.1000004</v>
      </c>
      <c r="H37" s="40"/>
    </row>
    <row r="38" spans="1:8" s="36" customFormat="1" ht="16.95" customHeight="1" x14ac:dyDescent="0.3">
      <c r="A38" s="136"/>
      <c r="B38" s="14"/>
      <c r="C38" s="14"/>
      <c r="D38" s="14"/>
      <c r="E38" s="14"/>
      <c r="F38" s="14"/>
    </row>
    <row r="39" spans="1:8" s="36" customFormat="1" ht="16.95" customHeight="1" x14ac:dyDescent="0.3">
      <c r="A39" s="220" t="s">
        <v>176</v>
      </c>
      <c r="B39" s="122" t="s">
        <v>180</v>
      </c>
      <c r="C39" s="115">
        <v>295013886</v>
      </c>
      <c r="D39" s="115">
        <v>299860110</v>
      </c>
      <c r="E39" s="115">
        <v>393769884</v>
      </c>
      <c r="F39" s="115">
        <f>+SUM(C39:E39)</f>
        <v>988643880</v>
      </c>
    </row>
    <row r="40" spans="1:8" s="36" customFormat="1" ht="16.95" customHeight="1" x14ac:dyDescent="0.3">
      <c r="A40" s="220"/>
      <c r="B40" s="122" t="s">
        <v>181</v>
      </c>
      <c r="C40" s="115">
        <v>14336746</v>
      </c>
      <c r="D40" s="115">
        <v>24231120</v>
      </c>
      <c r="E40" s="115">
        <f>18375266+7673188</f>
        <v>26048454</v>
      </c>
      <c r="F40" s="115">
        <f t="shared" ref="F40:F46" si="2">+SUM(C40:E40)</f>
        <v>64616320</v>
      </c>
    </row>
    <row r="41" spans="1:8" s="36" customFormat="1" ht="16.95" customHeight="1" x14ac:dyDescent="0.3">
      <c r="A41" s="272" t="s">
        <v>177</v>
      </c>
      <c r="B41" s="181" t="s">
        <v>180</v>
      </c>
      <c r="C41" s="182">
        <v>106777940</v>
      </c>
      <c r="D41" s="182">
        <v>111139520</v>
      </c>
      <c r="E41" s="182">
        <v>169374690</v>
      </c>
      <c r="F41" s="182">
        <f t="shared" si="2"/>
        <v>387292150</v>
      </c>
    </row>
    <row r="42" spans="1:8" s="36" customFormat="1" ht="16.95" customHeight="1" x14ac:dyDescent="0.3">
      <c r="A42" s="272"/>
      <c r="B42" s="181" t="s">
        <v>181</v>
      </c>
      <c r="C42" s="182">
        <f>2261560+4684660</f>
        <v>6946220</v>
      </c>
      <c r="D42" s="182">
        <f>1615400+6623140</f>
        <v>8238540</v>
      </c>
      <c r="E42" s="182">
        <f>2746180+4765430</f>
        <v>7511610</v>
      </c>
      <c r="F42" s="182">
        <f t="shared" si="2"/>
        <v>22696370</v>
      </c>
    </row>
    <row r="43" spans="1:8" s="36" customFormat="1" ht="16.95" customHeight="1" x14ac:dyDescent="0.3">
      <c r="A43" s="220" t="s">
        <v>178</v>
      </c>
      <c r="B43" s="122" t="s">
        <v>180</v>
      </c>
      <c r="C43" s="115">
        <v>536945763</v>
      </c>
      <c r="D43" s="115">
        <v>585184999</v>
      </c>
      <c r="E43" s="115">
        <v>609596048</v>
      </c>
      <c r="F43" s="115">
        <f t="shared" si="2"/>
        <v>1731726810</v>
      </c>
    </row>
    <row r="44" spans="1:8" s="36" customFormat="1" ht="16.95" customHeight="1" x14ac:dyDescent="0.3">
      <c r="A44" s="220"/>
      <c r="B44" s="122" t="s">
        <v>181</v>
      </c>
      <c r="C44" s="115"/>
      <c r="D44" s="115">
        <f>48239236+3316210</f>
        <v>51555446</v>
      </c>
      <c r="E44" s="115">
        <v>65426415.100000001</v>
      </c>
      <c r="F44" s="115">
        <f t="shared" si="2"/>
        <v>116981861.09999999</v>
      </c>
    </row>
    <row r="45" spans="1:8" s="36" customFormat="1" ht="16.95" customHeight="1" x14ac:dyDescent="0.3">
      <c r="A45" s="272" t="s">
        <v>179</v>
      </c>
      <c r="B45" s="181" t="s">
        <v>180</v>
      </c>
      <c r="C45" s="182">
        <v>414470000</v>
      </c>
      <c r="D45" s="182">
        <v>465648000</v>
      </c>
      <c r="E45" s="182">
        <v>2299109289</v>
      </c>
      <c r="F45" s="182">
        <f t="shared" si="2"/>
        <v>3179227289</v>
      </c>
    </row>
    <row r="46" spans="1:8" s="36" customFormat="1" ht="16.95" customHeight="1" x14ac:dyDescent="0.3">
      <c r="A46" s="273"/>
      <c r="B46" s="181" t="s">
        <v>181</v>
      </c>
      <c r="C46" s="182"/>
      <c r="D46" s="182">
        <v>45478000</v>
      </c>
      <c r="E46" s="182"/>
      <c r="F46" s="183">
        <f t="shared" si="2"/>
        <v>45478000</v>
      </c>
    </row>
    <row r="47" spans="1:8" ht="16.95" customHeight="1" x14ac:dyDescent="0.35">
      <c r="A47" s="223" t="s">
        <v>43</v>
      </c>
      <c r="B47" s="223"/>
      <c r="C47" s="223"/>
      <c r="D47" s="223"/>
      <c r="E47" s="223"/>
      <c r="F47" s="41"/>
    </row>
    <row r="48" spans="1:8" ht="79.2" customHeight="1" x14ac:dyDescent="0.35">
      <c r="A48" s="195" t="s">
        <v>162</v>
      </c>
      <c r="B48" s="196"/>
      <c r="C48" s="196"/>
      <c r="D48" s="196"/>
      <c r="E48" s="196"/>
      <c r="F48" s="197"/>
    </row>
    <row r="49" spans="1:7" ht="16.95" customHeight="1" x14ac:dyDescent="0.35">
      <c r="A49" s="36"/>
      <c r="B49" s="36"/>
      <c r="C49" s="36"/>
      <c r="D49" s="36"/>
      <c r="E49" s="36"/>
      <c r="F49" s="36"/>
    </row>
    <row r="50" spans="1:7" ht="16.95" customHeight="1" x14ac:dyDescent="0.35">
      <c r="A50" s="209" t="s">
        <v>39</v>
      </c>
      <c r="B50" s="209"/>
      <c r="C50" s="209"/>
      <c r="D50" s="209"/>
      <c r="E50" s="209"/>
      <c r="F50" s="209"/>
    </row>
    <row r="51" spans="1:7" ht="16.95" customHeight="1" x14ac:dyDescent="0.35">
      <c r="A51" s="42" t="s">
        <v>40</v>
      </c>
      <c r="B51" s="42"/>
      <c r="C51" s="42"/>
      <c r="D51" s="42"/>
      <c r="E51" s="42"/>
      <c r="F51" s="42"/>
    </row>
    <row r="52" spans="1:7" x14ac:dyDescent="0.35">
      <c r="A52" s="36"/>
      <c r="B52" s="36"/>
      <c r="C52" s="36"/>
      <c r="D52" s="36"/>
      <c r="E52" s="36"/>
      <c r="F52" s="36"/>
    </row>
    <row r="53" spans="1:7" ht="31.2" x14ac:dyDescent="0.35">
      <c r="A53" s="224" t="s">
        <v>23</v>
      </c>
      <c r="B53" s="224"/>
      <c r="C53" s="7" t="s">
        <v>41</v>
      </c>
      <c r="D53" s="132" t="s">
        <v>42</v>
      </c>
      <c r="E53" s="21" t="s">
        <v>44</v>
      </c>
      <c r="F53" s="132" t="s">
        <v>24</v>
      </c>
    </row>
    <row r="54" spans="1:7" ht="30" customHeight="1" x14ac:dyDescent="0.35">
      <c r="A54" s="242" t="s">
        <v>28</v>
      </c>
      <c r="B54" s="243"/>
      <c r="C54" s="16" t="s">
        <v>222</v>
      </c>
      <c r="D54" s="16"/>
      <c r="E54" s="20"/>
      <c r="F54" s="17" t="s">
        <v>223</v>
      </c>
    </row>
    <row r="55" spans="1:7" ht="30" customHeight="1" x14ac:dyDescent="0.35">
      <c r="A55" s="242" t="s">
        <v>29</v>
      </c>
      <c r="B55" s="242"/>
      <c r="C55" s="16" t="s">
        <v>222</v>
      </c>
      <c r="D55" s="16"/>
      <c r="E55" s="16"/>
      <c r="F55" s="18" t="s">
        <v>223</v>
      </c>
    </row>
    <row r="56" spans="1:7" ht="30" customHeight="1" x14ac:dyDescent="0.35">
      <c r="A56" s="240" t="s">
        <v>27</v>
      </c>
      <c r="B56" s="240"/>
      <c r="C56" s="16" t="s">
        <v>222</v>
      </c>
      <c r="D56" s="16"/>
      <c r="E56" s="16"/>
      <c r="F56" s="18" t="s">
        <v>223</v>
      </c>
    </row>
    <row r="57" spans="1:7" ht="30" customHeight="1" x14ac:dyDescent="0.35">
      <c r="A57" s="241" t="s">
        <v>30</v>
      </c>
      <c r="B57" s="241"/>
      <c r="C57" s="16"/>
      <c r="D57" s="16" t="s">
        <v>224</v>
      </c>
      <c r="E57" s="16"/>
      <c r="F57" s="19"/>
    </row>
    <row r="58" spans="1:7" s="87" customFormat="1" x14ac:dyDescent="0.35">
      <c r="A58" s="223" t="s">
        <v>43</v>
      </c>
      <c r="B58" s="223"/>
      <c r="C58" s="223"/>
      <c r="D58" s="223"/>
      <c r="E58" s="223"/>
      <c r="F58" s="223"/>
      <c r="G58" s="1"/>
    </row>
    <row r="59" spans="1:7" s="87" customFormat="1" ht="69.599999999999994" customHeight="1" x14ac:dyDescent="0.35">
      <c r="A59" s="213" t="s">
        <v>88</v>
      </c>
      <c r="B59" s="213"/>
      <c r="C59" s="213"/>
      <c r="D59" s="213"/>
      <c r="E59" s="213"/>
      <c r="F59" s="213"/>
      <c r="G59" s="1"/>
    </row>
    <row r="60" spans="1:7" x14ac:dyDescent="0.35">
      <c r="A60" s="36"/>
      <c r="B60" s="36"/>
      <c r="C60" s="36"/>
      <c r="D60" s="36"/>
      <c r="E60" s="36"/>
      <c r="F60" s="36"/>
    </row>
    <row r="61" spans="1:7" x14ac:dyDescent="0.35">
      <c r="A61" s="36"/>
      <c r="B61" s="36"/>
      <c r="C61" s="36"/>
      <c r="D61" s="36"/>
      <c r="E61" s="36"/>
      <c r="F61" s="36"/>
    </row>
    <row r="62" spans="1:7" x14ac:dyDescent="0.35">
      <c r="A62" s="36"/>
      <c r="B62" s="36"/>
      <c r="C62" s="36"/>
      <c r="D62" s="36"/>
      <c r="E62" s="36"/>
      <c r="F62" s="36"/>
    </row>
    <row r="63" spans="1:7" x14ac:dyDescent="0.35">
      <c r="A63" s="36"/>
      <c r="B63" s="36"/>
      <c r="C63" s="36"/>
      <c r="D63" s="36"/>
      <c r="E63" s="36"/>
      <c r="F63" s="36"/>
    </row>
    <row r="64" spans="1:7" x14ac:dyDescent="0.35">
      <c r="A64" s="209" t="s">
        <v>45</v>
      </c>
      <c r="B64" s="209"/>
      <c r="C64" s="209"/>
      <c r="D64" s="209"/>
      <c r="E64" s="209"/>
      <c r="F64" s="209"/>
    </row>
    <row r="65" spans="1:7" x14ac:dyDescent="0.35">
      <c r="A65" s="209" t="s">
        <v>25</v>
      </c>
      <c r="B65" s="209"/>
      <c r="C65" s="209"/>
      <c r="D65" s="209"/>
      <c r="E65" s="209"/>
      <c r="F65" s="209"/>
    </row>
    <row r="66" spans="1:7" x14ac:dyDescent="0.35">
      <c r="A66" s="36"/>
      <c r="B66" s="36"/>
      <c r="C66" s="36"/>
      <c r="D66" s="36"/>
      <c r="E66" s="36"/>
      <c r="F66" s="36"/>
    </row>
    <row r="67" spans="1:7" x14ac:dyDescent="0.35">
      <c r="A67" s="217" t="s">
        <v>23</v>
      </c>
      <c r="B67" s="217"/>
      <c r="C67" s="9" t="s">
        <v>41</v>
      </c>
      <c r="D67" s="138" t="s">
        <v>42</v>
      </c>
      <c r="E67" s="22" t="s">
        <v>87</v>
      </c>
      <c r="F67" s="138" t="s">
        <v>24</v>
      </c>
    </row>
    <row r="68" spans="1:7" ht="30" customHeight="1" x14ac:dyDescent="0.35">
      <c r="A68" s="218" t="s">
        <v>31</v>
      </c>
      <c r="B68" s="218"/>
      <c r="C68" s="20"/>
      <c r="D68" s="156" t="s">
        <v>190</v>
      </c>
      <c r="E68" s="153" t="s">
        <v>192</v>
      </c>
      <c r="F68" s="43"/>
      <c r="G68" s="87"/>
    </row>
    <row r="69" spans="1:7" ht="30" customHeight="1" x14ac:dyDescent="0.35">
      <c r="A69" s="219" t="s">
        <v>32</v>
      </c>
      <c r="B69" s="219"/>
      <c r="C69" s="31" t="s">
        <v>190</v>
      </c>
      <c r="D69" s="31"/>
      <c r="E69" s="32"/>
      <c r="F69" s="44" t="s">
        <v>225</v>
      </c>
      <c r="G69" s="87"/>
    </row>
    <row r="70" spans="1:7" x14ac:dyDescent="0.35">
      <c r="A70" s="194" t="s">
        <v>43</v>
      </c>
      <c r="B70" s="194"/>
      <c r="C70" s="194"/>
      <c r="D70" s="194"/>
      <c r="E70" s="194"/>
      <c r="F70" s="194"/>
    </row>
    <row r="71" spans="1:7" ht="50.1" customHeight="1" x14ac:dyDescent="0.35">
      <c r="A71" s="213" t="s">
        <v>57</v>
      </c>
      <c r="B71" s="213"/>
      <c r="C71" s="213"/>
      <c r="D71" s="213"/>
      <c r="E71" s="213"/>
      <c r="F71" s="213"/>
    </row>
    <row r="72" spans="1:7" x14ac:dyDescent="0.35">
      <c r="A72" s="36"/>
      <c r="B72" s="36"/>
      <c r="C72" s="36"/>
      <c r="D72" s="36"/>
      <c r="E72" s="45"/>
      <c r="F72" s="36"/>
    </row>
    <row r="73" spans="1:7" x14ac:dyDescent="0.35">
      <c r="A73" s="2" t="s">
        <v>46</v>
      </c>
      <c r="B73" s="198" t="s">
        <v>197</v>
      </c>
      <c r="C73" s="199"/>
      <c r="D73" s="200" t="s">
        <v>49</v>
      </c>
      <c r="E73" s="201"/>
      <c r="F73" s="202"/>
    </row>
    <row r="74" spans="1:7" x14ac:dyDescent="0.35">
      <c r="A74" s="2" t="s">
        <v>47</v>
      </c>
      <c r="B74" s="198" t="s">
        <v>198</v>
      </c>
      <c r="C74" s="199"/>
      <c r="D74" s="203"/>
      <c r="E74" s="204"/>
      <c r="F74" s="205"/>
    </row>
    <row r="75" spans="1:7" x14ac:dyDescent="0.35">
      <c r="A75" s="2" t="s">
        <v>48</v>
      </c>
      <c r="B75" s="198" t="s">
        <v>196</v>
      </c>
      <c r="C75" s="199"/>
      <c r="D75" s="206"/>
      <c r="E75" s="207"/>
      <c r="F75" s="208"/>
    </row>
    <row r="78" spans="1:7" ht="12.75" customHeight="1" x14ac:dyDescent="0.35">
      <c r="A78" s="36"/>
      <c r="B78" s="36"/>
      <c r="C78" s="36"/>
      <c r="D78" s="36"/>
      <c r="E78" s="36"/>
      <c r="F78" s="36"/>
    </row>
    <row r="79" spans="1:7" ht="21.9" customHeight="1" x14ac:dyDescent="0.35">
      <c r="A79" s="214" t="s">
        <v>50</v>
      </c>
      <c r="B79" s="214"/>
      <c r="C79" s="214"/>
      <c r="D79" s="214"/>
      <c r="E79" s="214"/>
      <c r="F79" s="214"/>
    </row>
    <row r="80" spans="1:7" ht="9.9" customHeight="1" x14ac:dyDescent="0.35">
      <c r="A80" s="36"/>
      <c r="B80" s="36"/>
      <c r="C80" s="36"/>
      <c r="D80" s="36"/>
      <c r="E80" s="36"/>
      <c r="F80" s="36"/>
    </row>
    <row r="81" spans="1:7" x14ac:dyDescent="0.35">
      <c r="A81" s="209" t="s">
        <v>51</v>
      </c>
      <c r="B81" s="209"/>
      <c r="C81" s="209"/>
      <c r="D81" s="209"/>
      <c r="E81" s="209"/>
      <c r="F81" s="209"/>
    </row>
    <row r="82" spans="1:7" x14ac:dyDescent="0.35">
      <c r="A82" s="209" t="s">
        <v>63</v>
      </c>
      <c r="B82" s="209"/>
      <c r="C82" s="209"/>
      <c r="D82" s="209"/>
      <c r="E82" s="209"/>
      <c r="F82" s="209"/>
    </row>
    <row r="83" spans="1:7" x14ac:dyDescent="0.35">
      <c r="A83" s="209" t="s">
        <v>52</v>
      </c>
      <c r="B83" s="209"/>
      <c r="C83" s="209"/>
      <c r="D83" s="209"/>
      <c r="E83" s="209"/>
      <c r="F83" s="209"/>
    </row>
    <row r="84" spans="1:7" ht="9.9" customHeight="1" x14ac:dyDescent="0.35">
      <c r="A84" s="36"/>
      <c r="B84" s="36"/>
      <c r="C84" s="36"/>
      <c r="D84" s="36"/>
      <c r="E84" s="36"/>
      <c r="F84" s="36"/>
    </row>
    <row r="85" spans="1:7" ht="30" x14ac:dyDescent="0.35">
      <c r="A85" s="69" t="s">
        <v>64</v>
      </c>
      <c r="B85" s="69" t="s">
        <v>68</v>
      </c>
      <c r="C85" s="69" t="s">
        <v>72</v>
      </c>
      <c r="D85" s="69" t="s">
        <v>69</v>
      </c>
      <c r="E85" s="69" t="s">
        <v>70</v>
      </c>
      <c r="F85" s="69" t="s">
        <v>71</v>
      </c>
    </row>
    <row r="86" spans="1:7" x14ac:dyDescent="0.35">
      <c r="A86" s="134" t="s">
        <v>16</v>
      </c>
      <c r="B86" s="35">
        <f>+SUM(B88:B92)</f>
        <v>19551065114</v>
      </c>
      <c r="C86" s="78">
        <f>+SUM(C88:C92)</f>
        <v>200</v>
      </c>
      <c r="D86" s="11"/>
      <c r="E86" s="11"/>
      <c r="F86" s="11"/>
    </row>
    <row r="87" spans="1:7" ht="9.9" customHeight="1" x14ac:dyDescent="0.35">
      <c r="A87" s="25"/>
      <c r="B87" s="26"/>
      <c r="C87" s="66"/>
      <c r="D87" s="24"/>
      <c r="E87" s="24"/>
      <c r="F87" s="24"/>
    </row>
    <row r="88" spans="1:7" s="36" customFormat="1" ht="39.6" customHeight="1" x14ac:dyDescent="0.3">
      <c r="A88" s="25" t="s">
        <v>65</v>
      </c>
      <c r="B88" s="26">
        <v>18884839825</v>
      </c>
      <c r="C88" s="34">
        <v>100</v>
      </c>
      <c r="D88" s="158" t="s">
        <v>186</v>
      </c>
      <c r="E88" s="158" t="s">
        <v>187</v>
      </c>
      <c r="F88" s="24"/>
    </row>
    <row r="89" spans="1:7" ht="24" x14ac:dyDescent="0.35">
      <c r="A89" s="25" t="s">
        <v>66</v>
      </c>
      <c r="B89" s="26">
        <v>666225289</v>
      </c>
      <c r="C89" s="66">
        <v>100</v>
      </c>
      <c r="D89" s="158" t="s">
        <v>221</v>
      </c>
      <c r="E89" s="25"/>
      <c r="F89" s="25"/>
      <c r="G89" s="143"/>
    </row>
    <row r="90" spans="1:7" x14ac:dyDescent="0.35">
      <c r="A90" s="25" t="s">
        <v>67</v>
      </c>
      <c r="B90" s="26">
        <v>0</v>
      </c>
      <c r="C90" s="66">
        <f t="shared" ref="C90:C92" si="3">+B90/$B$86*100</f>
        <v>0</v>
      </c>
      <c r="D90" s="25"/>
      <c r="E90" s="25"/>
      <c r="F90" s="25"/>
    </row>
    <row r="91" spans="1:7" x14ac:dyDescent="0.35">
      <c r="A91" s="25" t="s">
        <v>170</v>
      </c>
      <c r="B91" s="26">
        <v>0</v>
      </c>
      <c r="C91" s="66">
        <f t="shared" si="3"/>
        <v>0</v>
      </c>
      <c r="D91" s="25"/>
      <c r="E91" s="25"/>
      <c r="F91" s="25"/>
    </row>
    <row r="92" spans="1:7" x14ac:dyDescent="0.35">
      <c r="A92" s="27" t="s">
        <v>171</v>
      </c>
      <c r="B92" s="26">
        <v>0</v>
      </c>
      <c r="C92" s="66">
        <f t="shared" si="3"/>
        <v>0</v>
      </c>
      <c r="D92" s="76"/>
      <c r="E92" s="76"/>
      <c r="F92" s="76"/>
    </row>
    <row r="93" spans="1:7" ht="14.4" customHeight="1" x14ac:dyDescent="0.35">
      <c r="A93" s="194" t="s">
        <v>43</v>
      </c>
      <c r="B93" s="194"/>
      <c r="C93" s="194"/>
      <c r="D93" s="194"/>
      <c r="E93" s="194"/>
      <c r="F93" s="194"/>
    </row>
    <row r="94" spans="1:7" ht="50.1" customHeight="1" x14ac:dyDescent="0.35">
      <c r="A94" s="213" t="s">
        <v>172</v>
      </c>
      <c r="B94" s="213"/>
      <c r="C94" s="213"/>
      <c r="D94" s="213"/>
      <c r="E94" s="213"/>
      <c r="F94" s="213"/>
    </row>
    <row r="95" spans="1:7" ht="9.9" customHeight="1" x14ac:dyDescent="0.35">
      <c r="A95" s="25"/>
      <c r="B95" s="48"/>
      <c r="C95" s="24"/>
      <c r="D95" s="36"/>
      <c r="E95" s="36"/>
      <c r="F95" s="36"/>
    </row>
    <row r="96" spans="1:7" x14ac:dyDescent="0.35">
      <c r="A96" s="209" t="s">
        <v>73</v>
      </c>
      <c r="B96" s="209"/>
      <c r="C96" s="209"/>
      <c r="D96" s="209"/>
      <c r="E96" s="209"/>
      <c r="F96" s="209"/>
    </row>
    <row r="97" spans="1:12" x14ac:dyDescent="0.35">
      <c r="A97" s="209" t="s">
        <v>74</v>
      </c>
      <c r="B97" s="209"/>
      <c r="C97" s="209"/>
      <c r="D97" s="209"/>
      <c r="E97" s="209"/>
      <c r="F97" s="209"/>
    </row>
    <row r="98" spans="1:12" x14ac:dyDescent="0.35">
      <c r="A98" s="209" t="s">
        <v>52</v>
      </c>
      <c r="B98" s="209"/>
      <c r="C98" s="209"/>
      <c r="D98" s="209"/>
      <c r="E98" s="209"/>
      <c r="F98" s="209"/>
    </row>
    <row r="99" spans="1:12" ht="9.9" customHeight="1" x14ac:dyDescent="0.35">
      <c r="A99" s="36"/>
      <c r="B99" s="36"/>
      <c r="C99" s="36"/>
      <c r="D99" s="36"/>
      <c r="E99" s="36"/>
      <c r="F99" s="36"/>
    </row>
    <row r="100" spans="1:12" x14ac:dyDescent="0.35">
      <c r="A100" s="68" t="s">
        <v>55</v>
      </c>
      <c r="B100" s="68" t="s">
        <v>56</v>
      </c>
      <c r="C100" s="68" t="s">
        <v>14</v>
      </c>
      <c r="D100" s="68" t="s">
        <v>15</v>
      </c>
      <c r="E100" s="68" t="s">
        <v>91</v>
      </c>
      <c r="F100" s="68" t="s">
        <v>12</v>
      </c>
    </row>
    <row r="101" spans="1:12" x14ac:dyDescent="0.35">
      <c r="A101" s="134" t="s">
        <v>16</v>
      </c>
      <c r="B101" s="49"/>
      <c r="C101" s="35">
        <f>+C103+C107+C111</f>
        <v>4405999106.539999</v>
      </c>
      <c r="D101" s="35">
        <f>+D103+D107+D111</f>
        <v>666225289</v>
      </c>
      <c r="E101" s="35">
        <f>+E103+E107+E111</f>
        <v>0</v>
      </c>
      <c r="F101" s="35">
        <f>+F103+F107+F111</f>
        <v>5072224395.54</v>
      </c>
      <c r="H101" s="179"/>
    </row>
    <row r="102" spans="1:12" ht="9.9" customHeight="1" x14ac:dyDescent="0.35">
      <c r="A102" s="13"/>
      <c r="B102" s="50"/>
      <c r="C102" s="14"/>
      <c r="D102" s="14"/>
      <c r="E102" s="14"/>
      <c r="F102" s="51"/>
    </row>
    <row r="103" spans="1:12" x14ac:dyDescent="0.35">
      <c r="A103" s="210" t="s">
        <v>75</v>
      </c>
      <c r="B103" s="210"/>
      <c r="C103" s="53">
        <f>+SUM(C104:C106)</f>
        <v>4405999106.539999</v>
      </c>
      <c r="D103" s="53">
        <f>+SUM(D104:D106)</f>
        <v>666225289</v>
      </c>
      <c r="E103" s="53">
        <f>+SUM(E104:E106)</f>
        <v>0</v>
      </c>
      <c r="F103" s="53">
        <f>+SUM(F104:F106)</f>
        <v>5072224395.54</v>
      </c>
      <c r="K103" s="179">
        <f>+F104</f>
        <v>73746492.430000007</v>
      </c>
      <c r="L103" s="179">
        <f>+J103+K103</f>
        <v>73746492.430000007</v>
      </c>
    </row>
    <row r="104" spans="1:12" x14ac:dyDescent="0.35">
      <c r="A104" s="169" t="s">
        <v>211</v>
      </c>
      <c r="B104" s="54" t="s">
        <v>218</v>
      </c>
      <c r="C104" s="15">
        <f>204381066.25-130634573.82</f>
        <v>73746492.430000007</v>
      </c>
      <c r="D104" s="15">
        <v>0</v>
      </c>
      <c r="E104" s="15">
        <v>0</v>
      </c>
      <c r="F104" s="55">
        <f>+C104+D104+E104</f>
        <v>73746492.430000007</v>
      </c>
      <c r="H104" s="179"/>
      <c r="J104" s="178"/>
    </row>
    <row r="105" spans="1:12" x14ac:dyDescent="0.35">
      <c r="A105" s="169" t="s">
        <v>211</v>
      </c>
      <c r="B105" s="54" t="s">
        <v>219</v>
      </c>
      <c r="C105" s="15">
        <f>4423411068.11-234587962</f>
        <v>4188823106.1099997</v>
      </c>
      <c r="D105" s="15">
        <v>643125289</v>
      </c>
      <c r="E105" s="15">
        <v>0</v>
      </c>
      <c r="F105" s="55">
        <f t="shared" ref="F105" si="4">+C105+D105+E105</f>
        <v>4831948395.1099997</v>
      </c>
      <c r="H105" s="178"/>
      <c r="J105" s="178"/>
    </row>
    <row r="106" spans="1:12" ht="30" x14ac:dyDescent="0.35">
      <c r="A106" s="169" t="s">
        <v>211</v>
      </c>
      <c r="B106" s="54" t="s">
        <v>220</v>
      </c>
      <c r="C106" s="15">
        <f>146458398-3028890</f>
        <v>143429508</v>
      </c>
      <c r="D106" s="15">
        <v>23100000</v>
      </c>
      <c r="E106" s="15">
        <v>0</v>
      </c>
      <c r="F106" s="55">
        <f>+C106+D106+E106</f>
        <v>166529508</v>
      </c>
      <c r="J106" s="180"/>
    </row>
    <row r="107" spans="1:12" x14ac:dyDescent="0.35">
      <c r="A107" s="210" t="s">
        <v>76</v>
      </c>
      <c r="B107" s="210"/>
      <c r="C107" s="53">
        <f>+SUM(C108:C109)</f>
        <v>0</v>
      </c>
      <c r="D107" s="53">
        <f>+SUM(D108:D109)</f>
        <v>0</v>
      </c>
      <c r="E107" s="53">
        <f>+SUM(E108:E109)</f>
        <v>0</v>
      </c>
      <c r="F107" s="53">
        <f>+SUM(F108:F109)</f>
        <v>0</v>
      </c>
      <c r="H107" s="178"/>
    </row>
    <row r="108" spans="1:12" x14ac:dyDescent="0.35">
      <c r="A108" s="54" t="s">
        <v>59</v>
      </c>
      <c r="B108" s="50" t="s">
        <v>53</v>
      </c>
      <c r="C108" s="56">
        <v>0</v>
      </c>
      <c r="D108" s="56">
        <v>0</v>
      </c>
      <c r="E108" s="56">
        <v>0</v>
      </c>
      <c r="F108" s="57">
        <f t="shared" ref="F108:F109" si="5">+C108+D108+E108</f>
        <v>0</v>
      </c>
      <c r="H108" s="178"/>
    </row>
    <row r="109" spans="1:12" x14ac:dyDescent="0.35">
      <c r="A109" s="54" t="s">
        <v>59</v>
      </c>
      <c r="B109" s="50" t="s">
        <v>53</v>
      </c>
      <c r="C109" s="56">
        <v>0</v>
      </c>
      <c r="D109" s="56">
        <v>0</v>
      </c>
      <c r="E109" s="56">
        <v>0</v>
      </c>
      <c r="F109" s="57">
        <f t="shared" si="5"/>
        <v>0</v>
      </c>
      <c r="H109" s="178"/>
    </row>
    <row r="110" spans="1:12" x14ac:dyDescent="0.35">
      <c r="A110" s="194" t="s">
        <v>43</v>
      </c>
      <c r="B110" s="194"/>
      <c r="C110" s="194"/>
      <c r="D110" s="194"/>
      <c r="E110" s="194"/>
      <c r="F110" s="194"/>
      <c r="H110" s="180"/>
    </row>
    <row r="111" spans="1:12" ht="45" customHeight="1" x14ac:dyDescent="0.35">
      <c r="A111" s="213" t="s">
        <v>152</v>
      </c>
      <c r="B111" s="213"/>
      <c r="C111" s="213"/>
      <c r="D111" s="213"/>
      <c r="E111" s="213"/>
      <c r="F111" s="213"/>
    </row>
    <row r="112" spans="1:12" ht="9.9" customHeight="1" x14ac:dyDescent="0.35">
      <c r="A112" s="25"/>
      <c r="B112" s="48"/>
      <c r="C112" s="24"/>
      <c r="D112" s="36"/>
      <c r="E112" s="36"/>
      <c r="F112" s="36"/>
    </row>
    <row r="113" spans="1:6" x14ac:dyDescent="0.35">
      <c r="A113" s="209" t="s">
        <v>77</v>
      </c>
      <c r="B113" s="209"/>
      <c r="C113" s="209"/>
      <c r="D113" s="209"/>
      <c r="E113" s="209"/>
      <c r="F113" s="209"/>
    </row>
    <row r="114" spans="1:6" ht="33" customHeight="1" x14ac:dyDescent="0.35">
      <c r="A114" s="216" t="s">
        <v>54</v>
      </c>
      <c r="B114" s="216"/>
      <c r="C114" s="216"/>
      <c r="D114" s="216"/>
      <c r="E114" s="216"/>
      <c r="F114" s="216"/>
    </row>
    <row r="115" spans="1:6" x14ac:dyDescent="0.35">
      <c r="A115" s="209" t="s">
        <v>52</v>
      </c>
      <c r="B115" s="209"/>
      <c r="C115" s="209"/>
      <c r="D115" s="209"/>
      <c r="E115" s="209"/>
      <c r="F115" s="209"/>
    </row>
    <row r="116" spans="1:6" ht="9.9" customHeight="1" x14ac:dyDescent="0.35">
      <c r="A116" s="89"/>
      <c r="B116" s="90"/>
      <c r="C116" s="90"/>
      <c r="D116" s="90"/>
      <c r="E116" s="90"/>
      <c r="F116" s="91"/>
    </row>
    <row r="117" spans="1:6" x14ac:dyDescent="0.35">
      <c r="A117" s="68" t="s">
        <v>55</v>
      </c>
      <c r="B117" s="68" t="s">
        <v>56</v>
      </c>
      <c r="C117" s="68" t="s">
        <v>14</v>
      </c>
      <c r="D117" s="68" t="s">
        <v>15</v>
      </c>
      <c r="E117" s="68" t="s">
        <v>91</v>
      </c>
      <c r="F117" s="68" t="s">
        <v>12</v>
      </c>
    </row>
    <row r="118" spans="1:6" x14ac:dyDescent="0.35">
      <c r="A118" s="134" t="s">
        <v>16</v>
      </c>
      <c r="B118" s="49"/>
      <c r="C118" s="35">
        <f>+C120+C127+C134</f>
        <v>1374490555</v>
      </c>
      <c r="D118" s="35">
        <f t="shared" ref="D118:F118" si="6">+D120+D127+D134</f>
        <v>1591335735</v>
      </c>
      <c r="E118" s="35">
        <f t="shared" si="6"/>
        <v>3570836390.0999999</v>
      </c>
      <c r="F118" s="35">
        <f t="shared" si="6"/>
        <v>6536662680.1000004</v>
      </c>
    </row>
    <row r="119" spans="1:6" x14ac:dyDescent="0.35">
      <c r="A119" s="13"/>
      <c r="B119" s="50"/>
      <c r="C119" s="14"/>
      <c r="D119" s="14"/>
      <c r="E119" s="14"/>
      <c r="F119" s="51"/>
    </row>
    <row r="120" spans="1:6" ht="15.75" customHeight="1" x14ac:dyDescent="0.35">
      <c r="A120" s="210" t="s">
        <v>58</v>
      </c>
      <c r="B120" s="210"/>
      <c r="C120" s="53">
        <f>+SUM(C121:C125)</f>
        <v>1374490555</v>
      </c>
      <c r="D120" s="53">
        <f t="shared" ref="D120:E120" si="7">+SUM(D121:D125)</f>
        <v>1591335735</v>
      </c>
      <c r="E120" s="53">
        <f t="shared" si="7"/>
        <v>3570836390.0999999</v>
      </c>
      <c r="F120" s="53">
        <f>+SUM(F121:F125)</f>
        <v>6536662680.1000004</v>
      </c>
    </row>
    <row r="121" spans="1:6" ht="30" x14ac:dyDescent="0.35">
      <c r="A121" s="170">
        <v>60104</v>
      </c>
      <c r="B121" s="54" t="s">
        <v>209</v>
      </c>
      <c r="C121" s="15">
        <v>46355173</v>
      </c>
      <c r="D121" s="15">
        <v>46355173</v>
      </c>
      <c r="E121" s="15">
        <v>40695779.100000001</v>
      </c>
      <c r="F121" s="55">
        <f>+C121+D121+E121</f>
        <v>133406125.09999999</v>
      </c>
    </row>
    <row r="122" spans="1:6" ht="30" x14ac:dyDescent="0.35">
      <c r="A122" s="170">
        <v>60401</v>
      </c>
      <c r="B122" s="54" t="s">
        <v>207</v>
      </c>
      <c r="C122" s="15">
        <v>1282125546</v>
      </c>
      <c r="D122" s="58">
        <v>1498420726</v>
      </c>
      <c r="E122" s="58">
        <v>3416526847</v>
      </c>
      <c r="F122" s="55">
        <f t="shared" ref="F122:F125" si="8">+C122+D122+E122</f>
        <v>6197073119</v>
      </c>
    </row>
    <row r="123" spans="1:6" ht="30" x14ac:dyDescent="0.35">
      <c r="A123" s="171">
        <v>60402</v>
      </c>
      <c r="B123" s="54" t="s">
        <v>210</v>
      </c>
      <c r="C123" s="15">
        <v>46009836</v>
      </c>
      <c r="D123" s="15">
        <v>46559836</v>
      </c>
      <c r="E123" s="15">
        <v>113613764</v>
      </c>
      <c r="F123" s="55">
        <f t="shared" si="8"/>
        <v>206183436</v>
      </c>
    </row>
    <row r="124" spans="1:6" x14ac:dyDescent="0.35">
      <c r="A124" s="54" t="s">
        <v>59</v>
      </c>
      <c r="B124" s="50" t="s">
        <v>53</v>
      </c>
      <c r="C124" s="15">
        <v>0</v>
      </c>
      <c r="D124" s="15">
        <v>0</v>
      </c>
      <c r="E124" s="15">
        <v>0</v>
      </c>
      <c r="F124" s="55">
        <f t="shared" si="8"/>
        <v>0</v>
      </c>
    </row>
    <row r="125" spans="1:6" x14ac:dyDescent="0.35">
      <c r="A125" s="54" t="s">
        <v>59</v>
      </c>
      <c r="B125" s="50" t="s">
        <v>53</v>
      </c>
      <c r="C125" s="15">
        <v>0</v>
      </c>
      <c r="D125" s="15">
        <v>0</v>
      </c>
      <c r="E125" s="15">
        <v>0</v>
      </c>
      <c r="F125" s="55">
        <f t="shared" si="8"/>
        <v>0</v>
      </c>
    </row>
    <row r="126" spans="1:6" x14ac:dyDescent="0.35">
      <c r="A126" s="136"/>
      <c r="B126" s="50"/>
      <c r="C126" s="15"/>
      <c r="D126" s="15"/>
      <c r="E126" s="15"/>
      <c r="F126" s="55"/>
    </row>
    <row r="127" spans="1:6" ht="15.75" customHeight="1" x14ac:dyDescent="0.35">
      <c r="A127" s="210" t="s">
        <v>60</v>
      </c>
      <c r="B127" s="210"/>
      <c r="C127" s="53">
        <f>+SUM(C128:C132)</f>
        <v>0</v>
      </c>
      <c r="D127" s="53">
        <f t="shared" ref="D127:F127" si="9">+SUM(D128:D132)</f>
        <v>0</v>
      </c>
      <c r="E127" s="53">
        <f t="shared" si="9"/>
        <v>0</v>
      </c>
      <c r="F127" s="53">
        <f t="shared" si="9"/>
        <v>0</v>
      </c>
    </row>
    <row r="128" spans="1:6" x14ac:dyDescent="0.35">
      <c r="A128" s="54" t="s">
        <v>59</v>
      </c>
      <c r="B128" s="50" t="s">
        <v>53</v>
      </c>
      <c r="C128" s="56">
        <v>0</v>
      </c>
      <c r="D128" s="56">
        <v>0</v>
      </c>
      <c r="E128" s="56">
        <v>0</v>
      </c>
      <c r="F128" s="40">
        <f>+C128+D128+E128</f>
        <v>0</v>
      </c>
    </row>
    <row r="129" spans="1:6" x14ac:dyDescent="0.35">
      <c r="A129" s="54" t="s">
        <v>59</v>
      </c>
      <c r="B129" s="50" t="s">
        <v>53</v>
      </c>
      <c r="C129" s="56">
        <v>0</v>
      </c>
      <c r="D129" s="56">
        <v>0</v>
      </c>
      <c r="E129" s="56">
        <v>0</v>
      </c>
      <c r="F129" s="40">
        <f t="shared" ref="F129:F130" si="10">+C129+D129+E129</f>
        <v>0</v>
      </c>
    </row>
    <row r="130" spans="1:6" x14ac:dyDescent="0.35">
      <c r="A130" s="54" t="s">
        <v>59</v>
      </c>
      <c r="B130" s="50" t="s">
        <v>53</v>
      </c>
      <c r="C130" s="56">
        <v>0</v>
      </c>
      <c r="D130" s="56">
        <v>0</v>
      </c>
      <c r="E130" s="56">
        <v>0</v>
      </c>
      <c r="F130" s="40">
        <f t="shared" si="10"/>
        <v>0</v>
      </c>
    </row>
    <row r="131" spans="1:6" x14ac:dyDescent="0.35">
      <c r="A131" s="54" t="s">
        <v>59</v>
      </c>
      <c r="B131" s="50" t="s">
        <v>53</v>
      </c>
      <c r="C131" s="56">
        <v>0</v>
      </c>
      <c r="D131" s="56">
        <v>0</v>
      </c>
      <c r="E131" s="56">
        <v>0</v>
      </c>
      <c r="F131" s="40">
        <f>+C131+D131+E131</f>
        <v>0</v>
      </c>
    </row>
    <row r="132" spans="1:6" x14ac:dyDescent="0.35">
      <c r="A132" s="54" t="s">
        <v>59</v>
      </c>
      <c r="B132" s="50" t="s">
        <v>53</v>
      </c>
      <c r="C132" s="56">
        <v>0</v>
      </c>
      <c r="D132" s="56">
        <v>0</v>
      </c>
      <c r="E132" s="56">
        <v>0</v>
      </c>
      <c r="F132" s="40">
        <f>+C132+D132+E132</f>
        <v>0</v>
      </c>
    </row>
    <row r="133" spans="1:6" x14ac:dyDescent="0.35">
      <c r="A133" s="36"/>
      <c r="B133" s="36"/>
      <c r="C133" s="40"/>
      <c r="D133" s="40"/>
      <c r="E133" s="40"/>
      <c r="F133" s="40"/>
    </row>
    <row r="134" spans="1:6" x14ac:dyDescent="0.35">
      <c r="A134" s="210" t="s">
        <v>61</v>
      </c>
      <c r="B134" s="210"/>
      <c r="C134" s="53">
        <f>+SUM(C135:C136)</f>
        <v>0</v>
      </c>
      <c r="D134" s="53">
        <f t="shared" ref="D134:F134" si="11">+SUM(D135:D136)</f>
        <v>0</v>
      </c>
      <c r="E134" s="53">
        <f t="shared" si="11"/>
        <v>0</v>
      </c>
      <c r="F134" s="53">
        <f t="shared" si="11"/>
        <v>0</v>
      </c>
    </row>
    <row r="135" spans="1:6" x14ac:dyDescent="0.35">
      <c r="A135" s="75" t="s">
        <v>59</v>
      </c>
      <c r="B135" s="50" t="s">
        <v>53</v>
      </c>
      <c r="C135" s="56">
        <v>0</v>
      </c>
      <c r="D135" s="56">
        <v>0</v>
      </c>
      <c r="E135" s="56">
        <v>0</v>
      </c>
      <c r="F135" s="40">
        <f>+C135+D135+E135</f>
        <v>0</v>
      </c>
    </row>
    <row r="136" spans="1:6" x14ac:dyDescent="0.35">
      <c r="A136" s="47" t="s">
        <v>59</v>
      </c>
      <c r="B136" s="47" t="s">
        <v>53</v>
      </c>
      <c r="C136" s="59">
        <v>0</v>
      </c>
      <c r="D136" s="59">
        <v>0</v>
      </c>
      <c r="E136" s="59">
        <v>0</v>
      </c>
      <c r="F136" s="60">
        <f>+C136+D136+E136</f>
        <v>0</v>
      </c>
    </row>
    <row r="137" spans="1:6" ht="15.75" customHeight="1" x14ac:dyDescent="0.35">
      <c r="A137" s="212" t="s">
        <v>62</v>
      </c>
      <c r="B137" s="212"/>
      <c r="C137" s="212"/>
      <c r="D137" s="212"/>
      <c r="E137" s="212"/>
      <c r="F137" s="212"/>
    </row>
    <row r="138" spans="1:6" ht="15.6" customHeight="1" x14ac:dyDescent="0.35">
      <c r="A138" s="194" t="s">
        <v>43</v>
      </c>
      <c r="B138" s="194"/>
      <c r="C138" s="194"/>
      <c r="D138" s="194"/>
      <c r="E138" s="194"/>
      <c r="F138" s="194"/>
    </row>
    <row r="139" spans="1:6" ht="50.1" customHeight="1" x14ac:dyDescent="0.35">
      <c r="A139" s="213" t="s">
        <v>158</v>
      </c>
      <c r="B139" s="213"/>
      <c r="C139" s="213"/>
      <c r="D139" s="213"/>
      <c r="E139" s="213"/>
      <c r="F139" s="213"/>
    </row>
    <row r="140" spans="1:6" ht="15" customHeight="1" x14ac:dyDescent="0.35">
      <c r="A140" s="142"/>
      <c r="B140" s="142"/>
      <c r="C140" s="142"/>
      <c r="D140" s="142"/>
      <c r="E140" s="142"/>
      <c r="F140" s="142"/>
    </row>
    <row r="141" spans="1:6" x14ac:dyDescent="0.35">
      <c r="A141" s="209" t="s">
        <v>79</v>
      </c>
      <c r="B141" s="209"/>
      <c r="C141" s="209"/>
      <c r="D141" s="209"/>
      <c r="E141" s="209"/>
      <c r="F141" s="209"/>
    </row>
    <row r="142" spans="1:6" x14ac:dyDescent="0.35">
      <c r="A142" s="209" t="s">
        <v>80</v>
      </c>
      <c r="B142" s="209"/>
      <c r="C142" s="209"/>
      <c r="D142" s="209"/>
      <c r="E142" s="209"/>
      <c r="F142" s="209"/>
    </row>
    <row r="143" spans="1:6" x14ac:dyDescent="0.35">
      <c r="A143" s="209" t="s">
        <v>52</v>
      </c>
      <c r="B143" s="209"/>
      <c r="C143" s="209"/>
      <c r="D143" s="209"/>
      <c r="E143" s="209"/>
      <c r="F143" s="209"/>
    </row>
    <row r="144" spans="1:6" ht="9.9" customHeight="1" x14ac:dyDescent="0.35">
      <c r="A144" s="89"/>
      <c r="B144" s="90"/>
      <c r="C144" s="90"/>
      <c r="D144" s="90"/>
      <c r="E144" s="90"/>
      <c r="F144" s="91"/>
    </row>
    <row r="145" spans="1:6" x14ac:dyDescent="0.35">
      <c r="A145" s="68" t="s">
        <v>78</v>
      </c>
      <c r="B145" s="68" t="s">
        <v>14</v>
      </c>
      <c r="C145" s="68" t="s">
        <v>15</v>
      </c>
      <c r="D145" s="68" t="s">
        <v>91</v>
      </c>
      <c r="E145" s="68" t="s">
        <v>12</v>
      </c>
      <c r="F145" s="23"/>
    </row>
    <row r="146" spans="1:6" x14ac:dyDescent="0.35">
      <c r="A146" s="105" t="s">
        <v>82</v>
      </c>
      <c r="B146" s="61">
        <f>+B147+B148</f>
        <v>1464438284.5600109</v>
      </c>
      <c r="C146" s="61">
        <f t="shared" ref="C146:D146" si="12">+B156</f>
        <v>4495946836.1000099</v>
      </c>
      <c r="D146" s="61">
        <f t="shared" si="12"/>
        <v>3570836390.1000099</v>
      </c>
      <c r="E146" s="61">
        <f>+B146</f>
        <v>1464438284.5600109</v>
      </c>
      <c r="F146" s="91"/>
    </row>
    <row r="147" spans="1:6" x14ac:dyDescent="0.35">
      <c r="A147" s="106" t="s">
        <v>83</v>
      </c>
      <c r="B147" s="26">
        <f>+'3T'!E157</f>
        <v>0</v>
      </c>
      <c r="C147" s="26">
        <f>+B157</f>
        <v>0</v>
      </c>
      <c r="D147" s="26">
        <f>+C157</f>
        <v>0</v>
      </c>
      <c r="E147" s="65">
        <f>+B147</f>
        <v>0</v>
      </c>
      <c r="F147" s="23"/>
    </row>
    <row r="148" spans="1:6" x14ac:dyDescent="0.35">
      <c r="A148" s="106" t="s">
        <v>81</v>
      </c>
      <c r="B148" s="26">
        <f>+'3T'!E158</f>
        <v>1464438284.5600109</v>
      </c>
      <c r="C148" s="26">
        <f>+B158</f>
        <v>4495946836.1000099</v>
      </c>
      <c r="D148" s="26">
        <f>+C158</f>
        <v>3570836390.1000099</v>
      </c>
      <c r="E148" s="65">
        <f t="shared" ref="E148" si="13">+B148</f>
        <v>1464438284.5600109</v>
      </c>
      <c r="F148" s="23"/>
    </row>
    <row r="149" spans="1:6" x14ac:dyDescent="0.35">
      <c r="A149" s="105" t="s">
        <v>85</v>
      </c>
      <c r="B149" s="61">
        <f>+C103</f>
        <v>4405999106.539999</v>
      </c>
      <c r="C149" s="61">
        <f t="shared" ref="C149:D149" si="14">+D103</f>
        <v>666225289</v>
      </c>
      <c r="D149" s="61">
        <f t="shared" si="14"/>
        <v>0</v>
      </c>
      <c r="E149" s="61">
        <f>+B149+C149+D149</f>
        <v>5072224395.539999</v>
      </c>
      <c r="F149" s="91"/>
    </row>
    <row r="150" spans="1:6" x14ac:dyDescent="0.35">
      <c r="A150" s="105" t="s">
        <v>147</v>
      </c>
      <c r="B150" s="61">
        <f>+B146+B149</f>
        <v>5870437391.1000099</v>
      </c>
      <c r="C150" s="61">
        <f t="shared" ref="C150:D150" si="15">+C146+C149</f>
        <v>5162172125.1000099</v>
      </c>
      <c r="D150" s="61">
        <f t="shared" si="15"/>
        <v>3570836390.1000099</v>
      </c>
      <c r="E150" s="61">
        <f>+E151+E152</f>
        <v>6536662680.1000099</v>
      </c>
      <c r="F150" s="91"/>
    </row>
    <row r="151" spans="1:6" x14ac:dyDescent="0.35">
      <c r="A151" s="106" t="s">
        <v>83</v>
      </c>
      <c r="B151" s="26">
        <f>+B147</f>
        <v>0</v>
      </c>
      <c r="C151" s="26">
        <f>+C147</f>
        <v>0</v>
      </c>
      <c r="D151" s="26">
        <f>+D147</f>
        <v>0</v>
      </c>
      <c r="E151" s="65">
        <f>+E147</f>
        <v>0</v>
      </c>
      <c r="F151" s="23"/>
    </row>
    <row r="152" spans="1:6" x14ac:dyDescent="0.35">
      <c r="A152" s="106" t="s">
        <v>81</v>
      </c>
      <c r="B152" s="26">
        <f>+B148+B149</f>
        <v>5870437391.1000099</v>
      </c>
      <c r="C152" s="26">
        <f>+C149+C148</f>
        <v>5162172125.1000099</v>
      </c>
      <c r="D152" s="26">
        <f>+D149+D148</f>
        <v>3570836390.1000099</v>
      </c>
      <c r="E152" s="65">
        <f>+E148+E149</f>
        <v>6536662680.1000099</v>
      </c>
      <c r="F152" s="23"/>
    </row>
    <row r="153" spans="1:6" x14ac:dyDescent="0.35">
      <c r="A153" s="105" t="s">
        <v>84</v>
      </c>
      <c r="B153" s="61">
        <f>+B154+B155</f>
        <v>1374490555</v>
      </c>
      <c r="C153" s="61">
        <f>+C154+C155</f>
        <v>1591335735</v>
      </c>
      <c r="D153" s="61">
        <f>+D137</f>
        <v>0</v>
      </c>
      <c r="E153" s="61">
        <f>+B153+C153+D153</f>
        <v>2965826290</v>
      </c>
      <c r="F153" s="91"/>
    </row>
    <row r="154" spans="1:6" x14ac:dyDescent="0.35">
      <c r="A154" s="106" t="s">
        <v>83</v>
      </c>
      <c r="B154" s="82">
        <v>0</v>
      </c>
      <c r="C154" s="82">
        <v>0</v>
      </c>
      <c r="D154" s="82">
        <v>0</v>
      </c>
      <c r="E154" s="48">
        <f>+B154+C154+D154</f>
        <v>0</v>
      </c>
      <c r="F154" s="91"/>
    </row>
    <row r="155" spans="1:6" x14ac:dyDescent="0.35">
      <c r="A155" s="106" t="s">
        <v>81</v>
      </c>
      <c r="B155" s="82">
        <f>+C118</f>
        <v>1374490555</v>
      </c>
      <c r="C155" s="82">
        <f t="shared" ref="C155:D155" si="16">+D118</f>
        <v>1591335735</v>
      </c>
      <c r="D155" s="82">
        <f t="shared" si="16"/>
        <v>3570836390.0999999</v>
      </c>
      <c r="E155" s="48">
        <f>+B155+C155+D155</f>
        <v>6536662680.1000004</v>
      </c>
      <c r="F155" s="91"/>
    </row>
    <row r="156" spans="1:6" x14ac:dyDescent="0.35">
      <c r="A156" s="105" t="s">
        <v>148</v>
      </c>
      <c r="B156" s="61">
        <f>+B150-B153</f>
        <v>4495946836.1000099</v>
      </c>
      <c r="C156" s="61">
        <f t="shared" ref="C156:D156" si="17">+C150-C153</f>
        <v>3570836390.1000099</v>
      </c>
      <c r="D156" s="61">
        <f t="shared" si="17"/>
        <v>3570836390.1000099</v>
      </c>
      <c r="E156" s="61">
        <f>+E150-E153</f>
        <v>3570836390.1000099</v>
      </c>
      <c r="F156" s="91"/>
    </row>
    <row r="157" spans="1:6" x14ac:dyDescent="0.35">
      <c r="A157" s="106" t="s">
        <v>83</v>
      </c>
      <c r="B157" s="82">
        <f>+B151-B154</f>
        <v>0</v>
      </c>
      <c r="C157" s="82">
        <f>+C151-C154</f>
        <v>0</v>
      </c>
      <c r="D157" s="82">
        <f>+D151-D154</f>
        <v>0</v>
      </c>
      <c r="E157" s="48">
        <f>+E151-E154</f>
        <v>0</v>
      </c>
      <c r="F157" s="91"/>
    </row>
    <row r="158" spans="1:6" x14ac:dyDescent="0.35">
      <c r="A158" s="107" t="s">
        <v>81</v>
      </c>
      <c r="B158" s="77">
        <f>+B152-B155</f>
        <v>4495946836.1000099</v>
      </c>
      <c r="C158" s="77">
        <f t="shared" ref="C158:D158" si="18">+C152-C155</f>
        <v>3570836390.1000099</v>
      </c>
      <c r="D158" s="77">
        <f t="shared" si="18"/>
        <v>1.0013580322265625E-5</v>
      </c>
      <c r="E158" s="62">
        <f>+E152-E155</f>
        <v>9.5367431640625E-6</v>
      </c>
      <c r="F158" s="36"/>
    </row>
    <row r="159" spans="1:6" x14ac:dyDescent="0.35">
      <c r="A159" s="194" t="s">
        <v>43</v>
      </c>
      <c r="B159" s="194"/>
      <c r="C159" s="194"/>
      <c r="D159" s="194"/>
      <c r="E159" s="194"/>
      <c r="F159" s="41"/>
    </row>
    <row r="160" spans="1:6" ht="50.1" customHeight="1" x14ac:dyDescent="0.35">
      <c r="A160" s="195" t="s">
        <v>92</v>
      </c>
      <c r="B160" s="196"/>
      <c r="C160" s="196"/>
      <c r="D160" s="196"/>
      <c r="E160" s="197"/>
      <c r="F160" s="63"/>
    </row>
    <row r="161" spans="1:6" x14ac:dyDescent="0.35">
      <c r="A161" s="142"/>
      <c r="B161" s="64"/>
      <c r="C161" s="64"/>
      <c r="D161" s="64"/>
      <c r="E161" s="64"/>
      <c r="F161" s="63"/>
    </row>
    <row r="162" spans="1:6" x14ac:dyDescent="0.35">
      <c r="A162" s="92" t="s">
        <v>86</v>
      </c>
      <c r="B162" s="198" t="s">
        <v>199</v>
      </c>
      <c r="C162" s="199"/>
      <c r="D162" s="260" t="s">
        <v>49</v>
      </c>
      <c r="E162" s="261"/>
      <c r="F162" s="262"/>
    </row>
    <row r="163" spans="1:6" x14ac:dyDescent="0.35">
      <c r="A163" s="73" t="s">
        <v>47</v>
      </c>
      <c r="B163" s="198" t="s">
        <v>200</v>
      </c>
      <c r="C163" s="199"/>
      <c r="D163" s="263"/>
      <c r="E163" s="204"/>
      <c r="F163" s="264"/>
    </row>
    <row r="164" spans="1:6" x14ac:dyDescent="0.35">
      <c r="A164" s="74" t="s">
        <v>48</v>
      </c>
      <c r="B164" s="198" t="s">
        <v>201</v>
      </c>
      <c r="C164" s="199"/>
      <c r="D164" s="265"/>
      <c r="E164" s="266"/>
      <c r="F164" s="267"/>
    </row>
    <row r="165" spans="1:6" x14ac:dyDescent="0.35">
      <c r="A165" s="36"/>
      <c r="B165" s="36"/>
      <c r="C165" s="36"/>
      <c r="D165" s="36"/>
      <c r="E165" s="36"/>
      <c r="F165" s="36"/>
    </row>
    <row r="166" spans="1:6" x14ac:dyDescent="0.35">
      <c r="A166" s="36"/>
      <c r="B166" s="36"/>
      <c r="C166" s="36"/>
      <c r="D166" s="36"/>
      <c r="E166" s="36"/>
      <c r="F166" s="36"/>
    </row>
    <row r="167" spans="1:6" x14ac:dyDescent="0.35">
      <c r="A167" s="36"/>
      <c r="B167" s="36"/>
      <c r="C167" s="36"/>
      <c r="D167" s="36"/>
      <c r="E167" s="36"/>
      <c r="F167" s="36"/>
    </row>
    <row r="168" spans="1:6" x14ac:dyDescent="0.35">
      <c r="A168" s="36"/>
      <c r="B168" s="36"/>
      <c r="C168" s="36"/>
      <c r="D168" s="36"/>
      <c r="E168" s="36"/>
      <c r="F168" s="36"/>
    </row>
    <row r="169" spans="1:6" x14ac:dyDescent="0.35">
      <c r="A169" s="36"/>
      <c r="B169" s="36"/>
      <c r="C169" s="36"/>
      <c r="D169" s="36"/>
      <c r="E169" s="36"/>
      <c r="F169" s="36"/>
    </row>
    <row r="170" spans="1:6" x14ac:dyDescent="0.35">
      <c r="A170" s="36"/>
      <c r="B170" s="36"/>
      <c r="C170" s="36"/>
      <c r="D170" s="36"/>
      <c r="E170" s="36"/>
      <c r="F170" s="36"/>
    </row>
    <row r="171" spans="1:6" x14ac:dyDescent="0.35">
      <c r="A171" s="36"/>
      <c r="B171" s="36"/>
      <c r="C171" s="36"/>
      <c r="D171" s="36"/>
      <c r="E171" s="36"/>
      <c r="F171" s="36"/>
    </row>
    <row r="172" spans="1:6" x14ac:dyDescent="0.35">
      <c r="A172" s="36"/>
      <c r="B172" s="36"/>
      <c r="C172" s="36"/>
      <c r="D172" s="36"/>
      <c r="E172" s="36"/>
      <c r="F172" s="36"/>
    </row>
    <row r="173" spans="1:6" x14ac:dyDescent="0.35">
      <c r="A173" s="36"/>
      <c r="B173" s="36"/>
      <c r="C173" s="36"/>
      <c r="D173" s="36"/>
      <c r="E173" s="36"/>
      <c r="F173" s="36"/>
    </row>
    <row r="174" spans="1:6" x14ac:dyDescent="0.35">
      <c r="A174" s="36"/>
      <c r="B174" s="36"/>
      <c r="C174" s="36"/>
      <c r="D174" s="36"/>
      <c r="E174" s="36"/>
      <c r="F174" s="36"/>
    </row>
    <row r="175" spans="1:6" x14ac:dyDescent="0.35">
      <c r="A175" s="36"/>
      <c r="B175" s="36"/>
      <c r="C175" s="36"/>
      <c r="D175" s="36"/>
      <c r="E175" s="36"/>
      <c r="F175" s="36"/>
    </row>
    <row r="176" spans="1:6" x14ac:dyDescent="0.35">
      <c r="A176" s="36"/>
      <c r="B176" s="36"/>
      <c r="C176" s="36"/>
      <c r="D176" s="36"/>
      <c r="E176" s="36"/>
      <c r="F176" s="36"/>
    </row>
    <row r="177" spans="1:6" x14ac:dyDescent="0.35">
      <c r="A177" s="36"/>
      <c r="B177" s="36"/>
      <c r="C177" s="36"/>
      <c r="D177" s="36"/>
      <c r="E177" s="36"/>
      <c r="F177" s="36"/>
    </row>
    <row r="178" spans="1:6" x14ac:dyDescent="0.35">
      <c r="A178" s="36"/>
      <c r="B178" s="36"/>
      <c r="C178" s="36"/>
      <c r="D178" s="36"/>
      <c r="E178" s="36"/>
      <c r="F178" s="36"/>
    </row>
    <row r="179" spans="1:6" x14ac:dyDescent="0.35">
      <c r="A179" s="36"/>
      <c r="B179" s="36"/>
      <c r="C179" s="36"/>
      <c r="D179" s="36"/>
      <c r="E179" s="36"/>
      <c r="F179" s="36"/>
    </row>
    <row r="180" spans="1:6" x14ac:dyDescent="0.35">
      <c r="A180" s="36"/>
      <c r="B180" s="36"/>
      <c r="C180" s="36"/>
      <c r="D180" s="36"/>
      <c r="E180" s="36"/>
      <c r="F180" s="36"/>
    </row>
    <row r="181" spans="1:6" x14ac:dyDescent="0.35">
      <c r="A181" s="36"/>
      <c r="B181" s="36"/>
      <c r="C181" s="36"/>
      <c r="D181" s="36"/>
      <c r="E181" s="36"/>
      <c r="F181" s="36"/>
    </row>
    <row r="182" spans="1:6" x14ac:dyDescent="0.35">
      <c r="A182" s="36"/>
      <c r="B182" s="36"/>
      <c r="C182" s="36"/>
      <c r="D182" s="36"/>
      <c r="E182" s="36"/>
      <c r="F182" s="36"/>
    </row>
    <row r="183" spans="1:6" x14ac:dyDescent="0.35">
      <c r="A183" s="36"/>
      <c r="B183" s="36"/>
      <c r="C183" s="36"/>
      <c r="D183" s="36"/>
      <c r="E183" s="36"/>
      <c r="F183" s="36"/>
    </row>
    <row r="184" spans="1:6" x14ac:dyDescent="0.35">
      <c r="A184" s="36"/>
      <c r="B184" s="36"/>
      <c r="C184" s="36"/>
      <c r="D184" s="36"/>
      <c r="E184" s="36"/>
      <c r="F184" s="36"/>
    </row>
    <row r="185" spans="1:6" x14ac:dyDescent="0.35">
      <c r="A185" s="36"/>
      <c r="B185" s="36"/>
      <c r="C185" s="36"/>
      <c r="D185" s="36"/>
      <c r="E185" s="36"/>
      <c r="F185" s="36"/>
    </row>
    <row r="186" spans="1:6" x14ac:dyDescent="0.35">
      <c r="A186" s="36"/>
      <c r="B186" s="36"/>
      <c r="C186" s="36"/>
      <c r="D186" s="36"/>
      <c r="E186" s="36"/>
      <c r="F186" s="36"/>
    </row>
    <row r="187" spans="1:6" x14ac:dyDescent="0.35">
      <c r="A187" s="36"/>
      <c r="B187" s="36"/>
      <c r="C187" s="36"/>
      <c r="D187" s="36"/>
      <c r="E187" s="36"/>
      <c r="F187" s="36"/>
    </row>
    <row r="188" spans="1:6" x14ac:dyDescent="0.35">
      <c r="A188" s="36"/>
      <c r="B188" s="36"/>
      <c r="C188" s="36"/>
      <c r="D188" s="36"/>
      <c r="E188" s="36"/>
      <c r="F188" s="36"/>
    </row>
    <row r="189" spans="1:6" x14ac:dyDescent="0.35">
      <c r="A189" s="36"/>
      <c r="B189" s="36"/>
      <c r="C189" s="36"/>
      <c r="D189" s="36"/>
      <c r="E189" s="36"/>
      <c r="F189" s="36"/>
    </row>
    <row r="190" spans="1:6" x14ac:dyDescent="0.35">
      <c r="A190" s="36"/>
      <c r="B190" s="36"/>
      <c r="C190" s="36"/>
      <c r="D190" s="36"/>
      <c r="E190" s="36"/>
      <c r="F190" s="36"/>
    </row>
    <row r="191" spans="1:6" x14ac:dyDescent="0.35">
      <c r="A191" s="36"/>
      <c r="B191" s="36"/>
      <c r="C191" s="36"/>
      <c r="D191" s="36"/>
      <c r="E191" s="36"/>
      <c r="F191" s="36"/>
    </row>
    <row r="192" spans="1:6" x14ac:dyDescent="0.35">
      <c r="A192" s="36"/>
      <c r="B192" s="36"/>
      <c r="C192" s="36"/>
      <c r="D192" s="36"/>
      <c r="E192" s="36"/>
      <c r="F192" s="36"/>
    </row>
    <row r="193" spans="1:6" x14ac:dyDescent="0.35">
      <c r="A193" s="36"/>
      <c r="B193" s="36"/>
      <c r="C193" s="36"/>
      <c r="D193" s="36"/>
      <c r="E193" s="36"/>
      <c r="F193" s="36"/>
    </row>
    <row r="194" spans="1:6" x14ac:dyDescent="0.35">
      <c r="A194" s="36"/>
      <c r="B194" s="36"/>
      <c r="C194" s="36"/>
      <c r="D194" s="36"/>
      <c r="E194" s="36"/>
      <c r="F194" s="36"/>
    </row>
  </sheetData>
  <mergeCells count="74">
    <mergeCell ref="A24:A26"/>
    <mergeCell ref="A27:A29"/>
    <mergeCell ref="A56:B56"/>
    <mergeCell ref="A48:F48"/>
    <mergeCell ref="A50:F50"/>
    <mergeCell ref="A53:B53"/>
    <mergeCell ref="A54:B54"/>
    <mergeCell ref="A55:B55"/>
    <mergeCell ref="A10:F10"/>
    <mergeCell ref="A47:E47"/>
    <mergeCell ref="A12:F12"/>
    <mergeCell ref="A13:F13"/>
    <mergeCell ref="A30:F30"/>
    <mergeCell ref="A31:F31"/>
    <mergeCell ref="A33:F33"/>
    <mergeCell ref="A34:F34"/>
    <mergeCell ref="A36:B36"/>
    <mergeCell ref="A39:A40"/>
    <mergeCell ref="A41:A42"/>
    <mergeCell ref="A43:A44"/>
    <mergeCell ref="A45:A46"/>
    <mergeCell ref="A16:B16"/>
    <mergeCell ref="A18:A20"/>
    <mergeCell ref="A21:A23"/>
    <mergeCell ref="A1:F2"/>
    <mergeCell ref="A3:F3"/>
    <mergeCell ref="C5:E5"/>
    <mergeCell ref="C6:E6"/>
    <mergeCell ref="C7:E7"/>
    <mergeCell ref="A57:B57"/>
    <mergeCell ref="A58:F58"/>
    <mergeCell ref="A59:F59"/>
    <mergeCell ref="A64:F64"/>
    <mergeCell ref="A65:F65"/>
    <mergeCell ref="A67:B67"/>
    <mergeCell ref="A68:B68"/>
    <mergeCell ref="A69:B69"/>
    <mergeCell ref="A70:F70"/>
    <mergeCell ref="A71:F71"/>
    <mergeCell ref="B73:C73"/>
    <mergeCell ref="D73:F75"/>
    <mergeCell ref="B74:C74"/>
    <mergeCell ref="B75:C75"/>
    <mergeCell ref="A79:F79"/>
    <mergeCell ref="A81:F81"/>
    <mergeCell ref="A82:F82"/>
    <mergeCell ref="A83:F83"/>
    <mergeCell ref="A93:F93"/>
    <mergeCell ref="A94:F94"/>
    <mergeCell ref="A96:F96"/>
    <mergeCell ref="A97:F97"/>
    <mergeCell ref="A98:F98"/>
    <mergeCell ref="A103:B103"/>
    <mergeCell ref="A107:B107"/>
    <mergeCell ref="A110:F110"/>
    <mergeCell ref="A111:F111"/>
    <mergeCell ref="A113:F113"/>
    <mergeCell ref="A114:F114"/>
    <mergeCell ref="A115:F115"/>
    <mergeCell ref="A160:E160"/>
    <mergeCell ref="B162:C162"/>
    <mergeCell ref="D162:F164"/>
    <mergeCell ref="B163:C163"/>
    <mergeCell ref="B164:C164"/>
    <mergeCell ref="A139:F139"/>
    <mergeCell ref="A141:F141"/>
    <mergeCell ref="A142:F142"/>
    <mergeCell ref="A143:F143"/>
    <mergeCell ref="A159:E159"/>
    <mergeCell ref="A120:B120"/>
    <mergeCell ref="A127:B127"/>
    <mergeCell ref="A134:B134"/>
    <mergeCell ref="A137:F137"/>
    <mergeCell ref="A138:F138"/>
  </mergeCells>
  <printOptions horizontalCentered="1"/>
  <pageMargins left="0.25" right="0.25" top="0.75" bottom="0.75" header="0.3" footer="0.3"/>
  <pageSetup scale="5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8" max="5" man="1"/>
    <brk id="77" max="16383" man="1"/>
    <brk id="139" max="5" man="1"/>
  </rowBreaks>
  <ignoredErrors>
    <ignoredError sqref="F19:F20 F28:F29" evalError="1"/>
    <ignoredError sqref="F21:F27" evalError="1" 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dimension ref="A1:G114"/>
  <sheetViews>
    <sheetView showGridLines="0" zoomScale="80" zoomScaleNormal="80" workbookViewId="0">
      <selection sqref="A1:G1"/>
    </sheetView>
  </sheetViews>
  <sheetFormatPr baseColWidth="10" defaultColWidth="11.44140625" defaultRowHeight="15.6" x14ac:dyDescent="0.35"/>
  <cols>
    <col min="1" max="1" width="63.5546875" style="1" customWidth="1"/>
    <col min="2" max="2" width="24.5546875" style="1" customWidth="1"/>
    <col min="3" max="7" width="20.6640625" style="1" customWidth="1"/>
    <col min="8" max="16384" width="11.44140625" style="1"/>
  </cols>
  <sheetData>
    <row r="1" spans="1:7" ht="42" customHeight="1" x14ac:dyDescent="0.45">
      <c r="A1" s="232" t="s">
        <v>38</v>
      </c>
      <c r="B1" s="232"/>
      <c r="C1" s="232"/>
      <c r="D1" s="232"/>
      <c r="E1" s="232"/>
      <c r="F1" s="232"/>
      <c r="G1" s="232"/>
    </row>
    <row r="2" spans="1:7" ht="20.100000000000001" customHeight="1" x14ac:dyDescent="0.4">
      <c r="A2" s="234" t="s">
        <v>227</v>
      </c>
      <c r="B2" s="234"/>
      <c r="C2" s="234"/>
      <c r="D2" s="234"/>
      <c r="E2" s="234"/>
      <c r="F2" s="234"/>
      <c r="G2" s="234"/>
    </row>
    <row r="3" spans="1:7" ht="15" customHeight="1" x14ac:dyDescent="0.35">
      <c r="A3" s="36"/>
      <c r="B3" s="36"/>
      <c r="C3" s="36"/>
      <c r="D3" s="36"/>
      <c r="E3" s="36"/>
      <c r="F3" s="36"/>
    </row>
    <row r="4" spans="1:7" ht="18" customHeight="1" x14ac:dyDescent="0.35">
      <c r="A4" s="84"/>
      <c r="B4" s="72" t="s">
        <v>22</v>
      </c>
      <c r="C4" s="268" t="s">
        <v>213</v>
      </c>
      <c r="D4" s="269"/>
      <c r="E4" s="199"/>
      <c r="F4" s="36"/>
    </row>
    <row r="5" spans="1:7" ht="18" customHeight="1" x14ac:dyDescent="0.35">
      <c r="A5" s="84"/>
      <c r="B5" s="73" t="s">
        <v>33</v>
      </c>
      <c r="C5" s="270" t="s">
        <v>184</v>
      </c>
      <c r="D5" s="271"/>
      <c r="E5" s="236"/>
      <c r="F5" s="36"/>
    </row>
    <row r="6" spans="1:7" ht="18" customHeight="1" x14ac:dyDescent="0.35">
      <c r="A6" s="84"/>
      <c r="B6" s="74" t="s">
        <v>34</v>
      </c>
      <c r="C6" s="270" t="s">
        <v>185</v>
      </c>
      <c r="D6" s="271"/>
      <c r="E6" s="236"/>
      <c r="F6" s="36"/>
    </row>
    <row r="7" spans="1:7" ht="15" customHeight="1" x14ac:dyDescent="0.35">
      <c r="B7" s="3"/>
      <c r="C7" s="3"/>
      <c r="D7" s="3"/>
      <c r="E7" s="3"/>
      <c r="F7" s="3"/>
    </row>
    <row r="8" spans="1:7" ht="21.9" customHeight="1" x14ac:dyDescent="0.35">
      <c r="A8" s="214" t="s">
        <v>159</v>
      </c>
      <c r="B8" s="214"/>
      <c r="C8" s="214"/>
      <c r="D8" s="214"/>
      <c r="E8" s="214"/>
      <c r="F8" s="214"/>
      <c r="G8" s="214"/>
    </row>
    <row r="9" spans="1:7" ht="15" customHeight="1" x14ac:dyDescent="0.35">
      <c r="A9" s="6"/>
      <c r="B9" s="5"/>
      <c r="C9" s="5"/>
      <c r="D9" s="5"/>
      <c r="E9" s="5"/>
      <c r="F9" s="5"/>
    </row>
    <row r="10" spans="1:7" ht="18" customHeight="1" x14ac:dyDescent="0.35">
      <c r="A10" s="233" t="s">
        <v>36</v>
      </c>
      <c r="B10" s="233"/>
      <c r="C10" s="233"/>
      <c r="D10" s="233"/>
      <c r="E10" s="233"/>
      <c r="F10" s="233"/>
      <c r="G10" s="233"/>
    </row>
    <row r="11" spans="1:7" ht="18" customHeight="1" x14ac:dyDescent="0.35">
      <c r="A11" s="233" t="s">
        <v>19</v>
      </c>
      <c r="B11" s="233"/>
      <c r="C11" s="233"/>
      <c r="D11" s="233"/>
      <c r="E11" s="233"/>
      <c r="F11" s="233"/>
      <c r="G11" s="233"/>
    </row>
    <row r="12" spans="1:7" ht="15" customHeight="1" x14ac:dyDescent="0.35">
      <c r="A12" s="37"/>
      <c r="B12" s="37"/>
      <c r="C12" s="37"/>
      <c r="D12" s="38"/>
      <c r="E12" s="38"/>
    </row>
    <row r="13" spans="1:7" ht="18" customHeight="1" x14ac:dyDescent="0.35">
      <c r="A13" s="132" t="s">
        <v>17</v>
      </c>
      <c r="B13" s="7" t="s">
        <v>18</v>
      </c>
      <c r="C13" s="132" t="s">
        <v>95</v>
      </c>
      <c r="D13" s="7" t="s">
        <v>96</v>
      </c>
      <c r="E13" s="7" t="s">
        <v>98</v>
      </c>
      <c r="F13" s="139" t="s">
        <v>101</v>
      </c>
      <c r="G13" s="139" t="s">
        <v>13</v>
      </c>
    </row>
    <row r="14" spans="1:7" ht="18" customHeight="1" x14ac:dyDescent="0.35">
      <c r="A14" s="238" t="s">
        <v>16</v>
      </c>
      <c r="B14" s="238"/>
      <c r="C14" s="125">
        <f>+C17+C18+C20+C21+C23+C24+C26+C27</f>
        <v>13904.166666666666</v>
      </c>
      <c r="D14" s="125">
        <f t="shared" ref="D14:F14" si="0">+D17+D18+D20+D21+D23+D24+D26+D27</f>
        <v>14169.333333333334</v>
      </c>
      <c r="E14" s="125">
        <f t="shared" si="0"/>
        <v>14687.333333333334</v>
      </c>
      <c r="F14" s="125">
        <f t="shared" si="0"/>
        <v>14353.000000000002</v>
      </c>
      <c r="G14" s="125">
        <f>+AVERAGE(C14:F14)</f>
        <v>14278.458333333334</v>
      </c>
    </row>
    <row r="15" spans="1:7" ht="18" customHeight="1" x14ac:dyDescent="0.35">
      <c r="A15" s="135"/>
      <c r="B15" s="110"/>
      <c r="C15" s="36"/>
      <c r="D15" s="36"/>
      <c r="E15" s="36"/>
      <c r="F15" s="36"/>
      <c r="G15" s="36"/>
    </row>
    <row r="16" spans="1:7" ht="18" customHeight="1" x14ac:dyDescent="0.35">
      <c r="A16" s="230" t="s">
        <v>176</v>
      </c>
      <c r="B16" s="119" t="s">
        <v>173</v>
      </c>
      <c r="C16" s="124">
        <f>+'1T'!F18</f>
        <v>70</v>
      </c>
      <c r="D16" s="124">
        <f>+'2T'!F18</f>
        <v>40</v>
      </c>
      <c r="E16" s="124">
        <f>+'3T'!F18</f>
        <v>71</v>
      </c>
      <c r="F16" s="124">
        <f>+'4T'!F18</f>
        <v>36</v>
      </c>
      <c r="G16" s="124">
        <f>+F16</f>
        <v>36</v>
      </c>
    </row>
    <row r="17" spans="1:7" ht="18" customHeight="1" x14ac:dyDescent="0.35">
      <c r="A17" s="230"/>
      <c r="B17" s="119" t="s">
        <v>174</v>
      </c>
      <c r="C17" s="124">
        <f>+'1T'!F19</f>
        <v>1025.6666666666667</v>
      </c>
      <c r="D17" s="124">
        <f>+'2T'!F19</f>
        <v>1515.3333333333333</v>
      </c>
      <c r="E17" s="124">
        <f>+'3T'!F19</f>
        <v>1500.3333333333333</v>
      </c>
      <c r="F17" s="124">
        <f>+'4T'!F19</f>
        <v>1486.3333333333333</v>
      </c>
      <c r="G17" s="124">
        <f>+AVERAGE(C17:F17)</f>
        <v>1381.9166666666665</v>
      </c>
    </row>
    <row r="18" spans="1:7" ht="18" customHeight="1" x14ac:dyDescent="0.35">
      <c r="A18" s="230"/>
      <c r="B18" s="119" t="s">
        <v>175</v>
      </c>
      <c r="C18" s="124">
        <f>+'1T'!F20</f>
        <v>549</v>
      </c>
      <c r="D18" s="124">
        <f>+'2T'!F20</f>
        <v>84.666666666666671</v>
      </c>
      <c r="E18" s="124">
        <f>+'3T'!F20</f>
        <v>75.333333333333329</v>
      </c>
      <c r="F18" s="124">
        <f>+'4T'!F20</f>
        <v>101.66666666666667</v>
      </c>
      <c r="G18" s="124">
        <f>+AVERAGE(C18:F18)</f>
        <v>202.66666666666666</v>
      </c>
    </row>
    <row r="19" spans="1:7" ht="18" customHeight="1" x14ac:dyDescent="0.35">
      <c r="A19" s="230" t="s">
        <v>177</v>
      </c>
      <c r="B19" s="119" t="s">
        <v>173</v>
      </c>
      <c r="C19" s="124">
        <f>+'1T'!F21</f>
        <v>79</v>
      </c>
      <c r="D19" s="124">
        <f>+'2T'!F21</f>
        <v>134</v>
      </c>
      <c r="E19" s="124">
        <f>+'3T'!F21</f>
        <v>160</v>
      </c>
      <c r="F19" s="124">
        <f>+'4T'!F21</f>
        <v>54</v>
      </c>
      <c r="G19" s="124">
        <f>+F19</f>
        <v>54</v>
      </c>
    </row>
    <row r="20" spans="1:7" ht="18" customHeight="1" x14ac:dyDescent="0.35">
      <c r="A20" s="230"/>
      <c r="B20" s="119" t="s">
        <v>174</v>
      </c>
      <c r="C20" s="124">
        <f>+'1T'!F22</f>
        <v>919</v>
      </c>
      <c r="D20" s="124">
        <f>+'2T'!F22</f>
        <v>1334</v>
      </c>
      <c r="E20" s="124">
        <f>+'3T'!F22</f>
        <v>1345.3333333333333</v>
      </c>
      <c r="F20" s="124">
        <f>+'4T'!F22</f>
        <v>1375.6666666666667</v>
      </c>
      <c r="G20" s="124">
        <f>+AVERAGE(C20:F20)</f>
        <v>1243.5</v>
      </c>
    </row>
    <row r="21" spans="1:7" ht="18" customHeight="1" x14ac:dyDescent="0.35">
      <c r="A21" s="230"/>
      <c r="B21" s="119" t="s">
        <v>175</v>
      </c>
      <c r="C21" s="124">
        <f>+'1T'!F23</f>
        <v>482.66666666666669</v>
      </c>
      <c r="D21" s="124">
        <f>+'2T'!F23</f>
        <v>86.666666666666671</v>
      </c>
      <c r="E21" s="124">
        <f>+'3T'!F23</f>
        <v>78</v>
      </c>
      <c r="F21" s="124">
        <f>+'4T'!F23</f>
        <v>93.666666666666671</v>
      </c>
      <c r="G21" s="124">
        <f>+AVERAGE(C21:F21)</f>
        <v>185.25</v>
      </c>
    </row>
    <row r="22" spans="1:7" ht="18" customHeight="1" x14ac:dyDescent="0.35">
      <c r="A22" s="230" t="s">
        <v>178</v>
      </c>
      <c r="B22" s="119" t="s">
        <v>173</v>
      </c>
      <c r="C22" s="124">
        <f>+'1T'!F24</f>
        <v>1163</v>
      </c>
      <c r="D22" s="124">
        <f>+'2T'!F24</f>
        <v>1616</v>
      </c>
      <c r="E22" s="124">
        <f>+'3T'!F24</f>
        <v>515</v>
      </c>
      <c r="F22" s="124">
        <f>+'4T'!F24</f>
        <v>1229</v>
      </c>
      <c r="G22" s="124">
        <f>+F22</f>
        <v>1229</v>
      </c>
    </row>
    <row r="23" spans="1:7" ht="18" customHeight="1" x14ac:dyDescent="0.35">
      <c r="A23" s="230"/>
      <c r="B23" s="119" t="s">
        <v>174</v>
      </c>
      <c r="C23" s="124">
        <f>+'1T'!F25</f>
        <v>6511.333333333333</v>
      </c>
      <c r="D23" s="124">
        <f>+'2T'!F25</f>
        <v>10072.666666666666</v>
      </c>
      <c r="E23" s="124">
        <f>+'3T'!F25</f>
        <v>9510.3333333333339</v>
      </c>
      <c r="F23" s="124">
        <f>+'4T'!F25</f>
        <v>9280.3333333333339</v>
      </c>
      <c r="G23" s="124">
        <f>+AVERAGE(C23:F23)</f>
        <v>8843.6666666666679</v>
      </c>
    </row>
    <row r="24" spans="1:7" ht="18" customHeight="1" x14ac:dyDescent="0.35">
      <c r="A24" s="230"/>
      <c r="B24" s="119" t="s">
        <v>175</v>
      </c>
      <c r="C24" s="124">
        <f>+'1T'!F26</f>
        <v>3802.3333333333335</v>
      </c>
      <c r="D24" s="124">
        <f>+'2T'!F26</f>
        <v>382.33333333333331</v>
      </c>
      <c r="E24" s="124">
        <f>+'3T'!F26</f>
        <v>1240</v>
      </c>
      <c r="F24" s="124">
        <f>+'4T'!F26</f>
        <v>999</v>
      </c>
      <c r="G24" s="124">
        <f>+AVERAGE(C24:F24)</f>
        <v>1605.9166666666667</v>
      </c>
    </row>
    <row r="25" spans="1:7" ht="15" customHeight="1" x14ac:dyDescent="0.35">
      <c r="A25" s="230" t="s">
        <v>179</v>
      </c>
      <c r="B25" s="119" t="s">
        <v>173</v>
      </c>
      <c r="C25" s="124">
        <f>+'1T'!F27</f>
        <v>1452</v>
      </c>
      <c r="D25" s="124">
        <f>+'2T'!F27</f>
        <v>2054</v>
      </c>
      <c r="E25" s="124">
        <f>+'3T'!F27</f>
        <v>0</v>
      </c>
      <c r="F25" s="124">
        <f>+'4T'!F27</f>
        <v>0</v>
      </c>
      <c r="G25" s="124">
        <f>+F25</f>
        <v>0</v>
      </c>
    </row>
    <row r="26" spans="1:7" ht="15" customHeight="1" x14ac:dyDescent="0.35">
      <c r="A26" s="230"/>
      <c r="B26" s="119" t="s">
        <v>174</v>
      </c>
      <c r="C26" s="124">
        <f>+'1T'!F28</f>
        <v>139.66666666666666</v>
      </c>
      <c r="D26" s="124">
        <f>+'2T'!F28</f>
        <v>660.33333333333337</v>
      </c>
      <c r="E26" s="124">
        <f>+'3T'!F28</f>
        <v>867.66666666666663</v>
      </c>
      <c r="F26" s="124">
        <f>+'4T'!F28</f>
        <v>918.33333333333337</v>
      </c>
      <c r="G26" s="124">
        <f>+AVERAGE(C26:F26)</f>
        <v>646.5</v>
      </c>
    </row>
    <row r="27" spans="1:7" ht="15" customHeight="1" x14ac:dyDescent="0.35">
      <c r="A27" s="248"/>
      <c r="B27" s="119" t="s">
        <v>175</v>
      </c>
      <c r="C27" s="124">
        <f>+'1T'!F29</f>
        <v>474.5</v>
      </c>
      <c r="D27" s="124">
        <f>+'2T'!F29</f>
        <v>33.333333333333336</v>
      </c>
      <c r="E27" s="124">
        <f>+'3T'!F29</f>
        <v>70.333333333333329</v>
      </c>
      <c r="F27" s="128">
        <f>+'4T'!F29</f>
        <v>98</v>
      </c>
      <c r="G27" s="128">
        <f>+AVERAGE(C27:F27)</f>
        <v>169.04166666666666</v>
      </c>
    </row>
    <row r="28" spans="1:7" ht="18" customHeight="1" x14ac:dyDescent="0.35">
      <c r="A28" s="194" t="s">
        <v>43</v>
      </c>
      <c r="B28" s="194"/>
      <c r="C28" s="194"/>
      <c r="D28" s="194"/>
      <c r="E28" s="194"/>
      <c r="F28" s="124"/>
    </row>
    <row r="29" spans="1:7" ht="45" customHeight="1" x14ac:dyDescent="0.35">
      <c r="A29" s="195" t="s">
        <v>162</v>
      </c>
      <c r="B29" s="196"/>
      <c r="C29" s="196"/>
      <c r="D29" s="196"/>
      <c r="E29" s="196"/>
      <c r="F29" s="196"/>
      <c r="G29" s="197"/>
    </row>
    <row r="30" spans="1:7" ht="15" customHeight="1" x14ac:dyDescent="0.35">
      <c r="A30" s="37"/>
      <c r="B30" s="37"/>
      <c r="C30" s="37"/>
      <c r="D30" s="38"/>
      <c r="E30" s="38"/>
    </row>
    <row r="31" spans="1:7" ht="18" customHeight="1" x14ac:dyDescent="0.35">
      <c r="A31" s="233" t="s">
        <v>37</v>
      </c>
      <c r="B31" s="233"/>
      <c r="C31" s="233"/>
      <c r="D31" s="233"/>
      <c r="E31" s="233"/>
      <c r="F31" s="233"/>
    </row>
    <row r="32" spans="1:7" ht="18" customHeight="1" x14ac:dyDescent="0.35">
      <c r="A32" s="233" t="s">
        <v>20</v>
      </c>
      <c r="B32" s="233"/>
      <c r="C32" s="233"/>
      <c r="D32" s="233"/>
      <c r="E32" s="233"/>
      <c r="F32" s="233"/>
    </row>
    <row r="33" spans="1:7" ht="15" customHeight="1" x14ac:dyDescent="0.35">
      <c r="A33" s="37"/>
      <c r="B33" s="37"/>
      <c r="C33" s="38"/>
      <c r="D33" s="38"/>
      <c r="E33" s="38"/>
    </row>
    <row r="34" spans="1:7" ht="18" customHeight="1" x14ac:dyDescent="0.35">
      <c r="A34" s="224" t="s">
        <v>21</v>
      </c>
      <c r="B34" s="224"/>
      <c r="C34" s="132" t="s">
        <v>95</v>
      </c>
      <c r="D34" s="132" t="s">
        <v>96</v>
      </c>
      <c r="E34" s="132" t="s">
        <v>98</v>
      </c>
      <c r="F34" s="132" t="s">
        <v>101</v>
      </c>
      <c r="G34" s="132" t="s">
        <v>13</v>
      </c>
    </row>
    <row r="35" spans="1:7" ht="18" customHeight="1" x14ac:dyDescent="0.35">
      <c r="A35" s="116" t="s">
        <v>16</v>
      </c>
      <c r="B35" s="117"/>
      <c r="C35" s="186">
        <f>+SUM(C37:C44)</f>
        <v>3804952546.2399998</v>
      </c>
      <c r="D35" s="186">
        <f t="shared" ref="D35:G35" si="1">+SUM(D37:D44)</f>
        <v>4213572967.7399998</v>
      </c>
      <c r="E35" s="186">
        <f t="shared" si="1"/>
        <v>4627625494.1000004</v>
      </c>
      <c r="F35" s="186">
        <f t="shared" si="1"/>
        <v>6536662680.1000004</v>
      </c>
      <c r="G35" s="186">
        <f t="shared" si="1"/>
        <v>19182813688.18</v>
      </c>
    </row>
    <row r="36" spans="1:7" ht="18" customHeight="1" x14ac:dyDescent="0.35">
      <c r="A36" s="114"/>
      <c r="B36" s="118"/>
      <c r="C36" s="118"/>
      <c r="D36" s="118"/>
      <c r="E36" s="118"/>
      <c r="F36" s="118"/>
      <c r="G36" s="118"/>
    </row>
    <row r="37" spans="1:7" ht="18" customHeight="1" x14ac:dyDescent="0.35">
      <c r="A37" s="220" t="s">
        <v>176</v>
      </c>
      <c r="B37" s="122" t="s">
        <v>180</v>
      </c>
      <c r="C37" s="184">
        <f>+'1T'!F39</f>
        <v>621326302</v>
      </c>
      <c r="D37" s="184">
        <f>+'2T'!F39</f>
        <v>917147892</v>
      </c>
      <c r="E37" s="184">
        <f>+'3T'!F39</f>
        <v>908868926</v>
      </c>
      <c r="F37" s="184">
        <f>+'4T'!F39</f>
        <v>988643880</v>
      </c>
      <c r="G37" s="184">
        <f>+SUM(C37:F37)</f>
        <v>3435987000</v>
      </c>
    </row>
    <row r="38" spans="1:7" ht="18" customHeight="1" x14ac:dyDescent="0.35">
      <c r="A38" s="220"/>
      <c r="B38" s="122" t="s">
        <v>181</v>
      </c>
      <c r="C38" s="184">
        <f>+'1T'!F40</f>
        <v>332572122</v>
      </c>
      <c r="D38" s="184">
        <f>+'2T'!F40</f>
        <v>51289204</v>
      </c>
      <c r="E38" s="184">
        <f>+'3T'!F40</f>
        <v>45231424</v>
      </c>
      <c r="F38" s="184">
        <f>+'4T'!F40</f>
        <v>64616320</v>
      </c>
      <c r="G38" s="184">
        <f t="shared" ref="G38:G44" si="2">+SUM(C38:F38)</f>
        <v>493709070</v>
      </c>
    </row>
    <row r="39" spans="1:7" ht="18" customHeight="1" x14ac:dyDescent="0.35">
      <c r="A39" s="220" t="s">
        <v>177</v>
      </c>
      <c r="B39" s="122" t="s">
        <v>180</v>
      </c>
      <c r="C39" s="184">
        <f>+'1T'!F41</f>
        <v>222682890</v>
      </c>
      <c r="D39" s="184">
        <f>+'2T'!F41</f>
        <v>323160770</v>
      </c>
      <c r="E39" s="184">
        <f>+'3T'!F41</f>
        <v>325987720</v>
      </c>
      <c r="F39" s="184">
        <f>+'4T'!F41</f>
        <v>387292150</v>
      </c>
      <c r="G39" s="184">
        <f t="shared" si="2"/>
        <v>1259123530</v>
      </c>
    </row>
    <row r="40" spans="1:7" ht="18" customHeight="1" x14ac:dyDescent="0.35">
      <c r="A40" s="220"/>
      <c r="B40" s="122" t="s">
        <v>181</v>
      </c>
      <c r="C40" s="184">
        <f>+'1T'!F42</f>
        <v>116954960</v>
      </c>
      <c r="D40" s="184">
        <f>+'2T'!F42</f>
        <v>21000200</v>
      </c>
      <c r="E40" s="184">
        <f>+'3T'!F42</f>
        <v>18819410</v>
      </c>
      <c r="F40" s="184">
        <f>+'4T'!F42</f>
        <v>22696370</v>
      </c>
      <c r="G40" s="184">
        <f t="shared" si="2"/>
        <v>179470940</v>
      </c>
    </row>
    <row r="41" spans="1:7" ht="18" customHeight="1" x14ac:dyDescent="0.35">
      <c r="A41" s="220" t="s">
        <v>178</v>
      </c>
      <c r="B41" s="122" t="s">
        <v>180</v>
      </c>
      <c r="C41" s="184">
        <f>+'1T'!F43</f>
        <v>1176848974.0799999</v>
      </c>
      <c r="D41" s="184">
        <f>+'2T'!F43</f>
        <v>1802874213.7399998</v>
      </c>
      <c r="E41" s="184">
        <f>+'3T'!F43</f>
        <v>1762511708.7400002</v>
      </c>
      <c r="F41" s="184">
        <f>+'4T'!F43</f>
        <v>1731726810</v>
      </c>
      <c r="G41" s="184">
        <f t="shared" si="2"/>
        <v>6473961706.5599995</v>
      </c>
    </row>
    <row r="42" spans="1:7" ht="18" customHeight="1" x14ac:dyDescent="0.35">
      <c r="A42" s="220"/>
      <c r="B42" s="122" t="s">
        <v>181</v>
      </c>
      <c r="C42" s="184">
        <f>+'1T'!F44</f>
        <v>665951298.15999997</v>
      </c>
      <c r="D42" s="184">
        <f>+'2T'!F44</f>
        <v>62700688</v>
      </c>
      <c r="E42" s="184">
        <f>+'3T'!F44</f>
        <v>200482305.36000001</v>
      </c>
      <c r="F42" s="184">
        <f>+'4T'!F44</f>
        <v>116981861.09999999</v>
      </c>
      <c r="G42" s="184">
        <f t="shared" si="2"/>
        <v>1046116152.62</v>
      </c>
    </row>
    <row r="43" spans="1:7" ht="15" customHeight="1" x14ac:dyDescent="0.35">
      <c r="A43" s="220" t="s">
        <v>179</v>
      </c>
      <c r="B43" s="122" t="s">
        <v>180</v>
      </c>
      <c r="C43" s="184">
        <f>+'1T'!F45</f>
        <v>214964000</v>
      </c>
      <c r="D43" s="184">
        <f>+'2T'!F45</f>
        <v>993600000</v>
      </c>
      <c r="E43" s="184">
        <f>+'3T'!F45</f>
        <v>1292624000</v>
      </c>
      <c r="F43" s="184">
        <f>+'4T'!F45</f>
        <v>3179227289</v>
      </c>
      <c r="G43" s="184">
        <f t="shared" si="2"/>
        <v>5680415289</v>
      </c>
    </row>
    <row r="44" spans="1:7" ht="15" customHeight="1" x14ac:dyDescent="0.35">
      <c r="A44" s="256"/>
      <c r="B44" s="130" t="s">
        <v>181</v>
      </c>
      <c r="C44" s="185">
        <f>+'1T'!F46</f>
        <v>453652000</v>
      </c>
      <c r="D44" s="185">
        <f>+'2T'!F46</f>
        <v>41800000</v>
      </c>
      <c r="E44" s="185">
        <f>+'3T'!F46</f>
        <v>73100000</v>
      </c>
      <c r="F44" s="185">
        <f>+'4T'!F46</f>
        <v>45478000</v>
      </c>
      <c r="G44" s="185">
        <f t="shared" si="2"/>
        <v>614030000</v>
      </c>
    </row>
    <row r="45" spans="1:7" ht="18" customHeight="1" x14ac:dyDescent="0.35">
      <c r="A45" s="140" t="s">
        <v>43</v>
      </c>
      <c r="B45" s="112"/>
      <c r="C45" s="112"/>
      <c r="D45" s="112"/>
    </row>
    <row r="46" spans="1:7" ht="45" customHeight="1" x14ac:dyDescent="0.35">
      <c r="A46" s="213" t="s">
        <v>162</v>
      </c>
      <c r="B46" s="213"/>
      <c r="C46" s="213"/>
      <c r="D46" s="213"/>
      <c r="E46" s="213"/>
      <c r="F46" s="213"/>
      <c r="G46" s="213"/>
    </row>
    <row r="47" spans="1:7" ht="18" customHeight="1" x14ac:dyDescent="0.35"/>
    <row r="49" spans="1:7" ht="21" customHeight="1" x14ac:dyDescent="0.35">
      <c r="A49" s="214" t="s">
        <v>160</v>
      </c>
      <c r="B49" s="214"/>
      <c r="C49" s="214"/>
      <c r="D49" s="214"/>
      <c r="E49" s="214"/>
      <c r="F49" s="214"/>
      <c r="G49" s="214"/>
    </row>
    <row r="50" spans="1:7" ht="9.9" customHeight="1" x14ac:dyDescent="0.35">
      <c r="A50" s="36"/>
      <c r="B50" s="36"/>
      <c r="C50" s="36"/>
      <c r="D50" s="36"/>
      <c r="E50" s="36"/>
      <c r="F50" s="36"/>
    </row>
    <row r="51" spans="1:7" x14ac:dyDescent="0.35">
      <c r="A51" s="209" t="s">
        <v>73</v>
      </c>
      <c r="B51" s="209"/>
      <c r="C51" s="209"/>
      <c r="D51" s="209"/>
      <c r="E51" s="209"/>
      <c r="F51" s="209"/>
      <c r="G51" s="209"/>
    </row>
    <row r="52" spans="1:7" ht="17.25" customHeight="1" x14ac:dyDescent="0.35">
      <c r="A52" s="216" t="s">
        <v>74</v>
      </c>
      <c r="B52" s="216"/>
      <c r="C52" s="216"/>
      <c r="D52" s="216"/>
      <c r="E52" s="216"/>
      <c r="F52" s="216"/>
      <c r="G52" s="216"/>
    </row>
    <row r="53" spans="1:7" x14ac:dyDescent="0.35">
      <c r="A53" s="209" t="s">
        <v>52</v>
      </c>
      <c r="B53" s="209"/>
      <c r="C53" s="209"/>
      <c r="D53" s="209"/>
      <c r="E53" s="209"/>
      <c r="F53" s="209"/>
      <c r="G53" s="209"/>
    </row>
    <row r="54" spans="1:7" ht="9.9" customHeight="1" x14ac:dyDescent="0.35">
      <c r="A54" s="36"/>
      <c r="B54" s="36"/>
      <c r="C54" s="36"/>
      <c r="D54" s="36"/>
      <c r="E54" s="36"/>
      <c r="F54" s="36"/>
    </row>
    <row r="55" spans="1:7" x14ac:dyDescent="0.35">
      <c r="A55" s="68" t="s">
        <v>55</v>
      </c>
      <c r="B55" s="68" t="s">
        <v>56</v>
      </c>
      <c r="C55" s="68" t="s">
        <v>95</v>
      </c>
      <c r="D55" s="68" t="s">
        <v>96</v>
      </c>
      <c r="E55" s="68" t="s">
        <v>98</v>
      </c>
      <c r="F55" s="68" t="s">
        <v>100</v>
      </c>
      <c r="G55" s="68" t="s">
        <v>13</v>
      </c>
    </row>
    <row r="56" spans="1:7" x14ac:dyDescent="0.35">
      <c r="A56" s="134" t="s">
        <v>16</v>
      </c>
      <c r="B56" s="49"/>
      <c r="C56" s="35">
        <f>+C58+C62</f>
        <v>4721209956.25</v>
      </c>
      <c r="D56" s="35">
        <f>+D58+D62</f>
        <v>4532375186.1400108</v>
      </c>
      <c r="E56" s="35">
        <f>+E58+E62</f>
        <v>4857004150.25</v>
      </c>
      <c r="F56" s="35">
        <f>+F58+F62</f>
        <v>5072224395.54</v>
      </c>
      <c r="G56" s="35">
        <f>+G58+G62</f>
        <v>19182813688.180012</v>
      </c>
    </row>
    <row r="57" spans="1:7" x14ac:dyDescent="0.35">
      <c r="A57" s="13"/>
      <c r="B57" s="50"/>
      <c r="C57" s="14"/>
      <c r="D57" s="14"/>
      <c r="E57" s="14"/>
      <c r="F57" s="14"/>
      <c r="G57" s="51"/>
    </row>
    <row r="58" spans="1:7" x14ac:dyDescent="0.35">
      <c r="A58" s="210" t="s">
        <v>75</v>
      </c>
      <c r="B58" s="210"/>
      <c r="C58" s="53">
        <f>+SUM(C59:C61)</f>
        <v>4721209956.25</v>
      </c>
      <c r="D58" s="53">
        <f t="shared" ref="D58:F58" si="3">+SUM(D59:D61)</f>
        <v>4532375186.1400108</v>
      </c>
      <c r="E58" s="53">
        <f t="shared" si="3"/>
        <v>4857004150.25</v>
      </c>
      <c r="F58" s="53">
        <f t="shared" si="3"/>
        <v>5072224395.54</v>
      </c>
      <c r="G58" s="53">
        <f>+SUM(G59:G61)</f>
        <v>19182813688.180012</v>
      </c>
    </row>
    <row r="59" spans="1:7" x14ac:dyDescent="0.35">
      <c r="A59" s="54" t="s">
        <v>59</v>
      </c>
      <c r="B59" s="50" t="s">
        <v>53</v>
      </c>
      <c r="C59" s="15">
        <f>+'1T'!F105</f>
        <v>204381066.25</v>
      </c>
      <c r="D59" s="15">
        <f>+'2T'!F104</f>
        <v>204381066.25</v>
      </c>
      <c r="E59" s="15">
        <f>+'3T'!F104</f>
        <v>204381066.25</v>
      </c>
      <c r="F59" s="15">
        <f>+'4T'!F104</f>
        <v>73746492.430000007</v>
      </c>
      <c r="G59" s="93">
        <f>+C59+D59+E59+F59</f>
        <v>686889691.18000007</v>
      </c>
    </row>
    <row r="60" spans="1:7" x14ac:dyDescent="0.35">
      <c r="A60" s="54" t="s">
        <v>59</v>
      </c>
      <c r="B60" s="50" t="s">
        <v>53</v>
      </c>
      <c r="C60" s="15">
        <f>+'1T'!F106</f>
        <v>4370370492</v>
      </c>
      <c r="D60" s="15">
        <f>+'2T'!F105</f>
        <v>4181535721.8900108</v>
      </c>
      <c r="E60" s="15">
        <f>+'3T'!F105</f>
        <v>4506164686</v>
      </c>
      <c r="F60" s="15">
        <f>+'4T'!F105</f>
        <v>4831948395.1099997</v>
      </c>
      <c r="G60" s="93">
        <f>+C60+D60+E60+F60</f>
        <v>17890019295.000011</v>
      </c>
    </row>
    <row r="61" spans="1:7" x14ac:dyDescent="0.35">
      <c r="A61" s="54" t="s">
        <v>59</v>
      </c>
      <c r="B61" s="50" t="s">
        <v>53</v>
      </c>
      <c r="C61" s="15">
        <f>+'1T'!F107</f>
        <v>146458398</v>
      </c>
      <c r="D61" s="15">
        <f>+'2T'!F106</f>
        <v>146458398</v>
      </c>
      <c r="E61" s="15">
        <f>+'3T'!F106</f>
        <v>146458398</v>
      </c>
      <c r="F61" s="15">
        <f>+'4T'!F106</f>
        <v>166529508</v>
      </c>
      <c r="G61" s="93">
        <f>+C61+D61+E61+F61</f>
        <v>605904702</v>
      </c>
    </row>
    <row r="62" spans="1:7" x14ac:dyDescent="0.35">
      <c r="A62" s="210" t="s">
        <v>76</v>
      </c>
      <c r="B62" s="210"/>
      <c r="C62" s="53">
        <f>+SUM(C63:C64)</f>
        <v>0</v>
      </c>
      <c r="D62" s="53">
        <f>+SUM(D63:D64)</f>
        <v>0</v>
      </c>
      <c r="E62" s="53">
        <f>+SUM(E63:E64)</f>
        <v>0</v>
      </c>
      <c r="F62" s="53">
        <f>+SUM(F63:F64)</f>
        <v>0</v>
      </c>
      <c r="G62" s="53">
        <f>+SUM(G63:G64)</f>
        <v>0</v>
      </c>
    </row>
    <row r="63" spans="1:7" x14ac:dyDescent="0.35">
      <c r="A63" s="54" t="s">
        <v>59</v>
      </c>
      <c r="B63" s="50" t="s">
        <v>53</v>
      </c>
      <c r="C63" s="56">
        <f>+'1T'!F109</f>
        <v>0</v>
      </c>
      <c r="D63" s="56">
        <f>+'2T'!F108</f>
        <v>0</v>
      </c>
      <c r="E63" s="56">
        <f>+'3T'!F108</f>
        <v>0</v>
      </c>
      <c r="F63" s="56">
        <f>+'4T'!F108</f>
        <v>0</v>
      </c>
      <c r="G63" s="94">
        <f>+C63+D63+E63+F63</f>
        <v>0</v>
      </c>
    </row>
    <row r="64" spans="1:7" x14ac:dyDescent="0.35">
      <c r="A64" s="54" t="s">
        <v>59</v>
      </c>
      <c r="B64" s="50" t="s">
        <v>53</v>
      </c>
      <c r="C64" s="56">
        <f>+'1T'!F110</f>
        <v>0</v>
      </c>
      <c r="D64" s="56">
        <f>+'2T'!F109</f>
        <v>0</v>
      </c>
      <c r="E64" s="56">
        <f>+'3T'!F109</f>
        <v>0</v>
      </c>
      <c r="F64" s="95">
        <f>+'4T'!F109</f>
        <v>0</v>
      </c>
      <c r="G64" s="96">
        <f>+C64+D64+E64+F64</f>
        <v>0</v>
      </c>
    </row>
    <row r="65" spans="1:7" x14ac:dyDescent="0.35">
      <c r="A65" s="223" t="s">
        <v>43</v>
      </c>
      <c r="B65" s="223"/>
      <c r="C65" s="223"/>
      <c r="D65" s="223"/>
      <c r="E65" s="223"/>
      <c r="F65" s="36"/>
    </row>
    <row r="66" spans="1:7" ht="50.1" customHeight="1" x14ac:dyDescent="0.35">
      <c r="A66" s="274" t="s">
        <v>161</v>
      </c>
      <c r="B66" s="275"/>
      <c r="C66" s="275"/>
      <c r="D66" s="275"/>
      <c r="E66" s="275"/>
      <c r="F66" s="275"/>
      <c r="G66" s="275"/>
    </row>
    <row r="67" spans="1:7" ht="9.9" customHeight="1" x14ac:dyDescent="0.35">
      <c r="A67" s="25"/>
      <c r="B67" s="48"/>
      <c r="C67" s="24"/>
      <c r="D67" s="36"/>
      <c r="E67" s="36"/>
      <c r="F67" s="36"/>
    </row>
    <row r="68" spans="1:7" x14ac:dyDescent="0.35">
      <c r="A68" s="209" t="s">
        <v>77</v>
      </c>
      <c r="B68" s="209"/>
      <c r="C68" s="209"/>
      <c r="D68" s="209"/>
      <c r="E68" s="209"/>
      <c r="F68" s="209"/>
      <c r="G68" s="209"/>
    </row>
    <row r="69" spans="1:7" ht="17.25" customHeight="1" x14ac:dyDescent="0.35">
      <c r="A69" s="216" t="s">
        <v>54</v>
      </c>
      <c r="B69" s="216"/>
      <c r="C69" s="216"/>
      <c r="D69" s="216"/>
      <c r="E69" s="216"/>
      <c r="F69" s="216"/>
      <c r="G69" s="216"/>
    </row>
    <row r="70" spans="1:7" x14ac:dyDescent="0.35">
      <c r="A70" s="209" t="s">
        <v>52</v>
      </c>
      <c r="B70" s="209"/>
      <c r="C70" s="209"/>
      <c r="D70" s="209"/>
      <c r="E70" s="209"/>
      <c r="F70" s="209"/>
      <c r="G70" s="209"/>
    </row>
    <row r="72" spans="1:7" x14ac:dyDescent="0.35">
      <c r="A72" s="68" t="s">
        <v>55</v>
      </c>
      <c r="B72" s="68" t="s">
        <v>56</v>
      </c>
      <c r="C72" s="68" t="s">
        <v>95</v>
      </c>
      <c r="D72" s="68" t="s">
        <v>96</v>
      </c>
      <c r="E72" s="68" t="s">
        <v>98</v>
      </c>
      <c r="F72" s="68" t="s">
        <v>101</v>
      </c>
      <c r="G72" s="68" t="s">
        <v>13</v>
      </c>
    </row>
    <row r="73" spans="1:7" x14ac:dyDescent="0.35">
      <c r="A73" s="134" t="s">
        <v>16</v>
      </c>
      <c r="B73" s="49"/>
      <c r="C73" s="35">
        <f>+C75+C82+C89</f>
        <v>3804952546.2399998</v>
      </c>
      <c r="D73" s="35">
        <f t="shared" ref="D73:E73" si="4">+D75+D82+D89</f>
        <v>4213572967.7399998</v>
      </c>
      <c r="E73" s="35">
        <f t="shared" si="4"/>
        <v>4627625494.1000004</v>
      </c>
      <c r="F73" s="35">
        <f>+F75+F82+F89</f>
        <v>6536662680.1000004</v>
      </c>
      <c r="G73" s="35">
        <f>+G75+G82+G89</f>
        <v>19182813688.18</v>
      </c>
    </row>
    <row r="74" spans="1:7" x14ac:dyDescent="0.35">
      <c r="A74" s="13"/>
      <c r="B74" s="50"/>
      <c r="C74" s="14"/>
      <c r="D74" s="14"/>
      <c r="E74" s="14"/>
      <c r="F74" s="51"/>
      <c r="G74" s="51"/>
    </row>
    <row r="75" spans="1:7" x14ac:dyDescent="0.35">
      <c r="A75" s="210" t="s">
        <v>58</v>
      </c>
      <c r="B75" s="210"/>
      <c r="C75" s="53">
        <f>+SUM(C76:C80)</f>
        <v>3804952546.2399998</v>
      </c>
      <c r="D75" s="53">
        <f t="shared" ref="D75:E75" si="5">+SUM(D76:D80)</f>
        <v>4213572967.7399998</v>
      </c>
      <c r="E75" s="53">
        <f t="shared" si="5"/>
        <v>4627625494.1000004</v>
      </c>
      <c r="F75" s="53">
        <f>+SUM(F76:F80)</f>
        <v>6536662680.1000004</v>
      </c>
      <c r="G75" s="53">
        <f>+SUM(G76:G80)</f>
        <v>19182813688.18</v>
      </c>
    </row>
    <row r="76" spans="1:7" x14ac:dyDescent="0.35">
      <c r="A76" s="54" t="s">
        <v>59</v>
      </c>
      <c r="B76" s="50" t="s">
        <v>53</v>
      </c>
      <c r="C76" s="15">
        <f>+'1T'!F122</f>
        <v>145571112.24000001</v>
      </c>
      <c r="D76" s="15">
        <f>+'2T'!F121</f>
        <v>185004365.74000001</v>
      </c>
      <c r="E76" s="15">
        <f>+'3T'!F121</f>
        <v>222908088.09999999</v>
      </c>
      <c r="F76" s="15">
        <f>+'4T'!F121</f>
        <v>133406125.09999999</v>
      </c>
      <c r="G76" s="93">
        <f>+C76+D76+E76+F76</f>
        <v>686889691.18000007</v>
      </c>
    </row>
    <row r="77" spans="1:7" x14ac:dyDescent="0.35">
      <c r="A77" s="54" t="s">
        <v>59</v>
      </c>
      <c r="B77" s="50" t="s">
        <v>53</v>
      </c>
      <c r="C77" s="15">
        <f>+'1T'!F123</f>
        <v>3527330816</v>
      </c>
      <c r="D77" s="15">
        <f>+'2T'!F122</f>
        <v>3894987092</v>
      </c>
      <c r="E77" s="15">
        <f>+'3T'!F122</f>
        <v>4270628268</v>
      </c>
      <c r="F77" s="15">
        <f>+'4T'!F122</f>
        <v>6197073119</v>
      </c>
      <c r="G77" s="93">
        <f t="shared" ref="G77:G80" si="6">+C77+D77+E77+F77</f>
        <v>17890019295</v>
      </c>
    </row>
    <row r="78" spans="1:7" x14ac:dyDescent="0.35">
      <c r="A78" s="54" t="s">
        <v>59</v>
      </c>
      <c r="B78" s="50" t="s">
        <v>53</v>
      </c>
      <c r="C78" s="15">
        <f>+'1T'!F124</f>
        <v>132050618</v>
      </c>
      <c r="D78" s="15">
        <f>+'2T'!F123</f>
        <v>133581510</v>
      </c>
      <c r="E78" s="15">
        <f>+'3T'!F123</f>
        <v>134089138</v>
      </c>
      <c r="F78" s="15">
        <f>+'4T'!F123</f>
        <v>206183436</v>
      </c>
      <c r="G78" s="93">
        <f t="shared" si="6"/>
        <v>605904702</v>
      </c>
    </row>
    <row r="79" spans="1:7" x14ac:dyDescent="0.35">
      <c r="A79" s="54" t="s">
        <v>59</v>
      </c>
      <c r="B79" s="50" t="s">
        <v>53</v>
      </c>
      <c r="C79" s="15">
        <f>+'1T'!F125</f>
        <v>0</v>
      </c>
      <c r="D79" s="15">
        <f>+'2T'!F124</f>
        <v>0</v>
      </c>
      <c r="E79" s="15">
        <f>+'3T'!F124</f>
        <v>0</v>
      </c>
      <c r="F79" s="15">
        <f>+'4T'!F124</f>
        <v>0</v>
      </c>
      <c r="G79" s="93">
        <f t="shared" si="6"/>
        <v>0</v>
      </c>
    </row>
    <row r="80" spans="1:7" x14ac:dyDescent="0.35">
      <c r="A80" s="54" t="s">
        <v>59</v>
      </c>
      <c r="B80" s="50" t="s">
        <v>53</v>
      </c>
      <c r="C80" s="15">
        <f>+'1T'!F126</f>
        <v>0</v>
      </c>
      <c r="D80" s="15">
        <f>+'2T'!F125</f>
        <v>0</v>
      </c>
      <c r="E80" s="15">
        <f>+'3T'!F125</f>
        <v>0</v>
      </c>
      <c r="F80" s="15">
        <f>+'4T'!F125</f>
        <v>0</v>
      </c>
      <c r="G80" s="93">
        <f t="shared" si="6"/>
        <v>0</v>
      </c>
    </row>
    <row r="81" spans="1:7" x14ac:dyDescent="0.35">
      <c r="A81" s="136"/>
      <c r="B81" s="50"/>
      <c r="C81" s="15"/>
      <c r="D81" s="15"/>
      <c r="E81" s="15"/>
      <c r="F81" s="93"/>
      <c r="G81" s="93"/>
    </row>
    <row r="82" spans="1:7" x14ac:dyDescent="0.35">
      <c r="A82" s="210" t="s">
        <v>60</v>
      </c>
      <c r="B82" s="210"/>
      <c r="C82" s="53">
        <f>+SUM(C83:C87)</f>
        <v>0</v>
      </c>
      <c r="D82" s="53">
        <f t="shared" ref="D82:F82" si="7">+SUM(D83:D87)</f>
        <v>0</v>
      </c>
      <c r="E82" s="53">
        <f t="shared" si="7"/>
        <v>0</v>
      </c>
      <c r="F82" s="53">
        <f t="shared" si="7"/>
        <v>0</v>
      </c>
      <c r="G82" s="53">
        <f>+SUM(G83:G87)</f>
        <v>0</v>
      </c>
    </row>
    <row r="83" spans="1:7" x14ac:dyDescent="0.35">
      <c r="A83" s="54" t="s">
        <v>59</v>
      </c>
      <c r="B83" s="50" t="s">
        <v>53</v>
      </c>
      <c r="C83" s="56">
        <f>+'1T'!F129</f>
        <v>0</v>
      </c>
      <c r="D83" s="56">
        <f>+'2T'!F128</f>
        <v>0</v>
      </c>
      <c r="E83" s="56">
        <f>+'3T'!F128</f>
        <v>0</v>
      </c>
      <c r="F83" s="56">
        <f>+'4T'!F128</f>
        <v>0</v>
      </c>
      <c r="G83" s="94">
        <f>+C83+D83+E83+F83</f>
        <v>0</v>
      </c>
    </row>
    <row r="84" spans="1:7" x14ac:dyDescent="0.35">
      <c r="A84" s="54" t="s">
        <v>59</v>
      </c>
      <c r="B84" s="50" t="s">
        <v>53</v>
      </c>
      <c r="C84" s="56">
        <f>+'1T'!F130</f>
        <v>0</v>
      </c>
      <c r="D84" s="56">
        <f>+'2T'!F129</f>
        <v>0</v>
      </c>
      <c r="E84" s="56">
        <f>+'3T'!F129</f>
        <v>0</v>
      </c>
      <c r="F84" s="56">
        <f>+'4T'!F129</f>
        <v>0</v>
      </c>
      <c r="G84" s="94">
        <f t="shared" ref="G84:G87" si="8">+C84+D84+E84+F84</f>
        <v>0</v>
      </c>
    </row>
    <row r="85" spans="1:7" x14ac:dyDescent="0.35">
      <c r="A85" s="54" t="s">
        <v>59</v>
      </c>
      <c r="B85" s="50" t="s">
        <v>53</v>
      </c>
      <c r="C85" s="56">
        <f>+'1T'!F131</f>
        <v>0</v>
      </c>
      <c r="D85" s="56">
        <f>+'2T'!F130</f>
        <v>0</v>
      </c>
      <c r="E85" s="56">
        <f>+'3T'!F130</f>
        <v>0</v>
      </c>
      <c r="F85" s="56">
        <f>+'4T'!F130</f>
        <v>0</v>
      </c>
      <c r="G85" s="94">
        <f t="shared" si="8"/>
        <v>0</v>
      </c>
    </row>
    <row r="86" spans="1:7" x14ac:dyDescent="0.35">
      <c r="A86" s="54" t="s">
        <v>59</v>
      </c>
      <c r="B86" s="50" t="s">
        <v>53</v>
      </c>
      <c r="C86" s="56">
        <f>+'1T'!F132</f>
        <v>0</v>
      </c>
      <c r="D86" s="56">
        <f>+'2T'!F131</f>
        <v>0</v>
      </c>
      <c r="E86" s="56">
        <f>+'3T'!F131</f>
        <v>0</v>
      </c>
      <c r="F86" s="56">
        <f>+'4T'!F131</f>
        <v>0</v>
      </c>
      <c r="G86" s="94">
        <f t="shared" si="8"/>
        <v>0</v>
      </c>
    </row>
    <row r="87" spans="1:7" x14ac:dyDescent="0.35">
      <c r="A87" s="54" t="s">
        <v>59</v>
      </c>
      <c r="B87" s="50" t="s">
        <v>53</v>
      </c>
      <c r="C87" s="56">
        <f>+'1T'!F133</f>
        <v>0</v>
      </c>
      <c r="D87" s="56">
        <f>+'2T'!F132</f>
        <v>0</v>
      </c>
      <c r="E87" s="56">
        <f>+'3T'!F132</f>
        <v>0</v>
      </c>
      <c r="F87" s="56">
        <f>+'4T'!F132</f>
        <v>0</v>
      </c>
      <c r="G87" s="94">
        <f t="shared" si="8"/>
        <v>0</v>
      </c>
    </row>
    <row r="88" spans="1:7" x14ac:dyDescent="0.35">
      <c r="A88" s="36"/>
      <c r="B88" s="36"/>
      <c r="C88" s="40"/>
      <c r="D88" s="40"/>
      <c r="E88" s="40"/>
      <c r="F88" s="40"/>
      <c r="G88" s="40"/>
    </row>
    <row r="89" spans="1:7" x14ac:dyDescent="0.35">
      <c r="A89" s="210" t="s">
        <v>61</v>
      </c>
      <c r="B89" s="210"/>
      <c r="C89" s="53">
        <f>+SUM(C90:C91)</f>
        <v>0</v>
      </c>
      <c r="D89" s="53">
        <f t="shared" ref="D89:E89" si="9">+SUM(D90:D91)</f>
        <v>0</v>
      </c>
      <c r="E89" s="53">
        <f t="shared" si="9"/>
        <v>0</v>
      </c>
      <c r="F89" s="53">
        <f>+SUM(F90:F91)</f>
        <v>0</v>
      </c>
      <c r="G89" s="53">
        <f>+SUM(G90:G91)</f>
        <v>0</v>
      </c>
    </row>
    <row r="90" spans="1:7" x14ac:dyDescent="0.35">
      <c r="A90" s="75" t="s">
        <v>59</v>
      </c>
      <c r="B90" s="50" t="s">
        <v>53</v>
      </c>
      <c r="C90" s="56">
        <f>+'1T'!F136</f>
        <v>0</v>
      </c>
      <c r="D90" s="56">
        <f>+'2T'!F135</f>
        <v>0</v>
      </c>
      <c r="E90" s="56">
        <f>+'3T'!F135</f>
        <v>0</v>
      </c>
      <c r="F90" s="56">
        <f>+'4T'!F135</f>
        <v>0</v>
      </c>
      <c r="G90" s="97">
        <f>+C90+D90+E90+F90</f>
        <v>0</v>
      </c>
    </row>
    <row r="91" spans="1:7" x14ac:dyDescent="0.35">
      <c r="A91" s="47" t="s">
        <v>59</v>
      </c>
      <c r="B91" s="47" t="s">
        <v>53</v>
      </c>
      <c r="C91" s="95">
        <f>+'1T'!F137</f>
        <v>0</v>
      </c>
      <c r="D91" s="95">
        <f>+'2T'!F136</f>
        <v>0</v>
      </c>
      <c r="E91" s="95">
        <f>+'3T'!F136</f>
        <v>0</v>
      </c>
      <c r="F91" s="95">
        <f>+'4T'!F136</f>
        <v>0</v>
      </c>
      <c r="G91" s="96">
        <f>+C91+D91+E91+F91</f>
        <v>0</v>
      </c>
    </row>
    <row r="92" spans="1:7" x14ac:dyDescent="0.35">
      <c r="A92" s="211" t="s">
        <v>62</v>
      </c>
      <c r="B92" s="211"/>
      <c r="C92" s="211"/>
      <c r="D92" s="211"/>
      <c r="E92" s="211"/>
      <c r="F92" s="211"/>
    </row>
    <row r="93" spans="1:7" x14ac:dyDescent="0.35">
      <c r="A93" s="259" t="s">
        <v>43</v>
      </c>
      <c r="B93" s="259"/>
      <c r="C93" s="259"/>
      <c r="D93" s="259"/>
      <c r="E93" s="259"/>
      <c r="F93" s="259"/>
    </row>
    <row r="94" spans="1:7" x14ac:dyDescent="0.35">
      <c r="A94" s="54"/>
      <c r="B94" s="50"/>
      <c r="C94" s="36"/>
      <c r="D94" s="36"/>
      <c r="E94" s="36"/>
      <c r="F94" s="36"/>
    </row>
    <row r="95" spans="1:7" x14ac:dyDescent="0.35">
      <c r="A95" s="209" t="s">
        <v>79</v>
      </c>
      <c r="B95" s="209"/>
      <c r="C95" s="209"/>
      <c r="D95" s="209"/>
      <c r="E95" s="209"/>
      <c r="F95" s="209"/>
    </row>
    <row r="96" spans="1:7" x14ac:dyDescent="0.35">
      <c r="A96" s="209" t="s">
        <v>80</v>
      </c>
      <c r="B96" s="209"/>
      <c r="C96" s="209"/>
      <c r="D96" s="209"/>
      <c r="E96" s="209"/>
      <c r="F96" s="209"/>
    </row>
    <row r="97" spans="1:7" x14ac:dyDescent="0.35">
      <c r="A97" s="209" t="s">
        <v>52</v>
      </c>
      <c r="B97" s="209"/>
      <c r="C97" s="209"/>
      <c r="D97" s="209"/>
      <c r="E97" s="209"/>
      <c r="F97" s="209"/>
    </row>
    <row r="98" spans="1:7" x14ac:dyDescent="0.35">
      <c r="A98" s="89"/>
      <c r="B98" s="90"/>
      <c r="C98" s="90"/>
      <c r="D98" s="90"/>
      <c r="E98" s="90"/>
      <c r="F98" s="36"/>
    </row>
    <row r="99" spans="1:7" x14ac:dyDescent="0.35">
      <c r="A99" s="68" t="s">
        <v>78</v>
      </c>
      <c r="B99" s="68" t="s">
        <v>95</v>
      </c>
      <c r="C99" s="68" t="s">
        <v>96</v>
      </c>
      <c r="D99" s="68" t="s">
        <v>98</v>
      </c>
      <c r="E99" s="68" t="s">
        <v>100</v>
      </c>
      <c r="F99" s="68" t="s">
        <v>13</v>
      </c>
    </row>
    <row r="100" spans="1:7" x14ac:dyDescent="0.35">
      <c r="A100" s="105" t="s">
        <v>82</v>
      </c>
      <c r="B100" s="61">
        <f>+B101</f>
        <v>0</v>
      </c>
      <c r="C100" s="61">
        <f t="shared" ref="C100:D100" si="10">+B110</f>
        <v>916257410.01000023</v>
      </c>
      <c r="D100" s="61">
        <f t="shared" si="10"/>
        <v>1235059628.4100113</v>
      </c>
      <c r="E100" s="61">
        <f t="shared" ref="E100" si="11">+D110</f>
        <v>1464438284.5600109</v>
      </c>
      <c r="F100" s="61">
        <f>+B100</f>
        <v>0</v>
      </c>
    </row>
    <row r="101" spans="1:7" x14ac:dyDescent="0.35">
      <c r="A101" s="106" t="s">
        <v>83</v>
      </c>
      <c r="B101" s="26">
        <f>+'1T'!E148</f>
        <v>0</v>
      </c>
      <c r="C101" s="26">
        <f>+'2T'!E147</f>
        <v>0</v>
      </c>
      <c r="D101" s="26">
        <f>+'3T'!E147</f>
        <v>0</v>
      </c>
      <c r="E101" s="26">
        <f>+'4T'!E147</f>
        <v>0</v>
      </c>
      <c r="F101" s="65">
        <f>+B101+C101+D101+E101</f>
        <v>0</v>
      </c>
    </row>
    <row r="102" spans="1:7" x14ac:dyDescent="0.35">
      <c r="A102" s="106" t="s">
        <v>81</v>
      </c>
      <c r="B102" s="26">
        <f>+'1T'!E149</f>
        <v>4721209956.25</v>
      </c>
      <c r="C102" s="26">
        <f>+'2T'!E148</f>
        <v>916257410.01000023</v>
      </c>
      <c r="D102" s="26">
        <f>+'3T'!E148</f>
        <v>1235059628.4100113</v>
      </c>
      <c r="E102" s="26">
        <f>+'4T'!E148</f>
        <v>1464438284.5600109</v>
      </c>
      <c r="F102" s="65">
        <v>0</v>
      </c>
    </row>
    <row r="103" spans="1:7" x14ac:dyDescent="0.35">
      <c r="A103" s="105" t="s">
        <v>85</v>
      </c>
      <c r="B103" s="61">
        <f>+'1T'!E150</f>
        <v>4721209956.25</v>
      </c>
      <c r="C103" s="61">
        <f>+'2T'!E149</f>
        <v>4532375186.1400108</v>
      </c>
      <c r="D103" s="61">
        <f>+'3T'!E149</f>
        <v>4857004150.25</v>
      </c>
      <c r="E103" s="61">
        <f>+'4T'!E149</f>
        <v>5072224395.539999</v>
      </c>
      <c r="F103" s="61">
        <f>+B103+C103+D103+E103</f>
        <v>19182813688.180008</v>
      </c>
    </row>
    <row r="104" spans="1:7" x14ac:dyDescent="0.35">
      <c r="A104" s="105" t="s">
        <v>147</v>
      </c>
      <c r="B104" s="61">
        <f>+B100+B103</f>
        <v>4721209956.25</v>
      </c>
      <c r="C104" s="61">
        <f>+C100+C103</f>
        <v>5448632596.1500111</v>
      </c>
      <c r="D104" s="61">
        <f>+D100+D103</f>
        <v>6092063778.6600113</v>
      </c>
      <c r="E104" s="61">
        <f>+E100+E103</f>
        <v>6536662680.1000099</v>
      </c>
      <c r="F104" s="61">
        <f>+F100+F103</f>
        <v>19182813688.180008</v>
      </c>
    </row>
    <row r="105" spans="1:7" x14ac:dyDescent="0.35">
      <c r="A105" s="106" t="s">
        <v>83</v>
      </c>
      <c r="B105" s="26">
        <f>+B101</f>
        <v>0</v>
      </c>
      <c r="C105" s="26">
        <f>+C101</f>
        <v>0</v>
      </c>
      <c r="D105" s="26">
        <f>+D101</f>
        <v>0</v>
      </c>
      <c r="E105" s="26">
        <f>+E101</f>
        <v>0</v>
      </c>
      <c r="F105" s="65">
        <f>+B105+C105+D105+E105</f>
        <v>0</v>
      </c>
    </row>
    <row r="106" spans="1:7" x14ac:dyDescent="0.35">
      <c r="A106" s="106" t="s">
        <v>81</v>
      </c>
      <c r="B106" s="26">
        <f>+B103</f>
        <v>4721209956.25</v>
      </c>
      <c r="C106" s="26">
        <f t="shared" ref="C106:E106" si="12">+C103</f>
        <v>4532375186.1400108</v>
      </c>
      <c r="D106" s="26">
        <f t="shared" si="12"/>
        <v>4857004150.25</v>
      </c>
      <c r="E106" s="26">
        <f t="shared" si="12"/>
        <v>5072224395.539999</v>
      </c>
      <c r="F106" s="65">
        <f>+B106+C106+D106+E106</f>
        <v>19182813688.180008</v>
      </c>
      <c r="G106" s="179"/>
    </row>
    <row r="107" spans="1:7" x14ac:dyDescent="0.35">
      <c r="A107" s="105" t="s">
        <v>84</v>
      </c>
      <c r="B107" s="61">
        <f>+B108+B109</f>
        <v>3804952546.2399998</v>
      </c>
      <c r="C107" s="61">
        <f>+C108+C109</f>
        <v>4213572967.7399998</v>
      </c>
      <c r="D107" s="61">
        <f>+D108+D109</f>
        <v>4627625494.1000004</v>
      </c>
      <c r="E107" s="61">
        <f>+E108+E109</f>
        <v>6536662680.1000004</v>
      </c>
      <c r="F107" s="61">
        <f>+B107+C107+D107+E107</f>
        <v>19182813688.18</v>
      </c>
    </row>
    <row r="108" spans="1:7" x14ac:dyDescent="0.35">
      <c r="A108" s="106" t="s">
        <v>83</v>
      </c>
      <c r="B108" s="82">
        <f>+'1T'!E155</f>
        <v>0</v>
      </c>
      <c r="C108" s="82">
        <f>+'2T'!E154</f>
        <v>0</v>
      </c>
      <c r="D108" s="82">
        <f>+'3T'!E154</f>
        <v>0</v>
      </c>
      <c r="E108" s="82">
        <f>+'4T'!E154</f>
        <v>0</v>
      </c>
      <c r="F108" s="48">
        <f>+B108+C108+D108+E108</f>
        <v>0</v>
      </c>
    </row>
    <row r="109" spans="1:7" x14ac:dyDescent="0.35">
      <c r="A109" s="106" t="s">
        <v>81</v>
      </c>
      <c r="B109" s="82">
        <f>+'1T'!E156</f>
        <v>3804952546.2399998</v>
      </c>
      <c r="C109" s="82">
        <f>+'2T'!E155</f>
        <v>4213572967.7399998</v>
      </c>
      <c r="D109" s="82">
        <f>+'3T'!E155</f>
        <v>4627625494.1000004</v>
      </c>
      <c r="E109" s="82">
        <f>+'4T'!E155</f>
        <v>6536662680.1000004</v>
      </c>
      <c r="F109" s="48">
        <f>+B109+C109+D109+E109</f>
        <v>19182813688.18</v>
      </c>
    </row>
    <row r="110" spans="1:7" x14ac:dyDescent="0.35">
      <c r="A110" s="105" t="s">
        <v>148</v>
      </c>
      <c r="B110" s="61">
        <f t="shared" ref="B110:F112" si="13">+B104-B107</f>
        <v>916257410.01000023</v>
      </c>
      <c r="C110" s="61">
        <f>+C104-C107</f>
        <v>1235059628.4100113</v>
      </c>
      <c r="D110" s="61">
        <f t="shared" si="13"/>
        <v>1464438284.5600109</v>
      </c>
      <c r="E110" s="61">
        <f t="shared" si="13"/>
        <v>9.5367431640625E-6</v>
      </c>
      <c r="F110" s="61">
        <f t="shared" si="13"/>
        <v>0</v>
      </c>
    </row>
    <row r="111" spans="1:7" x14ac:dyDescent="0.35">
      <c r="A111" s="106" t="s">
        <v>83</v>
      </c>
      <c r="B111" s="82">
        <f>+B105-B108</f>
        <v>0</v>
      </c>
      <c r="C111" s="82">
        <f t="shared" si="13"/>
        <v>0</v>
      </c>
      <c r="D111" s="82">
        <f t="shared" si="13"/>
        <v>0</v>
      </c>
      <c r="E111" s="82">
        <f t="shared" si="13"/>
        <v>0</v>
      </c>
      <c r="F111" s="48">
        <f t="shared" si="13"/>
        <v>0</v>
      </c>
    </row>
    <row r="112" spans="1:7" x14ac:dyDescent="0.35">
      <c r="A112" s="107" t="s">
        <v>81</v>
      </c>
      <c r="B112" s="77">
        <f>+B106-B109</f>
        <v>916257410.01000023</v>
      </c>
      <c r="C112" s="77">
        <f>+C104-C107</f>
        <v>1235059628.4100113</v>
      </c>
      <c r="D112" s="77">
        <f t="shared" ref="D112:E112" si="14">+D104-D107</f>
        <v>1464438284.5600109</v>
      </c>
      <c r="E112" s="77">
        <f t="shared" si="14"/>
        <v>9.5367431640625E-6</v>
      </c>
      <c r="F112" s="62">
        <f t="shared" si="13"/>
        <v>0</v>
      </c>
    </row>
    <row r="113" spans="1:6" x14ac:dyDescent="0.35">
      <c r="A113" s="223" t="s">
        <v>43</v>
      </c>
      <c r="B113" s="223"/>
      <c r="C113" s="223"/>
      <c r="D113" s="223"/>
      <c r="E113" s="36"/>
      <c r="F113" s="36"/>
    </row>
    <row r="114" spans="1:6" x14ac:dyDescent="0.35">
      <c r="A114" s="142"/>
      <c r="B114" s="142"/>
      <c r="C114" s="142"/>
      <c r="D114" s="142"/>
      <c r="E114" s="36"/>
      <c r="F114" s="36"/>
    </row>
  </sheetData>
  <mergeCells count="43">
    <mergeCell ref="A32:F32"/>
    <mergeCell ref="A31:F31"/>
    <mergeCell ref="A8:G8"/>
    <mergeCell ref="A11:G11"/>
    <mergeCell ref="A10:G10"/>
    <mergeCell ref="A28:E28"/>
    <mergeCell ref="A29:G29"/>
    <mergeCell ref="A14:B14"/>
    <mergeCell ref="A46:G46"/>
    <mergeCell ref="A34:B34"/>
    <mergeCell ref="A37:A38"/>
    <mergeCell ref="A39:A40"/>
    <mergeCell ref="A41:A42"/>
    <mergeCell ref="A43:A44"/>
    <mergeCell ref="A16:A18"/>
    <mergeCell ref="A19:A21"/>
    <mergeCell ref="A22:A24"/>
    <mergeCell ref="A25:A27"/>
    <mergeCell ref="C4:E4"/>
    <mergeCell ref="C5:E5"/>
    <mergeCell ref="C6:E6"/>
    <mergeCell ref="A1:G1"/>
    <mergeCell ref="A2:G2"/>
    <mergeCell ref="A93:F93"/>
    <mergeCell ref="A95:F95"/>
    <mergeCell ref="A96:F96"/>
    <mergeCell ref="A70:G70"/>
    <mergeCell ref="A62:B62"/>
    <mergeCell ref="A65:E65"/>
    <mergeCell ref="A66:G66"/>
    <mergeCell ref="A69:G69"/>
    <mergeCell ref="A68:G68"/>
    <mergeCell ref="A58:B58"/>
    <mergeCell ref="A51:G51"/>
    <mergeCell ref="A52:G52"/>
    <mergeCell ref="A53:G53"/>
    <mergeCell ref="A49:G49"/>
    <mergeCell ref="A97:F97"/>
    <mergeCell ref="A113:D113"/>
    <mergeCell ref="A75:B75"/>
    <mergeCell ref="A82:B82"/>
    <mergeCell ref="A89:B89"/>
    <mergeCell ref="A92:F92"/>
  </mergeCells>
  <printOptions horizontalCentered="1"/>
  <pageMargins left="0.70866141732283472" right="0.70866141732283472" top="0.94488188976377963" bottom="0.74803149606299213" header="0.19685039370078741" footer="0.31496062992125984"/>
  <pageSetup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7" max="16383" man="1"/>
  </rowBreaks>
  <ignoredErrors>
    <ignoredError sqref="C14:G18 C26:G27 C19:F25" evalError="1"/>
    <ignoredError sqref="G19:G25" evalError="1"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2024-02-13T16:13:15Z</cp:lastPrinted>
  <dcterms:created xsi:type="dcterms:W3CDTF">2011-10-26T20:29:12Z</dcterms:created>
  <dcterms:modified xsi:type="dcterms:W3CDTF">2025-12-31T03:48:21Z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