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8_{FEE45134-7574-4B1A-93D9-A5B9A2B44A0F}" xr6:coauthVersionLast="47" xr6:coauthVersionMax="47" xr10:uidLastSave="{00000000-0000-0000-0000-000000000000}"/>
  <bookViews>
    <workbookView xWindow="-108" yWindow="-108" windowWidth="23256" windowHeight="13896" tabRatio="698" xr2:uid="{00000000-000D-0000-FFFF-FFFF00000000}"/>
  </bookViews>
  <sheets>
    <sheet name="I T" sheetId="1" r:id="rId1"/>
    <sheet name="II T" sheetId="16" r:id="rId2"/>
    <sheet name="III T" sheetId="17" r:id="rId3"/>
    <sheet name="IV T" sheetId="18" r:id="rId4"/>
    <sheet name="I semestre" sheetId="12" state="hidden" r:id="rId5"/>
    <sheet name="Anual" sheetId="10" r:id="rId6"/>
    <sheet name="2 T no usar" sheetId="3" state="hidden" r:id="rId7"/>
    <sheet name="3 T" sheetId="6" state="hidden" r:id="rId8"/>
    <sheet name="4 T" sheetId="8" state="hidden" r:id="rId9"/>
    <sheet name="Hoja1" sheetId="15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6" i="10" l="1"/>
  <c r="G27" i="10" l="1"/>
  <c r="G117" i="18"/>
  <c r="G45" i="18"/>
  <c r="G43" i="18"/>
  <c r="G41" i="18"/>
  <c r="G39" i="18"/>
  <c r="G37" i="18"/>
  <c r="G26" i="18"/>
  <c r="G24" i="18"/>
  <c r="G21" i="18"/>
  <c r="G18" i="18"/>
  <c r="G15" i="18"/>
  <c r="G14" i="17"/>
  <c r="E16" i="18"/>
  <c r="H18" i="17"/>
  <c r="E19" i="18"/>
  <c r="E13" i="18"/>
  <c r="D41" i="18"/>
  <c r="D37" i="18"/>
  <c r="D21" i="18"/>
  <c r="D15" i="18"/>
  <c r="D13" i="18" s="1"/>
  <c r="D19" i="18"/>
  <c r="D16" i="18"/>
  <c r="D22" i="18"/>
  <c r="E22" i="18" s="1"/>
  <c r="C21" i="18"/>
  <c r="C19" i="18"/>
  <c r="C16" i="18"/>
  <c r="C13" i="18"/>
  <c r="C15" i="18"/>
  <c r="C41" i="18"/>
  <c r="C37" i="18"/>
  <c r="C152" i="1"/>
  <c r="D152" i="1"/>
  <c r="E152" i="1"/>
  <c r="B152" i="1"/>
  <c r="C22" i="18" l="1"/>
  <c r="D22" i="17"/>
  <c r="E22" i="17" s="1"/>
  <c r="E19" i="17"/>
  <c r="D19" i="17"/>
  <c r="C16" i="17"/>
  <c r="D16" i="17" s="1"/>
  <c r="C22" i="17"/>
  <c r="C19" i="17"/>
  <c r="E13" i="17"/>
  <c r="D13" i="17"/>
  <c r="C13" i="17"/>
  <c r="E16" i="17" l="1"/>
  <c r="J10" i="16"/>
  <c r="H18" i="16"/>
  <c r="H15" i="16"/>
  <c r="C22" i="16"/>
  <c r="D22" i="16" s="1"/>
  <c r="E22" i="16" s="1"/>
  <c r="C19" i="16"/>
  <c r="D19" i="16" s="1"/>
  <c r="E19" i="16" s="1"/>
  <c r="E16" i="16"/>
  <c r="D16" i="16"/>
  <c r="C16" i="16"/>
  <c r="C13" i="16"/>
  <c r="D13" i="16" s="1"/>
  <c r="E13" i="16" s="1"/>
  <c r="E19" i="1"/>
  <c r="D19" i="1"/>
  <c r="E13" i="1"/>
  <c r="D13" i="1"/>
  <c r="E16" i="1"/>
  <c r="D16" i="1"/>
  <c r="D22" i="1"/>
  <c r="E22" i="1" s="1"/>
  <c r="B120" i="17" l="1"/>
  <c r="E149" i="1" l="1"/>
  <c r="E148" i="1"/>
  <c r="B162" i="18" l="1"/>
  <c r="D152" i="18"/>
  <c r="C152" i="18"/>
  <c r="B152" i="18"/>
  <c r="E149" i="18"/>
  <c r="E148" i="18"/>
  <c r="E147" i="18"/>
  <c r="E146" i="18"/>
  <c r="D120" i="18"/>
  <c r="C120" i="18"/>
  <c r="B120" i="18"/>
  <c r="D105" i="18"/>
  <c r="C105" i="18"/>
  <c r="B105" i="18"/>
  <c r="D88" i="18"/>
  <c r="C88" i="18"/>
  <c r="B88" i="18"/>
  <c r="D73" i="18"/>
  <c r="C73" i="18"/>
  <c r="B73" i="18"/>
  <c r="D60" i="18"/>
  <c r="D122" i="18" s="1"/>
  <c r="C60" i="18"/>
  <c r="C122" i="18" s="1"/>
  <c r="B60" i="18"/>
  <c r="D59" i="18"/>
  <c r="D107" i="18" s="1"/>
  <c r="C59" i="18"/>
  <c r="C107" i="18" s="1"/>
  <c r="B59" i="18"/>
  <c r="D58" i="18"/>
  <c r="D90" i="18" s="1"/>
  <c r="C58" i="18"/>
  <c r="C90" i="18" s="1"/>
  <c r="B58" i="18"/>
  <c r="D57" i="18"/>
  <c r="D75" i="18" s="1"/>
  <c r="C57" i="18"/>
  <c r="C75" i="18" s="1"/>
  <c r="B57" i="18"/>
  <c r="E45" i="18"/>
  <c r="D45" i="18"/>
  <c r="C45" i="18"/>
  <c r="F43" i="18"/>
  <c r="F45" i="10" s="1"/>
  <c r="F42" i="18"/>
  <c r="F44" i="10" s="1"/>
  <c r="F41" i="18"/>
  <c r="F43" i="10" s="1"/>
  <c r="F40" i="18"/>
  <c r="F42" i="10" s="1"/>
  <c r="F39" i="18"/>
  <c r="F41" i="10" s="1"/>
  <c r="F38" i="18"/>
  <c r="F40" i="10" s="1"/>
  <c r="F37" i="18"/>
  <c r="F36" i="18"/>
  <c r="F38" i="10" s="1"/>
  <c r="E25" i="18"/>
  <c r="D25" i="18"/>
  <c r="C25" i="18"/>
  <c r="F24" i="18"/>
  <c r="F24" i="10" s="1"/>
  <c r="F23" i="18"/>
  <c r="F23" i="10" s="1"/>
  <c r="F21" i="18"/>
  <c r="F21" i="10" s="1"/>
  <c r="F20" i="18"/>
  <c r="F20" i="10" s="1"/>
  <c r="F18" i="18"/>
  <c r="F18" i="10" s="1"/>
  <c r="F17" i="18"/>
  <c r="F17" i="10" s="1"/>
  <c r="F15" i="18"/>
  <c r="F15" i="10" s="1"/>
  <c r="F14" i="18"/>
  <c r="F14" i="10" s="1"/>
  <c r="F39" i="10" l="1"/>
  <c r="E120" i="18"/>
  <c r="E119" i="10" s="1"/>
  <c r="E57" i="18"/>
  <c r="E58" i="10" s="1"/>
  <c r="E88" i="18"/>
  <c r="E90" i="10" s="1"/>
  <c r="F25" i="18"/>
  <c r="F45" i="18"/>
  <c r="E73" i="18"/>
  <c r="E152" i="18"/>
  <c r="E105" i="18"/>
  <c r="E58" i="18"/>
  <c r="E59" i="10" s="1"/>
  <c r="B90" i="18"/>
  <c r="E90" i="18" s="1"/>
  <c r="E92" i="10" s="1"/>
  <c r="B62" i="18"/>
  <c r="E60" i="18"/>
  <c r="E61" i="10" s="1"/>
  <c r="B122" i="18"/>
  <c r="E122" i="18" s="1"/>
  <c r="E121" i="10" s="1"/>
  <c r="E59" i="18"/>
  <c r="E60" i="10" s="1"/>
  <c r="B107" i="18"/>
  <c r="E107" i="18" s="1"/>
  <c r="E107" i="10" s="1"/>
  <c r="B75" i="18"/>
  <c r="E75" i="18" s="1"/>
  <c r="E77" i="10" s="1"/>
  <c r="C62" i="18"/>
  <c r="D62" i="18"/>
  <c r="C135" i="1"/>
  <c r="E105" i="10" l="1"/>
  <c r="E75" i="10"/>
  <c r="E62" i="18"/>
  <c r="B159" i="17" l="1"/>
  <c r="B162" i="17" s="1"/>
  <c r="D152" i="17"/>
  <c r="C152" i="17"/>
  <c r="B152" i="17"/>
  <c r="E149" i="17"/>
  <c r="E148" i="17"/>
  <c r="E147" i="17"/>
  <c r="E146" i="17"/>
  <c r="D120" i="17"/>
  <c r="C120" i="17"/>
  <c r="D105" i="17"/>
  <c r="C105" i="17"/>
  <c r="B105" i="17"/>
  <c r="D88" i="17"/>
  <c r="C88" i="17"/>
  <c r="B88" i="17"/>
  <c r="D73" i="17"/>
  <c r="C73" i="17"/>
  <c r="B73" i="17"/>
  <c r="D122" i="17"/>
  <c r="C122" i="17"/>
  <c r="D107" i="17"/>
  <c r="C107" i="17"/>
  <c r="D90" i="17"/>
  <c r="C90" i="17"/>
  <c r="B90" i="17"/>
  <c r="D75" i="17"/>
  <c r="C75" i="17"/>
  <c r="E45" i="17"/>
  <c r="D45" i="17"/>
  <c r="C45" i="17"/>
  <c r="F43" i="17"/>
  <c r="E45" i="10" s="1"/>
  <c r="F42" i="17"/>
  <c r="E44" i="10" s="1"/>
  <c r="F41" i="17"/>
  <c r="E43" i="10" s="1"/>
  <c r="F40" i="17"/>
  <c r="E42" i="10" s="1"/>
  <c r="F39" i="17"/>
  <c r="E41" i="10" s="1"/>
  <c r="F38" i="17"/>
  <c r="E40" i="10" s="1"/>
  <c r="F37" i="17"/>
  <c r="E39" i="10" s="1"/>
  <c r="F36" i="17"/>
  <c r="E38" i="10" s="1"/>
  <c r="E25" i="17"/>
  <c r="D25" i="17"/>
  <c r="C25" i="17"/>
  <c r="F24" i="17"/>
  <c r="E24" i="10" s="1"/>
  <c r="F23" i="17"/>
  <c r="E23" i="10" s="1"/>
  <c r="F21" i="17"/>
  <c r="E21" i="10" s="1"/>
  <c r="F20" i="17"/>
  <c r="E20" i="10" s="1"/>
  <c r="F18" i="17"/>
  <c r="E18" i="10" s="1"/>
  <c r="F17" i="17"/>
  <c r="E17" i="10" s="1"/>
  <c r="F15" i="17"/>
  <c r="E15" i="10" s="1"/>
  <c r="F14" i="17"/>
  <c r="E14" i="10" s="1"/>
  <c r="E120" i="17" l="1"/>
  <c r="D119" i="10" s="1"/>
  <c r="E73" i="17"/>
  <c r="D75" i="10" s="1"/>
  <c r="E88" i="17"/>
  <c r="D90" i="10" s="1"/>
  <c r="E105" i="17"/>
  <c r="D105" i="10" s="1"/>
  <c r="F25" i="17"/>
  <c r="E60" i="17"/>
  <c r="D61" i="10" s="1"/>
  <c r="E59" i="17"/>
  <c r="D60" i="10" s="1"/>
  <c r="E57" i="17"/>
  <c r="D58" i="10" s="1"/>
  <c r="F45" i="17"/>
  <c r="E152" i="17"/>
  <c r="E90" i="17"/>
  <c r="B122" i="17"/>
  <c r="E122" i="17" s="1"/>
  <c r="D121" i="10" s="1"/>
  <c r="E58" i="17"/>
  <c r="D59" i="10" s="1"/>
  <c r="B62" i="17"/>
  <c r="B75" i="17"/>
  <c r="E75" i="17" s="1"/>
  <c r="D77" i="10" s="1"/>
  <c r="B107" i="17"/>
  <c r="E107" i="17" s="1"/>
  <c r="C62" i="17"/>
  <c r="D62" i="17"/>
  <c r="F117" i="17" l="1"/>
  <c r="D92" i="10"/>
  <c r="D107" i="10"/>
  <c r="E62" i="17"/>
  <c r="C152" i="16" l="1"/>
  <c r="D152" i="16"/>
  <c r="B152" i="16"/>
  <c r="B159" i="16"/>
  <c r="B162" i="16" s="1"/>
  <c r="C120" i="16"/>
  <c r="E149" i="16"/>
  <c r="E148" i="16"/>
  <c r="E147" i="16"/>
  <c r="E146" i="16"/>
  <c r="D120" i="16"/>
  <c r="B120" i="16"/>
  <c r="D105" i="16"/>
  <c r="C105" i="16"/>
  <c r="B105" i="16"/>
  <c r="D88" i="16"/>
  <c r="C88" i="16"/>
  <c r="B88" i="16"/>
  <c r="D73" i="16"/>
  <c r="C73" i="16"/>
  <c r="B73" i="16"/>
  <c r="C60" i="16"/>
  <c r="C122" i="16" s="1"/>
  <c r="B60" i="16"/>
  <c r="B122" i="16" s="1"/>
  <c r="D59" i="16"/>
  <c r="D107" i="16" s="1"/>
  <c r="C59" i="16"/>
  <c r="C107" i="16" s="1"/>
  <c r="B59" i="16"/>
  <c r="D58" i="16"/>
  <c r="C58" i="16"/>
  <c r="C90" i="16" s="1"/>
  <c r="B58" i="16"/>
  <c r="B90" i="16" s="1"/>
  <c r="D57" i="16"/>
  <c r="D75" i="16" s="1"/>
  <c r="C57" i="16"/>
  <c r="C75" i="16" s="1"/>
  <c r="B57" i="16"/>
  <c r="B75" i="16" s="1"/>
  <c r="D45" i="16"/>
  <c r="C45" i="16"/>
  <c r="F43" i="16"/>
  <c r="E45" i="16"/>
  <c r="F41" i="16"/>
  <c r="F40" i="16"/>
  <c r="F39" i="16"/>
  <c r="F38" i="16"/>
  <c r="F37" i="16"/>
  <c r="F36" i="16"/>
  <c r="E25" i="16"/>
  <c r="D25" i="16"/>
  <c r="C25" i="16"/>
  <c r="F25" i="16" s="1"/>
  <c r="F24" i="16"/>
  <c r="H24" i="16" s="1"/>
  <c r="F23" i="16"/>
  <c r="F21" i="16"/>
  <c r="H21" i="16" s="1"/>
  <c r="F20" i="16"/>
  <c r="F18" i="16"/>
  <c r="F17" i="16"/>
  <c r="F15" i="16"/>
  <c r="F14" i="16"/>
  <c r="H25" i="16" l="1"/>
  <c r="E120" i="16"/>
  <c r="C119" i="10" s="1"/>
  <c r="D40" i="10"/>
  <c r="D40" i="12"/>
  <c r="D23" i="10"/>
  <c r="D23" i="12"/>
  <c r="D41" i="12"/>
  <c r="D41" i="10"/>
  <c r="D18" i="12"/>
  <c r="D18" i="10"/>
  <c r="D14" i="12"/>
  <c r="D14" i="10"/>
  <c r="D24" i="12"/>
  <c r="D24" i="10"/>
  <c r="E88" i="16"/>
  <c r="D45" i="12"/>
  <c r="D45" i="10"/>
  <c r="D15" i="10"/>
  <c r="D15" i="12"/>
  <c r="D20" i="12"/>
  <c r="D20" i="10"/>
  <c r="D38" i="10"/>
  <c r="D38" i="12"/>
  <c r="D42" i="10"/>
  <c r="D42" i="12"/>
  <c r="D17" i="10"/>
  <c r="D17" i="12"/>
  <c r="D21" i="10"/>
  <c r="D21" i="12"/>
  <c r="D39" i="10"/>
  <c r="D39" i="12"/>
  <c r="D43" i="12"/>
  <c r="D43" i="10"/>
  <c r="E73" i="16"/>
  <c r="E105" i="16"/>
  <c r="E152" i="16"/>
  <c r="E59" i="16"/>
  <c r="E75" i="16"/>
  <c r="E57" i="16"/>
  <c r="D90" i="16"/>
  <c r="E90" i="16" s="1"/>
  <c r="F42" i="16"/>
  <c r="E58" i="16"/>
  <c r="B107" i="16"/>
  <c r="E107" i="16" s="1"/>
  <c r="D60" i="16"/>
  <c r="D122" i="16" s="1"/>
  <c r="E122" i="16" s="1"/>
  <c r="B62" i="16"/>
  <c r="C62" i="16"/>
  <c r="D25" i="1"/>
  <c r="C25" i="1"/>
  <c r="I27" i="16" l="1"/>
  <c r="C119" i="12"/>
  <c r="F22" i="16"/>
  <c r="F45" i="16"/>
  <c r="D44" i="10"/>
  <c r="D44" i="12"/>
  <c r="C92" i="10"/>
  <c r="C92" i="12"/>
  <c r="C105" i="10"/>
  <c r="C104" i="12"/>
  <c r="C90" i="10"/>
  <c r="C90" i="12"/>
  <c r="C75" i="12"/>
  <c r="C75" i="10"/>
  <c r="C106" i="12"/>
  <c r="C107" i="10"/>
  <c r="C58" i="12"/>
  <c r="C58" i="10"/>
  <c r="C77" i="10"/>
  <c r="C77" i="12"/>
  <c r="E25" i="1"/>
  <c r="F25" i="1" s="1"/>
  <c r="F117" i="16"/>
  <c r="C121" i="10"/>
  <c r="C121" i="12"/>
  <c r="C59" i="12"/>
  <c r="C59" i="10"/>
  <c r="C60" i="12"/>
  <c r="C60" i="10"/>
  <c r="E60" i="16"/>
  <c r="D62" i="16"/>
  <c r="B60" i="1"/>
  <c r="E62" i="16" l="1"/>
  <c r="C61" i="10"/>
  <c r="C61" i="12"/>
  <c r="D22" i="12"/>
  <c r="D22" i="10"/>
  <c r="F16" i="16"/>
  <c r="F19" i="16"/>
  <c r="F13" i="16"/>
  <c r="F22" i="18"/>
  <c r="F22" i="10" s="1"/>
  <c r="B162" i="1"/>
  <c r="B122" i="1"/>
  <c r="C120" i="1"/>
  <c r="D120" i="1"/>
  <c r="B120" i="1"/>
  <c r="B119" i="1"/>
  <c r="C88" i="1"/>
  <c r="D88" i="1"/>
  <c r="B88" i="1"/>
  <c r="B87" i="1"/>
  <c r="C73" i="1"/>
  <c r="D73" i="1"/>
  <c r="B73" i="1"/>
  <c r="B72" i="1"/>
  <c r="C105" i="1"/>
  <c r="D105" i="1"/>
  <c r="B105" i="1"/>
  <c r="B139" i="1"/>
  <c r="E147" i="1"/>
  <c r="E146" i="1"/>
  <c r="B121" i="1" l="1"/>
  <c r="B74" i="1"/>
  <c r="F16" i="18"/>
  <c r="F16" i="10" s="1"/>
  <c r="F16" i="17"/>
  <c r="E16" i="10" s="1"/>
  <c r="F13" i="17"/>
  <c r="E13" i="10" s="1"/>
  <c r="D13" i="10"/>
  <c r="D13" i="12"/>
  <c r="D19" i="10"/>
  <c r="D19" i="12"/>
  <c r="D16" i="12"/>
  <c r="D16" i="10"/>
  <c r="F22" i="17"/>
  <c r="E22" i="10" s="1"/>
  <c r="F19" i="18"/>
  <c r="F19" i="10" s="1"/>
  <c r="F19" i="17"/>
  <c r="E19" i="10" s="1"/>
  <c r="B89" i="1"/>
  <c r="E120" i="1"/>
  <c r="E88" i="1"/>
  <c r="C57" i="1"/>
  <c r="C75" i="1" s="1"/>
  <c r="D57" i="1"/>
  <c r="D75" i="1" s="1"/>
  <c r="C58" i="1"/>
  <c r="C90" i="1" s="1"/>
  <c r="D58" i="1"/>
  <c r="D90" i="1" s="1"/>
  <c r="C59" i="1"/>
  <c r="C107" i="1" s="1"/>
  <c r="D59" i="1"/>
  <c r="D107" i="1" s="1"/>
  <c r="C60" i="1"/>
  <c r="C122" i="1" s="1"/>
  <c r="D60" i="1"/>
  <c r="D122" i="1" s="1"/>
  <c r="B59" i="1"/>
  <c r="B107" i="1" s="1"/>
  <c r="B58" i="1"/>
  <c r="B90" i="1" s="1"/>
  <c r="B57" i="1"/>
  <c r="B75" i="1" s="1"/>
  <c r="D45" i="1"/>
  <c r="E45" i="1"/>
  <c r="C45" i="1"/>
  <c r="F13" i="18" l="1"/>
  <c r="F13" i="10" s="1"/>
  <c r="B90" i="10"/>
  <c r="F90" i="10" s="1"/>
  <c r="B90" i="12"/>
  <c r="D90" i="12" s="1"/>
  <c r="B119" i="10"/>
  <c r="F119" i="10" s="1"/>
  <c r="B119" i="12"/>
  <c r="D119" i="12" s="1"/>
  <c r="B91" i="1"/>
  <c r="C87" i="1" s="1"/>
  <c r="C89" i="1" s="1"/>
  <c r="C91" i="1" s="1"/>
  <c r="D87" i="1" s="1"/>
  <c r="E107" i="1"/>
  <c r="B106" i="12" s="1"/>
  <c r="D106" i="12" s="1"/>
  <c r="E119" i="1"/>
  <c r="B104" i="1"/>
  <c r="B106" i="1" s="1"/>
  <c r="B108" i="1" s="1"/>
  <c r="E58" i="1"/>
  <c r="B62" i="1"/>
  <c r="C62" i="1"/>
  <c r="E87" i="1"/>
  <c r="E90" i="1"/>
  <c r="B59" i="10" l="1"/>
  <c r="F59" i="10" s="1"/>
  <c r="B59" i="12"/>
  <c r="D59" i="12" s="1"/>
  <c r="E89" i="1"/>
  <c r="B89" i="12"/>
  <c r="D89" i="12" s="1"/>
  <c r="D91" i="12" s="1"/>
  <c r="B89" i="10"/>
  <c r="F89" i="10" s="1"/>
  <c r="F91" i="10" s="1"/>
  <c r="B92" i="10"/>
  <c r="F92" i="10" s="1"/>
  <c r="B92" i="12"/>
  <c r="D92" i="12" s="1"/>
  <c r="B118" i="10"/>
  <c r="F118" i="10" s="1"/>
  <c r="F120" i="10" s="1"/>
  <c r="B118" i="12"/>
  <c r="D118" i="12" s="1"/>
  <c r="D120" i="12" s="1"/>
  <c r="D89" i="1"/>
  <c r="D91" i="1" s="1"/>
  <c r="D93" i="12" l="1"/>
  <c r="F93" i="10"/>
  <c r="B131" i="10" s="1"/>
  <c r="B91" i="12"/>
  <c r="B91" i="10"/>
  <c r="E91" i="1"/>
  <c r="I41" i="8"/>
  <c r="I43" i="8" s="1"/>
  <c r="B93" i="12" l="1"/>
  <c r="B93" i="10"/>
  <c r="B135" i="16"/>
  <c r="B87" i="16" s="1"/>
  <c r="E87" i="16" l="1"/>
  <c r="B89" i="16"/>
  <c r="B91" i="16" s="1"/>
  <c r="C87" i="16" s="1"/>
  <c r="C89" i="16" s="1"/>
  <c r="C91" i="16" s="1"/>
  <c r="D87" i="16" s="1"/>
  <c r="D89" i="16" s="1"/>
  <c r="D91" i="16" s="1"/>
  <c r="D74" i="8"/>
  <c r="D90" i="8"/>
  <c r="D89" i="8"/>
  <c r="H89" i="8" s="1"/>
  <c r="H91" i="8" s="1"/>
  <c r="E89" i="16" l="1"/>
  <c r="C89" i="12"/>
  <c r="C89" i="10"/>
  <c r="C91" i="10" l="1"/>
  <c r="C91" i="12"/>
  <c r="E91" i="16"/>
  <c r="C22" i="3"/>
  <c r="D22" i="3" s="1"/>
  <c r="E22" i="3" s="1"/>
  <c r="C22" i="6" s="1"/>
  <c r="D22" i="6" s="1"/>
  <c r="C93" i="12" l="1"/>
  <c r="C93" i="10"/>
  <c r="B135" i="17"/>
  <c r="B87" i="17" s="1"/>
  <c r="C19" i="3"/>
  <c r="D19" i="3" s="1"/>
  <c r="E19" i="3" s="1"/>
  <c r="C19" i="6" s="1"/>
  <c r="D19" i="6" s="1"/>
  <c r="E19" i="6" s="1"/>
  <c r="C19" i="8" s="1"/>
  <c r="D19" i="8" s="1"/>
  <c r="E19" i="8" s="1"/>
  <c r="E87" i="17" l="1"/>
  <c r="B89" i="17"/>
  <c r="B91" i="17" s="1"/>
  <c r="C87" i="17" s="1"/>
  <c r="C89" i="17" s="1"/>
  <c r="C91" i="17" s="1"/>
  <c r="D87" i="17" s="1"/>
  <c r="D89" i="17" s="1"/>
  <c r="D91" i="17" s="1"/>
  <c r="C16" i="3"/>
  <c r="D16" i="3" s="1"/>
  <c r="E16" i="3" s="1"/>
  <c r="C16" i="6" s="1"/>
  <c r="D16" i="6" s="1"/>
  <c r="E16" i="6" s="1"/>
  <c r="C16" i="8" s="1"/>
  <c r="D16" i="8" s="1"/>
  <c r="E16" i="8" s="1"/>
  <c r="C13" i="3"/>
  <c r="D13" i="3" s="1"/>
  <c r="E13" i="3" s="1"/>
  <c r="C13" i="6" s="1"/>
  <c r="D13" i="6" s="1"/>
  <c r="E13" i="6" s="1"/>
  <c r="C13" i="8" s="1"/>
  <c r="D13" i="8" s="1"/>
  <c r="E13" i="8" s="1"/>
  <c r="E89" i="17" l="1"/>
  <c r="D89" i="10"/>
  <c r="E89" i="8"/>
  <c r="D91" i="10" l="1"/>
  <c r="E91" i="17"/>
  <c r="E90" i="8"/>
  <c r="D93" i="10" l="1"/>
  <c r="B135" i="18"/>
  <c r="B87" i="18" s="1"/>
  <c r="E22" i="6"/>
  <c r="F22" i="3"/>
  <c r="E60" i="1"/>
  <c r="F22" i="1"/>
  <c r="E87" i="18" l="1"/>
  <c r="B89" i="18"/>
  <c r="B91" i="18" s="1"/>
  <c r="C87" i="18" s="1"/>
  <c r="C89" i="18" s="1"/>
  <c r="C91" i="18" s="1"/>
  <c r="D87" i="18" s="1"/>
  <c r="D89" i="18" s="1"/>
  <c r="D91" i="18" s="1"/>
  <c r="C22" i="8"/>
  <c r="D22" i="8" s="1"/>
  <c r="E22" i="8" s="1"/>
  <c r="F22" i="8" s="1"/>
  <c r="G22" i="10" s="1"/>
  <c r="E104" i="1"/>
  <c r="E90" i="6"/>
  <c r="E89" i="6"/>
  <c r="E90" i="3"/>
  <c r="E89" i="3"/>
  <c r="E105" i="1"/>
  <c r="B104" i="12" s="1"/>
  <c r="C58" i="8"/>
  <c r="C59" i="8"/>
  <c r="D59" i="8"/>
  <c r="C60" i="8"/>
  <c r="D60" i="8"/>
  <c r="B60" i="8"/>
  <c r="B59" i="8"/>
  <c r="B58" i="8"/>
  <c r="C58" i="6"/>
  <c r="C76" i="6" s="1"/>
  <c r="D58" i="6"/>
  <c r="D76" i="6" s="1"/>
  <c r="C59" i="6"/>
  <c r="D59" i="6"/>
  <c r="C60" i="6"/>
  <c r="D60" i="6"/>
  <c r="B60" i="6"/>
  <c r="B59" i="6"/>
  <c r="B58" i="6"/>
  <c r="E61" i="3"/>
  <c r="C58" i="3"/>
  <c r="C76" i="3" s="1"/>
  <c r="D58" i="3"/>
  <c r="D76" i="3" s="1"/>
  <c r="C59" i="3"/>
  <c r="D59" i="3"/>
  <c r="C60" i="3"/>
  <c r="D60" i="3"/>
  <c r="B60" i="3"/>
  <c r="B59" i="3"/>
  <c r="B58" i="3"/>
  <c r="D27" i="3"/>
  <c r="E74" i="3"/>
  <c r="F24" i="8"/>
  <c r="F24" i="1"/>
  <c r="C24" i="10" s="1"/>
  <c r="F24" i="3"/>
  <c r="F23" i="8"/>
  <c r="F23" i="1"/>
  <c r="C23" i="10" s="1"/>
  <c r="F23" i="3"/>
  <c r="F15" i="1"/>
  <c r="C15" i="10" s="1"/>
  <c r="F15" i="3"/>
  <c r="F14" i="1"/>
  <c r="F14" i="3"/>
  <c r="F44" i="8"/>
  <c r="F42" i="1"/>
  <c r="F44" i="3"/>
  <c r="F45" i="8"/>
  <c r="F43" i="1"/>
  <c r="C45" i="12" s="1"/>
  <c r="F45" i="3"/>
  <c r="F44" i="6"/>
  <c r="F45" i="6"/>
  <c r="E46" i="3"/>
  <c r="F38" i="3"/>
  <c r="F39" i="3"/>
  <c r="F40" i="3"/>
  <c r="F41" i="3"/>
  <c r="F42" i="3"/>
  <c r="F43" i="3"/>
  <c r="D46" i="3"/>
  <c r="C46" i="3"/>
  <c r="F36" i="1"/>
  <c r="C38" i="10" s="1"/>
  <c r="F37" i="1"/>
  <c r="C39" i="12" s="1"/>
  <c r="F38" i="1"/>
  <c r="C40" i="10" s="1"/>
  <c r="F39" i="1"/>
  <c r="C41" i="12" s="1"/>
  <c r="F40" i="1"/>
  <c r="C42" i="12" s="1"/>
  <c r="F41" i="1"/>
  <c r="C43" i="12" s="1"/>
  <c r="F17" i="3"/>
  <c r="F18" i="3"/>
  <c r="F20" i="3"/>
  <c r="F21" i="3"/>
  <c r="F14" i="6"/>
  <c r="F15" i="6"/>
  <c r="F17" i="6"/>
  <c r="F18" i="6"/>
  <c r="F20" i="6"/>
  <c r="F21" i="6"/>
  <c r="F14" i="8"/>
  <c r="F15" i="8"/>
  <c r="F20" i="8"/>
  <c r="F21" i="8"/>
  <c r="F17" i="8"/>
  <c r="F18" i="8"/>
  <c r="F17" i="1"/>
  <c r="C17" i="10" s="1"/>
  <c r="F18" i="1"/>
  <c r="C18" i="12" s="1"/>
  <c r="F20" i="1"/>
  <c r="F21" i="1"/>
  <c r="C21" i="12" s="1"/>
  <c r="F22" i="6"/>
  <c r="F23" i="6"/>
  <c r="F24" i="6"/>
  <c r="C22" i="10"/>
  <c r="E22" i="12"/>
  <c r="D27" i="8"/>
  <c r="E27" i="8"/>
  <c r="C27" i="8"/>
  <c r="D27" i="6"/>
  <c r="E27" i="6"/>
  <c r="C27" i="6"/>
  <c r="E27" i="3"/>
  <c r="C27" i="3"/>
  <c r="C76" i="8"/>
  <c r="B76" i="8"/>
  <c r="E74" i="6"/>
  <c r="E73" i="1"/>
  <c r="F117" i="1" s="1"/>
  <c r="G26" i="10"/>
  <c r="E46" i="6"/>
  <c r="D46" i="6"/>
  <c r="C46" i="6"/>
  <c r="F39" i="6"/>
  <c r="F40" i="6"/>
  <c r="F41" i="6"/>
  <c r="F42" i="6"/>
  <c r="F43" i="6"/>
  <c r="D46" i="8"/>
  <c r="C46" i="8"/>
  <c r="F39" i="8"/>
  <c r="F41" i="8"/>
  <c r="F43" i="8"/>
  <c r="F38" i="8"/>
  <c r="F42" i="8"/>
  <c r="E61" i="8"/>
  <c r="E62" i="8"/>
  <c r="E74" i="8"/>
  <c r="F38" i="6"/>
  <c r="E61" i="6"/>
  <c r="E62" i="6"/>
  <c r="E62" i="3"/>
  <c r="D62" i="1"/>
  <c r="E59" i="1"/>
  <c r="E57" i="1"/>
  <c r="C22" i="12"/>
  <c r="E89" i="10" l="1"/>
  <c r="E89" i="18"/>
  <c r="C44" i="12"/>
  <c r="E44" i="12" s="1"/>
  <c r="F45" i="1"/>
  <c r="C39" i="10"/>
  <c r="B105" i="10"/>
  <c r="B58" i="12"/>
  <c r="E62" i="1"/>
  <c r="E58" i="6"/>
  <c r="B76" i="6"/>
  <c r="E76" i="6" s="1"/>
  <c r="F83" i="3"/>
  <c r="G38" i="10"/>
  <c r="E18" i="12"/>
  <c r="B63" i="3"/>
  <c r="C23" i="12"/>
  <c r="C42" i="10"/>
  <c r="C24" i="12"/>
  <c r="C43" i="10"/>
  <c r="C40" i="12"/>
  <c r="E75" i="1"/>
  <c r="B77" i="10" s="1"/>
  <c r="C41" i="10"/>
  <c r="G41" i="10" s="1"/>
  <c r="B58" i="10"/>
  <c r="C15" i="12"/>
  <c r="E15" i="12" s="1"/>
  <c r="E72" i="1"/>
  <c r="E74" i="1" s="1"/>
  <c r="C21" i="10"/>
  <c r="B63" i="8"/>
  <c r="B92" i="8"/>
  <c r="E59" i="8"/>
  <c r="E59" i="6"/>
  <c r="B63" i="6"/>
  <c r="D92" i="8"/>
  <c r="C63" i="8"/>
  <c r="F83" i="8"/>
  <c r="E60" i="8"/>
  <c r="C92" i="8"/>
  <c r="F27" i="8"/>
  <c r="D92" i="6"/>
  <c r="D63" i="6"/>
  <c r="E60" i="6"/>
  <c r="C63" i="6"/>
  <c r="C92" i="6"/>
  <c r="B92" i="6"/>
  <c r="F27" i="6"/>
  <c r="F46" i="6"/>
  <c r="E27" i="10"/>
  <c r="F27" i="10"/>
  <c r="D92" i="3"/>
  <c r="E60" i="3"/>
  <c r="C92" i="3"/>
  <c r="F27" i="3"/>
  <c r="B92" i="3"/>
  <c r="E21" i="12"/>
  <c r="E59" i="3"/>
  <c r="E42" i="12"/>
  <c r="E58" i="3"/>
  <c r="D63" i="3"/>
  <c r="C63" i="3"/>
  <c r="E45" i="12"/>
  <c r="E39" i="12"/>
  <c r="F46" i="3"/>
  <c r="B76" i="3"/>
  <c r="E76" i="3" s="1"/>
  <c r="G17" i="10"/>
  <c r="E41" i="12"/>
  <c r="G15" i="10"/>
  <c r="G24" i="10"/>
  <c r="E43" i="12"/>
  <c r="D104" i="12"/>
  <c r="B75" i="10"/>
  <c r="B75" i="12"/>
  <c r="C104" i="1"/>
  <c r="B61" i="10"/>
  <c r="B61" i="12"/>
  <c r="B107" i="10"/>
  <c r="B60" i="10"/>
  <c r="B60" i="12"/>
  <c r="B76" i="1"/>
  <c r="C72" i="1" s="1"/>
  <c r="C74" i="1" s="1"/>
  <c r="C45" i="10"/>
  <c r="C44" i="10"/>
  <c r="F19" i="1"/>
  <c r="C20" i="12"/>
  <c r="E20" i="12" s="1"/>
  <c r="C20" i="10"/>
  <c r="C18" i="10"/>
  <c r="G18" i="10" s="1"/>
  <c r="C17" i="12"/>
  <c r="F16" i="1"/>
  <c r="C38" i="12"/>
  <c r="C14" i="10"/>
  <c r="C14" i="12"/>
  <c r="F13" i="1"/>
  <c r="C13" i="10" s="1"/>
  <c r="B104" i="10"/>
  <c r="F104" i="10" s="1"/>
  <c r="B103" i="12"/>
  <c r="D103" i="12" s="1"/>
  <c r="E106" i="1"/>
  <c r="B105" i="12" s="1"/>
  <c r="E91" i="10" l="1"/>
  <c r="E91" i="18"/>
  <c r="D105" i="12"/>
  <c r="C106" i="1"/>
  <c r="C108" i="1" s="1"/>
  <c r="D104" i="1" s="1"/>
  <c r="D106" i="1" s="1"/>
  <c r="D108" i="1" s="1"/>
  <c r="F105" i="10"/>
  <c r="B123" i="1"/>
  <c r="C119" i="1" s="1"/>
  <c r="C121" i="1" s="1"/>
  <c r="C76" i="1"/>
  <c r="D72" i="1" s="1"/>
  <c r="D74" i="1" s="1"/>
  <c r="B77" i="12"/>
  <c r="D75" i="12"/>
  <c r="G21" i="10"/>
  <c r="D27" i="10"/>
  <c r="G20" i="10"/>
  <c r="E23" i="12"/>
  <c r="G42" i="10"/>
  <c r="E40" i="12"/>
  <c r="G43" i="10"/>
  <c r="E24" i="12"/>
  <c r="E76" i="1"/>
  <c r="B74" i="12"/>
  <c r="D74" i="12" s="1"/>
  <c r="B74" i="10"/>
  <c r="F74" i="10" s="1"/>
  <c r="G23" i="10"/>
  <c r="E92" i="8"/>
  <c r="D64" i="10"/>
  <c r="G45" i="10"/>
  <c r="E46" i="10"/>
  <c r="E92" i="6"/>
  <c r="G44" i="10"/>
  <c r="E63" i="6"/>
  <c r="G39" i="10"/>
  <c r="F75" i="10"/>
  <c r="E92" i="3"/>
  <c r="D61" i="12"/>
  <c r="F61" i="10"/>
  <c r="D27" i="12"/>
  <c r="E63" i="3"/>
  <c r="E17" i="12"/>
  <c r="D46" i="12"/>
  <c r="D46" i="10"/>
  <c r="D58" i="12"/>
  <c r="B76" i="12"/>
  <c r="B76" i="10"/>
  <c r="B64" i="10"/>
  <c r="B64" i="12"/>
  <c r="C46" i="10"/>
  <c r="F19" i="3"/>
  <c r="C19" i="12"/>
  <c r="C19" i="10"/>
  <c r="F16" i="3"/>
  <c r="C16" i="12"/>
  <c r="C16" i="10"/>
  <c r="C46" i="12"/>
  <c r="E38" i="12"/>
  <c r="G14" i="10"/>
  <c r="C27" i="10"/>
  <c r="C27" i="12"/>
  <c r="E14" i="12"/>
  <c r="F13" i="3"/>
  <c r="C13" i="12"/>
  <c r="E108" i="1"/>
  <c r="B106" i="10"/>
  <c r="B107" i="12" l="1"/>
  <c r="B136" i="16"/>
  <c r="B104" i="16" s="1"/>
  <c r="B78" i="12"/>
  <c r="B134" i="16"/>
  <c r="D135" i="18"/>
  <c r="E93" i="10"/>
  <c r="E46" i="12"/>
  <c r="F106" i="10"/>
  <c r="C123" i="1"/>
  <c r="D119" i="1" s="1"/>
  <c r="D121" i="1" s="1"/>
  <c r="D76" i="1"/>
  <c r="E122" i="1"/>
  <c r="D77" i="12"/>
  <c r="F76" i="10"/>
  <c r="D76" i="12"/>
  <c r="B78" i="10"/>
  <c r="B73" i="3"/>
  <c r="B75" i="3" s="1"/>
  <c r="B77" i="3" s="1"/>
  <c r="C73" i="3" s="1"/>
  <c r="C75" i="3" s="1"/>
  <c r="C77" i="3" s="1"/>
  <c r="D73" i="3" s="1"/>
  <c r="D75" i="3" s="1"/>
  <c r="D77" i="3" s="1"/>
  <c r="F60" i="10"/>
  <c r="C64" i="12"/>
  <c r="F107" i="10"/>
  <c r="D107" i="12"/>
  <c r="E27" i="12"/>
  <c r="D60" i="12"/>
  <c r="D64" i="12" s="1"/>
  <c r="C64" i="10"/>
  <c r="F19" i="8"/>
  <c r="F19" i="6"/>
  <c r="E19" i="12"/>
  <c r="E16" i="12"/>
  <c r="F16" i="6"/>
  <c r="F16" i="8"/>
  <c r="G16" i="10" s="1"/>
  <c r="E13" i="12"/>
  <c r="F13" i="8"/>
  <c r="G13" i="10" s="1"/>
  <c r="F13" i="6"/>
  <c r="B88" i="3"/>
  <c r="B108" i="10"/>
  <c r="F108" i="10" l="1"/>
  <c r="B132" i="10" s="1"/>
  <c r="B121" i="10"/>
  <c r="F121" i="10" s="1"/>
  <c r="F122" i="10" s="1"/>
  <c r="B133" i="10" s="1"/>
  <c r="B121" i="12"/>
  <c r="D121" i="12" s="1"/>
  <c r="D122" i="12" s="1"/>
  <c r="B106" i="16"/>
  <c r="B108" i="16" s="1"/>
  <c r="C104" i="16" s="1"/>
  <c r="C106" i="16" s="1"/>
  <c r="C108" i="16" s="1"/>
  <c r="D104" i="16" s="1"/>
  <c r="D106" i="16" s="1"/>
  <c r="D108" i="16" s="1"/>
  <c r="E104" i="16"/>
  <c r="B72" i="16"/>
  <c r="E121" i="1"/>
  <c r="D78" i="12"/>
  <c r="G19" i="10"/>
  <c r="E73" i="3"/>
  <c r="B91" i="3"/>
  <c r="B93" i="3" s="1"/>
  <c r="C88" i="3" s="1"/>
  <c r="C91" i="3" s="1"/>
  <c r="C93" i="3" s="1"/>
  <c r="D88" i="3" s="1"/>
  <c r="D91" i="3" s="1"/>
  <c r="D93" i="3" s="1"/>
  <c r="E88" i="3"/>
  <c r="E106" i="16" l="1"/>
  <c r="C104" i="10"/>
  <c r="C103" i="12"/>
  <c r="B120" i="12"/>
  <c r="B120" i="10"/>
  <c r="B74" i="16"/>
  <c r="B76" i="16" s="1"/>
  <c r="C72" i="16" s="1"/>
  <c r="C74" i="16" s="1"/>
  <c r="C76" i="16" s="1"/>
  <c r="D72" i="16" s="1"/>
  <c r="D74" i="16" s="1"/>
  <c r="D76" i="16" s="1"/>
  <c r="E72" i="16"/>
  <c r="E123" i="1"/>
  <c r="D123" i="1"/>
  <c r="E75" i="3"/>
  <c r="E91" i="3"/>
  <c r="B122" i="10" l="1"/>
  <c r="B122" i="12"/>
  <c r="B137" i="16"/>
  <c r="E74" i="16"/>
  <c r="C74" i="12"/>
  <c r="C74" i="10"/>
  <c r="C106" i="10"/>
  <c r="C105" i="12"/>
  <c r="E108" i="16"/>
  <c r="E77" i="3"/>
  <c r="B73" i="6" s="1"/>
  <c r="E73" i="6" s="1"/>
  <c r="E93" i="3"/>
  <c r="C76" i="10" l="1"/>
  <c r="C76" i="12"/>
  <c r="E76" i="16"/>
  <c r="B119" i="16"/>
  <c r="B139" i="16"/>
  <c r="C107" i="12"/>
  <c r="C108" i="10"/>
  <c r="B136" i="17"/>
  <c r="B104" i="17" s="1"/>
  <c r="B75" i="6"/>
  <c r="B77" i="6" s="1"/>
  <c r="C73" i="6" s="1"/>
  <c r="C75" i="6" s="1"/>
  <c r="C77" i="6" s="1"/>
  <c r="D73" i="6" s="1"/>
  <c r="D75" i="6" s="1"/>
  <c r="D77" i="6" s="1"/>
  <c r="B88" i="6"/>
  <c r="E75" i="6"/>
  <c r="E104" i="17" l="1"/>
  <c r="B106" i="17"/>
  <c r="B108" i="17" s="1"/>
  <c r="C104" i="17" s="1"/>
  <c r="C106" i="17" s="1"/>
  <c r="C108" i="17" s="1"/>
  <c r="D104" i="17" s="1"/>
  <c r="D106" i="17" s="1"/>
  <c r="D108" i="17" s="1"/>
  <c r="E119" i="16"/>
  <c r="B121" i="16"/>
  <c r="B123" i="16" s="1"/>
  <c r="C119" i="16" s="1"/>
  <c r="C121" i="16" s="1"/>
  <c r="C123" i="16" s="1"/>
  <c r="D119" i="16" s="1"/>
  <c r="D121" i="16" s="1"/>
  <c r="D123" i="16" s="1"/>
  <c r="C78" i="10"/>
  <c r="C78" i="12"/>
  <c r="B134" i="17"/>
  <c r="E88" i="6"/>
  <c r="B91" i="6"/>
  <c r="B93" i="6" s="1"/>
  <c r="C88" i="6" s="1"/>
  <c r="C91" i="6" s="1"/>
  <c r="C93" i="6" s="1"/>
  <c r="D88" i="6" s="1"/>
  <c r="D91" i="6" s="1"/>
  <c r="D93" i="6" s="1"/>
  <c r="E77" i="6"/>
  <c r="B73" i="8" s="1"/>
  <c r="C118" i="10" l="1"/>
  <c r="C118" i="12"/>
  <c r="E121" i="16"/>
  <c r="E106" i="17"/>
  <c r="D104" i="10"/>
  <c r="E91" i="6"/>
  <c r="D106" i="10" l="1"/>
  <c r="E108" i="17"/>
  <c r="C120" i="12"/>
  <c r="C120" i="10"/>
  <c r="E123" i="16"/>
  <c r="E93" i="6"/>
  <c r="B88" i="8" s="1"/>
  <c r="B75" i="8"/>
  <c r="B77" i="8" s="1"/>
  <c r="C73" i="8" s="1"/>
  <c r="C75" i="8" s="1"/>
  <c r="C77" i="8" s="1"/>
  <c r="D73" i="8" s="1"/>
  <c r="D75" i="8" s="1"/>
  <c r="E73" i="8"/>
  <c r="D108" i="10" l="1"/>
  <c r="B104" i="18"/>
  <c r="C122" i="12"/>
  <c r="C122" i="10"/>
  <c r="B137" i="17"/>
  <c r="B119" i="17" s="1"/>
  <c r="B91" i="8"/>
  <c r="E88" i="8"/>
  <c r="E91" i="8" s="1"/>
  <c r="E93" i="8" s="1"/>
  <c r="E75" i="8"/>
  <c r="E104" i="18" l="1"/>
  <c r="B106" i="18"/>
  <c r="B108" i="18" s="1"/>
  <c r="C104" i="18" s="1"/>
  <c r="C106" i="18" s="1"/>
  <c r="C108" i="18" s="1"/>
  <c r="D104" i="18" s="1"/>
  <c r="D106" i="18" s="1"/>
  <c r="D108" i="18" s="1"/>
  <c r="E119" i="17"/>
  <c r="B121" i="17"/>
  <c r="B123" i="17" s="1"/>
  <c r="C119" i="17" s="1"/>
  <c r="C121" i="17" s="1"/>
  <c r="C123" i="17" s="1"/>
  <c r="D119" i="17" s="1"/>
  <c r="D121" i="17" s="1"/>
  <c r="D123" i="17" s="1"/>
  <c r="B93" i="8"/>
  <c r="C88" i="8" s="1"/>
  <c r="E121" i="17" l="1"/>
  <c r="D118" i="10"/>
  <c r="E104" i="10"/>
  <c r="E106" i="18"/>
  <c r="C91" i="8"/>
  <c r="C93" i="8" s="1"/>
  <c r="E106" i="10" l="1"/>
  <c r="E108" i="18"/>
  <c r="D120" i="10"/>
  <c r="E123" i="17"/>
  <c r="D88" i="8"/>
  <c r="D91" i="8" s="1"/>
  <c r="D93" i="8" s="1"/>
  <c r="D122" i="10" l="1"/>
  <c r="B137" i="18"/>
  <c r="B119" i="18" s="1"/>
  <c r="D136" i="18"/>
  <c r="E108" i="10"/>
  <c r="D58" i="8"/>
  <c r="D76" i="8" s="1"/>
  <c r="E76" i="8" s="1"/>
  <c r="E46" i="8"/>
  <c r="F40" i="8"/>
  <c r="F46" i="8" s="1"/>
  <c r="B121" i="18" l="1"/>
  <c r="B123" i="18" s="1"/>
  <c r="C119" i="18" s="1"/>
  <c r="C121" i="18" s="1"/>
  <c r="C123" i="18" s="1"/>
  <c r="D119" i="18" s="1"/>
  <c r="D121" i="18" s="1"/>
  <c r="D123" i="18" s="1"/>
  <c r="E119" i="18"/>
  <c r="E58" i="8"/>
  <c r="E63" i="8" s="1"/>
  <c r="F46" i="10"/>
  <c r="D77" i="8"/>
  <c r="D63" i="8"/>
  <c r="E121" i="18" l="1"/>
  <c r="E118" i="10"/>
  <c r="E64" i="10"/>
  <c r="G40" i="10"/>
  <c r="G46" i="10" s="1"/>
  <c r="F77" i="10"/>
  <c r="F78" i="10" s="1"/>
  <c r="E77" i="8"/>
  <c r="B130" i="10" l="1"/>
  <c r="B134" i="10" s="1"/>
  <c r="E120" i="10"/>
  <c r="E123" i="18"/>
  <c r="F58" i="10"/>
  <c r="F64" i="10" s="1"/>
  <c r="E122" i="10" l="1"/>
  <c r="D137" i="18"/>
  <c r="B72" i="17"/>
  <c r="E72" i="17" s="1"/>
  <c r="B139" i="17"/>
  <c r="E74" i="17" l="1"/>
  <c r="D74" i="10"/>
  <c r="B74" i="17"/>
  <c r="B76" i="17" s="1"/>
  <c r="C72" i="17" s="1"/>
  <c r="C74" i="17" s="1"/>
  <c r="C76" i="17" s="1"/>
  <c r="D72" i="17" s="1"/>
  <c r="D74" i="17" s="1"/>
  <c r="D76" i="17" s="1"/>
  <c r="E76" i="17" l="1"/>
  <c r="D76" i="10"/>
  <c r="D78" i="10" l="1"/>
  <c r="B134" i="18"/>
  <c r="B139" i="18" l="1"/>
  <c r="B72" i="18"/>
  <c r="E72" i="18" l="1"/>
  <c r="B74" i="18"/>
  <c r="B76" i="18" s="1"/>
  <c r="C72" i="18" s="1"/>
  <c r="C74" i="18" s="1"/>
  <c r="C76" i="18" s="1"/>
  <c r="D72" i="18" s="1"/>
  <c r="D74" i="18" s="1"/>
  <c r="D76" i="18" s="1"/>
  <c r="E74" i="10" l="1"/>
  <c r="E74" i="18"/>
  <c r="E76" i="10" l="1"/>
  <c r="E76" i="18"/>
  <c r="D134" i="18" l="1"/>
  <c r="D139" i="18" s="1"/>
  <c r="E7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 Salas</author>
  </authors>
  <commentList>
    <comment ref="H25" authorId="0" shapeId="0" xr:uid="{2C4EC56E-476E-4195-B25F-6DC58C4F4341}">
      <text>
        <r>
          <rPr>
            <b/>
            <sz val="9"/>
            <color indexed="81"/>
            <rFont val="Tahoma"/>
            <family val="2"/>
          </rPr>
          <t>Steph Salas:</t>
        </r>
        <r>
          <rPr>
            <sz val="9"/>
            <color indexed="81"/>
            <rFont val="Tahoma"/>
            <family val="2"/>
          </rPr>
          <t xml:space="preserve">
Si no agrego los 0 en el cuadro en los meses que no hubo ejecución, al sumar el dato de los pagados en el mes y el pago de compromisos por producto y al final sumar los 4 totales el resultado da: 13.502
Es decir, no me estaría dando una cifra congruente al calcular el promedio de los 3 meses en el total del cuadro.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aanchia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aanchia:</t>
        </r>
        <r>
          <rPr>
            <sz val="9"/>
            <color indexed="81"/>
            <rFont val="Tahoma"/>
            <family val="2"/>
          </rPr>
          <t xml:space="preserve">
en el reporte no se incluyeron 6 millones de la Muni de cartago
se actualizo hoy 4-3-2019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aanchia</author>
  </authors>
  <commentList>
    <comment ref="A7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aanchia: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<sst xmlns="http://schemas.openxmlformats.org/spreadsheetml/2006/main" count="1221" uniqueCount="175">
  <si>
    <t xml:space="preserve">Programa: </t>
  </si>
  <si>
    <t>Institución:</t>
  </si>
  <si>
    <t>Año:</t>
  </si>
  <si>
    <t>Enero</t>
  </si>
  <si>
    <t>Febrero</t>
  </si>
  <si>
    <t>Marzo</t>
  </si>
  <si>
    <t>I Trimestre</t>
  </si>
  <si>
    <t xml:space="preserve">4. </t>
  </si>
  <si>
    <t xml:space="preserve">5. </t>
  </si>
  <si>
    <t>Cuadro 1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</si>
  <si>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</si>
  <si>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</si>
  <si>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</si>
  <si>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</si>
  <si>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</si>
  <si>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</si>
  <si>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</si>
  <si>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</si>
  <si>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</si>
  <si>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</si>
  <si>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FODESAF</t>
  </si>
  <si>
    <t>Consejo Nacional de la Persona del Adulto Mayor (CONAPAM)</t>
  </si>
  <si>
    <t>Construyendo Lazos de Solidaridad</t>
  </si>
  <si>
    <t>Subsidio para la atención adultos mayores institucionalizados (OBS)</t>
  </si>
  <si>
    <t>Subsidio para la atención diurna de adultos mayores (centros diurnos)</t>
  </si>
  <si>
    <t>Subsidio para la atención domiciliar de adultos mayores (OBS, municipalidades)</t>
  </si>
  <si>
    <t>1. Transferencias corrientes</t>
  </si>
  <si>
    <t>Abril</t>
  </si>
  <si>
    <t>Mayo</t>
  </si>
  <si>
    <t>Junio</t>
  </si>
  <si>
    <t>II Trimestre</t>
  </si>
  <si>
    <t>Reporte de gastos efectivos por producto financiados por el Fondo de Desarrollo Social y Asignaciones Familiares</t>
  </si>
  <si>
    <t>Reporte de gastos efectivos por rubro financiados por el Fondo de Desarrollo Social y Asignaciones Familiares</t>
  </si>
  <si>
    <t>Julio</t>
  </si>
  <si>
    <t>Agosto</t>
  </si>
  <si>
    <t>III Trimestre</t>
  </si>
  <si>
    <t>Octubre</t>
  </si>
  <si>
    <t>Noviembre</t>
  </si>
  <si>
    <t>Diciembre</t>
  </si>
  <si>
    <t>IV Trimestre</t>
  </si>
  <si>
    <t>Anual</t>
  </si>
  <si>
    <t>I Semestre</t>
  </si>
  <si>
    <t>* El tercer porducto corresponde a red de cuido</t>
  </si>
  <si>
    <t>2. Transferencias corrientes (Red de Cuido)</t>
  </si>
  <si>
    <t>Cuadro 4.1</t>
  </si>
  <si>
    <t>Cuadro 4.2</t>
  </si>
  <si>
    <t>Reporte de gastos efectivos por objeto de gasto por el Fondo de Desarrollo Social y Asignaciones Familiares</t>
  </si>
  <si>
    <t>Periodo:</t>
  </si>
  <si>
    <t>Reporte de ingresos efectivos girados por el Fondo de Desarrollo Social y Asignaciones Familiares (Red de cuido)</t>
  </si>
  <si>
    <t>Reporte de ingresos efectivos girados por el Fondo de Desarrollo Social y Asignaciones Familiares (Red de Cuido)</t>
  </si>
  <si>
    <t>Unidad: Personas</t>
  </si>
  <si>
    <t>Pagados</t>
  </si>
  <si>
    <t>Unidad: Colones</t>
  </si>
  <si>
    <t>Período:</t>
  </si>
  <si>
    <t xml:space="preserve">Ingresos totales: </t>
  </si>
  <si>
    <t>Compromisos cancelados</t>
  </si>
  <si>
    <t>Pagos del período</t>
  </si>
  <si>
    <t>Setiembre</t>
  </si>
  <si>
    <t xml:space="preserve">Compromisos acumulados </t>
  </si>
  <si>
    <t>Pagados en el mes</t>
  </si>
  <si>
    <t>Pago de compromisos</t>
  </si>
  <si>
    <r>
      <t>Dirección Área Técnica.</t>
    </r>
    <r>
      <rPr>
        <b/>
        <sz val="11"/>
        <color indexed="8"/>
        <rFont val="Calibri"/>
        <family val="2"/>
      </rPr>
      <t xml:space="preserve"> Departamento de Evaluación y Seguimiento</t>
    </r>
  </si>
  <si>
    <r>
      <t xml:space="preserve">1. Saldo en caja inicial  (5 </t>
    </r>
    <r>
      <rPr>
        <sz val="11"/>
        <color indexed="8"/>
        <rFont val="Calibri"/>
        <family val="2"/>
      </rPr>
      <t xml:space="preserve">t-1) </t>
    </r>
  </si>
  <si>
    <t>* El tercer producto corresponde a red de cuido</t>
  </si>
  <si>
    <t>Beneficio</t>
  </si>
  <si>
    <t>* El tercer porducto corresponde a red de cuido. 1/ El total de compromisos acumulados del trimestres son los pendientes de pago al último mes del período, los pagos realizados se promedian para obtener una aproximación de personas atendidas.</t>
  </si>
  <si>
    <t>Anual¹</t>
  </si>
  <si>
    <r>
      <t>I Semestre</t>
    </r>
    <r>
      <rPr>
        <sz val="11"/>
        <color indexed="8"/>
        <rFont val="Calibri"/>
        <family val="2"/>
      </rPr>
      <t>¹</t>
    </r>
  </si>
  <si>
    <r>
      <t>IV Trimestre</t>
    </r>
    <r>
      <rPr>
        <sz val="11"/>
        <color indexed="8"/>
        <rFont val="Calibri"/>
        <family val="2"/>
      </rPr>
      <t>¹</t>
    </r>
  </si>
  <si>
    <r>
      <t>III Trimestre</t>
    </r>
    <r>
      <rPr>
        <sz val="11"/>
        <color indexed="8"/>
        <rFont val="Calibri"/>
        <family val="2"/>
      </rPr>
      <t>¹</t>
    </r>
  </si>
  <si>
    <r>
      <t>II Trimestre</t>
    </r>
    <r>
      <rPr>
        <sz val="11"/>
        <color indexed="8"/>
        <rFont val="Calibri"/>
        <family val="2"/>
      </rPr>
      <t>¹</t>
    </r>
  </si>
  <si>
    <t>Fuente: Unidad de Fiscalizacion Operativa del CONAPAM</t>
  </si>
  <si>
    <t>Fuente:  Unidad de Fiscalizacion Operativa del CONAPAM</t>
  </si>
  <si>
    <t>Fuente:Unidad de Fiscalizacion Operativa del CONAPAM</t>
  </si>
  <si>
    <t>Subsidio para la atención domiciliar de adultos mayores (Abandonados)</t>
  </si>
  <si>
    <t>3. Transferencias corrientes (Red de Cuido Abandonados)</t>
  </si>
  <si>
    <t>Ingresos efectivos Abandonados</t>
  </si>
  <si>
    <t>Reporte de ingresos efectivos girados por el Fondo de Desarrollo Social y Asignaciones Familiares (Hogares y CD)</t>
  </si>
  <si>
    <t>Nota: El ingreso efectivo del cuadro 4.2 contiene el ingreso de la modalidad de Red de Cuido y Abandonados</t>
  </si>
  <si>
    <t xml:space="preserve">Fecha de actualización: </t>
  </si>
  <si>
    <t>Abandonados</t>
  </si>
  <si>
    <t xml:space="preserve">    Ley N° 8783 FODESAF Abandonados y Agredidos  </t>
  </si>
  <si>
    <t>Descripción</t>
  </si>
  <si>
    <t>Saldo Final Según Unidad F.</t>
  </si>
  <si>
    <t>Subsidio para la atención adultos mayores institucionalizados (OBS-Hogar)</t>
  </si>
  <si>
    <t>2. Ingresos efectivos recibidos(red cuido)</t>
  </si>
  <si>
    <t>S</t>
  </si>
  <si>
    <t>Fecha de actualización:  16-10-2019</t>
  </si>
  <si>
    <t>Fecha de actualización:  22-01-2020</t>
  </si>
  <si>
    <t>2. Ingresos efectivos recibidos(Red cuido)</t>
  </si>
  <si>
    <t>Cuarto Trimestre 2019</t>
  </si>
  <si>
    <t>Red de Cuido</t>
  </si>
  <si>
    <t>Proyecto</t>
  </si>
  <si>
    <t>Proyectos</t>
  </si>
  <si>
    <t>Total superavit 2019</t>
  </si>
  <si>
    <t xml:space="preserve"> Subsidio Personas de 65 años o más en Abandono</t>
  </si>
  <si>
    <t>Subsidio Red de Cuido (OBS, Municipalidades)</t>
  </si>
  <si>
    <t>1. Transferencias corrientes (Hogar)</t>
  </si>
  <si>
    <t>2. Transferencias corrientes (Centro Diurno)</t>
  </si>
  <si>
    <t>3. Transferencias corrientes (Red de Cuido(OBS,Municipalidades))</t>
  </si>
  <si>
    <t>4. Transferencias corrientes ( Abandonados)</t>
  </si>
  <si>
    <t>Reporte de ingresos efectivos girados por el Fondo de Desarrollo Social y Asignaciones Familiares (Centros Diurnos)</t>
  </si>
  <si>
    <t>Cuadro 4.3</t>
  </si>
  <si>
    <t>Reporte de ingresos efectivos girados por el Fondo de Desarrollo Social y Asignaciones Familiares (Hogares)</t>
  </si>
  <si>
    <t>Reporte de ingresos efectivos girados por el Fondo de Desarrollo Social y Asignaciones Familiares (Abandonados)</t>
  </si>
  <si>
    <t>Cuadro 4.4</t>
  </si>
  <si>
    <t>Red De Cuido</t>
  </si>
  <si>
    <t>Detalle</t>
  </si>
  <si>
    <t>Necedades Básicas Hogar</t>
  </si>
  <si>
    <t>Necesidades Básicas. Centros Diurnos</t>
  </si>
  <si>
    <t>ENERO</t>
  </si>
  <si>
    <t>FEBRERO</t>
  </si>
  <si>
    <t>MARZO</t>
  </si>
  <si>
    <t>I TRIMESTRE</t>
  </si>
  <si>
    <t>PAM PROGRAMATICAS X MES</t>
  </si>
  <si>
    <t xml:space="preserve"> Subsidio Personas de 65 años o más en Abandonados</t>
  </si>
  <si>
    <t>Segundo Trimestre 2020</t>
  </si>
  <si>
    <t>ABRIL</t>
  </si>
  <si>
    <t>MAYO</t>
  </si>
  <si>
    <t>JUNIO</t>
  </si>
  <si>
    <t>II TRIMESTRE</t>
  </si>
  <si>
    <t>Subsidio para la atención adultos mayores institucionalizados (Hogares)</t>
  </si>
  <si>
    <t>Subsidio para la atención adultos mayores institucionalizados (Hogares-OBS)</t>
  </si>
  <si>
    <t>IIII TRIMESTRE¹</t>
  </si>
  <si>
    <t>IIII TRIMESTRE</t>
  </si>
  <si>
    <t>JULIO</t>
  </si>
  <si>
    <t>AGOSTO</t>
  </si>
  <si>
    <t>SEPTIEMBRE</t>
  </si>
  <si>
    <t>Septiembre</t>
  </si>
  <si>
    <t>Total saldo al 1-07-2020</t>
  </si>
  <si>
    <t>IV TRIMESTRE¹</t>
  </si>
  <si>
    <t>IV TRIMESTRE</t>
  </si>
  <si>
    <t>Total saldo al 30-09-2020</t>
  </si>
  <si>
    <t>III TRIMESTRE</t>
  </si>
  <si>
    <t>Primer Semestre 2020</t>
  </si>
  <si>
    <t>1. Transferencias corrientes(Hogar)</t>
  </si>
  <si>
    <t>1. Transferencias corrientes (Centro Diurno)</t>
  </si>
  <si>
    <t>Fecha de actualización:  15-01-2021</t>
  </si>
  <si>
    <t>1. Transferencias corrientes(Hogares)</t>
  </si>
  <si>
    <t>1. Transferencias corrientes(Centros Diurnos)</t>
  </si>
  <si>
    <t xml:space="preserve">    Ley N° 8783 FODESAF  Necesidades Básicas (Centros Diurnos)</t>
  </si>
  <si>
    <r>
      <t xml:space="preserve">    Ley N° 8783 FODESAF  Necesidades Básicas (Hogares) (</t>
    </r>
    <r>
      <rPr>
        <sz val="11"/>
        <color rgb="FFFF0000"/>
        <rFont val="Calibri"/>
        <family val="2"/>
        <scheme val="minor"/>
      </rPr>
      <t>NOTA 1</t>
    </r>
    <r>
      <rPr>
        <sz val="11"/>
        <color theme="1"/>
        <rFont val="Calibri"/>
        <family val="2"/>
        <scheme val="minor"/>
      </rPr>
      <t>)</t>
    </r>
  </si>
  <si>
    <r>
      <t xml:space="preserve">    Ley N° 8783 FODESAF  Red de Cuido (</t>
    </r>
    <r>
      <rPr>
        <sz val="11"/>
        <color rgb="FFFF0000"/>
        <rFont val="Calibri"/>
        <family val="2"/>
        <scheme val="minor"/>
      </rPr>
      <t>NOTA 2</t>
    </r>
    <r>
      <rPr>
        <sz val="11"/>
        <color theme="1"/>
        <rFont val="Calibri"/>
        <family val="2"/>
        <scheme val="minor"/>
      </rPr>
      <t>)</t>
    </r>
  </si>
  <si>
    <t>Saldo Inicial 01-04-2021</t>
  </si>
  <si>
    <t>Total Presupuestado set-2021</t>
  </si>
  <si>
    <t>Fecha de actualización:31/01/2022</t>
  </si>
  <si>
    <t>Primer Trimestre 2022</t>
  </si>
  <si>
    <t>TRANSFERENCIAS RECIBIDAs POR FODESAF I TRIMESTRE 2022</t>
  </si>
  <si>
    <t>Superavit año 2021</t>
  </si>
  <si>
    <t>Fecha de actualización: 14/01/2022</t>
  </si>
  <si>
    <t>Total Presupuestado Enero-2022</t>
  </si>
  <si>
    <t>II Trimestre 2022</t>
  </si>
  <si>
    <t>Fecha de actualización: 14/04/2022</t>
  </si>
  <si>
    <t>TRANSFERENCIAS RECIBIDAs POR FODESAF II TRIMESTRE 2022</t>
  </si>
  <si>
    <t>Total Presupuestado abril-2022</t>
  </si>
  <si>
    <t>Tercer Trimestre 2022</t>
  </si>
  <si>
    <t>III TRIMESTRE 2022</t>
  </si>
  <si>
    <t>TRANSFERENCIAS RECIBIDAs POR FODESAF IIII TRIMESTRE 2022</t>
  </si>
  <si>
    <t>Fecha de actualización: 12/10/2022</t>
  </si>
  <si>
    <t>Saldo Inicial 01-07-2022</t>
  </si>
  <si>
    <t>Total Presupuestado Julio-2022</t>
  </si>
  <si>
    <t>IV TRIMESTRE 2022</t>
  </si>
  <si>
    <t>TRANSFERENCIAS RECIBIDAs POR FODESAF IV TRIMESTRE 2022</t>
  </si>
  <si>
    <t>Saldo Final al 30-09-2022</t>
  </si>
  <si>
    <t>Remanentes al 31-12-2022</t>
  </si>
  <si>
    <t>Saldo al 31-12-2022</t>
  </si>
  <si>
    <r>
      <t>Dirección Área Técnica.</t>
    </r>
    <r>
      <rPr>
        <b/>
        <sz val="11"/>
        <color theme="1"/>
        <rFont val="Calibri"/>
        <family val="2"/>
      </rPr>
      <t xml:space="preserve"> Departamento de Evaluación y Seguimiento</t>
    </r>
  </si>
  <si>
    <r>
      <t xml:space="preserve">1. Saldo en caja inicial  (5 </t>
    </r>
    <r>
      <rPr>
        <sz val="11"/>
        <color theme="1"/>
        <rFont val="Calibri"/>
        <family val="2"/>
      </rPr>
      <t xml:space="preserve">t-1) </t>
    </r>
  </si>
  <si>
    <r>
      <t xml:space="preserve">1. Saldo en caja inicial  (5 </t>
    </r>
    <r>
      <rPr>
        <sz val="11"/>
        <color theme="1"/>
        <rFont val="Calibri"/>
        <family val="2"/>
      </rPr>
      <t>t-1)  (Hogares)</t>
    </r>
  </si>
  <si>
    <r>
      <t xml:space="preserve">1. Saldo en caja inicial  (5 </t>
    </r>
    <r>
      <rPr>
        <sz val="11"/>
        <color theme="1"/>
        <rFont val="Calibri"/>
        <family val="2"/>
      </rPr>
      <t>t-1)  (Centros Diurnos)</t>
    </r>
  </si>
  <si>
    <r>
      <t xml:space="preserve">1. Saldo en caja inicial  (5 </t>
    </r>
    <r>
      <rPr>
        <sz val="11"/>
        <color theme="1"/>
        <rFont val="Calibri"/>
        <family val="2"/>
      </rPr>
      <t>t-1)  (Red de Cuido)</t>
    </r>
  </si>
  <si>
    <r>
      <t xml:space="preserve">1. Saldo en caja inicial  (5 </t>
    </r>
    <r>
      <rPr>
        <sz val="11"/>
        <color theme="1"/>
        <rFont val="Calibri"/>
        <family val="2"/>
      </rPr>
      <t>t-1)  (Abandonados)</t>
    </r>
  </si>
  <si>
    <r>
      <t xml:space="preserve">1. Saldo en caja inicial  (5 </t>
    </r>
    <r>
      <rPr>
        <sz val="11"/>
        <color theme="1"/>
        <rFont val="Calibri"/>
        <family val="2"/>
      </rPr>
      <t>t-1)  (Abandonados-CONAPDIS)</t>
    </r>
  </si>
  <si>
    <r>
      <t>II Trimestre</t>
    </r>
    <r>
      <rPr>
        <sz val="11"/>
        <color theme="1"/>
        <rFont val="Calibri"/>
        <family val="2"/>
      </rPr>
      <t>¹</t>
    </r>
  </si>
  <si>
    <r>
      <t>I Trimestre</t>
    </r>
    <r>
      <rPr>
        <sz val="11"/>
        <color theme="1"/>
        <rFont val="Calibri"/>
        <family val="2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</si>
</sst>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0000_);_(* \(#,##0.00000\);_(* &quot;-&quot;??_);_(@_)"/>
    <numFmt numFmtId="167" formatCode="#,##0.00_ ;\-#,##0.00\ "/>
    <numFmt numFmtId="168" formatCode="_-* #,##0.00_-;\-* #,##0.00_-;_-* &quot;-&quot;_-;_-@_-"/>
    <numFmt numFmtId="169" formatCode="_(* #,##0.0_);_(* \(#,##0.0\);_(* &quot;-&quot;??_);_(@_)"/>
    <numFmt numFmtId="170" formatCode="_(* #,##0.000_);_(* \(#,##0.000\);_(* &quot;-&quot;??_);_(@_)"/>
    <numFmt numFmtId="171" formatCode="#,##0.0000"/>
    <numFmt numFmtId="172" formatCode="#,##0.000;\-#,##0.000"/>
    <numFmt numFmtId="173" formatCode="#,##0.0000;\-#,##0.0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2" fillId="0" borderId="0"/>
    <xf numFmtId="41" fontId="3" fillId="0" borderId="0" applyFont="0" applyFill="0" applyBorder="0" applyAlignment="0" applyProtection="0"/>
  </cellStyleXfs>
  <cellXfs count="281">
    <xf numFmtId="0" fontId="0" fillId="0" borderId="0" xfId="0"/>
    <xf numFmtId="165" fontId="3" fillId="0" borderId="0" xfId="1" applyNumberFormat="1" applyFont="1" applyFill="1" applyAlignment="1">
      <alignment wrapText="1"/>
    </xf>
    <xf numFmtId="165" fontId="3" fillId="0" borderId="0" xfId="1" applyNumberFormat="1" applyFont="1" applyFill="1" applyAlignment="1">
      <alignment horizontal="center" wrapText="1"/>
    </xf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/>
    <xf numFmtId="165" fontId="5" fillId="0" borderId="0" xfId="1" applyNumberFormat="1" applyFont="1" applyFill="1" applyAlignment="1">
      <alignment horizontal="left"/>
    </xf>
    <xf numFmtId="165" fontId="5" fillId="0" borderId="1" xfId="1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wrapText="1"/>
    </xf>
    <xf numFmtId="165" fontId="3" fillId="0" borderId="2" xfId="1" applyNumberFormat="1" applyFont="1" applyFill="1" applyBorder="1" applyAlignment="1">
      <alignment horizontal="center" wrapText="1"/>
    </xf>
    <xf numFmtId="165" fontId="3" fillId="0" borderId="3" xfId="1" applyNumberFormat="1" applyFont="1" applyFill="1" applyBorder="1" applyAlignment="1">
      <alignment wrapText="1"/>
    </xf>
    <xf numFmtId="165" fontId="3" fillId="0" borderId="4" xfId="1" applyNumberFormat="1" applyFont="1" applyFill="1" applyBorder="1" applyAlignment="1">
      <alignment horizont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0" xfId="1" applyNumberFormat="1" applyFont="1"/>
    <xf numFmtId="165" fontId="5" fillId="0" borderId="0" xfId="1" applyNumberFormat="1" applyFont="1"/>
    <xf numFmtId="165" fontId="5" fillId="0" borderId="0" xfId="1" applyNumberFormat="1" applyFont="1" applyAlignment="1">
      <alignment horizontal="left"/>
    </xf>
    <xf numFmtId="165" fontId="3" fillId="0" borderId="4" xfId="1" applyNumberFormat="1" applyFont="1" applyFill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 vertical="center"/>
    </xf>
    <xf numFmtId="165" fontId="3" fillId="0" borderId="0" xfId="1" applyNumberFormat="1" applyFont="1" applyFill="1"/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left"/>
    </xf>
    <xf numFmtId="165" fontId="3" fillId="0" borderId="3" xfId="1" applyNumberFormat="1" applyFont="1" applyFill="1" applyBorder="1"/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center" vertical="center"/>
    </xf>
    <xf numFmtId="165" fontId="3" fillId="0" borderId="0" xfId="1" applyNumberFormat="1" applyFont="1" applyFill="1" applyBorder="1"/>
    <xf numFmtId="165" fontId="3" fillId="0" borderId="0" xfId="1" applyNumberFormat="1" applyFont="1" applyBorder="1"/>
    <xf numFmtId="165" fontId="3" fillId="0" borderId="0" xfId="1" applyNumberFormat="1" applyFont="1" applyAlignment="1">
      <alignment vertical="center"/>
    </xf>
    <xf numFmtId="165" fontId="4" fillId="0" borderId="0" xfId="1" applyNumberFormat="1" applyFont="1" applyFill="1"/>
    <xf numFmtId="165" fontId="4" fillId="0" borderId="0" xfId="1" applyNumberFormat="1" applyFont="1"/>
    <xf numFmtId="165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5" fillId="0" borderId="0" xfId="1" applyNumberFormat="1" applyFont="1" applyFill="1" applyBorder="1" applyAlignment="1">
      <alignment horizontal="left" vertical="top"/>
    </xf>
    <xf numFmtId="165" fontId="5" fillId="0" borderId="0" xfId="1" applyNumberFormat="1" applyFont="1" applyFill="1"/>
    <xf numFmtId="4" fontId="0" fillId="0" borderId="0" xfId="0" applyNumberFormat="1"/>
    <xf numFmtId="4" fontId="5" fillId="0" borderId="0" xfId="0" applyNumberFormat="1" applyFont="1"/>
    <xf numFmtId="1" fontId="5" fillId="0" borderId="0" xfId="1" applyNumberFormat="1" applyFont="1" applyAlignment="1">
      <alignment horizontal="left"/>
    </xf>
    <xf numFmtId="165" fontId="6" fillId="0" borderId="0" xfId="1" applyNumberFormat="1" applyFont="1" applyFill="1" applyBorder="1" applyAlignment="1"/>
    <xf numFmtId="165" fontId="7" fillId="0" borderId="2" xfId="1" applyNumberFormat="1" applyFont="1" applyFill="1" applyBorder="1" applyAlignment="1">
      <alignment horizontal="center" wrapText="1"/>
    </xf>
    <xf numFmtId="165" fontId="4" fillId="0" borderId="0" xfId="1" applyNumberFormat="1" applyFont="1" applyBorder="1"/>
    <xf numFmtId="165" fontId="8" fillId="0" borderId="0" xfId="1" applyNumberFormat="1" applyFont="1" applyFill="1"/>
    <xf numFmtId="165" fontId="8" fillId="0" borderId="0" xfId="1" applyNumberFormat="1" applyFont="1"/>
    <xf numFmtId="37" fontId="3" fillId="0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right" vertical="center" wrapText="1"/>
    </xf>
    <xf numFmtId="37" fontId="3" fillId="0" borderId="3" xfId="1" applyNumberFormat="1" applyFont="1" applyFill="1" applyBorder="1" applyAlignment="1">
      <alignment horizontal="right" vertical="center" wrapText="1"/>
    </xf>
    <xf numFmtId="37" fontId="3" fillId="0" borderId="3" xfId="1" applyNumberFormat="1" applyFont="1" applyFill="1" applyBorder="1" applyAlignment="1">
      <alignment horizontal="right" wrapText="1"/>
    </xf>
    <xf numFmtId="165" fontId="3" fillId="0" borderId="3" xfId="1" applyNumberFormat="1" applyFont="1" applyFill="1" applyBorder="1" applyAlignment="1">
      <alignment horizontal="right" vertical="center" wrapText="1"/>
    </xf>
    <xf numFmtId="37" fontId="3" fillId="0" borderId="0" xfId="1" applyNumberFormat="1" applyFont="1" applyAlignment="1">
      <alignment horizontal="right" vertical="center"/>
    </xf>
    <xf numFmtId="37" fontId="3" fillId="0" borderId="0" xfId="1" applyNumberFormat="1" applyFont="1" applyFill="1" applyAlignment="1">
      <alignment horizontal="right" vertical="center"/>
    </xf>
    <xf numFmtId="37" fontId="3" fillId="0" borderId="0" xfId="1" applyNumberFormat="1" applyFont="1" applyFill="1" applyAlignment="1">
      <alignment horizontal="right"/>
    </xf>
    <xf numFmtId="37" fontId="3" fillId="0" borderId="3" xfId="1" applyNumberFormat="1" applyFont="1" applyBorder="1" applyAlignment="1">
      <alignment horizontal="right" vertical="center"/>
    </xf>
    <xf numFmtId="37" fontId="3" fillId="0" borderId="0" xfId="1" applyNumberFormat="1" applyFont="1" applyAlignment="1">
      <alignment vertical="center"/>
    </xf>
    <xf numFmtId="37" fontId="3" fillId="0" borderId="0" xfId="1" applyNumberFormat="1" applyFont="1" applyFill="1" applyAlignment="1">
      <alignment vertical="center"/>
    </xf>
    <xf numFmtId="37" fontId="3" fillId="0" borderId="3" xfId="1" applyNumberFormat="1" applyFont="1" applyBorder="1" applyAlignment="1">
      <alignment vertical="center"/>
    </xf>
    <xf numFmtId="165" fontId="3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37" fontId="3" fillId="0" borderId="0" xfId="1" applyNumberFormat="1" applyFont="1"/>
    <xf numFmtId="3" fontId="3" fillId="0" borderId="0" xfId="1" applyNumberFormat="1" applyFont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3" fillId="0" borderId="0" xfId="1" applyNumberFormat="1" applyFont="1" applyBorder="1" applyAlignment="1">
      <alignment horizontal="right" vertical="center"/>
    </xf>
    <xf numFmtId="37" fontId="3" fillId="0" borderId="3" xfId="1" applyNumberFormat="1" applyFont="1" applyBorder="1"/>
    <xf numFmtId="164" fontId="3" fillId="0" borderId="0" xfId="1" applyFont="1"/>
    <xf numFmtId="165" fontId="3" fillId="2" borderId="0" xfId="1" applyNumberFormat="1" applyFont="1" applyFill="1" applyAlignment="1">
      <alignment wrapText="1"/>
    </xf>
    <xf numFmtId="165" fontId="5" fillId="2" borderId="1" xfId="1" applyNumberFormat="1" applyFont="1" applyFill="1" applyBorder="1" applyAlignment="1">
      <alignment horizontal="center" wrapText="1"/>
    </xf>
    <xf numFmtId="165" fontId="3" fillId="2" borderId="4" xfId="1" applyNumberFormat="1" applyFont="1" applyFill="1" applyBorder="1" applyAlignment="1">
      <alignment horizontal="center" wrapText="1"/>
    </xf>
    <xf numFmtId="165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Border="1" applyAlignment="1">
      <alignment wrapText="1"/>
    </xf>
    <xf numFmtId="165" fontId="3" fillId="2" borderId="3" xfId="1" applyNumberFormat="1" applyFont="1" applyFill="1" applyBorder="1" applyAlignment="1">
      <alignment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>
      <alignment wrapText="1"/>
    </xf>
    <xf numFmtId="165" fontId="3" fillId="2" borderId="3" xfId="1" applyNumberFormat="1" applyFont="1" applyFill="1" applyBorder="1" applyAlignment="1">
      <alignment horizontal="center" wrapText="1"/>
    </xf>
    <xf numFmtId="37" fontId="3" fillId="3" borderId="0" xfId="1" applyNumberFormat="1" applyFont="1" applyFill="1" applyAlignment="1">
      <alignment horizontal="right" vertical="center"/>
    </xf>
    <xf numFmtId="164" fontId="3" fillId="0" borderId="0" xfId="1" applyFont="1" applyFill="1"/>
    <xf numFmtId="165" fontId="0" fillId="0" borderId="0" xfId="1" applyNumberFormat="1" applyFont="1" applyFill="1"/>
    <xf numFmtId="165" fontId="0" fillId="0" borderId="0" xfId="1" applyNumberFormat="1" applyFont="1"/>
    <xf numFmtId="165" fontId="3" fillId="0" borderId="8" xfId="1" applyNumberFormat="1" applyFont="1" applyBorder="1"/>
    <xf numFmtId="37" fontId="0" fillId="3" borderId="0" xfId="1" applyNumberFormat="1" applyFont="1" applyFill="1" applyAlignment="1">
      <alignment horizontal="right" vertical="center"/>
    </xf>
    <xf numFmtId="165" fontId="5" fillId="0" borderId="5" xfId="1" applyNumberFormat="1" applyFont="1" applyBorder="1"/>
    <xf numFmtId="165" fontId="3" fillId="0" borderId="10" xfId="1" applyNumberFormat="1" applyFont="1" applyFill="1" applyBorder="1" applyAlignment="1">
      <alignment wrapText="1"/>
    </xf>
    <xf numFmtId="37" fontId="3" fillId="0" borderId="11" xfId="1" applyNumberFormat="1" applyFont="1" applyFill="1" applyBorder="1" applyAlignment="1">
      <alignment horizontal="right" vertical="center" wrapText="1"/>
    </xf>
    <xf numFmtId="165" fontId="3" fillId="0" borderId="12" xfId="1" applyNumberFormat="1" applyFont="1" applyFill="1" applyBorder="1" applyAlignment="1">
      <alignment horizontal="right" wrapText="1"/>
    </xf>
    <xf numFmtId="165" fontId="3" fillId="0" borderId="13" xfId="1" applyNumberFormat="1" applyFont="1" applyFill="1" applyBorder="1" applyAlignment="1">
      <alignment wrapText="1"/>
    </xf>
    <xf numFmtId="37" fontId="3" fillId="0" borderId="0" xfId="1" applyNumberFormat="1" applyFont="1" applyFill="1" applyBorder="1" applyAlignment="1">
      <alignment horizontal="right" vertical="center" wrapText="1"/>
    </xf>
    <xf numFmtId="165" fontId="3" fillId="0" borderId="14" xfId="1" applyNumberFormat="1" applyFont="1" applyFill="1" applyBorder="1" applyAlignment="1">
      <alignment horizontal="right" wrapText="1"/>
    </xf>
    <xf numFmtId="165" fontId="3" fillId="0" borderId="15" xfId="1" applyNumberFormat="1" applyFont="1" applyFill="1" applyBorder="1" applyAlignment="1">
      <alignment wrapText="1"/>
    </xf>
    <xf numFmtId="37" fontId="3" fillId="0" borderId="1" xfId="1" applyNumberFormat="1" applyFont="1" applyFill="1" applyBorder="1" applyAlignment="1">
      <alignment horizontal="right" vertical="center" wrapText="1"/>
    </xf>
    <xf numFmtId="165" fontId="3" fillId="0" borderId="16" xfId="1" applyNumberFormat="1" applyFont="1" applyFill="1" applyBorder="1" applyAlignment="1">
      <alignment horizontal="right" wrapText="1"/>
    </xf>
    <xf numFmtId="37" fontId="3" fillId="0" borderId="12" xfId="1" applyNumberFormat="1" applyFont="1" applyFill="1" applyBorder="1" applyAlignment="1">
      <alignment horizontal="right" wrapText="1"/>
    </xf>
    <xf numFmtId="37" fontId="3" fillId="0" borderId="14" xfId="1" applyNumberFormat="1" applyFont="1" applyFill="1" applyBorder="1" applyAlignment="1">
      <alignment horizontal="right" wrapText="1"/>
    </xf>
    <xf numFmtId="37" fontId="3" fillId="0" borderId="16" xfId="1" applyNumberFormat="1" applyFont="1" applyFill="1" applyBorder="1" applyAlignment="1">
      <alignment horizontal="right" wrapText="1"/>
    </xf>
    <xf numFmtId="165" fontId="3" fillId="0" borderId="10" xfId="1" applyNumberFormat="1" applyFont="1" applyFill="1" applyBorder="1" applyAlignment="1">
      <alignment horizontal="left" wrapText="1"/>
    </xf>
    <xf numFmtId="165" fontId="3" fillId="0" borderId="11" xfId="1" applyNumberFormat="1" applyFont="1" applyFill="1" applyBorder="1" applyAlignment="1">
      <alignment wrapText="1"/>
    </xf>
    <xf numFmtId="37" fontId="3" fillId="0" borderId="11" xfId="1" applyNumberFormat="1" applyFont="1" applyFill="1" applyBorder="1" applyAlignment="1">
      <alignment horizontal="right" wrapText="1"/>
    </xf>
    <xf numFmtId="165" fontId="3" fillId="0" borderId="15" xfId="1" applyNumberFormat="1" applyFont="1" applyFill="1" applyBorder="1" applyAlignment="1">
      <alignment horizontal="left" wrapText="1"/>
    </xf>
    <xf numFmtId="165" fontId="3" fillId="0" borderId="1" xfId="1" applyNumberFormat="1" applyFont="1" applyFill="1" applyBorder="1" applyAlignment="1">
      <alignment wrapText="1"/>
    </xf>
    <xf numFmtId="37" fontId="3" fillId="0" borderId="1" xfId="1" applyNumberFormat="1" applyFont="1" applyFill="1" applyBorder="1" applyAlignment="1">
      <alignment horizontal="right" wrapText="1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65" fontId="3" fillId="5" borderId="0" xfId="1" applyNumberFormat="1" applyFont="1" applyFill="1" applyBorder="1" applyAlignment="1">
      <alignment wrapText="1"/>
    </xf>
    <xf numFmtId="37" fontId="3" fillId="5" borderId="0" xfId="1" applyNumberFormat="1" applyFont="1" applyFill="1" applyAlignment="1">
      <alignment horizontal="right"/>
    </xf>
    <xf numFmtId="37" fontId="3" fillId="5" borderId="0" xfId="1" applyNumberFormat="1" applyFont="1" applyFill="1" applyAlignment="1">
      <alignment horizontal="right" vertical="center"/>
    </xf>
    <xf numFmtId="165" fontId="3" fillId="5" borderId="0" xfId="1" applyNumberFormat="1" applyFont="1" applyFill="1" applyAlignment="1">
      <alignment horizontal="left"/>
    </xf>
    <xf numFmtId="165" fontId="3" fillId="5" borderId="0" xfId="1" applyNumberFormat="1" applyFont="1" applyFill="1"/>
    <xf numFmtId="37" fontId="3" fillId="5" borderId="0" xfId="1" applyNumberFormat="1" applyFont="1" applyFill="1" applyAlignment="1">
      <alignment vertical="center"/>
    </xf>
    <xf numFmtId="37" fontId="0" fillId="0" borderId="0" xfId="1" applyNumberFormat="1" applyFont="1" applyFill="1" applyAlignment="1">
      <alignment vertical="center"/>
    </xf>
    <xf numFmtId="165" fontId="3" fillId="4" borderId="0" xfId="1" applyNumberFormat="1" applyFont="1" applyFill="1" applyBorder="1" applyAlignment="1">
      <alignment wrapText="1"/>
    </xf>
    <xf numFmtId="165" fontId="3" fillId="4" borderId="0" xfId="1" applyNumberFormat="1" applyFont="1" applyFill="1"/>
    <xf numFmtId="165" fontId="3" fillId="6" borderId="0" xfId="1" applyNumberFormat="1" applyFont="1" applyFill="1" applyBorder="1" applyAlignment="1">
      <alignment wrapText="1"/>
    </xf>
    <xf numFmtId="165" fontId="3" fillId="6" borderId="0" xfId="1" applyNumberFormat="1" applyFont="1" applyFill="1"/>
    <xf numFmtId="165" fontId="8" fillId="6" borderId="0" xfId="1" applyNumberFormat="1" applyFont="1" applyFill="1"/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wrapText="1"/>
    </xf>
    <xf numFmtId="37" fontId="3" fillId="7" borderId="0" xfId="1" applyNumberFormat="1" applyFont="1" applyFill="1"/>
    <xf numFmtId="0" fontId="0" fillId="7" borderId="0" xfId="0" applyFill="1"/>
    <xf numFmtId="165" fontId="3" fillId="7" borderId="0" xfId="1" applyNumberFormat="1" applyFont="1" applyFill="1" applyBorder="1" applyAlignment="1">
      <alignment wrapText="1"/>
    </xf>
    <xf numFmtId="165" fontId="3" fillId="7" borderId="0" xfId="1" applyNumberFormat="1" applyFont="1" applyFill="1"/>
    <xf numFmtId="165" fontId="8" fillId="7" borderId="0" xfId="1" applyNumberFormat="1" applyFont="1" applyFill="1"/>
    <xf numFmtId="37" fontId="3" fillId="4" borderId="0" xfId="1" applyNumberFormat="1" applyFont="1" applyFill="1"/>
    <xf numFmtId="165" fontId="3" fillId="8" borderId="0" xfId="1" applyNumberFormat="1" applyFont="1" applyFill="1" applyBorder="1" applyAlignment="1">
      <alignment wrapText="1"/>
    </xf>
    <xf numFmtId="0" fontId="0" fillId="8" borderId="0" xfId="0" applyFill="1"/>
    <xf numFmtId="165" fontId="8" fillId="8" borderId="0" xfId="1" applyNumberFormat="1" applyFont="1" applyFill="1"/>
    <xf numFmtId="0" fontId="0" fillId="5" borderId="0" xfId="0" applyFill="1"/>
    <xf numFmtId="165" fontId="8" fillId="5" borderId="0" xfId="1" applyNumberFormat="1" applyFont="1" applyFill="1"/>
    <xf numFmtId="165" fontId="3" fillId="8" borderId="0" xfId="1" applyNumberFormat="1" applyFont="1" applyFill="1"/>
    <xf numFmtId="0" fontId="9" fillId="9" borderId="0" xfId="0" applyFont="1" applyFill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/>
    <xf numFmtId="165" fontId="3" fillId="9" borderId="0" xfId="1" applyNumberFormat="1" applyFont="1" applyFill="1"/>
    <xf numFmtId="165" fontId="8" fillId="9" borderId="0" xfId="1" applyNumberFormat="1" applyFont="1" applyFill="1"/>
    <xf numFmtId="4" fontId="0" fillId="9" borderId="0" xfId="0" applyNumberFormat="1" applyFill="1"/>
    <xf numFmtId="0" fontId="9" fillId="9" borderId="0" xfId="0" applyFont="1" applyFill="1" applyAlignment="1">
      <alignment horizontal="left"/>
    </xf>
    <xf numFmtId="37" fontId="3" fillId="9" borderId="0" xfId="1" applyNumberFormat="1" applyFont="1" applyFill="1"/>
    <xf numFmtId="165" fontId="3" fillId="10" borderId="0" xfId="1" applyNumberFormat="1" applyFont="1" applyFill="1" applyAlignment="1">
      <alignment horizontal="left"/>
    </xf>
    <xf numFmtId="165" fontId="3" fillId="10" borderId="0" xfId="1" applyNumberFormat="1" applyFont="1" applyFill="1"/>
    <xf numFmtId="4" fontId="0" fillId="10" borderId="0" xfId="0" applyNumberFormat="1" applyFill="1"/>
    <xf numFmtId="4" fontId="3" fillId="10" borderId="0" xfId="1" applyNumberFormat="1" applyFont="1" applyFill="1"/>
    <xf numFmtId="4" fontId="3" fillId="5" borderId="0" xfId="1" applyNumberFormat="1" applyFont="1" applyFill="1"/>
    <xf numFmtId="164" fontId="0" fillId="0" borderId="0" xfId="1" applyFont="1" applyFill="1"/>
    <xf numFmtId="4" fontId="13" fillId="0" borderId="0" xfId="2" applyNumberFormat="1" applyFont="1"/>
    <xf numFmtId="164" fontId="3" fillId="0" borderId="0" xfId="1" applyFont="1" applyFill="1" applyAlignment="1">
      <alignment wrapText="1"/>
    </xf>
    <xf numFmtId="165" fontId="5" fillId="0" borderId="2" xfId="1" applyNumberFormat="1" applyFont="1" applyFill="1" applyBorder="1" applyAlignment="1">
      <alignment horizontal="center"/>
    </xf>
    <xf numFmtId="165" fontId="3" fillId="5" borderId="10" xfId="1" applyNumberFormat="1" applyFont="1" applyFill="1" applyBorder="1" applyAlignment="1">
      <alignment horizontal="left" wrapText="1"/>
    </xf>
    <xf numFmtId="165" fontId="3" fillId="5" borderId="11" xfId="1" applyNumberFormat="1" applyFont="1" applyFill="1" applyBorder="1" applyAlignment="1">
      <alignment wrapText="1"/>
    </xf>
    <xf numFmtId="37" fontId="3" fillId="5" borderId="11" xfId="1" applyNumberFormat="1" applyFont="1" applyFill="1" applyBorder="1" applyAlignment="1">
      <alignment horizontal="right" wrapText="1"/>
    </xf>
    <xf numFmtId="37" fontId="3" fillId="5" borderId="12" xfId="1" applyNumberFormat="1" applyFont="1" applyFill="1" applyBorder="1" applyAlignment="1">
      <alignment horizontal="right" wrapText="1"/>
    </xf>
    <xf numFmtId="165" fontId="3" fillId="5" borderId="15" xfId="1" applyNumberFormat="1" applyFont="1" applyFill="1" applyBorder="1" applyAlignment="1">
      <alignment horizontal="left" wrapText="1"/>
    </xf>
    <xf numFmtId="165" fontId="3" fillId="5" borderId="1" xfId="1" applyNumberFormat="1" applyFont="1" applyFill="1" applyBorder="1" applyAlignment="1">
      <alignment wrapText="1"/>
    </xf>
    <xf numFmtId="37" fontId="3" fillId="5" borderId="1" xfId="1" applyNumberFormat="1" applyFont="1" applyFill="1" applyBorder="1" applyAlignment="1">
      <alignment horizontal="right" wrapText="1"/>
    </xf>
    <xf numFmtId="37" fontId="3" fillId="5" borderId="16" xfId="1" applyNumberFormat="1" applyFont="1" applyFill="1" applyBorder="1" applyAlignment="1">
      <alignment horizontal="right" wrapText="1"/>
    </xf>
    <xf numFmtId="165" fontId="3" fillId="11" borderId="10" xfId="1" applyNumberFormat="1" applyFont="1" applyFill="1" applyBorder="1" applyAlignment="1">
      <alignment horizontal="left" wrapText="1"/>
    </xf>
    <xf numFmtId="165" fontId="3" fillId="11" borderId="11" xfId="1" applyNumberFormat="1" applyFont="1" applyFill="1" applyBorder="1" applyAlignment="1">
      <alignment wrapText="1"/>
    </xf>
    <xf numFmtId="37" fontId="3" fillId="11" borderId="11" xfId="1" applyNumberFormat="1" applyFont="1" applyFill="1" applyBorder="1" applyAlignment="1">
      <alignment horizontal="right" wrapText="1"/>
    </xf>
    <xf numFmtId="37" fontId="3" fillId="11" borderId="12" xfId="1" applyNumberFormat="1" applyFont="1" applyFill="1" applyBorder="1" applyAlignment="1">
      <alignment horizontal="right" wrapText="1"/>
    </xf>
    <xf numFmtId="165" fontId="3" fillId="11" borderId="15" xfId="1" applyNumberFormat="1" applyFont="1" applyFill="1" applyBorder="1" applyAlignment="1">
      <alignment horizontal="left" wrapText="1"/>
    </xf>
    <xf numFmtId="165" fontId="3" fillId="11" borderId="1" xfId="1" applyNumberFormat="1" applyFont="1" applyFill="1" applyBorder="1" applyAlignment="1">
      <alignment wrapText="1"/>
    </xf>
    <xf numFmtId="37" fontId="3" fillId="11" borderId="1" xfId="1" applyNumberFormat="1" applyFont="1" applyFill="1" applyBorder="1" applyAlignment="1">
      <alignment horizontal="right" wrapText="1"/>
    </xf>
    <xf numFmtId="37" fontId="3" fillId="11" borderId="16" xfId="1" applyNumberFormat="1" applyFont="1" applyFill="1" applyBorder="1" applyAlignment="1">
      <alignment horizontal="right" wrapText="1"/>
    </xf>
    <xf numFmtId="164" fontId="14" fillId="12" borderId="0" xfId="1" applyFont="1" applyFill="1" applyBorder="1"/>
    <xf numFmtId="164" fontId="5" fillId="0" borderId="2" xfId="1" applyFont="1" applyBorder="1"/>
    <xf numFmtId="37" fontId="3" fillId="12" borderId="0" xfId="1" applyNumberFormat="1" applyFont="1" applyFill="1" applyAlignment="1">
      <alignment horizontal="right" vertical="center"/>
    </xf>
    <xf numFmtId="165" fontId="3" fillId="0" borderId="1" xfId="1" applyNumberFormat="1" applyFont="1" applyBorder="1"/>
    <xf numFmtId="164" fontId="3" fillId="0" borderId="1" xfId="1" applyFont="1" applyBorder="1"/>
    <xf numFmtId="4" fontId="0" fillId="12" borderId="0" xfId="0" applyNumberFormat="1" applyFill="1"/>
    <xf numFmtId="165" fontId="3" fillId="12" borderId="1" xfId="1" applyNumberFormat="1" applyFont="1" applyFill="1" applyBorder="1"/>
    <xf numFmtId="164" fontId="3" fillId="12" borderId="1" xfId="1" applyFont="1" applyFill="1" applyBorder="1"/>
    <xf numFmtId="37" fontId="3" fillId="0" borderId="0" xfId="1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/>
    <xf numFmtId="164" fontId="5" fillId="0" borderId="20" xfId="1" applyFont="1" applyBorder="1"/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165" fontId="3" fillId="0" borderId="5" xfId="1" applyNumberFormat="1" applyFont="1" applyFill="1" applyBorder="1" applyAlignment="1">
      <alignment wrapText="1"/>
    </xf>
    <xf numFmtId="164" fontId="3" fillId="2" borderId="0" xfId="1" applyFont="1" applyFill="1" applyAlignment="1">
      <alignment wrapText="1"/>
    </xf>
    <xf numFmtId="165" fontId="3" fillId="8" borderId="0" xfId="1" applyNumberFormat="1" applyFont="1" applyFill="1" applyAlignment="1">
      <alignment wrapText="1"/>
    </xf>
    <xf numFmtId="166" fontId="3" fillId="0" borderId="0" xfId="1" applyNumberFormat="1" applyFont="1" applyFill="1" applyAlignment="1">
      <alignment wrapText="1"/>
    </xf>
    <xf numFmtId="164" fontId="5" fillId="7" borderId="5" xfId="1" applyFont="1" applyFill="1" applyBorder="1"/>
    <xf numFmtId="164" fontId="5" fillId="2" borderId="0" xfId="1" applyFont="1" applyFill="1" applyAlignment="1">
      <alignment wrapText="1"/>
    </xf>
    <xf numFmtId="167" fontId="3" fillId="5" borderId="11" xfId="1" applyNumberFormat="1" applyFont="1" applyFill="1" applyBorder="1" applyAlignment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3" fillId="0" borderId="11" xfId="1" applyNumberFormat="1" applyFont="1" applyFill="1" applyBorder="1" applyAlignment="1">
      <alignment horizontal="right" wrapText="1"/>
    </xf>
    <xf numFmtId="167" fontId="3" fillId="0" borderId="1" xfId="1" applyNumberFormat="1" applyFont="1" applyFill="1" applyBorder="1" applyAlignment="1">
      <alignment horizontal="right" wrapText="1"/>
    </xf>
    <xf numFmtId="167" fontId="3" fillId="11" borderId="11" xfId="1" applyNumberFormat="1" applyFont="1" applyFill="1" applyBorder="1" applyAlignment="1">
      <alignment horizontal="right" wrapText="1"/>
    </xf>
    <xf numFmtId="167" fontId="3" fillId="11" borderId="1" xfId="1" applyNumberFormat="1" applyFont="1" applyFill="1" applyBorder="1" applyAlignment="1">
      <alignment horizontal="right" wrapText="1"/>
    </xf>
    <xf numFmtId="167" fontId="3" fillId="0" borderId="0" xfId="1" applyNumberFormat="1" applyFont="1" applyFill="1" applyBorder="1" applyAlignment="1">
      <alignment horizontal="right" wrapText="1"/>
    </xf>
    <xf numFmtId="167" fontId="3" fillId="0" borderId="3" xfId="1" applyNumberFormat="1" applyFont="1" applyFill="1" applyBorder="1" applyAlignment="1">
      <alignment horizontal="right" wrapText="1"/>
    </xf>
    <xf numFmtId="164" fontId="3" fillId="2" borderId="5" xfId="1" applyFont="1" applyFill="1" applyBorder="1" applyAlignment="1">
      <alignment wrapText="1"/>
    </xf>
    <xf numFmtId="168" fontId="5" fillId="2" borderId="21" xfId="3" applyNumberFormat="1" applyFont="1" applyFill="1" applyBorder="1" applyAlignment="1">
      <alignment wrapText="1"/>
    </xf>
    <xf numFmtId="165" fontId="0" fillId="0" borderId="0" xfId="1" applyNumberFormat="1" applyFont="1" applyAlignment="1">
      <alignment horizontal="left"/>
    </xf>
    <xf numFmtId="165" fontId="0" fillId="0" borderId="5" xfId="1" applyNumberFormat="1" applyFont="1" applyBorder="1"/>
    <xf numFmtId="164" fontId="3" fillId="12" borderId="0" xfId="1" applyFont="1" applyFill="1" applyBorder="1"/>
    <xf numFmtId="39" fontId="3" fillId="11" borderId="12" xfId="1" applyNumberFormat="1" applyFont="1" applyFill="1" applyBorder="1" applyAlignment="1">
      <alignment horizontal="right" wrapText="1"/>
    </xf>
    <xf numFmtId="39" fontId="3" fillId="11" borderId="16" xfId="1" applyNumberFormat="1" applyFont="1" applyFill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 wrapText="1"/>
    </xf>
    <xf numFmtId="169" fontId="3" fillId="2" borderId="0" xfId="1" applyNumberFormat="1" applyFont="1" applyFill="1" applyAlignment="1">
      <alignment horizontal="center" vertical="center" wrapText="1"/>
    </xf>
    <xf numFmtId="171" fontId="5" fillId="2" borderId="5" xfId="0" applyNumberFormat="1" applyFont="1" applyFill="1" applyBorder="1" applyAlignment="1">
      <alignment wrapText="1"/>
    </xf>
    <xf numFmtId="172" fontId="3" fillId="0" borderId="0" xfId="1" applyNumberFormat="1" applyFont="1" applyFill="1" applyAlignment="1">
      <alignment horizontal="right" vertical="center" wrapText="1"/>
    </xf>
    <xf numFmtId="173" fontId="3" fillId="11" borderId="11" xfId="1" applyNumberFormat="1" applyFont="1" applyFill="1" applyBorder="1" applyAlignment="1">
      <alignment horizontal="right" wrapText="1"/>
    </xf>
    <xf numFmtId="173" fontId="3" fillId="11" borderId="1" xfId="1" applyNumberFormat="1" applyFont="1" applyFill="1" applyBorder="1" applyAlignment="1">
      <alignment horizontal="right" wrapText="1"/>
    </xf>
    <xf numFmtId="166" fontId="3" fillId="0" borderId="5" xfId="1" applyNumberFormat="1" applyFont="1" applyFill="1" applyBorder="1"/>
    <xf numFmtId="166" fontId="3" fillId="0" borderId="8" xfId="1" applyNumberFormat="1" applyFont="1" applyFill="1" applyBorder="1"/>
    <xf numFmtId="2" fontId="5" fillId="0" borderId="19" xfId="0" applyNumberFormat="1" applyFont="1" applyBorder="1"/>
    <xf numFmtId="165" fontId="14" fillId="12" borderId="0" xfId="1" applyNumberFormat="1" applyFont="1" applyFill="1" applyBorder="1"/>
    <xf numFmtId="165" fontId="3" fillId="0" borderId="5" xfId="1" applyNumberFormat="1" applyFont="1" applyFill="1" applyBorder="1"/>
    <xf numFmtId="39" fontId="3" fillId="0" borderId="3" xfId="1" applyNumberFormat="1" applyFont="1" applyFill="1" applyBorder="1" applyAlignment="1">
      <alignment horizontal="right" vertical="center" wrapText="1"/>
    </xf>
    <xf numFmtId="39" fontId="3" fillId="0" borderId="3" xfId="1" applyNumberFormat="1" applyFont="1" applyFill="1" applyBorder="1" applyAlignment="1">
      <alignment horizontal="right" wrapText="1"/>
    </xf>
    <xf numFmtId="37" fontId="3" fillId="12" borderId="1" xfId="1" applyNumberFormat="1" applyFont="1" applyFill="1" applyBorder="1" applyAlignment="1">
      <alignment horizontal="right" vertical="center" wrapText="1"/>
    </xf>
    <xf numFmtId="165" fontId="3" fillId="13" borderId="3" xfId="1" applyNumberFormat="1" applyFont="1" applyFill="1" applyBorder="1" applyAlignment="1">
      <alignment horizontal="right" vertical="center" wrapText="1"/>
    </xf>
    <xf numFmtId="39" fontId="3" fillId="11" borderId="11" xfId="1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5" xfId="0" applyFont="1" applyBorder="1" applyAlignment="1">
      <alignment wrapText="1"/>
    </xf>
    <xf numFmtId="167" fontId="3" fillId="5" borderId="12" xfId="1" applyNumberFormat="1" applyFont="1" applyFill="1" applyBorder="1" applyAlignment="1">
      <alignment horizontal="right" wrapText="1"/>
    </xf>
    <xf numFmtId="167" fontId="3" fillId="5" borderId="16" xfId="1" applyNumberFormat="1" applyFont="1" applyFill="1" applyBorder="1" applyAlignment="1">
      <alignment horizontal="right" wrapText="1"/>
    </xf>
    <xf numFmtId="167" fontId="3" fillId="0" borderId="12" xfId="1" applyNumberFormat="1" applyFont="1" applyFill="1" applyBorder="1" applyAlignment="1">
      <alignment horizontal="right" wrapText="1"/>
    </xf>
    <xf numFmtId="167" fontId="3" fillId="0" borderId="16" xfId="1" applyNumberFormat="1" applyFont="1" applyFill="1" applyBorder="1" applyAlignment="1">
      <alignment horizontal="right" wrapText="1"/>
    </xf>
    <xf numFmtId="167" fontId="3" fillId="11" borderId="12" xfId="1" applyNumberFormat="1" applyFont="1" applyFill="1" applyBorder="1" applyAlignment="1">
      <alignment horizontal="right" wrapText="1"/>
    </xf>
    <xf numFmtId="167" fontId="3" fillId="11" borderId="16" xfId="1" applyNumberFormat="1" applyFont="1" applyFill="1" applyBorder="1" applyAlignment="1">
      <alignment horizontal="right" wrapText="1"/>
    </xf>
    <xf numFmtId="4" fontId="3" fillId="0" borderId="11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/>
    <xf numFmtId="165" fontId="3" fillId="0" borderId="0" xfId="1" applyNumberFormat="1" applyFont="1" applyFill="1" applyAlignment="1"/>
    <xf numFmtId="37" fontId="3" fillId="2" borderId="0" xfId="1" applyNumberFormat="1" applyFont="1" applyFill="1" applyAlignment="1">
      <alignment horizontal="right" vertical="center" wrapText="1"/>
    </xf>
    <xf numFmtId="37" fontId="3" fillId="12" borderId="0" xfId="1" applyNumberFormat="1" applyFont="1" applyFill="1" applyAlignment="1">
      <alignment horizontal="right" vertical="center" wrapText="1"/>
    </xf>
    <xf numFmtId="37" fontId="17" fillId="2" borderId="0" xfId="1" applyNumberFormat="1" applyFont="1" applyFill="1" applyAlignment="1">
      <alignment horizontal="right" vertical="center" wrapText="1"/>
    </xf>
    <xf numFmtId="165" fontId="3" fillId="2" borderId="0" xfId="1" applyNumberFormat="1" applyFont="1" applyFill="1"/>
    <xf numFmtId="37" fontId="3" fillId="2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37" fontId="3" fillId="2" borderId="0" xfId="1" applyNumberFormat="1" applyFont="1" applyFill="1" applyBorder="1" applyAlignment="1">
      <alignment horizontal="right" wrapText="1"/>
    </xf>
    <xf numFmtId="0" fontId="3" fillId="2" borderId="5" xfId="0" applyFont="1" applyFill="1" applyBorder="1"/>
    <xf numFmtId="4" fontId="3" fillId="2" borderId="5" xfId="0" applyNumberFormat="1" applyFont="1" applyFill="1" applyBorder="1"/>
    <xf numFmtId="0" fontId="3" fillId="7" borderId="5" xfId="0" applyFont="1" applyFill="1" applyBorder="1"/>
    <xf numFmtId="164" fontId="3" fillId="7" borderId="5" xfId="1" applyFont="1" applyFill="1" applyBorder="1"/>
    <xf numFmtId="0" fontId="3" fillId="0" borderId="5" xfId="0" applyFont="1" applyBorder="1"/>
    <xf numFmtId="164" fontId="3" fillId="0" borderId="5" xfId="1" applyFont="1" applyBorder="1"/>
    <xf numFmtId="0" fontId="3" fillId="0" borderId="17" xfId="0" applyFont="1" applyBorder="1" applyAlignment="1">
      <alignment wrapText="1"/>
    </xf>
    <xf numFmtId="164" fontId="3" fillId="0" borderId="17" xfId="1" applyFont="1" applyFill="1" applyBorder="1"/>
    <xf numFmtId="2" fontId="3" fillId="7" borderId="5" xfId="0" applyNumberFormat="1" applyFont="1" applyFill="1" applyBorder="1"/>
    <xf numFmtId="2" fontId="3" fillId="0" borderId="5" xfId="0" applyNumberFormat="1" applyFont="1" applyBorder="1"/>
    <xf numFmtId="2" fontId="3" fillId="0" borderId="17" xfId="0" applyNumberFormat="1" applyFont="1" applyBorder="1" applyAlignment="1">
      <alignment wrapText="1"/>
    </xf>
    <xf numFmtId="170" fontId="3" fillId="2" borderId="0" xfId="1" applyNumberFormat="1" applyFont="1" applyFill="1" applyAlignment="1">
      <alignment horizontal="right" vertical="center" wrapText="1"/>
    </xf>
    <xf numFmtId="171" fontId="3" fillId="2" borderId="5" xfId="0" applyNumberFormat="1" applyFont="1" applyFill="1" applyBorder="1"/>
    <xf numFmtId="165" fontId="5" fillId="13" borderId="0" xfId="1" applyNumberFormat="1" applyFont="1" applyFill="1" applyAlignment="1">
      <alignment wrapText="1"/>
    </xf>
    <xf numFmtId="0" fontId="3" fillId="0" borderId="0" xfId="0" applyFont="1"/>
    <xf numFmtId="172" fontId="3" fillId="2" borderId="0" xfId="1" applyNumberFormat="1" applyFont="1" applyFill="1" applyAlignment="1">
      <alignment horizontal="right" vertical="center" wrapText="1"/>
    </xf>
    <xf numFmtId="173" fontId="3" fillId="2" borderId="0" xfId="1" applyNumberFormat="1" applyFont="1" applyFill="1" applyAlignment="1">
      <alignment horizontal="right" vertical="center" wrapText="1"/>
    </xf>
    <xf numFmtId="39" fontId="3" fillId="2" borderId="0" xfId="1" applyNumberFormat="1" applyFont="1" applyFill="1" applyAlignment="1">
      <alignment horizontal="right" vertical="center" wrapText="1"/>
    </xf>
    <xf numFmtId="173" fontId="3" fillId="2" borderId="0" xfId="1" applyNumberFormat="1" applyFont="1" applyFill="1" applyBorder="1" applyAlignment="1">
      <alignment horizontal="right" wrapText="1"/>
    </xf>
    <xf numFmtId="39" fontId="3" fillId="2" borderId="0" xfId="1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wrapText="1"/>
    </xf>
    <xf numFmtId="165" fontId="5" fillId="2" borderId="0" xfId="1" applyNumberFormat="1" applyFont="1" applyFill="1" applyAlignment="1">
      <alignment horizontal="center" wrapText="1"/>
    </xf>
    <xf numFmtId="165" fontId="5" fillId="2" borderId="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Alignment="1">
      <alignment horizont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3" fillId="6" borderId="0" xfId="1" applyNumberFormat="1" applyFont="1" applyFill="1" applyAlignment="1">
      <alignment horizontal="center" vertical="center"/>
    </xf>
    <xf numFmtId="165" fontId="3" fillId="7" borderId="0" xfId="1" applyNumberFormat="1" applyFont="1" applyFill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165" fontId="3" fillId="6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wrapText="1"/>
    </xf>
    <xf numFmtId="165" fontId="3" fillId="5" borderId="0" xfId="1" applyNumberFormat="1" applyFont="1" applyFill="1" applyAlignment="1">
      <alignment horizontal="center" vertical="center"/>
    </xf>
    <xf numFmtId="165" fontId="3" fillId="5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/>
    </xf>
    <xf numFmtId="165" fontId="3" fillId="8" borderId="0" xfId="1" applyNumberFormat="1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/>
    </xf>
  </cellXfs>
  <cellStyles count="4">
    <cellStyle name="Millares" xfId="1" builtinId="3"/>
    <cellStyle name="Millares [0]" xfId="3" builtinId="6"/>
    <cellStyle name="Normal" xfId="0" builtinId="0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1086971</xdr:colOff>
      <xdr:row>41</xdr:row>
      <xdr:rowOff>44824</xdr:rowOff>
    </xdr:from>
    <xdr:to>
      <xdr:col>6</xdr:col>
      <xdr:colOff>1042147</xdr:colOff>
      <xdr:row>41</xdr:row>
      <xdr:rowOff>156882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8A4F5641-50FB-4D5E-AB8A-E0C1B35774C0}"/>
            </a:ext>
          </a:extLst>
        </xdr:cNvPr>
        <xdr:cNvCxnSpPr/>
      </xdr:nvCxnSpPr>
      <xdr:spPr>
        <a:xfrm flipV="1">
          <a:off x="9244853" y="8426824"/>
          <a:ext cx="2151529" cy="1120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11206</xdr:colOff>
      <xdr:row>88</xdr:row>
      <xdr:rowOff>89647</xdr:rowOff>
    </xdr:from>
    <xdr:to>
      <xdr:col>5</xdr:col>
      <xdr:colOff>907676</xdr:colOff>
      <xdr:row>89</xdr:row>
      <xdr:rowOff>78441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DB67A796-5802-4E7D-8C7B-725387197171}"/>
            </a:ext>
          </a:extLst>
        </xdr:cNvPr>
        <xdr:cNvCxnSpPr/>
      </xdr:nvCxnSpPr>
      <xdr:spPr>
        <a:xfrm>
          <a:off x="8169088" y="17425147"/>
          <a:ext cx="2017059" cy="1792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tabSelected="1" zoomScale="85" zoomScaleNormal="85" workbookViewId="0">
      <selection sqref="A1:F1"/>
    </sheetView>
  </sheetViews>
  <sheetFormatPr baseColWidth="10" defaultColWidth="11.5546875" defaultRowHeight="15" customHeight="1" x14ac:dyDescent="0.3"/>
  <cols>
    <col min="1" max="1" width="72.44140625" style="1" customWidth="1"/>
    <col min="2" max="2" width="27.5546875" style="1" customWidth="1"/>
    <col min="3" max="3" width="18.21875" style="1" bestFit="1" customWidth="1"/>
    <col min="4" max="4" width="21.77734375" style="1" customWidth="1"/>
    <col min="5" max="5" width="22.77734375" style="1" customWidth="1"/>
    <col min="6" max="6" width="21.21875" style="1" customWidth="1"/>
    <col min="7" max="7" width="16.21875" style="1" customWidth="1"/>
    <col min="8" max="8" width="27.21875" style="1" bestFit="1" customWidth="1"/>
    <col min="9" max="9" width="11.5546875" style="1"/>
    <col min="10" max="10" width="14.21875" style="1" bestFit="1" customWidth="1"/>
    <col min="11" max="16384" width="11.5546875" style="1"/>
  </cols>
  <sheetData>
    <row r="1" spans="1:6" ht="15" customHeight="1" x14ac:dyDescent="0.3">
      <c r="A1" s="260" t="s">
        <v>20</v>
      </c>
      <c r="B1" s="260"/>
      <c r="C1" s="260"/>
      <c r="D1" s="260"/>
      <c r="E1" s="260"/>
      <c r="F1" s="260"/>
    </row>
    <row r="2" spans="1:6" ht="14.4" x14ac:dyDescent="0.3">
      <c r="A2" s="3" t="s">
        <v>0</v>
      </c>
      <c r="B2" s="4" t="s">
        <v>22</v>
      </c>
      <c r="C2" s="5"/>
      <c r="D2" s="5"/>
      <c r="E2" s="5"/>
      <c r="F2" s="5"/>
    </row>
    <row r="3" spans="1:6" ht="15" customHeight="1" x14ac:dyDescent="0.3">
      <c r="A3" s="3" t="s">
        <v>1</v>
      </c>
      <c r="B3" s="4" t="s">
        <v>21</v>
      </c>
      <c r="C3" s="5"/>
      <c r="D3" s="5"/>
      <c r="E3" s="5"/>
      <c r="F3" s="5"/>
    </row>
    <row r="4" spans="1:6" ht="15" customHeight="1" x14ac:dyDescent="0.3">
      <c r="A4" s="3" t="s">
        <v>11</v>
      </c>
      <c r="B4" s="5" t="s">
        <v>166</v>
      </c>
      <c r="C4" s="5"/>
      <c r="D4" s="5"/>
      <c r="E4" s="5"/>
      <c r="F4" s="5"/>
    </row>
    <row r="5" spans="1:6" ht="15" customHeight="1" x14ac:dyDescent="0.3">
      <c r="A5" s="3" t="s">
        <v>47</v>
      </c>
      <c r="B5" s="6" t="s">
        <v>146</v>
      </c>
      <c r="C5" s="5"/>
      <c r="D5" s="5"/>
      <c r="E5" s="5"/>
      <c r="F5" s="5"/>
    </row>
    <row r="7" spans="1:6" ht="15" customHeight="1" x14ac:dyDescent="0.3">
      <c r="A7" s="260" t="s">
        <v>9</v>
      </c>
      <c r="B7" s="260"/>
      <c r="C7" s="260"/>
      <c r="D7" s="260"/>
      <c r="E7" s="260"/>
      <c r="F7" s="260"/>
    </row>
    <row r="8" spans="1:6" ht="15" customHeight="1" x14ac:dyDescent="0.3">
      <c r="A8" s="260" t="s">
        <v>12</v>
      </c>
      <c r="B8" s="260"/>
      <c r="C8" s="260"/>
      <c r="D8" s="260"/>
      <c r="E8" s="260"/>
      <c r="F8" s="260"/>
    </row>
    <row r="9" spans="1:6" ht="15" customHeight="1" x14ac:dyDescent="0.3">
      <c r="A9" s="257" t="s">
        <v>50</v>
      </c>
      <c r="B9" s="257"/>
      <c r="C9" s="257"/>
      <c r="D9" s="257"/>
      <c r="E9" s="257"/>
      <c r="F9" s="257"/>
    </row>
    <row r="10" spans="1:6" s="8" customFormat="1" ht="15" customHeight="1" x14ac:dyDescent="0.3">
      <c r="A10" s="7"/>
      <c r="B10" s="7"/>
      <c r="C10" s="7"/>
      <c r="D10" s="7"/>
      <c r="E10" s="7"/>
      <c r="F10" s="7"/>
    </row>
    <row r="11" spans="1:6" ht="15" customHeight="1" thickBot="1" x14ac:dyDescent="0.35">
      <c r="A11" s="9" t="s">
        <v>64</v>
      </c>
      <c r="B11" s="9"/>
      <c r="C11" s="9" t="s">
        <v>3</v>
      </c>
      <c r="D11" s="9" t="s">
        <v>4</v>
      </c>
      <c r="E11" s="9" t="s">
        <v>5</v>
      </c>
      <c r="F11" s="9" t="s">
        <v>174</v>
      </c>
    </row>
    <row r="13" spans="1:6" ht="14.4" x14ac:dyDescent="0.3">
      <c r="A13" s="261" t="s">
        <v>84</v>
      </c>
      <c r="B13" s="84" t="s">
        <v>58</v>
      </c>
      <c r="C13" s="85">
        <v>1277</v>
      </c>
      <c r="D13" s="85">
        <f>+(C13-D15)+5</f>
        <v>1282</v>
      </c>
      <c r="E13" s="85">
        <f>+(D13-E15)+115</f>
        <v>136</v>
      </c>
      <c r="F13" s="86">
        <f>E13</f>
        <v>136</v>
      </c>
    </row>
    <row r="14" spans="1:6" ht="15" customHeight="1" x14ac:dyDescent="0.3">
      <c r="A14" s="262"/>
      <c r="B14" s="87" t="s">
        <v>59</v>
      </c>
      <c r="C14" s="88">
        <v>321</v>
      </c>
      <c r="D14" s="88">
        <v>1591</v>
      </c>
      <c r="E14" s="88">
        <v>1491</v>
      </c>
      <c r="F14" s="89">
        <f t="shared" ref="F14:F24" si="0">AVERAGE(C14:E14)</f>
        <v>1134.3333333333333</v>
      </c>
    </row>
    <row r="15" spans="1:6" ht="15" customHeight="1" x14ac:dyDescent="0.3">
      <c r="A15" s="263"/>
      <c r="B15" s="90" t="s">
        <v>60</v>
      </c>
      <c r="C15" s="91">
        <v>0</v>
      </c>
      <c r="D15" s="91">
        <v>0</v>
      </c>
      <c r="E15" s="91">
        <v>1261</v>
      </c>
      <c r="F15" s="92">
        <f t="shared" si="0"/>
        <v>420.33333333333331</v>
      </c>
    </row>
    <row r="16" spans="1:6" ht="14.4" x14ac:dyDescent="0.3">
      <c r="A16" s="261" t="s">
        <v>24</v>
      </c>
      <c r="B16" s="84" t="s">
        <v>58</v>
      </c>
      <c r="C16" s="85">
        <v>409</v>
      </c>
      <c r="D16" s="85">
        <f>+(C16-D18)+21</f>
        <v>430</v>
      </c>
      <c r="E16" s="85">
        <f>+(D16-E18)+61</f>
        <v>103</v>
      </c>
      <c r="F16" s="86">
        <f>E16</f>
        <v>103</v>
      </c>
    </row>
    <row r="17" spans="1:6" ht="15" customHeight="1" x14ac:dyDescent="0.3">
      <c r="A17" s="262"/>
      <c r="B17" s="87" t="s">
        <v>59</v>
      </c>
      <c r="C17" s="88">
        <v>904</v>
      </c>
      <c r="D17" s="88">
        <v>1298</v>
      </c>
      <c r="E17" s="88">
        <v>1279</v>
      </c>
      <c r="F17" s="89">
        <f t="shared" si="0"/>
        <v>1160.3333333333333</v>
      </c>
    </row>
    <row r="18" spans="1:6" ht="15" customHeight="1" x14ac:dyDescent="0.3">
      <c r="A18" s="263"/>
      <c r="B18" s="90" t="s">
        <v>60</v>
      </c>
      <c r="C18" s="91">
        <v>0</v>
      </c>
      <c r="D18" s="91">
        <v>0</v>
      </c>
      <c r="E18" s="91">
        <v>388</v>
      </c>
      <c r="F18" s="92">
        <f t="shared" si="0"/>
        <v>129.33333333333334</v>
      </c>
    </row>
    <row r="19" spans="1:6" ht="14.4" x14ac:dyDescent="0.3">
      <c r="A19" s="261" t="s">
        <v>96</v>
      </c>
      <c r="B19" s="84" t="s">
        <v>58</v>
      </c>
      <c r="C19" s="85">
        <v>10369</v>
      </c>
      <c r="D19" s="85">
        <f>+(C19-D21)+119</f>
        <v>9681</v>
      </c>
      <c r="E19" s="85">
        <f>+(D19-E21)+1267</f>
        <v>1267</v>
      </c>
      <c r="F19" s="86">
        <f>E19</f>
        <v>1267</v>
      </c>
    </row>
    <row r="20" spans="1:6" ht="15" customHeight="1" x14ac:dyDescent="0.3">
      <c r="A20" s="262"/>
      <c r="B20" s="87" t="s">
        <v>59</v>
      </c>
      <c r="C20" s="88">
        <v>0</v>
      </c>
      <c r="D20" s="88">
        <v>10091</v>
      </c>
      <c r="E20" s="88">
        <v>9199</v>
      </c>
      <c r="F20" s="89">
        <f t="shared" si="0"/>
        <v>6430</v>
      </c>
    </row>
    <row r="21" spans="1:6" ht="15" customHeight="1" x14ac:dyDescent="0.3">
      <c r="A21" s="263"/>
      <c r="B21" s="90" t="s">
        <v>60</v>
      </c>
      <c r="C21" s="91">
        <v>0</v>
      </c>
      <c r="D21" s="91">
        <v>807</v>
      </c>
      <c r="E21" s="91">
        <v>9681</v>
      </c>
      <c r="F21" s="92">
        <f t="shared" si="0"/>
        <v>3496</v>
      </c>
    </row>
    <row r="22" spans="1:6" ht="15" customHeight="1" x14ac:dyDescent="0.3">
      <c r="A22" s="261" t="s">
        <v>115</v>
      </c>
      <c r="B22" s="215" t="s">
        <v>58</v>
      </c>
      <c r="C22" s="85">
        <v>789</v>
      </c>
      <c r="D22" s="85">
        <f>+(C22-D24)+0</f>
        <v>789</v>
      </c>
      <c r="E22" s="85">
        <f>+(D22-E24)+0</f>
        <v>0</v>
      </c>
      <c r="F22" s="86">
        <f>E22</f>
        <v>0</v>
      </c>
    </row>
    <row r="23" spans="1:6" ht="15" customHeight="1" x14ac:dyDescent="0.3">
      <c r="A23" s="262"/>
      <c r="B23" s="216" t="s">
        <v>59</v>
      </c>
      <c r="C23" s="88">
        <v>0</v>
      </c>
      <c r="D23" s="88">
        <v>783</v>
      </c>
      <c r="E23" s="88">
        <v>798</v>
      </c>
      <c r="F23" s="94">
        <f t="shared" si="0"/>
        <v>527</v>
      </c>
    </row>
    <row r="24" spans="1:6" ht="15" customHeight="1" x14ac:dyDescent="0.3">
      <c r="A24" s="263"/>
      <c r="B24" s="217" t="s">
        <v>60</v>
      </c>
      <c r="C24" s="91">
        <v>0</v>
      </c>
      <c r="D24" s="91">
        <v>0</v>
      </c>
      <c r="E24" s="91">
        <v>789</v>
      </c>
      <c r="F24" s="95">
        <f t="shared" si="0"/>
        <v>263</v>
      </c>
    </row>
    <row r="25" spans="1:6" ht="15" customHeight="1" thickBot="1" x14ac:dyDescent="0.35">
      <c r="A25" s="10" t="s">
        <v>13</v>
      </c>
      <c r="B25" s="10" t="s">
        <v>51</v>
      </c>
      <c r="C25" s="48">
        <f>+C14+C15+C17+C18+C20+C21+C23+C24</f>
        <v>1225</v>
      </c>
      <c r="D25" s="48">
        <f>+D14+D15+D17+D18+D20+D21+D23+D24</f>
        <v>14570</v>
      </c>
      <c r="E25" s="48">
        <f>+E14+E15+E17+E18+E20+E21+E23+E24</f>
        <v>24886</v>
      </c>
      <c r="F25" s="50">
        <f>AVERAGE(C25:E25)</f>
        <v>13560.333333333334</v>
      </c>
    </row>
    <row r="26" spans="1:6" ht="15" customHeight="1" thickTop="1" x14ac:dyDescent="0.3">
      <c r="A26" s="41"/>
      <c r="B26" s="8"/>
      <c r="C26" s="8"/>
      <c r="D26" s="8"/>
      <c r="E26" s="8"/>
      <c r="F26" s="8"/>
    </row>
    <row r="27" spans="1:6" ht="15" customHeight="1" x14ac:dyDescent="0.3">
      <c r="A27" s="1" t="s">
        <v>71</v>
      </c>
    </row>
    <row r="30" spans="1:6" ht="15" customHeight="1" x14ac:dyDescent="0.3">
      <c r="A30" s="257" t="s">
        <v>14</v>
      </c>
      <c r="B30" s="257"/>
      <c r="C30" s="257"/>
      <c r="D30" s="257"/>
      <c r="E30" s="257"/>
      <c r="F30" s="257"/>
    </row>
    <row r="31" spans="1:6" ht="15" customHeight="1" x14ac:dyDescent="0.3">
      <c r="A31" s="260" t="s">
        <v>31</v>
      </c>
      <c r="B31" s="260"/>
      <c r="C31" s="260"/>
      <c r="D31" s="260"/>
      <c r="E31" s="260"/>
      <c r="F31" s="260"/>
    </row>
    <row r="32" spans="1:6" ht="15" customHeight="1" x14ac:dyDescent="0.3">
      <c r="A32" s="257" t="s">
        <v>52</v>
      </c>
      <c r="B32" s="257"/>
      <c r="C32" s="257"/>
      <c r="D32" s="257"/>
      <c r="E32" s="257"/>
      <c r="F32" s="257"/>
    </row>
    <row r="33" spans="1:7" s="8" customFormat="1" ht="15" customHeight="1" x14ac:dyDescent="0.3">
      <c r="A33" s="214"/>
      <c r="B33" s="214"/>
      <c r="C33" s="214"/>
      <c r="D33" s="214"/>
      <c r="E33" s="214"/>
      <c r="F33" s="214"/>
    </row>
    <row r="34" spans="1:7" ht="15" customHeight="1" thickBot="1" x14ac:dyDescent="0.35">
      <c r="A34" s="11" t="s">
        <v>64</v>
      </c>
      <c r="B34" s="11"/>
      <c r="C34" s="11" t="s">
        <v>3</v>
      </c>
      <c r="D34" s="11" t="s">
        <v>4</v>
      </c>
      <c r="E34" s="11" t="s">
        <v>5</v>
      </c>
      <c r="F34" s="11" t="s">
        <v>6</v>
      </c>
    </row>
    <row r="35" spans="1:7" ht="15" customHeight="1" x14ac:dyDescent="0.3">
      <c r="C35" s="2"/>
      <c r="D35" s="2"/>
      <c r="E35" s="2"/>
      <c r="F35" s="2"/>
    </row>
    <row r="36" spans="1:7" ht="15" customHeight="1" x14ac:dyDescent="0.3">
      <c r="A36" s="147" t="s">
        <v>121</v>
      </c>
      <c r="B36" s="148" t="s">
        <v>56</v>
      </c>
      <c r="C36" s="149">
        <v>61790184</v>
      </c>
      <c r="D36" s="149">
        <v>324449448</v>
      </c>
      <c r="E36" s="149">
        <v>304056648</v>
      </c>
      <c r="F36" s="150">
        <f t="shared" ref="F36:F43" si="1">SUM(C36:E36)</f>
        <v>690296280</v>
      </c>
      <c r="G36" s="145"/>
    </row>
    <row r="37" spans="1:7" ht="15" customHeight="1" x14ac:dyDescent="0.3">
      <c r="A37" s="151"/>
      <c r="B37" s="152" t="s">
        <v>55</v>
      </c>
      <c r="C37" s="153">
        <v>0</v>
      </c>
      <c r="D37" s="153">
        <v>0</v>
      </c>
      <c r="E37" s="153">
        <v>257153208</v>
      </c>
      <c r="F37" s="154">
        <f t="shared" si="1"/>
        <v>257153208</v>
      </c>
    </row>
    <row r="38" spans="1:7" ht="15" customHeight="1" x14ac:dyDescent="0.3">
      <c r="A38" s="96" t="s">
        <v>24</v>
      </c>
      <c r="B38" s="97" t="s">
        <v>56</v>
      </c>
      <c r="C38" s="98">
        <v>74800607</v>
      </c>
      <c r="D38" s="98">
        <v>105879158</v>
      </c>
      <c r="E38" s="98">
        <v>104329309</v>
      </c>
      <c r="F38" s="93">
        <f t="shared" si="1"/>
        <v>285009074</v>
      </c>
    </row>
    <row r="39" spans="1:7" ht="15" customHeight="1" x14ac:dyDescent="0.3">
      <c r="A39" s="99"/>
      <c r="B39" s="100" t="s">
        <v>55</v>
      </c>
      <c r="C39" s="101">
        <v>0</v>
      </c>
      <c r="D39" s="101">
        <v>0</v>
      </c>
      <c r="E39" s="101">
        <v>31649548</v>
      </c>
      <c r="F39" s="95">
        <f t="shared" si="1"/>
        <v>31649548</v>
      </c>
    </row>
    <row r="40" spans="1:7" ht="15" customHeight="1" x14ac:dyDescent="0.3">
      <c r="A40" s="155" t="s">
        <v>96</v>
      </c>
      <c r="B40" s="156" t="s">
        <v>56</v>
      </c>
      <c r="C40" s="202">
        <v>0</v>
      </c>
      <c r="D40" s="157">
        <v>607320437.43000007</v>
      </c>
      <c r="E40" s="157">
        <v>557717848.19000006</v>
      </c>
      <c r="F40" s="158">
        <f t="shared" si="1"/>
        <v>1165038285.6200001</v>
      </c>
    </row>
    <row r="41" spans="1:7" ht="15" customHeight="1" x14ac:dyDescent="0.3">
      <c r="A41" s="159"/>
      <c r="B41" s="160" t="s">
        <v>55</v>
      </c>
      <c r="C41" s="203">
        <v>0</v>
      </c>
      <c r="D41" s="161">
        <v>41401763</v>
      </c>
      <c r="E41" s="161">
        <v>587074263.95999992</v>
      </c>
      <c r="F41" s="162">
        <f t="shared" si="1"/>
        <v>628476026.95999992</v>
      </c>
    </row>
    <row r="42" spans="1:7" ht="15" customHeight="1" x14ac:dyDescent="0.3">
      <c r="A42" s="102" t="s">
        <v>95</v>
      </c>
      <c r="B42" s="224" t="s">
        <v>56</v>
      </c>
      <c r="C42" s="98">
        <v>0</v>
      </c>
      <c r="D42" s="98">
        <v>407260000</v>
      </c>
      <c r="E42" s="98">
        <v>416802000</v>
      </c>
      <c r="F42" s="93">
        <f t="shared" si="1"/>
        <v>824062000</v>
      </c>
    </row>
    <row r="43" spans="1:7" ht="15" customHeight="1" x14ac:dyDescent="0.3">
      <c r="A43" s="103"/>
      <c r="B43" s="225" t="s">
        <v>55</v>
      </c>
      <c r="C43" s="101">
        <v>0</v>
      </c>
      <c r="D43" s="101">
        <v>0</v>
      </c>
      <c r="E43" s="101">
        <v>407542000</v>
      </c>
      <c r="F43" s="95">
        <f t="shared" si="1"/>
        <v>407542000</v>
      </c>
    </row>
    <row r="44" spans="1:7" ht="15" customHeight="1" x14ac:dyDescent="0.3">
      <c r="A44" s="59"/>
      <c r="B44" s="226"/>
      <c r="C44" s="171"/>
      <c r="D44" s="171"/>
      <c r="E44" s="171"/>
      <c r="F44" s="171"/>
    </row>
    <row r="45" spans="1:7" ht="15" customHeight="1" thickBot="1" x14ac:dyDescent="0.35">
      <c r="A45" s="10" t="s">
        <v>13</v>
      </c>
      <c r="B45" s="10"/>
      <c r="C45" s="49">
        <f>SUM(C36:C43)</f>
        <v>136590791</v>
      </c>
      <c r="D45" s="49">
        <f>SUM(D36:D43)</f>
        <v>1486310806.4300001</v>
      </c>
      <c r="E45" s="49">
        <f>SUM(E36:E43)</f>
        <v>2666324825.1500001</v>
      </c>
      <c r="F45" s="210">
        <f>SUM(F36:F43)</f>
        <v>4289226422.5799999</v>
      </c>
    </row>
    <row r="46" spans="1:7" ht="15" customHeight="1" thickTop="1" x14ac:dyDescent="0.3">
      <c r="A46" s="8" t="s">
        <v>42</v>
      </c>
    </row>
    <row r="47" spans="1:7" ht="15" customHeight="1" x14ac:dyDescent="0.3">
      <c r="A47" s="1" t="s">
        <v>72</v>
      </c>
    </row>
    <row r="48" spans="1:7" ht="15" customHeight="1" x14ac:dyDescent="0.3">
      <c r="A48" s="227"/>
    </row>
    <row r="49" spans="1:5" ht="15" customHeight="1" x14ac:dyDescent="0.3">
      <c r="A49" s="227"/>
    </row>
    <row r="50" spans="1:5" ht="15" customHeight="1" x14ac:dyDescent="0.3">
      <c r="A50" s="227"/>
    </row>
    <row r="51" spans="1:5" ht="15" customHeight="1" x14ac:dyDescent="0.3">
      <c r="A51" s="260" t="s">
        <v>15</v>
      </c>
      <c r="B51" s="260"/>
      <c r="C51" s="260"/>
      <c r="D51" s="260"/>
      <c r="E51" s="260"/>
    </row>
    <row r="52" spans="1:5" ht="15" customHeight="1" x14ac:dyDescent="0.3">
      <c r="A52" s="260" t="s">
        <v>32</v>
      </c>
      <c r="B52" s="260"/>
      <c r="C52" s="260"/>
      <c r="D52" s="260"/>
      <c r="E52" s="260"/>
    </row>
    <row r="53" spans="1:5" ht="15" customHeight="1" x14ac:dyDescent="0.3">
      <c r="A53" s="257" t="s">
        <v>52</v>
      </c>
      <c r="B53" s="257"/>
      <c r="C53" s="257"/>
      <c r="D53" s="257"/>
      <c r="E53" s="257"/>
    </row>
    <row r="54" spans="1:5" ht="15" customHeight="1" x14ac:dyDescent="0.3">
      <c r="A54" s="7"/>
      <c r="B54" s="7"/>
      <c r="C54" s="7"/>
      <c r="D54" s="7"/>
      <c r="E54" s="7"/>
    </row>
    <row r="55" spans="1:5" ht="15" customHeight="1" thickBot="1" x14ac:dyDescent="0.35">
      <c r="A55" s="11" t="s">
        <v>10</v>
      </c>
      <c r="B55" s="12" t="s">
        <v>3</v>
      </c>
      <c r="C55" s="12" t="s">
        <v>4</v>
      </c>
      <c r="D55" s="12" t="s">
        <v>5</v>
      </c>
      <c r="E55" s="12" t="s">
        <v>6</v>
      </c>
    </row>
    <row r="56" spans="1:5" ht="15" customHeight="1" x14ac:dyDescent="0.3">
      <c r="B56" s="47"/>
      <c r="C56" s="47"/>
      <c r="D56" s="47"/>
      <c r="E56" s="47"/>
    </row>
    <row r="57" spans="1:5" ht="15" customHeight="1" x14ac:dyDescent="0.3">
      <c r="A57" s="1" t="s">
        <v>97</v>
      </c>
      <c r="B57" s="46">
        <f>SUM(C36:C37)</f>
        <v>61790184</v>
      </c>
      <c r="C57" s="46">
        <f>SUM(D36:D37)</f>
        <v>324449448</v>
      </c>
      <c r="D57" s="46">
        <f>SUM(E36:E37)</f>
        <v>561209856</v>
      </c>
      <c r="E57" s="46">
        <f t="shared" ref="E57:E60" si="2">SUM(B57:D57)</f>
        <v>947449488</v>
      </c>
    </row>
    <row r="58" spans="1:5" ht="15" customHeight="1" x14ac:dyDescent="0.3">
      <c r="A58" s="1" t="s">
        <v>98</v>
      </c>
      <c r="B58" s="46">
        <f>SUM(C38:C39)</f>
        <v>74800607</v>
      </c>
      <c r="C58" s="46">
        <f>SUM(D38:D39)</f>
        <v>105879158</v>
      </c>
      <c r="D58" s="46">
        <f>SUM(E38:E39)</f>
        <v>135978857</v>
      </c>
      <c r="E58" s="46">
        <f t="shared" si="2"/>
        <v>316658622</v>
      </c>
    </row>
    <row r="59" spans="1:5" ht="15" customHeight="1" x14ac:dyDescent="0.3">
      <c r="A59" s="1" t="s">
        <v>99</v>
      </c>
      <c r="B59" s="201">
        <f>SUM(C40:C41)</f>
        <v>0</v>
      </c>
      <c r="C59" s="198">
        <f>SUM(D40:D41)</f>
        <v>648722200.43000007</v>
      </c>
      <c r="D59" s="198">
        <f>SUM(E40:E41)</f>
        <v>1144792112.1500001</v>
      </c>
      <c r="E59" s="198">
        <f t="shared" si="2"/>
        <v>1793514312.5800002</v>
      </c>
    </row>
    <row r="60" spans="1:5" ht="15" customHeight="1" x14ac:dyDescent="0.3">
      <c r="A60" s="1" t="s">
        <v>100</v>
      </c>
      <c r="B60" s="46">
        <f>SUM(C42:C43)</f>
        <v>0</v>
      </c>
      <c r="C60" s="46">
        <f>SUM(D42:D43)</f>
        <v>407260000</v>
      </c>
      <c r="D60" s="46">
        <f>SUM(E42:E43)</f>
        <v>824344000</v>
      </c>
      <c r="E60" s="46">
        <f t="shared" si="2"/>
        <v>1231604000</v>
      </c>
    </row>
    <row r="61" spans="1:5" ht="15" customHeight="1" x14ac:dyDescent="0.3">
      <c r="B61" s="47"/>
      <c r="C61" s="47"/>
      <c r="D61" s="47"/>
      <c r="E61" s="47"/>
    </row>
    <row r="62" spans="1:5" ht="15" customHeight="1" thickBot="1" x14ac:dyDescent="0.35">
      <c r="A62" s="10" t="s">
        <v>13</v>
      </c>
      <c r="B62" s="48">
        <f>SUM(B57:B61)</f>
        <v>136590791</v>
      </c>
      <c r="C62" s="48">
        <f>SUM(C57:C61)</f>
        <v>1486310806.4300001</v>
      </c>
      <c r="D62" s="48">
        <f>SUM(D57:D61)</f>
        <v>2666324825.1500001</v>
      </c>
      <c r="E62" s="209">
        <f>SUM(E57:E61)</f>
        <v>4289226422.5799999</v>
      </c>
    </row>
    <row r="63" spans="1:5" ht="15" customHeight="1" thickTop="1" x14ac:dyDescent="0.3">
      <c r="A63" s="1" t="s">
        <v>71</v>
      </c>
    </row>
    <row r="66" spans="1:9" ht="15" customHeight="1" x14ac:dyDescent="0.3">
      <c r="A66" s="258" t="s">
        <v>44</v>
      </c>
      <c r="B66" s="258"/>
      <c r="C66" s="258"/>
      <c r="D66" s="258"/>
      <c r="E66" s="258"/>
      <c r="F66" s="68"/>
    </row>
    <row r="67" spans="1:9" ht="15" customHeight="1" x14ac:dyDescent="0.3">
      <c r="A67" s="258" t="s">
        <v>103</v>
      </c>
      <c r="B67" s="258"/>
      <c r="C67" s="258"/>
      <c r="D67" s="258"/>
      <c r="E67" s="258"/>
      <c r="F67" s="68"/>
    </row>
    <row r="68" spans="1:9" ht="15" customHeight="1" x14ac:dyDescent="0.3">
      <c r="A68" s="259" t="s">
        <v>52</v>
      </c>
      <c r="B68" s="259"/>
      <c r="C68" s="259"/>
      <c r="D68" s="259"/>
      <c r="E68" s="259"/>
      <c r="F68" s="68"/>
    </row>
    <row r="69" spans="1:9" ht="15" customHeight="1" x14ac:dyDescent="0.3">
      <c r="A69" s="69"/>
      <c r="B69" s="69"/>
      <c r="C69" s="69"/>
      <c r="D69" s="69"/>
      <c r="E69" s="69"/>
      <c r="F69" s="68"/>
    </row>
    <row r="70" spans="1:9" ht="15" customHeight="1" thickBot="1" x14ac:dyDescent="0.35">
      <c r="A70" s="70" t="s">
        <v>10</v>
      </c>
      <c r="B70" s="70" t="s">
        <v>3</v>
      </c>
      <c r="C70" s="70" t="s">
        <v>4</v>
      </c>
      <c r="D70" s="70" t="s">
        <v>5</v>
      </c>
      <c r="E70" s="70" t="s">
        <v>6</v>
      </c>
      <c r="F70" s="68"/>
    </row>
    <row r="71" spans="1:9" ht="15" customHeight="1" x14ac:dyDescent="0.3">
      <c r="A71" s="68"/>
      <c r="B71" s="71"/>
      <c r="C71" s="71"/>
      <c r="D71" s="71"/>
      <c r="E71" s="71"/>
      <c r="F71" s="68"/>
    </row>
    <row r="72" spans="1:9" ht="15" customHeight="1" x14ac:dyDescent="0.3">
      <c r="A72" s="68" t="s">
        <v>167</v>
      </c>
      <c r="B72" s="228">
        <f>+$B$134</f>
        <v>0</v>
      </c>
      <c r="C72" s="228">
        <f>B76</f>
        <v>0</v>
      </c>
      <c r="D72" s="228">
        <f>C76</f>
        <v>0</v>
      </c>
      <c r="E72" s="228">
        <f>B72</f>
        <v>0</v>
      </c>
      <c r="F72" s="68"/>
    </row>
    <row r="73" spans="1:9" ht="15" customHeight="1" x14ac:dyDescent="0.3">
      <c r="A73" s="68" t="s">
        <v>16</v>
      </c>
      <c r="B73" s="228">
        <f>+B146</f>
        <v>61790184</v>
      </c>
      <c r="C73" s="228">
        <f t="shared" ref="C73:D73" si="3">+C146</f>
        <v>324449448</v>
      </c>
      <c r="D73" s="228">
        <f t="shared" si="3"/>
        <v>561209856</v>
      </c>
      <c r="E73" s="228">
        <f>+SUM(B73:D73)</f>
        <v>947449488</v>
      </c>
      <c r="F73" s="68"/>
      <c r="G73" s="226"/>
      <c r="H73" s="226"/>
      <c r="I73" s="226"/>
    </row>
    <row r="74" spans="1:9" ht="15" customHeight="1" x14ac:dyDescent="0.3">
      <c r="A74" s="68" t="s">
        <v>17</v>
      </c>
      <c r="B74" s="228">
        <f>SUM(B72:B73)</f>
        <v>61790184</v>
      </c>
      <c r="C74" s="228">
        <f t="shared" ref="C74:D74" si="4">SUM(C72:C73)</f>
        <v>324449448</v>
      </c>
      <c r="D74" s="228">
        <f t="shared" si="4"/>
        <v>561209856</v>
      </c>
      <c r="E74" s="228">
        <f>+E72+E73</f>
        <v>947449488</v>
      </c>
      <c r="F74" s="68"/>
    </row>
    <row r="75" spans="1:9" ht="15" customHeight="1" x14ac:dyDescent="0.3">
      <c r="A75" s="68" t="s">
        <v>18</v>
      </c>
      <c r="B75" s="230">
        <f>B57</f>
        <v>61790184</v>
      </c>
      <c r="C75" s="230">
        <f>C57</f>
        <v>324449448</v>
      </c>
      <c r="D75" s="230">
        <f>D57</f>
        <v>561209856</v>
      </c>
      <c r="E75" s="228">
        <f>+SUM(B75:D75)</f>
        <v>947449488</v>
      </c>
      <c r="F75" s="231"/>
    </row>
    <row r="76" spans="1:9" ht="15" customHeight="1" x14ac:dyDescent="0.3">
      <c r="A76" s="72" t="s">
        <v>19</v>
      </c>
      <c r="B76" s="232">
        <f>B74-B75</f>
        <v>0</v>
      </c>
      <c r="C76" s="232">
        <f>C74-C75</f>
        <v>0</v>
      </c>
      <c r="D76" s="232">
        <f>D74-D75</f>
        <v>0</v>
      </c>
      <c r="E76" s="232">
        <f>+E74-E75</f>
        <v>0</v>
      </c>
      <c r="F76" s="68"/>
    </row>
    <row r="77" spans="1:9" ht="15" customHeight="1" thickBot="1" x14ac:dyDescent="0.35">
      <c r="A77" s="73"/>
      <c r="B77" s="74"/>
      <c r="C77" s="74"/>
      <c r="D77" s="74"/>
      <c r="E77" s="74"/>
      <c r="F77" s="68"/>
    </row>
    <row r="78" spans="1:9" ht="15" customHeight="1" thickTop="1" x14ac:dyDescent="0.3">
      <c r="A78" s="68" t="s">
        <v>71</v>
      </c>
      <c r="B78" s="68"/>
      <c r="C78" s="68"/>
      <c r="D78" s="68"/>
      <c r="E78" s="68"/>
      <c r="F78" s="68"/>
    </row>
    <row r="79" spans="1:9" ht="15" customHeight="1" x14ac:dyDescent="0.3">
      <c r="A79" s="233"/>
      <c r="B79" s="68"/>
      <c r="C79" s="68"/>
      <c r="D79" s="68"/>
      <c r="E79" s="68"/>
      <c r="F79" s="68"/>
    </row>
    <row r="80" spans="1:9" ht="15" customHeight="1" x14ac:dyDescent="0.3">
      <c r="A80" s="233"/>
      <c r="B80" s="68"/>
      <c r="C80" s="68"/>
      <c r="D80" s="68"/>
      <c r="E80" s="68"/>
      <c r="F80" s="68"/>
    </row>
    <row r="81" spans="1:6" ht="15" customHeight="1" x14ac:dyDescent="0.3">
      <c r="A81" s="258" t="s">
        <v>45</v>
      </c>
      <c r="B81" s="258"/>
      <c r="C81" s="258"/>
      <c r="D81" s="258"/>
      <c r="E81" s="258"/>
      <c r="F81" s="68"/>
    </row>
    <row r="82" spans="1:6" ht="15" customHeight="1" x14ac:dyDescent="0.3">
      <c r="A82" s="258" t="s">
        <v>101</v>
      </c>
      <c r="B82" s="258"/>
      <c r="C82" s="258"/>
      <c r="D82" s="258"/>
      <c r="E82" s="258"/>
      <c r="F82" s="68"/>
    </row>
    <row r="83" spans="1:6" ht="15" customHeight="1" x14ac:dyDescent="0.3">
      <c r="A83" s="259" t="s">
        <v>52</v>
      </c>
      <c r="B83" s="259"/>
      <c r="C83" s="259"/>
      <c r="D83" s="259"/>
      <c r="E83" s="259"/>
      <c r="F83" s="68"/>
    </row>
    <row r="84" spans="1:6" ht="15" customHeight="1" x14ac:dyDescent="0.3">
      <c r="A84" s="69"/>
      <c r="B84" s="69"/>
      <c r="C84" s="69"/>
      <c r="D84" s="69"/>
      <c r="E84" s="69"/>
      <c r="F84" s="68"/>
    </row>
    <row r="85" spans="1:6" ht="15" customHeight="1" thickBot="1" x14ac:dyDescent="0.35">
      <c r="A85" s="70" t="s">
        <v>10</v>
      </c>
      <c r="B85" s="70" t="s">
        <v>3</v>
      </c>
      <c r="C85" s="70" t="s">
        <v>4</v>
      </c>
      <c r="D85" s="70" t="s">
        <v>5</v>
      </c>
      <c r="E85" s="70" t="s">
        <v>6</v>
      </c>
      <c r="F85" s="68"/>
    </row>
    <row r="86" spans="1:6" ht="15" customHeight="1" x14ac:dyDescent="0.3">
      <c r="A86" s="68"/>
      <c r="B86" s="71"/>
      <c r="C86" s="71"/>
      <c r="D86" s="71"/>
      <c r="E86" s="71"/>
      <c r="F86" s="68"/>
    </row>
    <row r="87" spans="1:6" ht="15" customHeight="1" x14ac:dyDescent="0.3">
      <c r="A87" s="68" t="s">
        <v>167</v>
      </c>
      <c r="B87" s="228">
        <f>+$B$135</f>
        <v>0</v>
      </c>
      <c r="C87" s="228">
        <f>B91</f>
        <v>0</v>
      </c>
      <c r="D87" s="228">
        <f>C91</f>
        <v>0</v>
      </c>
      <c r="E87" s="228">
        <f>B87</f>
        <v>0</v>
      </c>
      <c r="F87" s="68"/>
    </row>
    <row r="88" spans="1:6" ht="15" customHeight="1" x14ac:dyDescent="0.3">
      <c r="A88" s="68" t="s">
        <v>16</v>
      </c>
      <c r="B88" s="228">
        <f>+B147</f>
        <v>74800607</v>
      </c>
      <c r="C88" s="228">
        <f t="shared" ref="C88:D88" si="5">+C147</f>
        <v>105879158</v>
      </c>
      <c r="D88" s="228">
        <f t="shared" si="5"/>
        <v>135978857</v>
      </c>
      <c r="E88" s="228">
        <f>+SUM(B88:D88)</f>
        <v>316658622</v>
      </c>
      <c r="F88" s="68"/>
    </row>
    <row r="89" spans="1:6" ht="15" customHeight="1" x14ac:dyDescent="0.3">
      <c r="A89" s="68" t="s">
        <v>17</v>
      </c>
      <c r="B89" s="228">
        <f>B87+B88</f>
        <v>74800607</v>
      </c>
      <c r="C89" s="228">
        <f t="shared" ref="C89:D89" si="6">C87+C88</f>
        <v>105879158</v>
      </c>
      <c r="D89" s="228">
        <f t="shared" si="6"/>
        <v>135978857</v>
      </c>
      <c r="E89" s="228">
        <f>+E87+E88</f>
        <v>316658622</v>
      </c>
      <c r="F89" s="68"/>
    </row>
    <row r="90" spans="1:6" ht="15" customHeight="1" x14ac:dyDescent="0.3">
      <c r="A90" s="68" t="s">
        <v>18</v>
      </c>
      <c r="B90" s="230">
        <f>+B58</f>
        <v>74800607</v>
      </c>
      <c r="C90" s="230">
        <f>+C58</f>
        <v>105879158</v>
      </c>
      <c r="D90" s="230">
        <f>+D58</f>
        <v>135978857</v>
      </c>
      <c r="E90" s="228">
        <f>+SUM(B90:D90)</f>
        <v>316658622</v>
      </c>
      <c r="F90" s="68"/>
    </row>
    <row r="91" spans="1:6" ht="15" customHeight="1" x14ac:dyDescent="0.3">
      <c r="A91" s="72" t="s">
        <v>19</v>
      </c>
      <c r="B91" s="232">
        <f>B89-B90</f>
        <v>0</v>
      </c>
      <c r="C91" s="232">
        <f>C89-C90</f>
        <v>0</v>
      </c>
      <c r="D91" s="232">
        <f>D89-D90</f>
        <v>0</v>
      </c>
      <c r="E91" s="232">
        <f>+E89-E90</f>
        <v>0</v>
      </c>
      <c r="F91" s="68"/>
    </row>
    <row r="92" spans="1:6" ht="15" customHeight="1" thickBot="1" x14ac:dyDescent="0.35">
      <c r="A92" s="73"/>
      <c r="B92" s="74"/>
      <c r="C92" s="74"/>
      <c r="D92" s="74"/>
      <c r="E92" s="74"/>
      <c r="F92" s="68"/>
    </row>
    <row r="93" spans="1:6" ht="15" customHeight="1" thickTop="1" x14ac:dyDescent="0.3">
      <c r="A93" s="68" t="s">
        <v>71</v>
      </c>
      <c r="B93" s="68"/>
      <c r="C93" s="68"/>
      <c r="D93" s="68"/>
      <c r="E93" s="68"/>
      <c r="F93" s="68"/>
    </row>
    <row r="94" spans="1:6" ht="15" customHeight="1" x14ac:dyDescent="0.3">
      <c r="A94" s="233"/>
      <c r="B94" s="68"/>
      <c r="C94" s="68"/>
      <c r="D94" s="68"/>
      <c r="E94" s="68"/>
      <c r="F94" s="68"/>
    </row>
    <row r="95" spans="1:6" ht="15" customHeight="1" x14ac:dyDescent="0.3">
      <c r="A95" s="233"/>
      <c r="B95" s="68"/>
      <c r="C95" s="68"/>
      <c r="D95" s="68"/>
      <c r="E95" s="68"/>
      <c r="F95" s="68"/>
    </row>
    <row r="96" spans="1:6" ht="15" customHeight="1" x14ac:dyDescent="0.3">
      <c r="A96" s="233"/>
      <c r="B96" s="68"/>
      <c r="C96" s="68"/>
      <c r="D96" s="68"/>
      <c r="E96" s="68"/>
      <c r="F96" s="68"/>
    </row>
    <row r="97" spans="1:10" ht="15" customHeight="1" x14ac:dyDescent="0.3">
      <c r="A97" s="68"/>
      <c r="B97" s="68"/>
      <c r="C97" s="68"/>
      <c r="D97" s="68"/>
      <c r="E97" s="68"/>
      <c r="F97" s="68"/>
    </row>
    <row r="98" spans="1:10" ht="15" customHeight="1" x14ac:dyDescent="0.3">
      <c r="A98" s="258" t="s">
        <v>102</v>
      </c>
      <c r="B98" s="258"/>
      <c r="C98" s="258"/>
      <c r="D98" s="258"/>
      <c r="E98" s="258"/>
      <c r="F98" s="68"/>
    </row>
    <row r="99" spans="1:10" ht="15" customHeight="1" x14ac:dyDescent="0.3">
      <c r="A99" s="258" t="s">
        <v>49</v>
      </c>
      <c r="B99" s="258"/>
      <c r="C99" s="258"/>
      <c r="D99" s="258"/>
      <c r="E99" s="258"/>
      <c r="F99" s="68"/>
      <c r="H99" s="39"/>
      <c r="J99" s="227"/>
    </row>
    <row r="100" spans="1:10" ht="15" customHeight="1" x14ac:dyDescent="0.3">
      <c r="A100" s="259" t="s">
        <v>52</v>
      </c>
      <c r="B100" s="259"/>
      <c r="C100" s="259"/>
      <c r="D100" s="259"/>
      <c r="E100" s="259"/>
      <c r="F100" s="75"/>
    </row>
    <row r="101" spans="1:10" ht="15" customHeight="1" x14ac:dyDescent="0.3">
      <c r="A101" s="69"/>
      <c r="B101" s="69"/>
      <c r="C101" s="69"/>
      <c r="D101" s="69"/>
      <c r="E101" s="69"/>
      <c r="F101" s="68"/>
    </row>
    <row r="102" spans="1:10" ht="15" customHeight="1" thickBot="1" x14ac:dyDescent="0.35">
      <c r="A102" s="70" t="s">
        <v>10</v>
      </c>
      <c r="B102" s="70" t="s">
        <v>3</v>
      </c>
      <c r="C102" s="70" t="s">
        <v>4</v>
      </c>
      <c r="D102" s="70" t="s">
        <v>5</v>
      </c>
      <c r="E102" s="70" t="s">
        <v>6</v>
      </c>
      <c r="F102" s="68"/>
    </row>
    <row r="103" spans="1:10" ht="15" customHeight="1" x14ac:dyDescent="0.3">
      <c r="A103" s="68"/>
      <c r="B103" s="71"/>
      <c r="C103" s="71"/>
      <c r="D103" s="71"/>
      <c r="E103" s="71"/>
      <c r="F103" s="68"/>
    </row>
    <row r="104" spans="1:10" ht="15" customHeight="1" x14ac:dyDescent="0.3">
      <c r="A104" s="68" t="s">
        <v>167</v>
      </c>
      <c r="B104" s="250">
        <f>+B136</f>
        <v>0</v>
      </c>
      <c r="C104" s="250">
        <f>B108</f>
        <v>0</v>
      </c>
      <c r="D104" s="250">
        <f>C108</f>
        <v>0</v>
      </c>
      <c r="E104" s="250">
        <f>+B104</f>
        <v>0</v>
      </c>
      <c r="F104" s="68"/>
    </row>
    <row r="105" spans="1:10" ht="15" customHeight="1" x14ac:dyDescent="0.3">
      <c r="A105" s="68" t="s">
        <v>16</v>
      </c>
      <c r="B105" s="251">
        <f>+B148</f>
        <v>0</v>
      </c>
      <c r="C105" s="251">
        <f t="shared" ref="C105:D105" si="7">+C148</f>
        <v>648722200.43000007</v>
      </c>
      <c r="D105" s="252">
        <f t="shared" si="7"/>
        <v>1144792112.1500001</v>
      </c>
      <c r="E105" s="252">
        <f>SUM(B105:D105)</f>
        <v>1793514312.5800002</v>
      </c>
      <c r="F105" s="68"/>
      <c r="G105" s="226"/>
      <c r="H105" s="226"/>
      <c r="I105" s="226"/>
    </row>
    <row r="106" spans="1:10" ht="15" customHeight="1" x14ac:dyDescent="0.3">
      <c r="A106" s="68" t="s">
        <v>17</v>
      </c>
      <c r="B106" s="251">
        <f>SUM(B104:B105)</f>
        <v>0</v>
      </c>
      <c r="C106" s="251">
        <f t="shared" ref="C106:D106" si="8">SUM(C104:C105)</f>
        <v>648722200.43000007</v>
      </c>
      <c r="D106" s="252">
        <f t="shared" si="8"/>
        <v>1144792112.1500001</v>
      </c>
      <c r="E106" s="252">
        <f>SUM(E104:E105)</f>
        <v>1793514312.5800002</v>
      </c>
      <c r="F106" s="68"/>
    </row>
    <row r="107" spans="1:10" ht="15" customHeight="1" x14ac:dyDescent="0.3">
      <c r="A107" s="68" t="s">
        <v>18</v>
      </c>
      <c r="B107" s="251">
        <f>+B59</f>
        <v>0</v>
      </c>
      <c r="C107" s="251">
        <f>+C59</f>
        <v>648722200.43000007</v>
      </c>
      <c r="D107" s="252">
        <f>+D59</f>
        <v>1144792112.1500001</v>
      </c>
      <c r="E107" s="252">
        <f>+SUM(B107:D107)</f>
        <v>1793514312.5800002</v>
      </c>
      <c r="F107" s="231"/>
    </row>
    <row r="108" spans="1:10" ht="15" customHeight="1" x14ac:dyDescent="0.3">
      <c r="A108" s="72" t="s">
        <v>19</v>
      </c>
      <c r="B108" s="253">
        <f>B106-B107</f>
        <v>0</v>
      </c>
      <c r="C108" s="253">
        <f t="shared" ref="C108:D108" si="9">C106-C107</f>
        <v>0</v>
      </c>
      <c r="D108" s="253">
        <f t="shared" si="9"/>
        <v>0</v>
      </c>
      <c r="E108" s="254">
        <f>+E106-E107</f>
        <v>0</v>
      </c>
      <c r="F108" s="68"/>
    </row>
    <row r="109" spans="1:10" ht="15" customHeight="1" thickBot="1" x14ac:dyDescent="0.35">
      <c r="A109" s="73"/>
      <c r="B109" s="76"/>
      <c r="C109" s="73"/>
      <c r="D109" s="73"/>
      <c r="E109" s="73"/>
      <c r="F109" s="68"/>
    </row>
    <row r="110" spans="1:10" ht="15" customHeight="1" thickTop="1" x14ac:dyDescent="0.3">
      <c r="A110" s="68" t="s">
        <v>71</v>
      </c>
      <c r="B110" s="68"/>
      <c r="C110" s="68"/>
      <c r="D110" s="68"/>
      <c r="E110" s="68"/>
      <c r="F110" s="68"/>
    </row>
    <row r="111" spans="1:10" ht="15" customHeight="1" x14ac:dyDescent="0.3">
      <c r="A111" s="68"/>
      <c r="B111" s="68"/>
      <c r="C111" s="68"/>
      <c r="D111" s="68"/>
      <c r="E111" s="68"/>
      <c r="F111" s="68"/>
    </row>
    <row r="112" spans="1:10" ht="15" customHeight="1" x14ac:dyDescent="0.3">
      <c r="A112" s="68"/>
      <c r="B112" s="68"/>
      <c r="C112" s="68"/>
      <c r="D112" s="68"/>
      <c r="E112" s="68"/>
      <c r="F112" s="68"/>
    </row>
    <row r="113" spans="1:6" ht="15" customHeight="1" x14ac:dyDescent="0.3">
      <c r="A113" s="258" t="s">
        <v>105</v>
      </c>
      <c r="B113" s="258"/>
      <c r="C113" s="258"/>
      <c r="D113" s="258"/>
      <c r="E113" s="258"/>
      <c r="F113" s="68"/>
    </row>
    <row r="114" spans="1:6" ht="15" customHeight="1" x14ac:dyDescent="0.3">
      <c r="A114" s="258" t="s">
        <v>104</v>
      </c>
      <c r="B114" s="258"/>
      <c r="C114" s="258"/>
      <c r="D114" s="258"/>
      <c r="E114" s="258"/>
      <c r="F114" s="68"/>
    </row>
    <row r="115" spans="1:6" ht="15" customHeight="1" x14ac:dyDescent="0.3">
      <c r="A115" s="259" t="s">
        <v>52</v>
      </c>
      <c r="B115" s="259"/>
      <c r="C115" s="259"/>
      <c r="D115" s="259"/>
      <c r="E115" s="259"/>
      <c r="F115" s="75"/>
    </row>
    <row r="116" spans="1:6" ht="15" customHeight="1" x14ac:dyDescent="0.3">
      <c r="A116" s="69"/>
      <c r="B116" s="69"/>
      <c r="C116" s="69"/>
      <c r="D116" s="69"/>
      <c r="E116" s="69"/>
      <c r="F116" s="75" t="s">
        <v>54</v>
      </c>
    </row>
    <row r="117" spans="1:6" ht="15" customHeight="1" thickBot="1" x14ac:dyDescent="0.35">
      <c r="A117" s="70" t="s">
        <v>10</v>
      </c>
      <c r="B117" s="70" t="s">
        <v>3</v>
      </c>
      <c r="C117" s="70" t="s">
        <v>4</v>
      </c>
      <c r="D117" s="70" t="s">
        <v>5</v>
      </c>
      <c r="E117" s="70" t="s">
        <v>6</v>
      </c>
      <c r="F117" s="182">
        <f>+E73+E88+E105+E120</f>
        <v>4289226422.5799999</v>
      </c>
    </row>
    <row r="118" spans="1:6" ht="15" customHeight="1" x14ac:dyDescent="0.3">
      <c r="A118" s="68"/>
      <c r="B118" s="71"/>
      <c r="C118" s="71"/>
      <c r="D118" s="71"/>
      <c r="E118" s="71"/>
      <c r="F118" s="68"/>
    </row>
    <row r="119" spans="1:6" ht="15" customHeight="1" x14ac:dyDescent="0.3">
      <c r="A119" s="68" t="s">
        <v>167</v>
      </c>
      <c r="B119" s="228">
        <f>+$B$137</f>
        <v>0</v>
      </c>
      <c r="C119" s="228">
        <f>B123</f>
        <v>0</v>
      </c>
      <c r="D119" s="228">
        <f>C123</f>
        <v>0</v>
      </c>
      <c r="E119" s="228">
        <f>+B119</f>
        <v>0</v>
      </c>
      <c r="F119" s="68"/>
    </row>
    <row r="120" spans="1:6" ht="15" customHeight="1" x14ac:dyDescent="0.3">
      <c r="A120" s="68" t="s">
        <v>16</v>
      </c>
      <c r="B120" s="228">
        <f>+B149</f>
        <v>0</v>
      </c>
      <c r="C120" s="228">
        <f t="shared" ref="C120:D120" si="10">+C149</f>
        <v>407260000</v>
      </c>
      <c r="D120" s="228">
        <f t="shared" si="10"/>
        <v>824344000</v>
      </c>
      <c r="E120" s="228">
        <f>SUM(B120:D120)</f>
        <v>1231604000</v>
      </c>
      <c r="F120" s="68"/>
    </row>
    <row r="121" spans="1:6" ht="15" customHeight="1" x14ac:dyDescent="0.3">
      <c r="A121" s="68" t="s">
        <v>17</v>
      </c>
      <c r="B121" s="228">
        <f>SUM(B119:B120)</f>
        <v>0</v>
      </c>
      <c r="C121" s="228">
        <f t="shared" ref="C121:D121" si="11">SUM(C119:C120)</f>
        <v>407260000</v>
      </c>
      <c r="D121" s="228">
        <f t="shared" si="11"/>
        <v>824344000</v>
      </c>
      <c r="E121" s="228">
        <f>SUM(E119:E120)</f>
        <v>1231604000</v>
      </c>
      <c r="F121" s="68"/>
    </row>
    <row r="122" spans="1:6" ht="15" customHeight="1" x14ac:dyDescent="0.3">
      <c r="A122" s="68" t="s">
        <v>18</v>
      </c>
      <c r="B122" s="228">
        <f>+B60</f>
        <v>0</v>
      </c>
      <c r="C122" s="228">
        <f>+C60</f>
        <v>407260000</v>
      </c>
      <c r="D122" s="228">
        <f>+D60</f>
        <v>824344000</v>
      </c>
      <c r="E122" s="228">
        <f>+SUM(B122:D122)</f>
        <v>1231604000</v>
      </c>
      <c r="F122" s="231"/>
    </row>
    <row r="123" spans="1:6" ht="15" customHeight="1" x14ac:dyDescent="0.3">
      <c r="A123" s="72" t="s">
        <v>19</v>
      </c>
      <c r="B123" s="234">
        <f>B121-B122</f>
        <v>0</v>
      </c>
      <c r="C123" s="234">
        <f>C121-C122</f>
        <v>0</v>
      </c>
      <c r="D123" s="234">
        <f>D121-D122</f>
        <v>0</v>
      </c>
      <c r="E123" s="234">
        <f>+E121-E122</f>
        <v>0</v>
      </c>
      <c r="F123" s="68"/>
    </row>
    <row r="124" spans="1:6" ht="15" customHeight="1" thickBot="1" x14ac:dyDescent="0.35">
      <c r="A124" s="73"/>
      <c r="B124" s="76"/>
      <c r="C124" s="73"/>
      <c r="D124" s="73"/>
      <c r="E124" s="73"/>
      <c r="F124" s="68"/>
    </row>
    <row r="125" spans="1:6" ht="15" customHeight="1" thickTop="1" x14ac:dyDescent="0.3">
      <c r="A125" s="68" t="s">
        <v>71</v>
      </c>
      <c r="B125" s="68"/>
      <c r="C125" s="68"/>
      <c r="D125" s="68"/>
      <c r="E125" s="68"/>
      <c r="F125" s="68"/>
    </row>
    <row r="126" spans="1:6" ht="15" customHeight="1" x14ac:dyDescent="0.3">
      <c r="A126" s="68"/>
      <c r="B126" s="68"/>
      <c r="C126" s="68"/>
      <c r="D126" s="68"/>
      <c r="E126" s="68"/>
      <c r="F126" s="68"/>
    </row>
    <row r="127" spans="1:6" ht="15" customHeight="1" x14ac:dyDescent="0.3">
      <c r="A127" s="68"/>
      <c r="B127" s="68"/>
      <c r="C127" s="68"/>
      <c r="D127" s="68"/>
      <c r="E127" s="68"/>
      <c r="F127" s="68"/>
    </row>
    <row r="128" spans="1:6" ht="15" customHeight="1" x14ac:dyDescent="0.3">
      <c r="A128" s="68" t="s">
        <v>71</v>
      </c>
      <c r="B128" s="68"/>
      <c r="C128" s="68"/>
      <c r="D128" s="68"/>
      <c r="E128" s="68"/>
      <c r="F128" s="68"/>
    </row>
    <row r="129" spans="1:6" ht="15" customHeight="1" x14ac:dyDescent="0.3">
      <c r="A129" s="68"/>
      <c r="B129" s="68"/>
      <c r="C129" s="68"/>
      <c r="D129" s="68"/>
      <c r="E129" s="68"/>
      <c r="F129" s="68"/>
    </row>
    <row r="130" spans="1:6" ht="33" customHeight="1" x14ac:dyDescent="0.3">
      <c r="A130" s="68"/>
      <c r="B130" s="68"/>
      <c r="C130" s="68"/>
      <c r="D130" s="68"/>
      <c r="E130" s="68"/>
      <c r="F130" s="68"/>
    </row>
    <row r="131" spans="1:6" ht="15" customHeight="1" x14ac:dyDescent="0.3">
      <c r="A131" s="68"/>
      <c r="B131" s="68"/>
      <c r="C131" s="68"/>
      <c r="D131" s="68"/>
      <c r="E131" s="68"/>
      <c r="F131" s="68"/>
    </row>
    <row r="132" spans="1:6" ht="15" customHeight="1" x14ac:dyDescent="0.3">
      <c r="A132" s="231" t="s">
        <v>149</v>
      </c>
      <c r="B132" s="68"/>
      <c r="C132" s="68"/>
      <c r="D132" s="68"/>
      <c r="E132" s="68"/>
      <c r="F132" s="68"/>
    </row>
    <row r="133" spans="1:6" ht="15" customHeight="1" x14ac:dyDescent="0.3">
      <c r="A133" s="255" t="s">
        <v>148</v>
      </c>
      <c r="B133" s="256"/>
      <c r="C133" s="68"/>
      <c r="D133" s="68"/>
      <c r="E133" s="68"/>
      <c r="F133" s="68"/>
    </row>
    <row r="134" spans="1:6" ht="15" customHeight="1" x14ac:dyDescent="0.3">
      <c r="A134" s="235" t="s">
        <v>168</v>
      </c>
      <c r="B134" s="236">
        <v>0</v>
      </c>
      <c r="C134" s="178"/>
      <c r="D134" s="68"/>
      <c r="E134" s="68"/>
      <c r="F134" s="68"/>
    </row>
    <row r="135" spans="1:6" ht="15" customHeight="1" x14ac:dyDescent="0.3">
      <c r="A135" s="235" t="s">
        <v>169</v>
      </c>
      <c r="B135" s="236">
        <v>0</v>
      </c>
      <c r="C135" s="178">
        <f>+B134+B135</f>
        <v>0</v>
      </c>
      <c r="D135" s="68"/>
      <c r="E135" s="68"/>
      <c r="F135" s="68"/>
    </row>
    <row r="136" spans="1:6" ht="15" customHeight="1" x14ac:dyDescent="0.3">
      <c r="A136" s="235" t="s">
        <v>170</v>
      </c>
      <c r="B136" s="236">
        <v>0</v>
      </c>
      <c r="C136" s="68"/>
      <c r="D136" s="68"/>
      <c r="E136" s="68"/>
      <c r="F136" s="68"/>
    </row>
    <row r="137" spans="1:6" ht="15" customHeight="1" x14ac:dyDescent="0.3">
      <c r="A137" s="235" t="s">
        <v>171</v>
      </c>
      <c r="B137" s="236">
        <v>0</v>
      </c>
      <c r="C137" s="68"/>
      <c r="D137" s="68"/>
      <c r="E137" s="68"/>
      <c r="F137" s="68"/>
    </row>
    <row r="138" spans="1:6" ht="15" customHeight="1" x14ac:dyDescent="0.3">
      <c r="A138" s="235" t="s">
        <v>172</v>
      </c>
      <c r="B138" s="236">
        <v>0</v>
      </c>
      <c r="C138" s="68"/>
      <c r="D138" s="68"/>
      <c r="E138" s="68"/>
      <c r="F138" s="68"/>
    </row>
    <row r="139" spans="1:6" ht="15" customHeight="1" x14ac:dyDescent="0.3">
      <c r="A139" s="175" t="s">
        <v>94</v>
      </c>
      <c r="B139" s="176">
        <f>SUM(B134:B138)</f>
        <v>0</v>
      </c>
      <c r="C139" s="68"/>
      <c r="D139" s="68"/>
      <c r="E139" s="68"/>
      <c r="F139" s="68"/>
    </row>
    <row r="140" spans="1:6" ht="15" customHeight="1" x14ac:dyDescent="0.3">
      <c r="A140" s="68"/>
      <c r="B140" s="68"/>
      <c r="C140" s="68"/>
      <c r="D140" s="68"/>
      <c r="E140" s="68"/>
      <c r="F140" s="68"/>
    </row>
    <row r="141" spans="1:6" ht="15" customHeight="1" x14ac:dyDescent="0.3">
      <c r="B141" s="145"/>
    </row>
    <row r="142" spans="1:6" s="179" customFormat="1" ht="15" customHeight="1" x14ac:dyDescent="0.3"/>
    <row r="144" spans="1:6" ht="15" customHeight="1" x14ac:dyDescent="0.3">
      <c r="B144" s="231" t="s">
        <v>147</v>
      </c>
    </row>
    <row r="145" spans="1:7" ht="15" customHeight="1" x14ac:dyDescent="0.3">
      <c r="A145" s="172" t="s">
        <v>107</v>
      </c>
      <c r="B145" s="172" t="s">
        <v>110</v>
      </c>
      <c r="C145" s="172" t="s">
        <v>111</v>
      </c>
      <c r="D145" s="172" t="s">
        <v>112</v>
      </c>
      <c r="E145" s="172" t="s">
        <v>113</v>
      </c>
    </row>
    <row r="146" spans="1:7" ht="15" customHeight="1" x14ac:dyDescent="0.3">
      <c r="A146" s="237" t="s">
        <v>108</v>
      </c>
      <c r="B146" s="238">
        <v>61790184</v>
      </c>
      <c r="C146" s="238">
        <v>324449448</v>
      </c>
      <c r="D146" s="238">
        <v>561209856</v>
      </c>
      <c r="E146" s="238">
        <f>+B146+C146+D146</f>
        <v>947449488</v>
      </c>
    </row>
    <row r="147" spans="1:7" ht="15" customHeight="1" x14ac:dyDescent="0.3">
      <c r="A147" s="237" t="s">
        <v>109</v>
      </c>
      <c r="B147" s="238">
        <v>74800607</v>
      </c>
      <c r="C147" s="238">
        <v>105879158</v>
      </c>
      <c r="D147" s="238">
        <v>135978857</v>
      </c>
      <c r="E147" s="238">
        <f t="shared" ref="E147" si="12">+B147+C147+D147</f>
        <v>316658622</v>
      </c>
    </row>
    <row r="148" spans="1:7" ht="15" customHeight="1" x14ac:dyDescent="0.3">
      <c r="A148" s="239" t="s">
        <v>106</v>
      </c>
      <c r="B148" s="240"/>
      <c r="C148" s="240">
        <v>648722200.43000007</v>
      </c>
      <c r="D148" s="240">
        <v>1144792112.1500001</v>
      </c>
      <c r="E148" s="238">
        <f>SUM(B148:D148)</f>
        <v>1793514312.5800002</v>
      </c>
    </row>
    <row r="149" spans="1:7" ht="15" customHeight="1" x14ac:dyDescent="0.3">
      <c r="A149" s="237" t="s">
        <v>80</v>
      </c>
      <c r="B149" s="238"/>
      <c r="C149" s="238">
        <v>407260000</v>
      </c>
      <c r="D149" s="238">
        <v>824344000</v>
      </c>
      <c r="E149" s="238">
        <f>SUM(B149:D149)</f>
        <v>1231604000</v>
      </c>
    </row>
    <row r="150" spans="1:7" ht="15" customHeight="1" x14ac:dyDescent="0.3">
      <c r="A150" s="237"/>
      <c r="B150" s="238"/>
      <c r="C150" s="238"/>
      <c r="D150" s="238"/>
      <c r="E150" s="238"/>
    </row>
    <row r="151" spans="1:7" ht="15" customHeight="1" thickBot="1" x14ac:dyDescent="0.35">
      <c r="A151" s="241"/>
      <c r="B151" s="242"/>
      <c r="C151" s="242"/>
      <c r="D151" s="242"/>
      <c r="E151" s="242"/>
    </row>
    <row r="152" spans="1:7" ht="15" customHeight="1" thickBot="1" x14ac:dyDescent="0.35">
      <c r="A152" s="173"/>
      <c r="B152" s="174">
        <f>SUM(B146:B151)</f>
        <v>136590791</v>
      </c>
      <c r="C152" s="174">
        <f t="shared" ref="C152:E152" si="13">SUM(C146:C151)</f>
        <v>1486310806.4300001</v>
      </c>
      <c r="D152" s="174">
        <f t="shared" si="13"/>
        <v>2666324825.1500001</v>
      </c>
      <c r="E152" s="174">
        <f t="shared" si="13"/>
        <v>4289226422.5799999</v>
      </c>
    </row>
    <row r="155" spans="1:7" ht="15" customHeight="1" x14ac:dyDescent="0.3">
      <c r="A155" s="172" t="s">
        <v>107</v>
      </c>
      <c r="B155" s="177" t="s">
        <v>114</v>
      </c>
      <c r="D155" s="145"/>
      <c r="E155" s="145"/>
      <c r="F155" s="145"/>
      <c r="G155" s="145"/>
    </row>
    <row r="156" spans="1:7" ht="15" customHeight="1" x14ac:dyDescent="0.3">
      <c r="A156" s="237" t="s">
        <v>108</v>
      </c>
      <c r="B156" s="237">
        <v>1649</v>
      </c>
      <c r="D156" s="145"/>
      <c r="E156" s="145"/>
      <c r="F156" s="145"/>
      <c r="G156" s="145"/>
    </row>
    <row r="157" spans="1:7" ht="15" customHeight="1" x14ac:dyDescent="0.3">
      <c r="A157" s="237" t="s">
        <v>109</v>
      </c>
      <c r="B157" s="237">
        <v>1426</v>
      </c>
      <c r="D157" s="145"/>
      <c r="E157" s="145"/>
      <c r="F157" s="145"/>
      <c r="G157" s="145"/>
    </row>
    <row r="158" spans="1:7" ht="15" customHeight="1" x14ac:dyDescent="0.3">
      <c r="A158" s="239" t="s">
        <v>106</v>
      </c>
      <c r="B158" s="239">
        <v>11529</v>
      </c>
      <c r="D158" s="145"/>
      <c r="E158" s="145"/>
      <c r="F158" s="145"/>
      <c r="G158" s="145"/>
    </row>
    <row r="159" spans="1:7" ht="15" customHeight="1" x14ac:dyDescent="0.3">
      <c r="A159" s="237" t="s">
        <v>80</v>
      </c>
      <c r="B159" s="237">
        <v>892</v>
      </c>
    </row>
    <row r="160" spans="1:7" ht="15" customHeight="1" x14ac:dyDescent="0.3">
      <c r="A160" s="237"/>
      <c r="B160" s="237"/>
    </row>
    <row r="161" spans="1:8" ht="15" customHeight="1" thickBot="1" x14ac:dyDescent="0.35">
      <c r="A161" s="241"/>
      <c r="B161" s="241"/>
    </row>
    <row r="162" spans="1:8" ht="15" customHeight="1" thickBot="1" x14ac:dyDescent="0.35">
      <c r="A162" s="173" t="s">
        <v>150</v>
      </c>
      <c r="B162" s="173">
        <f>SUM(B156:B161)</f>
        <v>15496</v>
      </c>
    </row>
    <row r="163" spans="1:8" ht="15" customHeight="1" x14ac:dyDescent="0.3">
      <c r="H163" s="180"/>
    </row>
  </sheetData>
  <mergeCells count="27">
    <mergeCell ref="A52:E52"/>
    <mergeCell ref="A1:F1"/>
    <mergeCell ref="A7:F7"/>
    <mergeCell ref="A8:F8"/>
    <mergeCell ref="A9:F9"/>
    <mergeCell ref="A13:A15"/>
    <mergeCell ref="A16:A18"/>
    <mergeCell ref="A19:A21"/>
    <mergeCell ref="A30:F30"/>
    <mergeCell ref="A31:F31"/>
    <mergeCell ref="A32:F32"/>
    <mergeCell ref="A51:E51"/>
    <mergeCell ref="A22:A24"/>
    <mergeCell ref="A133:B133"/>
    <mergeCell ref="A53:E53"/>
    <mergeCell ref="A66:E66"/>
    <mergeCell ref="A67:E67"/>
    <mergeCell ref="A68:E68"/>
    <mergeCell ref="A100:E100"/>
    <mergeCell ref="A99:E99"/>
    <mergeCell ref="A98:E98"/>
    <mergeCell ref="A81:E81"/>
    <mergeCell ref="A82:E82"/>
    <mergeCell ref="A83:E83"/>
    <mergeCell ref="A113:E113"/>
    <mergeCell ref="A114:E114"/>
    <mergeCell ref="A115:E115"/>
  </mergeCells>
  <printOptions horizontalCentered="1" verticalCentered="1"/>
  <pageMargins left="0.70866141732283472" right="1.18" top="0.3" bottom="0.2" header="0.31496062992125984" footer="0.31496062992125984"/>
  <pageSetup scale="4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83" sqref="F83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3"/>
  <sheetViews>
    <sheetView zoomScale="80" zoomScaleNormal="80" workbookViewId="0">
      <selection sqref="A1:F1"/>
    </sheetView>
  </sheetViews>
  <sheetFormatPr baseColWidth="10" defaultColWidth="11.5546875" defaultRowHeight="15" customHeight="1" x14ac:dyDescent="0.3"/>
  <cols>
    <col min="1" max="1" width="72.44140625" style="1" customWidth="1"/>
    <col min="2" max="2" width="27.5546875" style="1" customWidth="1"/>
    <col min="3" max="3" width="18.21875" style="1" bestFit="1" customWidth="1"/>
    <col min="4" max="4" width="21.77734375" style="1" customWidth="1"/>
    <col min="5" max="5" width="22.77734375" style="1" customWidth="1"/>
    <col min="6" max="6" width="21.21875" style="1" customWidth="1"/>
    <col min="7" max="7" width="5.44140625" style="1" customWidth="1"/>
    <col min="8" max="8" width="13.5546875" style="1" customWidth="1"/>
    <col min="9" max="9" width="11.5546875" style="1"/>
    <col min="10" max="10" width="14.21875" style="1" bestFit="1" customWidth="1"/>
    <col min="11" max="16384" width="11.5546875" style="1"/>
  </cols>
  <sheetData>
    <row r="1" spans="1:10" ht="15" customHeight="1" x14ac:dyDescent="0.3">
      <c r="A1" s="260" t="s">
        <v>20</v>
      </c>
      <c r="B1" s="260"/>
      <c r="C1" s="260"/>
      <c r="D1" s="260"/>
      <c r="E1" s="260"/>
      <c r="F1" s="260"/>
    </row>
    <row r="2" spans="1:10" ht="14.4" x14ac:dyDescent="0.3">
      <c r="A2" s="3" t="s">
        <v>0</v>
      </c>
      <c r="B2" s="4" t="s">
        <v>22</v>
      </c>
      <c r="C2" s="5"/>
      <c r="D2" s="5"/>
      <c r="E2" s="5"/>
      <c r="F2" s="5"/>
    </row>
    <row r="3" spans="1:10" ht="15" customHeight="1" x14ac:dyDescent="0.3">
      <c r="A3" s="3" t="s">
        <v>1</v>
      </c>
      <c r="B3" s="4" t="s">
        <v>21</v>
      </c>
      <c r="C3" s="5"/>
      <c r="D3" s="5"/>
      <c r="E3" s="5"/>
      <c r="F3" s="5"/>
    </row>
    <row r="4" spans="1:10" ht="15" customHeight="1" x14ac:dyDescent="0.3">
      <c r="A4" s="3" t="s">
        <v>11</v>
      </c>
      <c r="B4" s="5" t="s">
        <v>166</v>
      </c>
      <c r="C4" s="5"/>
      <c r="D4" s="5"/>
      <c r="E4" s="5"/>
      <c r="F4" s="5"/>
    </row>
    <row r="5" spans="1:10" ht="15" customHeight="1" x14ac:dyDescent="0.3">
      <c r="A5" s="3" t="s">
        <v>47</v>
      </c>
      <c r="B5" s="6" t="s">
        <v>151</v>
      </c>
      <c r="C5" s="5"/>
      <c r="D5" s="5"/>
      <c r="E5" s="5"/>
      <c r="F5" s="5"/>
    </row>
    <row r="7" spans="1:10" ht="15" customHeight="1" x14ac:dyDescent="0.3">
      <c r="A7" s="260" t="s">
        <v>9</v>
      </c>
      <c r="B7" s="260"/>
      <c r="C7" s="260"/>
      <c r="D7" s="260"/>
      <c r="E7" s="260"/>
      <c r="F7" s="260"/>
    </row>
    <row r="8" spans="1:10" ht="15" customHeight="1" x14ac:dyDescent="0.3">
      <c r="A8" s="260" t="s">
        <v>12</v>
      </c>
      <c r="B8" s="260"/>
      <c r="C8" s="260"/>
      <c r="D8" s="260"/>
      <c r="E8" s="260"/>
      <c r="F8" s="260"/>
    </row>
    <row r="9" spans="1:10" ht="15" customHeight="1" x14ac:dyDescent="0.3">
      <c r="A9" s="257" t="s">
        <v>50</v>
      </c>
      <c r="B9" s="257"/>
      <c r="C9" s="257"/>
      <c r="D9" s="257"/>
      <c r="E9" s="257"/>
      <c r="F9" s="257"/>
    </row>
    <row r="10" spans="1:10" s="8" customFormat="1" ht="15" customHeight="1" x14ac:dyDescent="0.3">
      <c r="A10" s="7"/>
      <c r="B10" s="7"/>
      <c r="C10" s="7"/>
      <c r="D10" s="7"/>
      <c r="E10" s="7"/>
      <c r="F10" s="7"/>
      <c r="H10" s="8">
        <v>1595</v>
      </c>
      <c r="I10" s="8">
        <v>15</v>
      </c>
      <c r="J10" s="8">
        <f>+H10+I10</f>
        <v>1610</v>
      </c>
    </row>
    <row r="11" spans="1:10" ht="15" customHeight="1" thickBot="1" x14ac:dyDescent="0.35">
      <c r="A11" s="9" t="s">
        <v>64</v>
      </c>
      <c r="B11" s="9"/>
      <c r="C11" s="9" t="s">
        <v>27</v>
      </c>
      <c r="D11" s="9" t="s">
        <v>28</v>
      </c>
      <c r="E11" s="9" t="s">
        <v>29</v>
      </c>
      <c r="F11" s="9" t="s">
        <v>173</v>
      </c>
    </row>
    <row r="13" spans="1:10" ht="14.4" x14ac:dyDescent="0.3">
      <c r="A13" s="261" t="s">
        <v>84</v>
      </c>
      <c r="B13" s="84" t="s">
        <v>58</v>
      </c>
      <c r="C13" s="85">
        <f>+('I T'!E13-C15)+15</f>
        <v>25</v>
      </c>
      <c r="D13" s="85">
        <f>+(C13-D15)+25</f>
        <v>35</v>
      </c>
      <c r="E13" s="85">
        <f>+(D13-E15)+47</f>
        <v>66</v>
      </c>
      <c r="F13" s="86">
        <f>E13</f>
        <v>66</v>
      </c>
    </row>
    <row r="14" spans="1:10" ht="15" customHeight="1" x14ac:dyDescent="0.3">
      <c r="A14" s="262"/>
      <c r="B14" s="87" t="s">
        <v>59</v>
      </c>
      <c r="C14" s="88">
        <v>1595</v>
      </c>
      <c r="D14" s="88">
        <v>1581</v>
      </c>
      <c r="E14" s="88">
        <v>1559</v>
      </c>
      <c r="F14" s="89">
        <f t="shared" ref="F14:F24" si="0">AVERAGE(C14:E14)</f>
        <v>1578.3333333333333</v>
      </c>
    </row>
    <row r="15" spans="1:10" ht="15" customHeight="1" x14ac:dyDescent="0.3">
      <c r="A15" s="263"/>
      <c r="B15" s="90" t="s">
        <v>60</v>
      </c>
      <c r="C15" s="91">
        <v>126</v>
      </c>
      <c r="D15" s="91">
        <v>15</v>
      </c>
      <c r="E15" s="91">
        <v>16</v>
      </c>
      <c r="F15" s="92">
        <f t="shared" si="0"/>
        <v>52.333333333333336</v>
      </c>
      <c r="H15" s="1">
        <f>+F14+F15</f>
        <v>1630.6666666666665</v>
      </c>
    </row>
    <row r="16" spans="1:10" ht="14.4" x14ac:dyDescent="0.3">
      <c r="A16" s="261" t="s">
        <v>24</v>
      </c>
      <c r="B16" s="84" t="s">
        <v>58</v>
      </c>
      <c r="C16" s="85">
        <f>+('I T'!E16-C18)+114</f>
        <v>188</v>
      </c>
      <c r="D16" s="85">
        <f>+(C16-D18)+79</f>
        <v>144</v>
      </c>
      <c r="E16" s="85">
        <f>+(D16-E18)+109</f>
        <v>173</v>
      </c>
      <c r="F16" s="86">
        <f>E16</f>
        <v>173</v>
      </c>
    </row>
    <row r="17" spans="1:9" ht="15" customHeight="1" x14ac:dyDescent="0.3">
      <c r="A17" s="262"/>
      <c r="B17" s="87" t="s">
        <v>59</v>
      </c>
      <c r="C17" s="88">
        <v>1225</v>
      </c>
      <c r="D17" s="88">
        <v>1293</v>
      </c>
      <c r="E17" s="88">
        <v>1250</v>
      </c>
      <c r="F17" s="89">
        <f t="shared" si="0"/>
        <v>1256</v>
      </c>
    </row>
    <row r="18" spans="1:9" ht="15" customHeight="1" x14ac:dyDescent="0.3">
      <c r="A18" s="263"/>
      <c r="B18" s="90" t="s">
        <v>60</v>
      </c>
      <c r="C18" s="91">
        <v>29</v>
      </c>
      <c r="D18" s="91">
        <v>123</v>
      </c>
      <c r="E18" s="91">
        <v>80</v>
      </c>
      <c r="F18" s="92">
        <f t="shared" si="0"/>
        <v>77.333333333333329</v>
      </c>
      <c r="H18" s="1">
        <f>+F17+F18</f>
        <v>1333.3333333333333</v>
      </c>
    </row>
    <row r="19" spans="1:9" ht="14.4" x14ac:dyDescent="0.3">
      <c r="A19" s="261" t="s">
        <v>96</v>
      </c>
      <c r="B19" s="84" t="s">
        <v>58</v>
      </c>
      <c r="C19" s="85">
        <f>+('I T'!E19-C21)+1198</f>
        <v>2465</v>
      </c>
      <c r="D19" s="85">
        <f>+(C19-D21)+1539</f>
        <v>3838</v>
      </c>
      <c r="E19" s="85">
        <f>+(D19-E21)+1365</f>
        <v>5004</v>
      </c>
      <c r="F19" s="86">
        <f>E19</f>
        <v>5004</v>
      </c>
    </row>
    <row r="20" spans="1:9" ht="15" customHeight="1" x14ac:dyDescent="0.3">
      <c r="A20" s="262"/>
      <c r="B20" s="87" t="s">
        <v>59</v>
      </c>
      <c r="C20" s="88">
        <v>9411</v>
      </c>
      <c r="D20" s="88">
        <v>9498</v>
      </c>
      <c r="E20" s="88">
        <v>9693</v>
      </c>
      <c r="F20" s="89">
        <f t="shared" si="0"/>
        <v>9534</v>
      </c>
    </row>
    <row r="21" spans="1:9" ht="15" customHeight="1" x14ac:dyDescent="0.3">
      <c r="A21" s="263"/>
      <c r="B21" s="90" t="s">
        <v>60</v>
      </c>
      <c r="C21" s="211">
        <v>0</v>
      </c>
      <c r="D21" s="91">
        <v>166</v>
      </c>
      <c r="E21" s="91">
        <v>199</v>
      </c>
      <c r="F21" s="92">
        <f t="shared" si="0"/>
        <v>121.66666666666667</v>
      </c>
      <c r="H21" s="1">
        <f>+F20+F21</f>
        <v>9655.6666666666661</v>
      </c>
    </row>
    <row r="22" spans="1:9" ht="15" customHeight="1" x14ac:dyDescent="0.3">
      <c r="A22" s="261" t="s">
        <v>115</v>
      </c>
      <c r="B22" s="215" t="s">
        <v>58</v>
      </c>
      <c r="C22" s="85">
        <f>+('I T'!E22-C24)+0</f>
        <v>0</v>
      </c>
      <c r="D22" s="85">
        <f>+(C22-D24)+14</f>
        <v>14</v>
      </c>
      <c r="E22" s="85">
        <f>+(D22-E24)+0</f>
        <v>0</v>
      </c>
      <c r="F22" s="86">
        <f>E22</f>
        <v>0</v>
      </c>
    </row>
    <row r="23" spans="1:9" ht="15" customHeight="1" x14ac:dyDescent="0.3">
      <c r="A23" s="262"/>
      <c r="B23" s="216" t="s">
        <v>59</v>
      </c>
      <c r="C23" s="88">
        <v>798</v>
      </c>
      <c r="D23" s="88">
        <v>800</v>
      </c>
      <c r="E23" s="88">
        <v>824</v>
      </c>
      <c r="F23" s="94">
        <f t="shared" si="0"/>
        <v>807.33333333333337</v>
      </c>
    </row>
    <row r="24" spans="1:9" ht="15" customHeight="1" x14ac:dyDescent="0.3">
      <c r="A24" s="263"/>
      <c r="B24" s="217" t="s">
        <v>60</v>
      </c>
      <c r="C24" s="211">
        <v>0</v>
      </c>
      <c r="D24" s="211">
        <v>0</v>
      </c>
      <c r="E24" s="91">
        <v>14</v>
      </c>
      <c r="F24" s="95">
        <f t="shared" si="0"/>
        <v>4.666666666666667</v>
      </c>
      <c r="H24" s="1">
        <f>+F23+F24</f>
        <v>812</v>
      </c>
    </row>
    <row r="25" spans="1:9" ht="15" customHeight="1" thickBot="1" x14ac:dyDescent="0.35">
      <c r="A25" s="10" t="s">
        <v>13</v>
      </c>
      <c r="B25" s="10" t="s">
        <v>51</v>
      </c>
      <c r="C25" s="48">
        <f>+C14+C15+C17+C18+C20+C21+C23+C24</f>
        <v>13184</v>
      </c>
      <c r="D25" s="48">
        <f>+D14+D15+D17+D18+D20+D21+D23+D24</f>
        <v>13476</v>
      </c>
      <c r="E25" s="48">
        <f>+E14+E15+E17+E18+E20+E21+E23+E24</f>
        <v>13635</v>
      </c>
      <c r="F25" s="212">
        <f>AVERAGE(C25:E25)</f>
        <v>13431.666666666666</v>
      </c>
      <c r="H25" s="248">
        <f>+H24+H21+H18+H15</f>
        <v>13431.666666666666</v>
      </c>
    </row>
    <row r="26" spans="1:9" ht="15" customHeight="1" thickTop="1" x14ac:dyDescent="0.3">
      <c r="A26" s="41"/>
      <c r="B26" s="8"/>
      <c r="C26" s="8"/>
      <c r="D26" s="8"/>
      <c r="E26" s="8"/>
      <c r="F26" s="8"/>
    </row>
    <row r="27" spans="1:9" ht="15" customHeight="1" x14ac:dyDescent="0.3">
      <c r="A27" s="1" t="s">
        <v>71</v>
      </c>
      <c r="I27" s="1">
        <f>+H25-F25</f>
        <v>0</v>
      </c>
    </row>
    <row r="30" spans="1:9" ht="15" customHeight="1" x14ac:dyDescent="0.3">
      <c r="A30" s="257" t="s">
        <v>14</v>
      </c>
      <c r="B30" s="257"/>
      <c r="C30" s="257"/>
      <c r="D30" s="257"/>
      <c r="E30" s="257"/>
      <c r="F30" s="257"/>
    </row>
    <row r="31" spans="1:9" ht="15" customHeight="1" x14ac:dyDescent="0.3">
      <c r="A31" s="260" t="s">
        <v>31</v>
      </c>
      <c r="B31" s="260"/>
      <c r="C31" s="260"/>
      <c r="D31" s="260"/>
      <c r="E31" s="260"/>
      <c r="F31" s="260"/>
      <c r="G31" s="249"/>
    </row>
    <row r="32" spans="1:9" ht="15" customHeight="1" x14ac:dyDescent="0.3">
      <c r="A32" s="257" t="s">
        <v>52</v>
      </c>
      <c r="B32" s="257"/>
      <c r="C32" s="257"/>
      <c r="D32" s="257"/>
      <c r="E32" s="257"/>
      <c r="F32" s="257"/>
    </row>
    <row r="33" spans="1:6" s="8" customFormat="1" ht="15" customHeight="1" x14ac:dyDescent="0.3">
      <c r="A33" s="214"/>
      <c r="B33" s="214"/>
      <c r="C33" s="214"/>
      <c r="D33" s="214"/>
      <c r="E33" s="214"/>
      <c r="F33" s="214"/>
    </row>
    <row r="34" spans="1:6" ht="15" customHeight="1" thickBot="1" x14ac:dyDescent="0.35">
      <c r="A34" s="11" t="s">
        <v>64</v>
      </c>
      <c r="B34" s="11"/>
      <c r="C34" s="11" t="s">
        <v>27</v>
      </c>
      <c r="D34" s="11" t="s">
        <v>28</v>
      </c>
      <c r="E34" s="11" t="s">
        <v>29</v>
      </c>
      <c r="F34" s="11" t="s">
        <v>30</v>
      </c>
    </row>
    <row r="35" spans="1:6" ht="15" customHeight="1" x14ac:dyDescent="0.3">
      <c r="C35" s="2"/>
      <c r="D35" s="2"/>
      <c r="E35" s="2"/>
      <c r="F35" s="2"/>
    </row>
    <row r="36" spans="1:6" ht="15" customHeight="1" x14ac:dyDescent="0.3">
      <c r="A36" s="147" t="s">
        <v>122</v>
      </c>
      <c r="B36" s="148" t="s">
        <v>56</v>
      </c>
      <c r="C36" s="149">
        <v>325265160</v>
      </c>
      <c r="D36" s="149">
        <v>322410168</v>
      </c>
      <c r="E36" s="149">
        <v>317923752</v>
      </c>
      <c r="F36" s="150">
        <f t="shared" ref="F36:F43" si="1">SUM(C36:E36)</f>
        <v>965599080</v>
      </c>
    </row>
    <row r="37" spans="1:6" ht="15" customHeight="1" x14ac:dyDescent="0.3">
      <c r="A37" s="151"/>
      <c r="B37" s="152" t="s">
        <v>55</v>
      </c>
      <c r="C37" s="153">
        <v>25694928</v>
      </c>
      <c r="D37" s="153">
        <v>3058920</v>
      </c>
      <c r="E37" s="153">
        <v>3262848</v>
      </c>
      <c r="F37" s="154">
        <f t="shared" si="1"/>
        <v>32016696</v>
      </c>
    </row>
    <row r="38" spans="1:6" ht="15" customHeight="1" x14ac:dyDescent="0.3">
      <c r="A38" s="96" t="s">
        <v>24</v>
      </c>
      <c r="B38" s="97" t="s">
        <v>56</v>
      </c>
      <c r="C38" s="98">
        <v>99924475</v>
      </c>
      <c r="D38" s="98">
        <v>104247738</v>
      </c>
      <c r="E38" s="98">
        <v>101963750</v>
      </c>
      <c r="F38" s="93">
        <f t="shared" si="1"/>
        <v>306135963</v>
      </c>
    </row>
    <row r="39" spans="1:6" ht="15" customHeight="1" x14ac:dyDescent="0.3">
      <c r="A39" s="99"/>
      <c r="B39" s="100" t="s">
        <v>55</v>
      </c>
      <c r="C39" s="101">
        <v>2365559</v>
      </c>
      <c r="D39" s="101">
        <v>10033233</v>
      </c>
      <c r="E39" s="101">
        <v>6525680</v>
      </c>
      <c r="F39" s="95">
        <f t="shared" si="1"/>
        <v>18924472</v>
      </c>
    </row>
    <row r="40" spans="1:6" ht="15" customHeight="1" x14ac:dyDescent="0.3">
      <c r="A40" s="155" t="s">
        <v>96</v>
      </c>
      <c r="B40" s="156" t="s">
        <v>56</v>
      </c>
      <c r="C40" s="157">
        <v>550448626.20000005</v>
      </c>
      <c r="D40" s="157">
        <v>552684206.20000005</v>
      </c>
      <c r="E40" s="157">
        <v>564058528.20000005</v>
      </c>
      <c r="F40" s="196">
        <f t="shared" si="1"/>
        <v>1667191360.6000001</v>
      </c>
    </row>
    <row r="41" spans="1:6" ht="15" customHeight="1" x14ac:dyDescent="0.3">
      <c r="A41" s="159"/>
      <c r="B41" s="160" t="s">
        <v>55</v>
      </c>
      <c r="C41" s="161">
        <v>0</v>
      </c>
      <c r="D41" s="161">
        <v>15738322</v>
      </c>
      <c r="E41" s="161">
        <v>15586582</v>
      </c>
      <c r="F41" s="197">
        <f t="shared" si="1"/>
        <v>31324904</v>
      </c>
    </row>
    <row r="42" spans="1:6" ht="15" customHeight="1" x14ac:dyDescent="0.3">
      <c r="A42" s="102" t="s">
        <v>95</v>
      </c>
      <c r="B42" s="224" t="s">
        <v>56</v>
      </c>
      <c r="C42" s="98">
        <v>418308000</v>
      </c>
      <c r="D42" s="98">
        <v>420504000</v>
      </c>
      <c r="E42" s="98">
        <v>431454000</v>
      </c>
      <c r="F42" s="93">
        <f t="shared" si="1"/>
        <v>1270266000</v>
      </c>
    </row>
    <row r="43" spans="1:6" ht="15" customHeight="1" x14ac:dyDescent="0.3">
      <c r="A43" s="103"/>
      <c r="B43" s="225" t="s">
        <v>55</v>
      </c>
      <c r="C43" s="101">
        <v>0</v>
      </c>
      <c r="D43" s="101">
        <v>0</v>
      </c>
      <c r="E43" s="101">
        <v>6300000</v>
      </c>
      <c r="F43" s="95">
        <f t="shared" si="1"/>
        <v>6300000</v>
      </c>
    </row>
    <row r="44" spans="1:6" ht="15" customHeight="1" x14ac:dyDescent="0.3">
      <c r="A44" s="59"/>
      <c r="B44" s="226"/>
      <c r="C44" s="171"/>
      <c r="D44" s="171"/>
      <c r="E44" s="171"/>
      <c r="F44" s="171"/>
    </row>
    <row r="45" spans="1:6" ht="15" customHeight="1" thickBot="1" x14ac:dyDescent="0.35">
      <c r="A45" s="10" t="s">
        <v>13</v>
      </c>
      <c r="B45" s="10"/>
      <c r="C45" s="49">
        <f>SUM(C36:C43)</f>
        <v>1422006748.2</v>
      </c>
      <c r="D45" s="49">
        <f>SUM(D36:D43)</f>
        <v>1428676587.2</v>
      </c>
      <c r="E45" s="49">
        <f>SUM(E36:E43)</f>
        <v>1447075140.2</v>
      </c>
      <c r="F45" s="49">
        <f>SUM(F36:F43)</f>
        <v>4297758475.6000004</v>
      </c>
    </row>
    <row r="46" spans="1:6" ht="15" customHeight="1" thickTop="1" x14ac:dyDescent="0.3">
      <c r="A46" s="8" t="s">
        <v>42</v>
      </c>
    </row>
    <row r="47" spans="1:6" ht="15" customHeight="1" x14ac:dyDescent="0.3">
      <c r="A47" s="1" t="s">
        <v>72</v>
      </c>
    </row>
    <row r="48" spans="1:6" ht="15" customHeight="1" x14ac:dyDescent="0.3">
      <c r="A48" s="227"/>
    </row>
    <row r="49" spans="1:5" ht="15" customHeight="1" x14ac:dyDescent="0.3">
      <c r="A49" s="227"/>
    </row>
    <row r="50" spans="1:5" ht="15" customHeight="1" x14ac:dyDescent="0.3">
      <c r="A50" s="227"/>
    </row>
    <row r="51" spans="1:5" ht="15" customHeight="1" x14ac:dyDescent="0.3">
      <c r="A51" s="260" t="s">
        <v>15</v>
      </c>
      <c r="B51" s="260"/>
      <c r="C51" s="260"/>
      <c r="D51" s="260"/>
      <c r="E51" s="260"/>
    </row>
    <row r="52" spans="1:5" ht="15" customHeight="1" x14ac:dyDescent="0.3">
      <c r="A52" s="260" t="s">
        <v>32</v>
      </c>
      <c r="B52" s="260"/>
      <c r="C52" s="260"/>
      <c r="D52" s="260"/>
      <c r="E52" s="260"/>
    </row>
    <row r="53" spans="1:5" ht="15" customHeight="1" x14ac:dyDescent="0.3">
      <c r="A53" s="257" t="s">
        <v>52</v>
      </c>
      <c r="B53" s="257"/>
      <c r="C53" s="257"/>
      <c r="D53" s="257"/>
      <c r="E53" s="257"/>
    </row>
    <row r="54" spans="1:5" ht="15" customHeight="1" x14ac:dyDescent="0.3">
      <c r="A54" s="7"/>
      <c r="B54" s="7"/>
      <c r="C54" s="7"/>
      <c r="D54" s="7"/>
      <c r="E54" s="7"/>
    </row>
    <row r="55" spans="1:5" ht="15" customHeight="1" thickBot="1" x14ac:dyDescent="0.35">
      <c r="A55" s="11" t="s">
        <v>10</v>
      </c>
      <c r="B55" s="11" t="s">
        <v>27</v>
      </c>
      <c r="C55" s="11" t="s">
        <v>28</v>
      </c>
      <c r="D55" s="11" t="s">
        <v>29</v>
      </c>
      <c r="E55" s="11" t="s">
        <v>30</v>
      </c>
    </row>
    <row r="56" spans="1:5" ht="15" customHeight="1" x14ac:dyDescent="0.3">
      <c r="B56" s="47"/>
      <c r="C56" s="47"/>
      <c r="D56" s="47"/>
      <c r="E56" s="47"/>
    </row>
    <row r="57" spans="1:5" ht="15" customHeight="1" x14ac:dyDescent="0.3">
      <c r="A57" s="1" t="s">
        <v>97</v>
      </c>
      <c r="B57" s="46">
        <f>SUM(C36:C37)</f>
        <v>350960088</v>
      </c>
      <c r="C57" s="46">
        <f>SUM(D36:D37)</f>
        <v>325469088</v>
      </c>
      <c r="D57" s="46">
        <f>SUM(E36:E37)</f>
        <v>321186600</v>
      </c>
      <c r="E57" s="46">
        <f t="shared" ref="E57:E60" si="2">SUM(B57:D57)</f>
        <v>997615776</v>
      </c>
    </row>
    <row r="58" spans="1:5" ht="15" customHeight="1" x14ac:dyDescent="0.3">
      <c r="A58" s="1" t="s">
        <v>98</v>
      </c>
      <c r="B58" s="46">
        <f>SUM(C38:C39)</f>
        <v>102290034</v>
      </c>
      <c r="C58" s="46">
        <f>SUM(D38:D39)</f>
        <v>114280971</v>
      </c>
      <c r="D58" s="46">
        <f>SUM(E38:E39)</f>
        <v>108489430</v>
      </c>
      <c r="E58" s="46">
        <f t="shared" si="2"/>
        <v>325060435</v>
      </c>
    </row>
    <row r="59" spans="1:5" ht="15" customHeight="1" x14ac:dyDescent="0.3">
      <c r="A59" s="1" t="s">
        <v>99</v>
      </c>
      <c r="B59" s="46">
        <f>SUM(C40:C41)</f>
        <v>550448626.20000005</v>
      </c>
      <c r="C59" s="46">
        <f>SUM(D40:D41)</f>
        <v>568422528.20000005</v>
      </c>
      <c r="D59" s="46">
        <f>SUM(E40:E41)</f>
        <v>579645110.20000005</v>
      </c>
      <c r="E59" s="46">
        <f t="shared" si="2"/>
        <v>1698516264.6000001</v>
      </c>
    </row>
    <row r="60" spans="1:5" ht="15" customHeight="1" x14ac:dyDescent="0.3">
      <c r="A60" s="1" t="s">
        <v>100</v>
      </c>
      <c r="B60" s="46">
        <f>SUM(C42:C43)</f>
        <v>418308000</v>
      </c>
      <c r="C60" s="46">
        <f>SUM(D42:D43)</f>
        <v>420504000</v>
      </c>
      <c r="D60" s="46">
        <f>SUM(E42:E43)</f>
        <v>437754000</v>
      </c>
      <c r="E60" s="46">
        <f t="shared" si="2"/>
        <v>1276566000</v>
      </c>
    </row>
    <row r="61" spans="1:5" ht="15" customHeight="1" x14ac:dyDescent="0.3">
      <c r="B61" s="47"/>
      <c r="C61" s="47"/>
      <c r="D61" s="47"/>
      <c r="E61" s="47"/>
    </row>
    <row r="62" spans="1:5" ht="15" customHeight="1" thickBot="1" x14ac:dyDescent="0.35">
      <c r="A62" s="10" t="s">
        <v>13</v>
      </c>
      <c r="B62" s="48">
        <f>SUM(B57:B61)</f>
        <v>1422006748.2</v>
      </c>
      <c r="C62" s="48">
        <f>SUM(C57:C61)</f>
        <v>1428676587.2</v>
      </c>
      <c r="D62" s="48">
        <f>SUM(D57:D61)</f>
        <v>1447075140.2</v>
      </c>
      <c r="E62" s="209">
        <f>SUM(E57:E61)</f>
        <v>4297758475.6000004</v>
      </c>
    </row>
    <row r="63" spans="1:5" ht="15" customHeight="1" thickTop="1" x14ac:dyDescent="0.3">
      <c r="A63" s="1" t="s">
        <v>71</v>
      </c>
    </row>
    <row r="66" spans="1:9" ht="15" customHeight="1" x14ac:dyDescent="0.3">
      <c r="A66" s="258" t="s">
        <v>44</v>
      </c>
      <c r="B66" s="258"/>
      <c r="C66" s="258"/>
      <c r="D66" s="258"/>
      <c r="E66" s="258"/>
      <c r="F66" s="68"/>
    </row>
    <row r="67" spans="1:9" ht="15" customHeight="1" x14ac:dyDescent="0.3">
      <c r="A67" s="258" t="s">
        <v>103</v>
      </c>
      <c r="B67" s="258"/>
      <c r="C67" s="258"/>
      <c r="D67" s="258"/>
      <c r="E67" s="258"/>
      <c r="F67" s="68"/>
    </row>
    <row r="68" spans="1:9" ht="15" customHeight="1" x14ac:dyDescent="0.3">
      <c r="A68" s="259" t="s">
        <v>52</v>
      </c>
      <c r="B68" s="259"/>
      <c r="C68" s="259"/>
      <c r="D68" s="259"/>
      <c r="E68" s="259"/>
      <c r="F68" s="68"/>
    </row>
    <row r="69" spans="1:9" ht="15" customHeight="1" x14ac:dyDescent="0.3">
      <c r="A69" s="69"/>
      <c r="B69" s="69"/>
      <c r="C69" s="69"/>
      <c r="D69" s="69"/>
      <c r="E69" s="69"/>
      <c r="F69" s="68"/>
    </row>
    <row r="70" spans="1:9" ht="15" customHeight="1" thickBot="1" x14ac:dyDescent="0.35">
      <c r="A70" s="70" t="s">
        <v>10</v>
      </c>
      <c r="B70" s="11" t="s">
        <v>27</v>
      </c>
      <c r="C70" s="11" t="s">
        <v>28</v>
      </c>
      <c r="D70" s="11" t="s">
        <v>29</v>
      </c>
      <c r="E70" s="11" t="s">
        <v>30</v>
      </c>
      <c r="F70" s="68"/>
    </row>
    <row r="71" spans="1:9" ht="15" customHeight="1" x14ac:dyDescent="0.3">
      <c r="A71" s="68"/>
      <c r="B71" s="71"/>
      <c r="C71" s="71"/>
      <c r="D71" s="71"/>
      <c r="E71" s="71"/>
      <c r="F71" s="68"/>
    </row>
    <row r="72" spans="1:9" ht="15" customHeight="1" x14ac:dyDescent="0.3">
      <c r="A72" s="68" t="s">
        <v>167</v>
      </c>
      <c r="B72" s="228">
        <f>+$B$134</f>
        <v>0</v>
      </c>
      <c r="C72" s="228">
        <f>B76</f>
        <v>0</v>
      </c>
      <c r="D72" s="228">
        <f>C76</f>
        <v>0</v>
      </c>
      <c r="E72" s="228">
        <f>B72</f>
        <v>0</v>
      </c>
      <c r="F72" s="68"/>
    </row>
    <row r="73" spans="1:9" ht="15" customHeight="1" x14ac:dyDescent="0.3">
      <c r="A73" s="68" t="s">
        <v>16</v>
      </c>
      <c r="B73" s="228">
        <f>+B146</f>
        <v>350960088</v>
      </c>
      <c r="C73" s="228">
        <f t="shared" ref="C73:D73" si="3">+C146</f>
        <v>325469088</v>
      </c>
      <c r="D73" s="228">
        <f t="shared" si="3"/>
        <v>321186600</v>
      </c>
      <c r="E73" s="228">
        <f>+SUM(B73:D73)</f>
        <v>997615776</v>
      </c>
      <c r="F73" s="68"/>
      <c r="G73" s="226"/>
      <c r="H73" s="226"/>
      <c r="I73" s="226"/>
    </row>
    <row r="74" spans="1:9" ht="15" customHeight="1" x14ac:dyDescent="0.3">
      <c r="A74" s="68" t="s">
        <v>17</v>
      </c>
      <c r="B74" s="228">
        <f>SUM(B72:B73)</f>
        <v>350960088</v>
      </c>
      <c r="C74" s="228">
        <f t="shared" ref="C74:D74" si="4">SUM(C72:C73)</f>
        <v>325469088</v>
      </c>
      <c r="D74" s="228">
        <f t="shared" si="4"/>
        <v>321186600</v>
      </c>
      <c r="E74" s="228">
        <f>+E72+E73</f>
        <v>997615776</v>
      </c>
      <c r="F74" s="68"/>
    </row>
    <row r="75" spans="1:9" ht="15" customHeight="1" x14ac:dyDescent="0.3">
      <c r="A75" s="68" t="s">
        <v>18</v>
      </c>
      <c r="B75" s="230">
        <f>B57</f>
        <v>350960088</v>
      </c>
      <c r="C75" s="230">
        <f>C57</f>
        <v>325469088</v>
      </c>
      <c r="D75" s="230">
        <f>D57</f>
        <v>321186600</v>
      </c>
      <c r="E75" s="228">
        <f>+SUM(B75:D75)</f>
        <v>997615776</v>
      </c>
      <c r="F75" s="231"/>
    </row>
    <row r="76" spans="1:9" ht="15" customHeight="1" x14ac:dyDescent="0.3">
      <c r="A76" s="72" t="s">
        <v>19</v>
      </c>
      <c r="B76" s="232">
        <f>B74-B75</f>
        <v>0</v>
      </c>
      <c r="C76" s="232">
        <f>C74-C75</f>
        <v>0</v>
      </c>
      <c r="D76" s="232">
        <f>D74-D75</f>
        <v>0</v>
      </c>
      <c r="E76" s="232">
        <f>+E74-E75</f>
        <v>0</v>
      </c>
      <c r="F76" s="68"/>
    </row>
    <row r="77" spans="1:9" ht="15" customHeight="1" thickBot="1" x14ac:dyDescent="0.35">
      <c r="A77" s="73"/>
      <c r="B77" s="74"/>
      <c r="C77" s="74"/>
      <c r="D77" s="74"/>
      <c r="E77" s="74"/>
      <c r="F77" s="68"/>
    </row>
    <row r="78" spans="1:9" ht="15" customHeight="1" thickTop="1" x14ac:dyDescent="0.3">
      <c r="A78" s="68" t="s">
        <v>71</v>
      </c>
      <c r="B78" s="68"/>
      <c r="C78" s="68"/>
      <c r="D78" s="68"/>
      <c r="E78" s="68"/>
      <c r="F78" s="68"/>
    </row>
    <row r="79" spans="1:9" ht="15" customHeight="1" x14ac:dyDescent="0.3">
      <c r="A79" s="233"/>
      <c r="B79" s="68"/>
      <c r="C79" s="68"/>
      <c r="D79" s="68"/>
      <c r="E79" s="68"/>
      <c r="F79" s="68"/>
    </row>
    <row r="80" spans="1:9" ht="15" customHeight="1" x14ac:dyDescent="0.3">
      <c r="A80" s="233"/>
      <c r="B80" s="68"/>
      <c r="C80" s="68"/>
      <c r="D80" s="68"/>
      <c r="E80" s="68"/>
      <c r="F80" s="68"/>
    </row>
    <row r="81" spans="1:6" ht="15" customHeight="1" x14ac:dyDescent="0.3">
      <c r="A81" s="258" t="s">
        <v>45</v>
      </c>
      <c r="B81" s="258"/>
      <c r="C81" s="258"/>
      <c r="D81" s="258"/>
      <c r="E81" s="258"/>
      <c r="F81" s="68"/>
    </row>
    <row r="82" spans="1:6" ht="15" customHeight="1" x14ac:dyDescent="0.3">
      <c r="A82" s="258" t="s">
        <v>101</v>
      </c>
      <c r="B82" s="258"/>
      <c r="C82" s="258"/>
      <c r="D82" s="258"/>
      <c r="E82" s="258"/>
      <c r="F82" s="68"/>
    </row>
    <row r="83" spans="1:6" ht="15" customHeight="1" x14ac:dyDescent="0.3">
      <c r="A83" s="259" t="s">
        <v>52</v>
      </c>
      <c r="B83" s="259"/>
      <c r="C83" s="259"/>
      <c r="D83" s="259"/>
      <c r="E83" s="259"/>
      <c r="F83" s="68"/>
    </row>
    <row r="84" spans="1:6" ht="15" customHeight="1" x14ac:dyDescent="0.3">
      <c r="A84" s="69"/>
      <c r="B84" s="69"/>
      <c r="C84" s="69"/>
      <c r="D84" s="69"/>
      <c r="E84" s="69"/>
      <c r="F84" s="68"/>
    </row>
    <row r="85" spans="1:6" ht="15" customHeight="1" thickBot="1" x14ac:dyDescent="0.35">
      <c r="A85" s="70" t="s">
        <v>10</v>
      </c>
      <c r="B85" s="11" t="s">
        <v>27</v>
      </c>
      <c r="C85" s="11" t="s">
        <v>28</v>
      </c>
      <c r="D85" s="11" t="s">
        <v>29</v>
      </c>
      <c r="E85" s="11" t="s">
        <v>30</v>
      </c>
      <c r="F85" s="68"/>
    </row>
    <row r="86" spans="1:6" ht="15" customHeight="1" x14ac:dyDescent="0.3">
      <c r="A86" s="68"/>
      <c r="B86" s="71"/>
      <c r="C86" s="71"/>
      <c r="D86" s="71"/>
      <c r="E86" s="71"/>
      <c r="F86" s="68"/>
    </row>
    <row r="87" spans="1:6" ht="15" customHeight="1" x14ac:dyDescent="0.3">
      <c r="A87" s="68" t="s">
        <v>167</v>
      </c>
      <c r="B87" s="228">
        <f>+$B$135</f>
        <v>0</v>
      </c>
      <c r="C87" s="228">
        <f>B91</f>
        <v>0</v>
      </c>
      <c r="D87" s="228">
        <f>C91</f>
        <v>0</v>
      </c>
      <c r="E87" s="228">
        <f>B87</f>
        <v>0</v>
      </c>
      <c r="F87" s="68"/>
    </row>
    <row r="88" spans="1:6" ht="15" customHeight="1" x14ac:dyDescent="0.3">
      <c r="A88" s="68" t="s">
        <v>16</v>
      </c>
      <c r="B88" s="228">
        <f>+B147</f>
        <v>102290034</v>
      </c>
      <c r="C88" s="228">
        <f t="shared" ref="C88:D88" si="5">+C147</f>
        <v>114280971</v>
      </c>
      <c r="D88" s="228">
        <f t="shared" si="5"/>
        <v>108489430</v>
      </c>
      <c r="E88" s="228">
        <f>+SUM(B88:D88)</f>
        <v>325060435</v>
      </c>
      <c r="F88" s="68"/>
    </row>
    <row r="89" spans="1:6" ht="15" customHeight="1" x14ac:dyDescent="0.3">
      <c r="A89" s="68" t="s">
        <v>17</v>
      </c>
      <c r="B89" s="228">
        <f>B87+B88</f>
        <v>102290034</v>
      </c>
      <c r="C89" s="228">
        <f t="shared" ref="C89:D89" si="6">C87+C88</f>
        <v>114280971</v>
      </c>
      <c r="D89" s="228">
        <f t="shared" si="6"/>
        <v>108489430</v>
      </c>
      <c r="E89" s="228">
        <f>+E87+E88</f>
        <v>325060435</v>
      </c>
      <c r="F89" s="68"/>
    </row>
    <row r="90" spans="1:6" ht="15" customHeight="1" x14ac:dyDescent="0.3">
      <c r="A90" s="68" t="s">
        <v>18</v>
      </c>
      <c r="B90" s="230">
        <f>+B58</f>
        <v>102290034</v>
      </c>
      <c r="C90" s="230">
        <f>+C58</f>
        <v>114280971</v>
      </c>
      <c r="D90" s="230">
        <f>+D58</f>
        <v>108489430</v>
      </c>
      <c r="E90" s="228">
        <f>+SUM(B90:D90)</f>
        <v>325060435</v>
      </c>
      <c r="F90" s="68"/>
    </row>
    <row r="91" spans="1:6" ht="15" customHeight="1" x14ac:dyDescent="0.3">
      <c r="A91" s="72" t="s">
        <v>19</v>
      </c>
      <c r="B91" s="232">
        <f>B89-B90</f>
        <v>0</v>
      </c>
      <c r="C91" s="232">
        <f>C89-C90</f>
        <v>0</v>
      </c>
      <c r="D91" s="232">
        <f>D89-D90</f>
        <v>0</v>
      </c>
      <c r="E91" s="232">
        <f>+E89-E90</f>
        <v>0</v>
      </c>
      <c r="F91" s="68"/>
    </row>
    <row r="92" spans="1:6" ht="15" customHeight="1" thickBot="1" x14ac:dyDescent="0.35">
      <c r="A92" s="73"/>
      <c r="B92" s="74"/>
      <c r="C92" s="74"/>
      <c r="D92" s="74"/>
      <c r="E92" s="74"/>
      <c r="F92" s="68"/>
    </row>
    <row r="93" spans="1:6" ht="15" customHeight="1" thickTop="1" x14ac:dyDescent="0.3">
      <c r="A93" s="68" t="s">
        <v>71</v>
      </c>
      <c r="B93" s="68"/>
      <c r="C93" s="68"/>
      <c r="D93" s="68"/>
      <c r="E93" s="68"/>
      <c r="F93" s="68"/>
    </row>
    <row r="94" spans="1:6" ht="15" customHeight="1" x14ac:dyDescent="0.3">
      <c r="A94" s="233"/>
      <c r="B94" s="68"/>
      <c r="C94" s="68"/>
      <c r="D94" s="68"/>
      <c r="E94" s="68"/>
      <c r="F94" s="68"/>
    </row>
    <row r="95" spans="1:6" ht="15" customHeight="1" x14ac:dyDescent="0.3">
      <c r="A95" s="233"/>
      <c r="B95" s="68"/>
      <c r="C95" s="68"/>
      <c r="D95" s="68"/>
      <c r="E95" s="68"/>
      <c r="F95" s="68"/>
    </row>
    <row r="96" spans="1:6" ht="15" customHeight="1" x14ac:dyDescent="0.3">
      <c r="A96" s="233"/>
      <c r="B96" s="68"/>
      <c r="C96" s="68"/>
      <c r="D96" s="68"/>
      <c r="E96" s="68"/>
      <c r="F96" s="68"/>
    </row>
    <row r="97" spans="1:10" ht="15" customHeight="1" x14ac:dyDescent="0.3">
      <c r="A97" s="68"/>
      <c r="B97" s="68"/>
      <c r="C97" s="68"/>
      <c r="D97" s="68"/>
      <c r="E97" s="68"/>
      <c r="F97" s="68"/>
    </row>
    <row r="98" spans="1:10" ht="15" customHeight="1" x14ac:dyDescent="0.3">
      <c r="A98" s="258" t="s">
        <v>102</v>
      </c>
      <c r="B98" s="258"/>
      <c r="C98" s="258"/>
      <c r="D98" s="258"/>
      <c r="E98" s="258"/>
      <c r="F98" s="68"/>
    </row>
    <row r="99" spans="1:10" ht="15" customHeight="1" x14ac:dyDescent="0.3">
      <c r="A99" s="258" t="s">
        <v>49</v>
      </c>
      <c r="B99" s="258"/>
      <c r="C99" s="258"/>
      <c r="D99" s="258"/>
      <c r="E99" s="258"/>
      <c r="F99" s="68"/>
      <c r="H99" s="39"/>
      <c r="J99" s="227"/>
    </row>
    <row r="100" spans="1:10" ht="15" customHeight="1" x14ac:dyDescent="0.3">
      <c r="A100" s="259" t="s">
        <v>52</v>
      </c>
      <c r="B100" s="259"/>
      <c r="C100" s="259"/>
      <c r="D100" s="259"/>
      <c r="E100" s="259"/>
      <c r="F100" s="75"/>
    </row>
    <row r="101" spans="1:10" ht="15" customHeight="1" x14ac:dyDescent="0.3">
      <c r="A101" s="69"/>
      <c r="B101" s="69"/>
      <c r="C101" s="69"/>
      <c r="D101" s="69"/>
      <c r="E101" s="69"/>
      <c r="F101" s="68"/>
    </row>
    <row r="102" spans="1:10" ht="15" customHeight="1" thickBot="1" x14ac:dyDescent="0.35">
      <c r="A102" s="70" t="s">
        <v>10</v>
      </c>
      <c r="B102" s="11" t="s">
        <v>27</v>
      </c>
      <c r="C102" s="11" t="s">
        <v>28</v>
      </c>
      <c r="D102" s="11" t="s">
        <v>29</v>
      </c>
      <c r="E102" s="11" t="s">
        <v>30</v>
      </c>
      <c r="F102" s="68"/>
    </row>
    <row r="103" spans="1:10" ht="15" customHeight="1" x14ac:dyDescent="0.3">
      <c r="A103" s="68"/>
      <c r="B103" s="71"/>
      <c r="C103" s="71"/>
      <c r="D103" s="71"/>
      <c r="E103" s="71"/>
      <c r="F103" s="68"/>
    </row>
    <row r="104" spans="1:10" ht="15" customHeight="1" x14ac:dyDescent="0.3">
      <c r="A104" s="68" t="s">
        <v>167</v>
      </c>
      <c r="B104" s="228">
        <f>+B136</f>
        <v>0</v>
      </c>
      <c r="C104" s="228">
        <f>B108</f>
        <v>0</v>
      </c>
      <c r="D104" s="228">
        <f>C108</f>
        <v>0</v>
      </c>
      <c r="E104" s="228">
        <f>+B104</f>
        <v>0</v>
      </c>
      <c r="F104" s="68"/>
    </row>
    <row r="105" spans="1:10" ht="15" customHeight="1" x14ac:dyDescent="0.3">
      <c r="A105" s="68" t="s">
        <v>16</v>
      </c>
      <c r="B105" s="228">
        <f>+B148</f>
        <v>550448626.20000005</v>
      </c>
      <c r="C105" s="228">
        <f t="shared" ref="C105:D105" si="7">+C148</f>
        <v>568422528.20000005</v>
      </c>
      <c r="D105" s="228">
        <f t="shared" si="7"/>
        <v>579645110.20000005</v>
      </c>
      <c r="E105" s="228">
        <f>SUM(B105:D105)</f>
        <v>1698516264.6000001</v>
      </c>
      <c r="F105" s="68"/>
      <c r="G105" s="226"/>
      <c r="H105" s="226"/>
      <c r="I105" s="226"/>
    </row>
    <row r="106" spans="1:10" ht="15" customHeight="1" x14ac:dyDescent="0.3">
      <c r="A106" s="68" t="s">
        <v>17</v>
      </c>
      <c r="B106" s="228">
        <f>SUM(B104:B105)</f>
        <v>550448626.20000005</v>
      </c>
      <c r="C106" s="228">
        <f t="shared" ref="C106:D106" si="8">SUM(C104:C105)</f>
        <v>568422528.20000005</v>
      </c>
      <c r="D106" s="228">
        <f t="shared" si="8"/>
        <v>579645110.20000005</v>
      </c>
      <c r="E106" s="228">
        <f>SUM(E104:E105)</f>
        <v>1698516264.6000001</v>
      </c>
      <c r="F106" s="68"/>
    </row>
    <row r="107" spans="1:10" ht="15" customHeight="1" x14ac:dyDescent="0.3">
      <c r="A107" s="68" t="s">
        <v>18</v>
      </c>
      <c r="B107" s="228">
        <f>+B59</f>
        <v>550448626.20000005</v>
      </c>
      <c r="C107" s="228">
        <f>+C59</f>
        <v>568422528.20000005</v>
      </c>
      <c r="D107" s="228">
        <f>+D59</f>
        <v>579645110.20000005</v>
      </c>
      <c r="E107" s="228">
        <f>+SUM(B107:D107)</f>
        <v>1698516264.6000001</v>
      </c>
      <c r="F107" s="231"/>
    </row>
    <row r="108" spans="1:10" ht="15" customHeight="1" x14ac:dyDescent="0.3">
      <c r="A108" s="72" t="s">
        <v>19</v>
      </c>
      <c r="B108" s="234">
        <f>B106-B107</f>
        <v>0</v>
      </c>
      <c r="C108" s="234">
        <f t="shared" ref="C108:D108" si="9">C106-C107</f>
        <v>0</v>
      </c>
      <c r="D108" s="234">
        <f t="shared" si="9"/>
        <v>0</v>
      </c>
      <c r="E108" s="234">
        <f>+E106-E107</f>
        <v>0</v>
      </c>
      <c r="F108" s="68"/>
    </row>
    <row r="109" spans="1:10" ht="15" customHeight="1" thickBot="1" x14ac:dyDescent="0.35">
      <c r="A109" s="73"/>
      <c r="B109" s="76"/>
      <c r="C109" s="73"/>
      <c r="D109" s="73"/>
      <c r="E109" s="73"/>
      <c r="F109" s="68"/>
    </row>
    <row r="110" spans="1:10" ht="15" customHeight="1" thickTop="1" x14ac:dyDescent="0.3">
      <c r="A110" s="68" t="s">
        <v>71</v>
      </c>
      <c r="B110" s="68"/>
      <c r="C110" s="68"/>
      <c r="D110" s="68"/>
      <c r="E110" s="68"/>
      <c r="F110" s="68"/>
    </row>
    <row r="111" spans="1:10" ht="15" customHeight="1" x14ac:dyDescent="0.3">
      <c r="A111" s="68"/>
      <c r="B111" s="68"/>
      <c r="C111" s="68"/>
      <c r="D111" s="68"/>
      <c r="E111" s="68"/>
      <c r="F111" s="68"/>
    </row>
    <row r="112" spans="1:10" ht="15" customHeight="1" x14ac:dyDescent="0.3">
      <c r="A112" s="68"/>
      <c r="B112" s="68"/>
      <c r="C112" s="68"/>
      <c r="D112" s="68"/>
      <c r="E112" s="68"/>
      <c r="F112" s="68"/>
    </row>
    <row r="113" spans="1:6" ht="15" customHeight="1" x14ac:dyDescent="0.3">
      <c r="A113" s="258" t="s">
        <v>105</v>
      </c>
      <c r="B113" s="258"/>
      <c r="C113" s="258"/>
      <c r="D113" s="258"/>
      <c r="E113" s="258"/>
      <c r="F113" s="68"/>
    </row>
    <row r="114" spans="1:6" ht="15" customHeight="1" x14ac:dyDescent="0.3">
      <c r="A114" s="258" t="s">
        <v>104</v>
      </c>
      <c r="B114" s="258"/>
      <c r="C114" s="258"/>
      <c r="D114" s="258"/>
      <c r="E114" s="258"/>
      <c r="F114" s="68"/>
    </row>
    <row r="115" spans="1:6" ht="15" customHeight="1" x14ac:dyDescent="0.3">
      <c r="A115" s="259" t="s">
        <v>52</v>
      </c>
      <c r="B115" s="259"/>
      <c r="C115" s="259"/>
      <c r="D115" s="259"/>
      <c r="E115" s="259"/>
      <c r="F115" s="75"/>
    </row>
    <row r="116" spans="1:6" ht="15" customHeight="1" x14ac:dyDescent="0.3">
      <c r="A116" s="69"/>
      <c r="B116" s="69"/>
      <c r="C116" s="69"/>
      <c r="D116" s="69"/>
      <c r="E116" s="69"/>
      <c r="F116" s="75" t="s">
        <v>54</v>
      </c>
    </row>
    <row r="117" spans="1:6" ht="15" customHeight="1" thickBot="1" x14ac:dyDescent="0.35">
      <c r="A117" s="70" t="s">
        <v>10</v>
      </c>
      <c r="B117" s="11" t="s">
        <v>27</v>
      </c>
      <c r="C117" s="11" t="s">
        <v>28</v>
      </c>
      <c r="D117" s="11" t="s">
        <v>29</v>
      </c>
      <c r="E117" s="11" t="s">
        <v>30</v>
      </c>
      <c r="F117" s="182">
        <f>+E73+E88+E105+E120</f>
        <v>4297758475.6000004</v>
      </c>
    </row>
    <row r="118" spans="1:6" ht="15" customHeight="1" x14ac:dyDescent="0.3">
      <c r="A118" s="68"/>
      <c r="B118" s="71"/>
      <c r="C118" s="71"/>
      <c r="D118" s="71"/>
      <c r="E118" s="71"/>
      <c r="F118" s="68"/>
    </row>
    <row r="119" spans="1:6" ht="15" customHeight="1" x14ac:dyDescent="0.3">
      <c r="A119" s="68" t="s">
        <v>167</v>
      </c>
      <c r="B119" s="228">
        <f>+$B$137</f>
        <v>0</v>
      </c>
      <c r="C119" s="228">
        <f>B123</f>
        <v>0</v>
      </c>
      <c r="D119" s="228">
        <f>C123</f>
        <v>0</v>
      </c>
      <c r="E119" s="228">
        <f>+B119</f>
        <v>0</v>
      </c>
      <c r="F119" s="68"/>
    </row>
    <row r="120" spans="1:6" ht="15" customHeight="1" x14ac:dyDescent="0.3">
      <c r="A120" s="68" t="s">
        <v>16</v>
      </c>
      <c r="B120" s="228">
        <f>+B149</f>
        <v>418308000</v>
      </c>
      <c r="C120" s="228">
        <f t="shared" ref="C120:D120" si="10">+C149</f>
        <v>420504000</v>
      </c>
      <c r="D120" s="228">
        <f t="shared" si="10"/>
        <v>437754000</v>
      </c>
      <c r="E120" s="228">
        <f>SUM(B120:D120)</f>
        <v>1276566000</v>
      </c>
      <c r="F120" s="68"/>
    </row>
    <row r="121" spans="1:6" ht="15" customHeight="1" x14ac:dyDescent="0.3">
      <c r="A121" s="68" t="s">
        <v>17</v>
      </c>
      <c r="B121" s="228">
        <f>SUM(B119:B120)</f>
        <v>418308000</v>
      </c>
      <c r="C121" s="228">
        <f t="shared" ref="C121:D121" si="11">SUM(C119:C120)</f>
        <v>420504000</v>
      </c>
      <c r="D121" s="228">
        <f t="shared" si="11"/>
        <v>437754000</v>
      </c>
      <c r="E121" s="228">
        <f>SUM(E119:E120)</f>
        <v>1276566000</v>
      </c>
      <c r="F121" s="68"/>
    </row>
    <row r="122" spans="1:6" ht="15" customHeight="1" x14ac:dyDescent="0.3">
      <c r="A122" s="68" t="s">
        <v>18</v>
      </c>
      <c r="B122" s="228">
        <f>+B60</f>
        <v>418308000</v>
      </c>
      <c r="C122" s="228">
        <f>+C60</f>
        <v>420504000</v>
      </c>
      <c r="D122" s="228">
        <f>+D60</f>
        <v>437754000</v>
      </c>
      <c r="E122" s="228">
        <f>+SUM(B122:D122)</f>
        <v>1276566000</v>
      </c>
      <c r="F122" s="231"/>
    </row>
    <row r="123" spans="1:6" ht="15" customHeight="1" x14ac:dyDescent="0.3">
      <c r="A123" s="72" t="s">
        <v>19</v>
      </c>
      <c r="B123" s="234">
        <f>B121-B122</f>
        <v>0</v>
      </c>
      <c r="C123" s="234">
        <f>C121-C122</f>
        <v>0</v>
      </c>
      <c r="D123" s="234">
        <f>D121-D122</f>
        <v>0</v>
      </c>
      <c r="E123" s="234">
        <f>+E121-E122</f>
        <v>0</v>
      </c>
      <c r="F123" s="68"/>
    </row>
    <row r="124" spans="1:6" ht="15" customHeight="1" thickBot="1" x14ac:dyDescent="0.35">
      <c r="A124" s="73"/>
      <c r="B124" s="76"/>
      <c r="C124" s="73"/>
      <c r="D124" s="73"/>
      <c r="E124" s="73"/>
      <c r="F124" s="68"/>
    </row>
    <row r="125" spans="1:6" ht="15" customHeight="1" thickTop="1" x14ac:dyDescent="0.3">
      <c r="A125" s="68" t="s">
        <v>71</v>
      </c>
      <c r="B125" s="68"/>
      <c r="C125" s="68"/>
      <c r="D125" s="68"/>
      <c r="E125" s="68"/>
      <c r="F125" s="68"/>
    </row>
    <row r="126" spans="1:6" ht="15" customHeight="1" x14ac:dyDescent="0.3">
      <c r="A126" s="68"/>
      <c r="B126" s="68"/>
      <c r="C126" s="68"/>
      <c r="D126" s="68"/>
      <c r="E126" s="68"/>
      <c r="F126" s="68"/>
    </row>
    <row r="127" spans="1:6" ht="15" customHeight="1" x14ac:dyDescent="0.3">
      <c r="A127" s="68"/>
      <c r="B127" s="68"/>
      <c r="C127" s="68"/>
      <c r="D127" s="68"/>
      <c r="E127" s="68"/>
      <c r="F127" s="68"/>
    </row>
    <row r="128" spans="1:6" ht="15" customHeight="1" x14ac:dyDescent="0.3">
      <c r="A128" s="68" t="s">
        <v>71</v>
      </c>
      <c r="B128" s="68"/>
      <c r="C128" s="68"/>
      <c r="D128" s="68"/>
      <c r="E128" s="68"/>
      <c r="F128" s="68"/>
    </row>
    <row r="129" spans="1:6" ht="15" customHeight="1" x14ac:dyDescent="0.3">
      <c r="A129" s="68"/>
      <c r="B129" s="68"/>
      <c r="C129" s="68"/>
      <c r="D129" s="68"/>
      <c r="E129" s="68"/>
      <c r="F129" s="68"/>
    </row>
    <row r="130" spans="1:6" ht="33" customHeight="1" x14ac:dyDescent="0.3">
      <c r="A130" s="68"/>
      <c r="B130" s="68"/>
      <c r="C130" s="68"/>
      <c r="D130" s="68"/>
      <c r="E130" s="68"/>
      <c r="F130" s="68"/>
    </row>
    <row r="131" spans="1:6" ht="15" customHeight="1" x14ac:dyDescent="0.3">
      <c r="A131" s="68"/>
      <c r="B131" s="68"/>
      <c r="C131" s="68"/>
      <c r="D131" s="68"/>
      <c r="E131" s="68"/>
      <c r="F131" s="68"/>
    </row>
    <row r="132" spans="1:6" ht="15" customHeight="1" x14ac:dyDescent="0.3">
      <c r="A132" s="231" t="s">
        <v>152</v>
      </c>
      <c r="B132" s="68"/>
      <c r="C132" s="68"/>
      <c r="D132" s="68"/>
      <c r="E132" s="68"/>
      <c r="F132" s="68"/>
    </row>
    <row r="133" spans="1:6" ht="15" customHeight="1" x14ac:dyDescent="0.3">
      <c r="A133" s="255" t="s">
        <v>143</v>
      </c>
      <c r="B133" s="256"/>
      <c r="C133" s="68"/>
      <c r="D133" s="68"/>
      <c r="E133" s="68"/>
      <c r="F133" s="68"/>
    </row>
    <row r="134" spans="1:6" ht="15" customHeight="1" x14ac:dyDescent="0.3">
      <c r="A134" s="235" t="s">
        <v>168</v>
      </c>
      <c r="B134" s="247">
        <f>+'I T'!E76</f>
        <v>0</v>
      </c>
      <c r="C134" s="178"/>
      <c r="D134" s="68"/>
      <c r="E134" s="68"/>
      <c r="F134" s="68"/>
    </row>
    <row r="135" spans="1:6" ht="15" customHeight="1" x14ac:dyDescent="0.3">
      <c r="A135" s="235" t="s">
        <v>169</v>
      </c>
      <c r="B135" s="247">
        <f>+'I T'!E91</f>
        <v>0</v>
      </c>
      <c r="C135" s="178"/>
      <c r="D135" s="68"/>
      <c r="E135" s="68"/>
      <c r="F135" s="68"/>
    </row>
    <row r="136" spans="1:6" ht="15" customHeight="1" x14ac:dyDescent="0.3">
      <c r="A136" s="235" t="s">
        <v>170</v>
      </c>
      <c r="B136" s="247">
        <f>+'I T'!E108</f>
        <v>0</v>
      </c>
      <c r="C136" s="68"/>
      <c r="D136" s="68"/>
      <c r="E136" s="68"/>
      <c r="F136" s="68"/>
    </row>
    <row r="137" spans="1:6" ht="15" customHeight="1" x14ac:dyDescent="0.3">
      <c r="A137" s="235" t="s">
        <v>171</v>
      </c>
      <c r="B137" s="247">
        <f>+'I T'!E123</f>
        <v>0</v>
      </c>
      <c r="C137" s="68"/>
      <c r="D137" s="68"/>
      <c r="E137" s="68"/>
      <c r="F137" s="68"/>
    </row>
    <row r="138" spans="1:6" ht="15" customHeight="1" x14ac:dyDescent="0.3">
      <c r="A138" s="235" t="s">
        <v>172</v>
      </c>
      <c r="B138" s="247">
        <v>0</v>
      </c>
      <c r="C138" s="68"/>
      <c r="D138" s="68"/>
      <c r="E138" s="68"/>
      <c r="F138" s="68"/>
    </row>
    <row r="139" spans="1:6" ht="15" customHeight="1" x14ac:dyDescent="0.3">
      <c r="A139" s="175" t="s">
        <v>94</v>
      </c>
      <c r="B139" s="200">
        <f>SUM(B134:B138)</f>
        <v>0</v>
      </c>
      <c r="C139" s="68"/>
      <c r="D139" s="68"/>
      <c r="E139" s="68"/>
      <c r="F139" s="68"/>
    </row>
    <row r="140" spans="1:6" ht="15" customHeight="1" x14ac:dyDescent="0.3">
      <c r="A140" s="68"/>
      <c r="B140" s="68"/>
      <c r="C140" s="68"/>
      <c r="D140" s="68"/>
      <c r="E140" s="68"/>
      <c r="F140" s="68"/>
    </row>
    <row r="141" spans="1:6" ht="15" customHeight="1" x14ac:dyDescent="0.3">
      <c r="B141" s="145"/>
    </row>
    <row r="142" spans="1:6" s="179" customFormat="1" ht="15" customHeight="1" x14ac:dyDescent="0.3"/>
    <row r="144" spans="1:6" ht="15" customHeight="1" x14ac:dyDescent="0.3">
      <c r="B144" s="231" t="s">
        <v>153</v>
      </c>
    </row>
    <row r="145" spans="1:5" ht="15" customHeight="1" x14ac:dyDescent="0.3">
      <c r="A145" s="172" t="s">
        <v>107</v>
      </c>
      <c r="B145" s="172" t="s">
        <v>117</v>
      </c>
      <c r="C145" s="172" t="s">
        <v>118</v>
      </c>
      <c r="D145" s="172" t="s">
        <v>119</v>
      </c>
      <c r="E145" s="172" t="s">
        <v>120</v>
      </c>
    </row>
    <row r="146" spans="1:5" ht="15" customHeight="1" x14ac:dyDescent="0.3">
      <c r="A146" s="237" t="s">
        <v>108</v>
      </c>
      <c r="B146" s="238">
        <v>350960088</v>
      </c>
      <c r="C146" s="238">
        <v>325469088</v>
      </c>
      <c r="D146" s="238">
        <v>321186600</v>
      </c>
      <c r="E146" s="238">
        <f>+B146+C146+D146</f>
        <v>997615776</v>
      </c>
    </row>
    <row r="147" spans="1:5" ht="15" customHeight="1" x14ac:dyDescent="0.3">
      <c r="A147" s="237" t="s">
        <v>109</v>
      </c>
      <c r="B147" s="238">
        <v>102290034</v>
      </c>
      <c r="C147" s="238">
        <v>114280971</v>
      </c>
      <c r="D147" s="238">
        <v>108489430</v>
      </c>
      <c r="E147" s="238">
        <f t="shared" ref="E147:E149" si="12">+B147+C147+D147</f>
        <v>325060435</v>
      </c>
    </row>
    <row r="148" spans="1:5" ht="15" customHeight="1" x14ac:dyDescent="0.3">
      <c r="A148" s="239" t="s">
        <v>106</v>
      </c>
      <c r="B148" s="240">
        <v>550448626.20000005</v>
      </c>
      <c r="C148" s="240">
        <v>568422528.20000005</v>
      </c>
      <c r="D148" s="240">
        <v>579645110.20000005</v>
      </c>
      <c r="E148" s="238">
        <f t="shared" si="12"/>
        <v>1698516264.6000001</v>
      </c>
    </row>
    <row r="149" spans="1:5" ht="15" customHeight="1" x14ac:dyDescent="0.3">
      <c r="A149" s="237" t="s">
        <v>80</v>
      </c>
      <c r="B149" s="181">
        <v>418308000</v>
      </c>
      <c r="C149" s="39">
        <v>420504000</v>
      </c>
      <c r="D149" s="39">
        <v>437754000</v>
      </c>
      <c r="E149" s="238">
        <f t="shared" si="12"/>
        <v>1276566000</v>
      </c>
    </row>
    <row r="150" spans="1:5" ht="15" customHeight="1" x14ac:dyDescent="0.3">
      <c r="A150" s="237"/>
      <c r="B150" s="238"/>
      <c r="C150" s="238"/>
      <c r="D150" s="238"/>
      <c r="E150" s="238"/>
    </row>
    <row r="151" spans="1:5" ht="15" customHeight="1" thickBot="1" x14ac:dyDescent="0.35">
      <c r="A151" s="241"/>
      <c r="B151" s="242"/>
      <c r="C151" s="242"/>
      <c r="D151" s="242"/>
      <c r="E151" s="242"/>
    </row>
    <row r="152" spans="1:5" ht="15" customHeight="1" thickBot="1" x14ac:dyDescent="0.35">
      <c r="A152" s="173"/>
      <c r="B152" s="174">
        <f>SUM(B146:B151)</f>
        <v>1422006748.2</v>
      </c>
      <c r="C152" s="174">
        <f t="shared" ref="C152:E152" si="13">SUM(C146:C151)</f>
        <v>1428676587.2</v>
      </c>
      <c r="D152" s="174">
        <f t="shared" si="13"/>
        <v>1447075140.2</v>
      </c>
      <c r="E152" s="174">
        <f t="shared" si="13"/>
        <v>4297758475.6000004</v>
      </c>
    </row>
    <row r="155" spans="1:5" ht="15" customHeight="1" x14ac:dyDescent="0.3">
      <c r="A155" s="172" t="s">
        <v>107</v>
      </c>
      <c r="B155" s="177" t="s">
        <v>114</v>
      </c>
    </row>
    <row r="156" spans="1:5" ht="15" customHeight="1" x14ac:dyDescent="0.3">
      <c r="A156" s="237" t="s">
        <v>108</v>
      </c>
      <c r="B156" s="237">
        <v>1870</v>
      </c>
    </row>
    <row r="157" spans="1:5" ht="15" customHeight="1" x14ac:dyDescent="0.3">
      <c r="A157" s="237" t="s">
        <v>109</v>
      </c>
      <c r="B157" s="237">
        <v>1354</v>
      </c>
      <c r="E157" s="145"/>
    </row>
    <row r="158" spans="1:5" ht="15" customHeight="1" x14ac:dyDescent="0.3">
      <c r="A158" s="239" t="s">
        <v>106</v>
      </c>
      <c r="B158" s="239">
        <v>13573</v>
      </c>
    </row>
    <row r="159" spans="1:5" ht="15" customHeight="1" x14ac:dyDescent="0.3">
      <c r="A159" s="237" t="s">
        <v>80</v>
      </c>
      <c r="B159" s="237">
        <f>494+209</f>
        <v>703</v>
      </c>
    </row>
    <row r="160" spans="1:5" ht="15" customHeight="1" x14ac:dyDescent="0.3">
      <c r="A160" s="237"/>
      <c r="B160" s="237"/>
    </row>
    <row r="161" spans="1:8" ht="15" customHeight="1" thickBot="1" x14ac:dyDescent="0.35">
      <c r="A161" s="241"/>
      <c r="B161" s="241"/>
    </row>
    <row r="162" spans="1:8" ht="15" customHeight="1" thickBot="1" x14ac:dyDescent="0.35">
      <c r="A162" s="173" t="s">
        <v>154</v>
      </c>
      <c r="B162" s="173">
        <f>SUM(B156:B161)</f>
        <v>17500</v>
      </c>
    </row>
    <row r="163" spans="1:8" ht="15" customHeight="1" x14ac:dyDescent="0.3">
      <c r="H163" s="180"/>
    </row>
  </sheetData>
  <mergeCells count="27">
    <mergeCell ref="A114:E114"/>
    <mergeCell ref="A115:E115"/>
    <mergeCell ref="A133:B133"/>
    <mergeCell ref="A82:E82"/>
    <mergeCell ref="A83:E83"/>
    <mergeCell ref="A98:E98"/>
    <mergeCell ref="A99:E99"/>
    <mergeCell ref="A100:E100"/>
    <mergeCell ref="A113:E113"/>
    <mergeCell ref="A81:E81"/>
    <mergeCell ref="A19:A21"/>
    <mergeCell ref="A22:A24"/>
    <mergeCell ref="A30:F30"/>
    <mergeCell ref="A31:F31"/>
    <mergeCell ref="A32:F32"/>
    <mergeCell ref="A51:E51"/>
    <mergeCell ref="A52:E52"/>
    <mergeCell ref="A53:E53"/>
    <mergeCell ref="A66:E66"/>
    <mergeCell ref="A67:E67"/>
    <mergeCell ref="A68:E68"/>
    <mergeCell ref="A16:A18"/>
    <mergeCell ref="A1:F1"/>
    <mergeCell ref="A7:F7"/>
    <mergeCell ref="A8:F8"/>
    <mergeCell ref="A9:F9"/>
    <mergeCell ref="A13:A15"/>
  </mergeCells>
  <phoneticPr fontId="15" type="noConversion"/>
  <printOptions horizontalCentered="1" verticalCentered="1"/>
  <pageMargins left="0.70866141732283472" right="1.18" top="0.3" bottom="0.2" header="0.31496062992125984" footer="0.31496062992125984"/>
  <pageSetup scale="4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3"/>
  <sheetViews>
    <sheetView zoomScale="80" zoomScaleNormal="80" workbookViewId="0">
      <selection sqref="A1:F1"/>
    </sheetView>
  </sheetViews>
  <sheetFormatPr baseColWidth="10" defaultColWidth="11.5546875" defaultRowHeight="15" customHeight="1" x14ac:dyDescent="0.3"/>
  <cols>
    <col min="1" max="1" width="72.44140625" style="1" customWidth="1"/>
    <col min="2" max="2" width="27.5546875" style="1" customWidth="1"/>
    <col min="3" max="3" width="18.21875" style="1" bestFit="1" customWidth="1"/>
    <col min="4" max="4" width="21.77734375" style="1" customWidth="1"/>
    <col min="5" max="5" width="22.77734375" style="1" customWidth="1"/>
    <col min="6" max="6" width="16.21875" style="1" bestFit="1" customWidth="1"/>
    <col min="7" max="7" width="15.44140625" style="1" customWidth="1"/>
    <col min="8" max="8" width="27.21875" style="1" bestFit="1" customWidth="1"/>
    <col min="9" max="9" width="13.44140625" style="1" bestFit="1" customWidth="1"/>
    <col min="10" max="10" width="14.77734375" style="1" bestFit="1" customWidth="1"/>
    <col min="11" max="16384" width="11.5546875" style="1"/>
  </cols>
  <sheetData>
    <row r="1" spans="1:8" ht="15" customHeight="1" x14ac:dyDescent="0.3">
      <c r="A1" s="260" t="s">
        <v>20</v>
      </c>
      <c r="B1" s="260"/>
      <c r="C1" s="260"/>
      <c r="D1" s="260"/>
      <c r="E1" s="260"/>
      <c r="F1" s="260"/>
    </row>
    <row r="2" spans="1:8" ht="14.4" x14ac:dyDescent="0.3">
      <c r="A2" s="3" t="s">
        <v>0</v>
      </c>
      <c r="B2" s="4" t="s">
        <v>22</v>
      </c>
      <c r="C2" s="5"/>
      <c r="D2" s="5"/>
      <c r="E2" s="5"/>
      <c r="F2" s="5"/>
    </row>
    <row r="3" spans="1:8" ht="15" customHeight="1" x14ac:dyDescent="0.3">
      <c r="A3" s="3" t="s">
        <v>1</v>
      </c>
      <c r="B3" s="4" t="s">
        <v>21</v>
      </c>
      <c r="C3" s="5"/>
      <c r="D3" s="5"/>
      <c r="E3" s="5"/>
      <c r="F3" s="5"/>
    </row>
    <row r="4" spans="1:8" ht="15" customHeight="1" x14ac:dyDescent="0.3">
      <c r="A4" s="3" t="s">
        <v>11</v>
      </c>
      <c r="B4" s="5" t="s">
        <v>166</v>
      </c>
      <c r="C4" s="5"/>
      <c r="D4" s="5"/>
      <c r="E4" s="5"/>
      <c r="F4" s="5"/>
    </row>
    <row r="5" spans="1:8" ht="15" customHeight="1" x14ac:dyDescent="0.3">
      <c r="A5" s="3" t="s">
        <v>47</v>
      </c>
      <c r="B5" s="6" t="s">
        <v>156</v>
      </c>
      <c r="C5" s="5"/>
      <c r="D5" s="5"/>
      <c r="E5" s="5"/>
      <c r="F5" s="5"/>
    </row>
    <row r="7" spans="1:8" ht="15" customHeight="1" x14ac:dyDescent="0.3">
      <c r="A7" s="260" t="s">
        <v>9</v>
      </c>
      <c r="B7" s="260"/>
      <c r="C7" s="260"/>
      <c r="D7" s="260"/>
      <c r="E7" s="260"/>
      <c r="F7" s="260"/>
    </row>
    <row r="8" spans="1:8" ht="15" customHeight="1" x14ac:dyDescent="0.3">
      <c r="A8" s="260" t="s">
        <v>12</v>
      </c>
      <c r="B8" s="260"/>
      <c r="C8" s="260"/>
      <c r="D8" s="260"/>
      <c r="E8" s="260"/>
      <c r="F8" s="260"/>
    </row>
    <row r="9" spans="1:8" ht="15" customHeight="1" x14ac:dyDescent="0.3">
      <c r="A9" s="257" t="s">
        <v>50</v>
      </c>
      <c r="B9" s="257"/>
      <c r="C9" s="257"/>
      <c r="D9" s="257"/>
      <c r="E9" s="257"/>
      <c r="F9" s="257"/>
    </row>
    <row r="10" spans="1:8" s="8" customFormat="1" ht="15" customHeight="1" x14ac:dyDescent="0.3">
      <c r="A10" s="7"/>
      <c r="B10" s="7"/>
      <c r="C10" s="7"/>
      <c r="D10" s="7"/>
      <c r="E10" s="7"/>
      <c r="F10" s="7"/>
    </row>
    <row r="11" spans="1:8" ht="15" customHeight="1" thickBot="1" x14ac:dyDescent="0.35">
      <c r="A11" s="9" t="s">
        <v>64</v>
      </c>
      <c r="B11" s="9"/>
      <c r="C11" s="9" t="s">
        <v>33</v>
      </c>
      <c r="D11" s="9" t="s">
        <v>34</v>
      </c>
      <c r="E11" s="9" t="s">
        <v>128</v>
      </c>
      <c r="F11" s="9" t="s">
        <v>123</v>
      </c>
    </row>
    <row r="13" spans="1:8" ht="14.4" x14ac:dyDescent="0.3">
      <c r="A13" s="261" t="s">
        <v>84</v>
      </c>
      <c r="B13" s="84" t="s">
        <v>58</v>
      </c>
      <c r="C13" s="85">
        <f>+('II T'!E13-C15)+0</f>
        <v>10</v>
      </c>
      <c r="D13" s="85">
        <f>+(C13-D15)+49</f>
        <v>59</v>
      </c>
      <c r="E13" s="85">
        <f>+(D13-E15)+65</f>
        <v>89</v>
      </c>
      <c r="F13" s="86">
        <f>E13</f>
        <v>89</v>
      </c>
    </row>
    <row r="14" spans="1:8" ht="15" customHeight="1" x14ac:dyDescent="0.3">
      <c r="A14" s="262"/>
      <c r="B14" s="87" t="s">
        <v>59</v>
      </c>
      <c r="C14" s="88">
        <v>1609</v>
      </c>
      <c r="D14" s="88">
        <v>1563</v>
      </c>
      <c r="E14" s="88">
        <v>1548</v>
      </c>
      <c r="F14" s="89">
        <f t="shared" ref="F14:F24" si="0">AVERAGE(C14:E14)</f>
        <v>1573.3333333333333</v>
      </c>
      <c r="G14" s="1">
        <f>+F14+F15+F17+F18+F21+F20+F23+F24</f>
        <v>16537</v>
      </c>
    </row>
    <row r="15" spans="1:8" ht="15" customHeight="1" x14ac:dyDescent="0.3">
      <c r="A15" s="263"/>
      <c r="B15" s="90" t="s">
        <v>60</v>
      </c>
      <c r="C15" s="91">
        <v>56</v>
      </c>
      <c r="D15" s="91">
        <v>0</v>
      </c>
      <c r="E15" s="91">
        <v>35</v>
      </c>
      <c r="F15" s="92">
        <f t="shared" si="0"/>
        <v>30.333333333333332</v>
      </c>
    </row>
    <row r="16" spans="1:8" ht="14.4" x14ac:dyDescent="0.3">
      <c r="A16" s="261" t="s">
        <v>24</v>
      </c>
      <c r="B16" s="84" t="s">
        <v>58</v>
      </c>
      <c r="C16" s="85">
        <f>+('II T'!E16-C18)+97</f>
        <v>173</v>
      </c>
      <c r="D16" s="85">
        <f>+(C16-D18)+81</f>
        <v>117</v>
      </c>
      <c r="E16" s="85">
        <f>+(D16-E18)+0</f>
        <v>36</v>
      </c>
      <c r="F16" s="86">
        <f>E16</f>
        <v>36</v>
      </c>
      <c r="H16" s="1">
        <v>97</v>
      </c>
    </row>
    <row r="17" spans="1:8" ht="15" customHeight="1" x14ac:dyDescent="0.3">
      <c r="A17" s="262"/>
      <c r="B17" s="87" t="s">
        <v>59</v>
      </c>
      <c r="C17" s="88">
        <v>1252</v>
      </c>
      <c r="D17" s="88">
        <v>1273</v>
      </c>
      <c r="E17" s="88">
        <v>1347</v>
      </c>
      <c r="F17" s="89">
        <f t="shared" si="0"/>
        <v>1290.6666666666667</v>
      </c>
      <c r="H17" s="1">
        <v>102</v>
      </c>
    </row>
    <row r="18" spans="1:8" ht="15" customHeight="1" x14ac:dyDescent="0.3">
      <c r="A18" s="263"/>
      <c r="B18" s="90" t="s">
        <v>60</v>
      </c>
      <c r="C18" s="91">
        <v>97</v>
      </c>
      <c r="D18" s="91">
        <v>137</v>
      </c>
      <c r="E18" s="91">
        <v>81</v>
      </c>
      <c r="F18" s="92">
        <f t="shared" si="0"/>
        <v>105</v>
      </c>
      <c r="H18" s="1">
        <f>+H17-H16</f>
        <v>5</v>
      </c>
    </row>
    <row r="19" spans="1:8" ht="14.4" x14ac:dyDescent="0.3">
      <c r="A19" s="261" t="s">
        <v>96</v>
      </c>
      <c r="B19" s="84" t="s">
        <v>58</v>
      </c>
      <c r="C19" s="85">
        <f>+('II T'!E19-C21)+0</f>
        <v>0</v>
      </c>
      <c r="D19" s="85">
        <f>+(C19-D21)+382</f>
        <v>382</v>
      </c>
      <c r="E19" s="85">
        <f>+(D19-E21)+223</f>
        <v>322</v>
      </c>
      <c r="F19" s="86">
        <f>E19</f>
        <v>322</v>
      </c>
    </row>
    <row r="20" spans="1:8" ht="15" customHeight="1" x14ac:dyDescent="0.3">
      <c r="A20" s="262"/>
      <c r="B20" s="87" t="s">
        <v>59</v>
      </c>
      <c r="C20" s="88">
        <v>11146</v>
      </c>
      <c r="D20" s="88">
        <v>10666</v>
      </c>
      <c r="E20" s="88">
        <v>10949</v>
      </c>
      <c r="F20" s="89">
        <f t="shared" si="0"/>
        <v>10920.333333333334</v>
      </c>
    </row>
    <row r="21" spans="1:8" ht="15" customHeight="1" x14ac:dyDescent="0.3">
      <c r="A21" s="263"/>
      <c r="B21" s="90" t="s">
        <v>60</v>
      </c>
      <c r="C21" s="91">
        <v>5004</v>
      </c>
      <c r="D21" s="91">
        <v>0</v>
      </c>
      <c r="E21" s="91">
        <v>283</v>
      </c>
      <c r="F21" s="92">
        <f t="shared" si="0"/>
        <v>1762.3333333333333</v>
      </c>
    </row>
    <row r="22" spans="1:8" ht="15" customHeight="1" x14ac:dyDescent="0.3">
      <c r="A22" s="261" t="s">
        <v>115</v>
      </c>
      <c r="B22" s="215" t="s">
        <v>58</v>
      </c>
      <c r="C22" s="85">
        <f>+('II T'!E22-C24)+0</f>
        <v>0</v>
      </c>
      <c r="D22" s="85">
        <f>+(C22-D24)+13</f>
        <v>13</v>
      </c>
      <c r="E22" s="85">
        <f>+(D22-E24)+0</f>
        <v>0</v>
      </c>
      <c r="F22" s="86">
        <f>E22</f>
        <v>0</v>
      </c>
    </row>
    <row r="23" spans="1:8" ht="15" customHeight="1" x14ac:dyDescent="0.3">
      <c r="A23" s="262"/>
      <c r="B23" s="216" t="s">
        <v>59</v>
      </c>
      <c r="C23" s="88">
        <v>828</v>
      </c>
      <c r="D23" s="88">
        <v>805</v>
      </c>
      <c r="E23" s="88">
        <v>919</v>
      </c>
      <c r="F23" s="94">
        <f t="shared" si="0"/>
        <v>850.66666666666663</v>
      </c>
    </row>
    <row r="24" spans="1:8" ht="15" customHeight="1" x14ac:dyDescent="0.3">
      <c r="A24" s="263"/>
      <c r="B24" s="217" t="s">
        <v>60</v>
      </c>
      <c r="C24" s="91">
        <v>0</v>
      </c>
      <c r="D24" s="91">
        <v>0</v>
      </c>
      <c r="E24" s="91">
        <v>13</v>
      </c>
      <c r="F24" s="95">
        <f t="shared" si="0"/>
        <v>4.333333333333333</v>
      </c>
    </row>
    <row r="25" spans="1:8" ht="15" customHeight="1" thickBot="1" x14ac:dyDescent="0.35">
      <c r="A25" s="10" t="s">
        <v>13</v>
      </c>
      <c r="B25" s="10" t="s">
        <v>51</v>
      </c>
      <c r="C25" s="48">
        <f>+C14+C15+C17+C18+C20+C21+C23+C24</f>
        <v>19992</v>
      </c>
      <c r="D25" s="48">
        <f>+D14+D15+D17+D18+D20+D21+D23+D24</f>
        <v>14444</v>
      </c>
      <c r="E25" s="48">
        <f>+E14+E15+E17+E18+E20+E21+E23+E24</f>
        <v>15175</v>
      </c>
      <c r="F25" s="50">
        <f>AVERAGE(C25:E25)</f>
        <v>16537</v>
      </c>
    </row>
    <row r="26" spans="1:8" ht="15" customHeight="1" thickTop="1" x14ac:dyDescent="0.3">
      <c r="A26" s="41"/>
      <c r="B26" s="8"/>
      <c r="C26" s="8"/>
      <c r="D26" s="8"/>
      <c r="E26" s="8"/>
      <c r="F26" s="8"/>
    </row>
    <row r="27" spans="1:8" ht="15" customHeight="1" x14ac:dyDescent="0.3">
      <c r="A27" s="1" t="s">
        <v>71</v>
      </c>
    </row>
    <row r="30" spans="1:8" ht="15" customHeight="1" x14ac:dyDescent="0.3">
      <c r="A30" s="257" t="s">
        <v>14</v>
      </c>
      <c r="B30" s="257"/>
      <c r="C30" s="257"/>
      <c r="D30" s="257"/>
      <c r="E30" s="257"/>
      <c r="F30" s="257"/>
    </row>
    <row r="31" spans="1:8" ht="15" customHeight="1" x14ac:dyDescent="0.3">
      <c r="A31" s="260" t="s">
        <v>31</v>
      </c>
      <c r="B31" s="260"/>
      <c r="C31" s="260"/>
      <c r="D31" s="260"/>
      <c r="E31" s="260"/>
      <c r="F31" s="260"/>
    </row>
    <row r="32" spans="1:8" ht="15" customHeight="1" x14ac:dyDescent="0.3">
      <c r="A32" s="257" t="s">
        <v>52</v>
      </c>
      <c r="B32" s="257"/>
      <c r="C32" s="257"/>
      <c r="D32" s="257"/>
      <c r="E32" s="257"/>
      <c r="F32" s="257"/>
    </row>
    <row r="33" spans="1:6" s="8" customFormat="1" ht="15" customHeight="1" x14ac:dyDescent="0.3">
      <c r="A33" s="214"/>
      <c r="B33" s="214"/>
      <c r="C33" s="214"/>
      <c r="D33" s="214"/>
      <c r="E33" s="214"/>
      <c r="F33" s="214"/>
    </row>
    <row r="34" spans="1:6" ht="15" customHeight="1" thickBot="1" x14ac:dyDescent="0.35">
      <c r="A34" s="11" t="s">
        <v>64</v>
      </c>
      <c r="B34" s="11"/>
      <c r="C34" s="9" t="s">
        <v>33</v>
      </c>
      <c r="D34" s="9" t="s">
        <v>34</v>
      </c>
      <c r="E34" s="9" t="s">
        <v>128</v>
      </c>
      <c r="F34" s="11" t="s">
        <v>133</v>
      </c>
    </row>
    <row r="35" spans="1:6" ht="15" customHeight="1" x14ac:dyDescent="0.3">
      <c r="C35" s="2"/>
      <c r="D35" s="2"/>
      <c r="E35" s="2"/>
      <c r="F35" s="2"/>
    </row>
    <row r="36" spans="1:6" ht="15" customHeight="1" x14ac:dyDescent="0.3">
      <c r="A36" s="147" t="s">
        <v>122</v>
      </c>
      <c r="B36" s="148" t="s">
        <v>56</v>
      </c>
      <c r="C36" s="149">
        <v>328120152</v>
      </c>
      <c r="D36" s="149">
        <v>317108040</v>
      </c>
      <c r="E36" s="149">
        <v>314049120</v>
      </c>
      <c r="F36" s="150">
        <f t="shared" ref="F36:F43" si="1">SUM(C36:E36)</f>
        <v>959277312</v>
      </c>
    </row>
    <row r="37" spans="1:6" ht="15" customHeight="1" x14ac:dyDescent="0.3">
      <c r="A37" s="151"/>
      <c r="B37" s="152" t="s">
        <v>55</v>
      </c>
      <c r="C37" s="153">
        <v>11419968</v>
      </c>
      <c r="D37" s="153">
        <v>0</v>
      </c>
      <c r="E37" s="153">
        <v>7137480</v>
      </c>
      <c r="F37" s="154">
        <f t="shared" si="1"/>
        <v>18557448</v>
      </c>
    </row>
    <row r="38" spans="1:6" ht="15" customHeight="1" x14ac:dyDescent="0.3">
      <c r="A38" s="96" t="s">
        <v>24</v>
      </c>
      <c r="B38" s="97" t="s">
        <v>56</v>
      </c>
      <c r="C38" s="98">
        <v>102126892</v>
      </c>
      <c r="D38" s="98">
        <v>103839883</v>
      </c>
      <c r="E38" s="98">
        <v>109876137</v>
      </c>
      <c r="F38" s="93">
        <f t="shared" si="1"/>
        <v>315842912</v>
      </c>
    </row>
    <row r="39" spans="1:6" ht="15" customHeight="1" x14ac:dyDescent="0.3">
      <c r="A39" s="99"/>
      <c r="B39" s="100" t="s">
        <v>55</v>
      </c>
      <c r="C39" s="101">
        <v>7912387</v>
      </c>
      <c r="D39" s="101">
        <v>11175227</v>
      </c>
      <c r="E39" s="101">
        <v>6607251</v>
      </c>
      <c r="F39" s="95">
        <f t="shared" si="1"/>
        <v>25694865</v>
      </c>
    </row>
    <row r="40" spans="1:6" ht="15" customHeight="1" x14ac:dyDescent="0.3">
      <c r="A40" s="155" t="s">
        <v>96</v>
      </c>
      <c r="B40" s="156" t="s">
        <v>56</v>
      </c>
      <c r="C40" s="213">
        <v>630336173.20000005</v>
      </c>
      <c r="D40" s="157">
        <v>608705877.20000005</v>
      </c>
      <c r="E40" s="157">
        <v>618435029.20000005</v>
      </c>
      <c r="F40" s="196">
        <f t="shared" si="1"/>
        <v>1857477079.6000001</v>
      </c>
    </row>
    <row r="41" spans="1:6" ht="15" customHeight="1" x14ac:dyDescent="0.3">
      <c r="A41" s="159"/>
      <c r="B41" s="160" t="s">
        <v>55</v>
      </c>
      <c r="C41" s="161">
        <v>251384534</v>
      </c>
      <c r="D41" s="161"/>
      <c r="E41" s="161">
        <v>14541527</v>
      </c>
      <c r="F41" s="197">
        <f t="shared" si="1"/>
        <v>265926061</v>
      </c>
    </row>
    <row r="42" spans="1:6" ht="15" customHeight="1" x14ac:dyDescent="0.3">
      <c r="A42" s="102" t="s">
        <v>95</v>
      </c>
      <c r="B42" s="224" t="s">
        <v>56</v>
      </c>
      <c r="C42" s="98">
        <v>431150000</v>
      </c>
      <c r="D42" s="98">
        <v>409634000</v>
      </c>
      <c r="E42" s="98">
        <v>442852000</v>
      </c>
      <c r="F42" s="93">
        <f t="shared" si="1"/>
        <v>1283636000</v>
      </c>
    </row>
    <row r="43" spans="1:6" ht="15" customHeight="1" x14ac:dyDescent="0.3">
      <c r="A43" s="103"/>
      <c r="B43" s="225" t="s">
        <v>55</v>
      </c>
      <c r="C43" s="101">
        <v>0</v>
      </c>
      <c r="D43" s="101">
        <v>0</v>
      </c>
      <c r="E43" s="101">
        <v>5850000</v>
      </c>
      <c r="F43" s="95">
        <f t="shared" si="1"/>
        <v>5850000</v>
      </c>
    </row>
    <row r="44" spans="1:6" ht="15" customHeight="1" x14ac:dyDescent="0.3">
      <c r="A44" s="59"/>
      <c r="B44" s="226"/>
      <c r="C44" s="171"/>
      <c r="D44" s="171"/>
      <c r="E44" s="171"/>
      <c r="F44" s="171"/>
    </row>
    <row r="45" spans="1:6" ht="15" customHeight="1" thickBot="1" x14ac:dyDescent="0.35">
      <c r="A45" s="10" t="s">
        <v>13</v>
      </c>
      <c r="B45" s="10"/>
      <c r="C45" s="49">
        <f>SUM(C36:C43)</f>
        <v>1762450106.2</v>
      </c>
      <c r="D45" s="49">
        <f>SUM(D36:D43)</f>
        <v>1450463027.2</v>
      </c>
      <c r="E45" s="49">
        <f>SUM(E36:E43)</f>
        <v>1519348544.2</v>
      </c>
      <c r="F45" s="210">
        <f>SUM(F36:F43)</f>
        <v>4732261677.6000004</v>
      </c>
    </row>
    <row r="46" spans="1:6" ht="15" customHeight="1" thickTop="1" x14ac:dyDescent="0.3">
      <c r="A46" s="8" t="s">
        <v>42</v>
      </c>
    </row>
    <row r="47" spans="1:6" ht="15" customHeight="1" x14ac:dyDescent="0.3">
      <c r="A47" s="1" t="s">
        <v>72</v>
      </c>
    </row>
    <row r="48" spans="1:6" ht="15" customHeight="1" x14ac:dyDescent="0.3">
      <c r="A48" s="227"/>
    </row>
    <row r="49" spans="1:5" ht="15" customHeight="1" x14ac:dyDescent="0.3">
      <c r="A49" s="227"/>
    </row>
    <row r="50" spans="1:5" ht="15" customHeight="1" x14ac:dyDescent="0.3">
      <c r="A50" s="227"/>
    </row>
    <row r="51" spans="1:5" ht="15" customHeight="1" x14ac:dyDescent="0.3">
      <c r="A51" s="260" t="s">
        <v>15</v>
      </c>
      <c r="B51" s="260"/>
      <c r="C51" s="260"/>
      <c r="D51" s="260"/>
      <c r="E51" s="260"/>
    </row>
    <row r="52" spans="1:5" ht="15" customHeight="1" x14ac:dyDescent="0.3">
      <c r="A52" s="260" t="s">
        <v>32</v>
      </c>
      <c r="B52" s="260"/>
      <c r="C52" s="260"/>
      <c r="D52" s="260"/>
      <c r="E52" s="260"/>
    </row>
    <row r="53" spans="1:5" ht="15" customHeight="1" x14ac:dyDescent="0.3">
      <c r="A53" s="257" t="s">
        <v>52</v>
      </c>
      <c r="B53" s="257"/>
      <c r="C53" s="257"/>
      <c r="D53" s="257"/>
      <c r="E53" s="257"/>
    </row>
    <row r="54" spans="1:5" ht="15" customHeight="1" x14ac:dyDescent="0.3">
      <c r="A54" s="7"/>
      <c r="B54" s="7"/>
      <c r="C54" s="7"/>
      <c r="D54" s="7"/>
      <c r="E54" s="7"/>
    </row>
    <row r="55" spans="1:5" ht="15" customHeight="1" thickBot="1" x14ac:dyDescent="0.35">
      <c r="A55" s="11" t="s">
        <v>10</v>
      </c>
      <c r="B55" s="9" t="s">
        <v>33</v>
      </c>
      <c r="C55" s="9" t="s">
        <v>34</v>
      </c>
      <c r="D55" s="9" t="s">
        <v>128</v>
      </c>
      <c r="E55" s="11" t="s">
        <v>124</v>
      </c>
    </row>
    <row r="56" spans="1:5" ht="15" customHeight="1" x14ac:dyDescent="0.3">
      <c r="B56" s="47"/>
      <c r="C56" s="47"/>
      <c r="D56" s="47"/>
      <c r="E56" s="47"/>
    </row>
    <row r="57" spans="1:5" ht="15" customHeight="1" x14ac:dyDescent="0.3">
      <c r="A57" s="1" t="s">
        <v>97</v>
      </c>
      <c r="B57" s="46">
        <v>339540120</v>
      </c>
      <c r="C57" s="46">
        <v>317108040</v>
      </c>
      <c r="D57" s="46">
        <v>321186600</v>
      </c>
      <c r="E57" s="46">
        <f t="shared" ref="E57:E60" si="2">SUM(B57:D57)</f>
        <v>977834760</v>
      </c>
    </row>
    <row r="58" spans="1:5" ht="15" customHeight="1" x14ac:dyDescent="0.3">
      <c r="A58" s="1" t="s">
        <v>98</v>
      </c>
      <c r="B58" s="46">
        <v>110039279</v>
      </c>
      <c r="C58" s="46">
        <v>115015110</v>
      </c>
      <c r="D58" s="46">
        <v>116483388</v>
      </c>
      <c r="E58" s="46">
        <f t="shared" si="2"/>
        <v>341537777</v>
      </c>
    </row>
    <row r="59" spans="1:5" ht="15" customHeight="1" x14ac:dyDescent="0.3">
      <c r="A59" s="1" t="s">
        <v>99</v>
      </c>
      <c r="B59" s="198">
        <v>881720707.19999993</v>
      </c>
      <c r="C59" s="198">
        <v>608705877.20000005</v>
      </c>
      <c r="D59" s="198">
        <v>632976556.19999993</v>
      </c>
      <c r="E59" s="198">
        <f t="shared" si="2"/>
        <v>2123403140.5999999</v>
      </c>
    </row>
    <row r="60" spans="1:5" ht="15" customHeight="1" x14ac:dyDescent="0.3">
      <c r="A60" s="1" t="s">
        <v>100</v>
      </c>
      <c r="B60" s="46">
        <v>431150000</v>
      </c>
      <c r="C60" s="46">
        <v>409634000</v>
      </c>
      <c r="D60" s="46">
        <v>448702000</v>
      </c>
      <c r="E60" s="46">
        <f t="shared" si="2"/>
        <v>1289486000</v>
      </c>
    </row>
    <row r="61" spans="1:5" ht="15" customHeight="1" x14ac:dyDescent="0.3">
      <c r="B61" s="47"/>
      <c r="C61" s="47"/>
      <c r="D61" s="47"/>
      <c r="E61" s="47"/>
    </row>
    <row r="62" spans="1:5" ht="15" customHeight="1" thickBot="1" x14ac:dyDescent="0.35">
      <c r="A62" s="10" t="s">
        <v>13</v>
      </c>
      <c r="B62" s="48">
        <f>SUM(B57:B61)</f>
        <v>1762450106.1999998</v>
      </c>
      <c r="C62" s="48">
        <f>SUM(C57:C61)</f>
        <v>1450463027.2</v>
      </c>
      <c r="D62" s="48">
        <f>SUM(D57:D61)</f>
        <v>1519348544.1999998</v>
      </c>
      <c r="E62" s="48">
        <f>SUM(E57:E61)</f>
        <v>4732261677.6000004</v>
      </c>
    </row>
    <row r="63" spans="1:5" ht="15" customHeight="1" thickTop="1" x14ac:dyDescent="0.3">
      <c r="A63" s="1" t="s">
        <v>71</v>
      </c>
    </row>
    <row r="66" spans="1:9" ht="15" customHeight="1" x14ac:dyDescent="0.3">
      <c r="A66" s="258" t="s">
        <v>44</v>
      </c>
      <c r="B66" s="258"/>
      <c r="C66" s="258"/>
      <c r="D66" s="258"/>
      <c r="E66" s="258"/>
      <c r="F66" s="68"/>
    </row>
    <row r="67" spans="1:9" ht="15" customHeight="1" x14ac:dyDescent="0.3">
      <c r="A67" s="258" t="s">
        <v>103</v>
      </c>
      <c r="B67" s="258"/>
      <c r="C67" s="258"/>
      <c r="D67" s="258"/>
      <c r="E67" s="258"/>
      <c r="F67" s="68"/>
    </row>
    <row r="68" spans="1:9" ht="15" customHeight="1" x14ac:dyDescent="0.3">
      <c r="A68" s="259" t="s">
        <v>52</v>
      </c>
      <c r="B68" s="259"/>
      <c r="C68" s="259"/>
      <c r="D68" s="259"/>
      <c r="E68" s="259"/>
      <c r="F68" s="68"/>
    </row>
    <row r="69" spans="1:9" ht="15" customHeight="1" x14ac:dyDescent="0.3">
      <c r="A69" s="69"/>
      <c r="B69" s="69"/>
      <c r="C69" s="69"/>
      <c r="D69" s="69"/>
      <c r="E69" s="69"/>
      <c r="F69" s="68"/>
    </row>
    <row r="70" spans="1:9" ht="15" customHeight="1" thickBot="1" x14ac:dyDescent="0.35">
      <c r="A70" s="70" t="s">
        <v>10</v>
      </c>
      <c r="B70" s="9" t="s">
        <v>33</v>
      </c>
      <c r="C70" s="9" t="s">
        <v>34</v>
      </c>
      <c r="D70" s="9" t="s">
        <v>128</v>
      </c>
      <c r="E70" s="11" t="s">
        <v>124</v>
      </c>
      <c r="F70" s="68"/>
    </row>
    <row r="71" spans="1:9" ht="15" customHeight="1" x14ac:dyDescent="0.3">
      <c r="A71" s="68"/>
      <c r="B71" s="71"/>
      <c r="C71" s="71"/>
      <c r="D71" s="71"/>
      <c r="E71" s="71"/>
      <c r="F71" s="68"/>
    </row>
    <row r="72" spans="1:9" ht="15" customHeight="1" x14ac:dyDescent="0.3">
      <c r="A72" s="68" t="s">
        <v>167</v>
      </c>
      <c r="B72" s="228">
        <f>+$B$134</f>
        <v>0</v>
      </c>
      <c r="C72" s="228">
        <f>B76</f>
        <v>0</v>
      </c>
      <c r="D72" s="228">
        <f>C76</f>
        <v>0</v>
      </c>
      <c r="E72" s="228">
        <f>B72</f>
        <v>0</v>
      </c>
      <c r="F72" s="68"/>
    </row>
    <row r="73" spans="1:9" ht="15" customHeight="1" x14ac:dyDescent="0.3">
      <c r="A73" s="68" t="s">
        <v>16</v>
      </c>
      <c r="B73" s="228">
        <f>+B146</f>
        <v>339540120</v>
      </c>
      <c r="C73" s="228">
        <f t="shared" ref="C73:D73" si="3">+C146</f>
        <v>317108040</v>
      </c>
      <c r="D73" s="228">
        <f t="shared" si="3"/>
        <v>321186600</v>
      </c>
      <c r="E73" s="228">
        <f>+SUM(B73:D73)</f>
        <v>977834760</v>
      </c>
      <c r="F73" s="68"/>
      <c r="G73" s="226"/>
      <c r="H73" s="226"/>
      <c r="I73" s="226"/>
    </row>
    <row r="74" spans="1:9" ht="15" customHeight="1" x14ac:dyDescent="0.3">
      <c r="A74" s="68" t="s">
        <v>17</v>
      </c>
      <c r="B74" s="228">
        <f>SUM(B72:B73)</f>
        <v>339540120</v>
      </c>
      <c r="C74" s="228">
        <f t="shared" ref="C74:D74" si="4">SUM(C72:C73)</f>
        <v>317108040</v>
      </c>
      <c r="D74" s="228">
        <f t="shared" si="4"/>
        <v>321186600</v>
      </c>
      <c r="E74" s="228">
        <f>+E72+E73</f>
        <v>977834760</v>
      </c>
      <c r="F74" s="68"/>
    </row>
    <row r="75" spans="1:9" ht="15" customHeight="1" x14ac:dyDescent="0.3">
      <c r="A75" s="68" t="s">
        <v>18</v>
      </c>
      <c r="B75" s="230">
        <f>B57</f>
        <v>339540120</v>
      </c>
      <c r="C75" s="230">
        <f>C57</f>
        <v>317108040</v>
      </c>
      <c r="D75" s="230">
        <f>D57</f>
        <v>321186600</v>
      </c>
      <c r="E75" s="228">
        <f>+SUM(B75:D75)</f>
        <v>977834760</v>
      </c>
      <c r="F75" s="231"/>
    </row>
    <row r="76" spans="1:9" ht="15" customHeight="1" x14ac:dyDescent="0.3">
      <c r="A76" s="72" t="s">
        <v>19</v>
      </c>
      <c r="B76" s="232">
        <f>B74-B75</f>
        <v>0</v>
      </c>
      <c r="C76" s="232">
        <f>C74-C75</f>
        <v>0</v>
      </c>
      <c r="D76" s="232">
        <f>D74-D75</f>
        <v>0</v>
      </c>
      <c r="E76" s="232">
        <f>+E74-E75</f>
        <v>0</v>
      </c>
      <c r="F76" s="68"/>
    </row>
    <row r="77" spans="1:9" ht="15" customHeight="1" thickBot="1" x14ac:dyDescent="0.35">
      <c r="A77" s="73"/>
      <c r="B77" s="74"/>
      <c r="C77" s="74"/>
      <c r="D77" s="74"/>
      <c r="E77" s="74"/>
      <c r="F77" s="68"/>
    </row>
    <row r="78" spans="1:9" ht="15" customHeight="1" thickTop="1" x14ac:dyDescent="0.3">
      <c r="A78" s="68" t="s">
        <v>71</v>
      </c>
      <c r="B78" s="68"/>
      <c r="C78" s="68"/>
      <c r="D78" s="68"/>
      <c r="E78" s="68"/>
      <c r="F78" s="68"/>
    </row>
    <row r="79" spans="1:9" ht="15" customHeight="1" x14ac:dyDescent="0.3">
      <c r="A79" s="233"/>
      <c r="B79" s="68"/>
      <c r="C79" s="68"/>
      <c r="D79" s="68"/>
      <c r="E79" s="68"/>
      <c r="F79" s="68"/>
    </row>
    <row r="80" spans="1:9" ht="15" customHeight="1" x14ac:dyDescent="0.3">
      <c r="A80" s="233"/>
      <c r="B80" s="68"/>
      <c r="C80" s="68"/>
      <c r="D80" s="68"/>
      <c r="E80" s="68"/>
      <c r="F80" s="68"/>
    </row>
    <row r="81" spans="1:6" ht="15" customHeight="1" x14ac:dyDescent="0.3">
      <c r="A81" s="258" t="s">
        <v>45</v>
      </c>
      <c r="B81" s="258"/>
      <c r="C81" s="258"/>
      <c r="D81" s="258"/>
      <c r="E81" s="258"/>
      <c r="F81" s="68"/>
    </row>
    <row r="82" spans="1:6" ht="15" customHeight="1" x14ac:dyDescent="0.3">
      <c r="A82" s="258" t="s">
        <v>101</v>
      </c>
      <c r="B82" s="258"/>
      <c r="C82" s="258"/>
      <c r="D82" s="258"/>
      <c r="E82" s="258"/>
      <c r="F82" s="68"/>
    </row>
    <row r="83" spans="1:6" ht="15" customHeight="1" x14ac:dyDescent="0.3">
      <c r="A83" s="259" t="s">
        <v>52</v>
      </c>
      <c r="B83" s="259"/>
      <c r="C83" s="259"/>
      <c r="D83" s="259"/>
      <c r="E83" s="259"/>
      <c r="F83" s="68"/>
    </row>
    <row r="84" spans="1:6" ht="15" customHeight="1" x14ac:dyDescent="0.3">
      <c r="A84" s="69"/>
      <c r="B84" s="69"/>
      <c r="C84" s="69"/>
      <c r="D84" s="69"/>
      <c r="E84" s="69"/>
      <c r="F84" s="68"/>
    </row>
    <row r="85" spans="1:6" ht="15" customHeight="1" thickBot="1" x14ac:dyDescent="0.35">
      <c r="A85" s="70" t="s">
        <v>10</v>
      </c>
      <c r="B85" s="9" t="s">
        <v>33</v>
      </c>
      <c r="C85" s="9" t="s">
        <v>34</v>
      </c>
      <c r="D85" s="9" t="s">
        <v>128</v>
      </c>
      <c r="E85" s="11" t="s">
        <v>124</v>
      </c>
      <c r="F85" s="68"/>
    </row>
    <row r="86" spans="1:6" ht="15" customHeight="1" x14ac:dyDescent="0.3">
      <c r="A86" s="68"/>
      <c r="B86" s="71"/>
      <c r="C86" s="71"/>
      <c r="D86" s="71"/>
      <c r="E86" s="71"/>
      <c r="F86" s="68"/>
    </row>
    <row r="87" spans="1:6" ht="15" customHeight="1" x14ac:dyDescent="0.3">
      <c r="A87" s="68" t="s">
        <v>167</v>
      </c>
      <c r="B87" s="228">
        <f>+$B$135</f>
        <v>0</v>
      </c>
      <c r="C87" s="228">
        <f>B91</f>
        <v>0</v>
      </c>
      <c r="D87" s="228">
        <f>C91</f>
        <v>0</v>
      </c>
      <c r="E87" s="228">
        <f>B87</f>
        <v>0</v>
      </c>
      <c r="F87" s="68"/>
    </row>
    <row r="88" spans="1:6" ht="15" customHeight="1" x14ac:dyDescent="0.3">
      <c r="A88" s="68" t="s">
        <v>16</v>
      </c>
      <c r="B88" s="228">
        <f>+B147</f>
        <v>110039279</v>
      </c>
      <c r="C88" s="228">
        <f t="shared" ref="C88:D88" si="5">+C147</f>
        <v>115015110</v>
      </c>
      <c r="D88" s="228">
        <f t="shared" si="5"/>
        <v>116483388</v>
      </c>
      <c r="E88" s="228">
        <f>+SUM(B88:D88)</f>
        <v>341537777</v>
      </c>
      <c r="F88" s="68"/>
    </row>
    <row r="89" spans="1:6" ht="15" customHeight="1" x14ac:dyDescent="0.3">
      <c r="A89" s="68" t="s">
        <v>17</v>
      </c>
      <c r="B89" s="228">
        <f>B87+B88</f>
        <v>110039279</v>
      </c>
      <c r="C89" s="228">
        <f t="shared" ref="C89:D89" si="6">C87+C88</f>
        <v>115015110</v>
      </c>
      <c r="D89" s="228">
        <f t="shared" si="6"/>
        <v>116483388</v>
      </c>
      <c r="E89" s="228">
        <f>+E87+E88</f>
        <v>341537777</v>
      </c>
      <c r="F89" s="68"/>
    </row>
    <row r="90" spans="1:6" ht="15" customHeight="1" x14ac:dyDescent="0.3">
      <c r="A90" s="68" t="s">
        <v>18</v>
      </c>
      <c r="B90" s="230">
        <f>+B58</f>
        <v>110039279</v>
      </c>
      <c r="C90" s="230">
        <f>+C58</f>
        <v>115015110</v>
      </c>
      <c r="D90" s="230">
        <f>+D58</f>
        <v>116483388</v>
      </c>
      <c r="E90" s="228">
        <f>+SUM(B90:D90)</f>
        <v>341537777</v>
      </c>
      <c r="F90" s="68"/>
    </row>
    <row r="91" spans="1:6" ht="15" customHeight="1" x14ac:dyDescent="0.3">
      <c r="A91" s="72" t="s">
        <v>19</v>
      </c>
      <c r="B91" s="232">
        <f>B89-B90</f>
        <v>0</v>
      </c>
      <c r="C91" s="232">
        <f>C89-C90</f>
        <v>0</v>
      </c>
      <c r="D91" s="232">
        <f>D89-D90</f>
        <v>0</v>
      </c>
      <c r="E91" s="232">
        <f>+E89-E90</f>
        <v>0</v>
      </c>
      <c r="F91" s="68"/>
    </row>
    <row r="92" spans="1:6" ht="15" customHeight="1" thickBot="1" x14ac:dyDescent="0.35">
      <c r="A92" s="73"/>
      <c r="B92" s="74"/>
      <c r="C92" s="74"/>
      <c r="D92" s="74"/>
      <c r="E92" s="74"/>
      <c r="F92" s="68"/>
    </row>
    <row r="93" spans="1:6" ht="15" customHeight="1" thickTop="1" x14ac:dyDescent="0.3">
      <c r="A93" s="68" t="s">
        <v>71</v>
      </c>
      <c r="B93" s="68"/>
      <c r="C93" s="68"/>
      <c r="D93" s="68"/>
      <c r="E93" s="68"/>
      <c r="F93" s="68"/>
    </row>
    <row r="94" spans="1:6" ht="15" customHeight="1" x14ac:dyDescent="0.3">
      <c r="A94" s="233"/>
      <c r="B94" s="68"/>
      <c r="C94" s="68"/>
      <c r="D94" s="68"/>
      <c r="E94" s="68"/>
      <c r="F94" s="68"/>
    </row>
    <row r="95" spans="1:6" ht="15" customHeight="1" x14ac:dyDescent="0.3">
      <c r="A95" s="233"/>
      <c r="B95" s="68"/>
      <c r="C95" s="68"/>
      <c r="D95" s="68"/>
      <c r="E95" s="68"/>
      <c r="F95" s="68"/>
    </row>
    <row r="96" spans="1:6" ht="15" customHeight="1" x14ac:dyDescent="0.3">
      <c r="A96" s="233"/>
      <c r="B96" s="68"/>
      <c r="C96" s="68"/>
      <c r="D96" s="68"/>
      <c r="E96" s="68"/>
      <c r="F96" s="68"/>
    </row>
    <row r="97" spans="1:10" ht="15" customHeight="1" x14ac:dyDescent="0.3">
      <c r="A97" s="68"/>
      <c r="B97" s="68"/>
      <c r="C97" s="68"/>
      <c r="D97" s="68"/>
      <c r="E97" s="68"/>
      <c r="F97" s="68"/>
    </row>
    <row r="98" spans="1:10" ht="15" customHeight="1" x14ac:dyDescent="0.3">
      <c r="A98" s="258" t="s">
        <v>102</v>
      </c>
      <c r="B98" s="258"/>
      <c r="C98" s="258"/>
      <c r="D98" s="258"/>
      <c r="E98" s="258"/>
      <c r="F98" s="68"/>
    </row>
    <row r="99" spans="1:10" ht="15" customHeight="1" x14ac:dyDescent="0.3">
      <c r="A99" s="258" t="s">
        <v>49</v>
      </c>
      <c r="B99" s="258"/>
      <c r="C99" s="258"/>
      <c r="D99" s="258"/>
      <c r="E99" s="258"/>
      <c r="F99" s="68"/>
      <c r="H99" s="39"/>
      <c r="J99" s="227"/>
    </row>
    <row r="100" spans="1:10" ht="15" customHeight="1" x14ac:dyDescent="0.3">
      <c r="A100" s="259" t="s">
        <v>52</v>
      </c>
      <c r="B100" s="259"/>
      <c r="C100" s="259"/>
      <c r="D100" s="259"/>
      <c r="E100" s="259"/>
      <c r="F100" s="75"/>
    </row>
    <row r="101" spans="1:10" ht="15" customHeight="1" x14ac:dyDescent="0.3">
      <c r="A101" s="69"/>
      <c r="B101" s="69"/>
      <c r="C101" s="69"/>
      <c r="D101" s="69"/>
      <c r="E101" s="69"/>
      <c r="F101" s="68"/>
    </row>
    <row r="102" spans="1:10" ht="15" customHeight="1" thickBot="1" x14ac:dyDescent="0.35">
      <c r="A102" s="70" t="s">
        <v>10</v>
      </c>
      <c r="B102" s="9" t="s">
        <v>33</v>
      </c>
      <c r="C102" s="9" t="s">
        <v>34</v>
      </c>
      <c r="D102" s="9" t="s">
        <v>128</v>
      </c>
      <c r="E102" s="11" t="s">
        <v>124</v>
      </c>
      <c r="F102" s="68"/>
    </row>
    <row r="103" spans="1:10" ht="15" customHeight="1" x14ac:dyDescent="0.3">
      <c r="A103" s="68"/>
      <c r="B103" s="199"/>
      <c r="C103" s="199"/>
      <c r="D103" s="199"/>
      <c r="E103" s="199"/>
      <c r="F103" s="68"/>
    </row>
    <row r="104" spans="1:10" ht="15" customHeight="1" x14ac:dyDescent="0.3">
      <c r="A104" s="68" t="s">
        <v>167</v>
      </c>
      <c r="B104" s="246">
        <f>+B136</f>
        <v>0</v>
      </c>
      <c r="C104" s="246">
        <f>B108</f>
        <v>0</v>
      </c>
      <c r="D104" s="246">
        <f>C108</f>
        <v>0</v>
      </c>
      <c r="E104" s="246">
        <f>+B104</f>
        <v>0</v>
      </c>
      <c r="F104" s="68"/>
    </row>
    <row r="105" spans="1:10" ht="15" customHeight="1" x14ac:dyDescent="0.3">
      <c r="A105" s="68" t="s">
        <v>16</v>
      </c>
      <c r="B105" s="246">
        <f>+B148</f>
        <v>881720707.19999993</v>
      </c>
      <c r="C105" s="246">
        <f t="shared" ref="C105:D105" si="7">+C148</f>
        <v>608705877.20000005</v>
      </c>
      <c r="D105" s="246">
        <f t="shared" si="7"/>
        <v>632976556.19999993</v>
      </c>
      <c r="E105" s="246">
        <f>SUM(B105:D105)</f>
        <v>2123403140.5999999</v>
      </c>
      <c r="F105" s="68"/>
      <c r="G105" s="226"/>
      <c r="H105" s="226"/>
      <c r="I105" s="226"/>
    </row>
    <row r="106" spans="1:10" ht="15" customHeight="1" x14ac:dyDescent="0.3">
      <c r="A106" s="68" t="s">
        <v>17</v>
      </c>
      <c r="B106" s="246">
        <f>SUM(B104:B105)</f>
        <v>881720707.19999993</v>
      </c>
      <c r="C106" s="246">
        <f t="shared" ref="C106:D106" si="8">SUM(C104:C105)</f>
        <v>608705877.20000005</v>
      </c>
      <c r="D106" s="246">
        <f t="shared" si="8"/>
        <v>632976556.19999993</v>
      </c>
      <c r="E106" s="246">
        <f>SUM(E104:E105)</f>
        <v>2123403140.5999999</v>
      </c>
      <c r="F106" s="68"/>
    </row>
    <row r="107" spans="1:10" ht="15" customHeight="1" x14ac:dyDescent="0.3">
      <c r="A107" s="68" t="s">
        <v>18</v>
      </c>
      <c r="B107" s="228">
        <f>+B59</f>
        <v>881720707.19999993</v>
      </c>
      <c r="C107" s="228">
        <f>+C59</f>
        <v>608705877.20000005</v>
      </c>
      <c r="D107" s="228">
        <f>+D59</f>
        <v>632976556.19999993</v>
      </c>
      <c r="E107" s="228">
        <f>+SUM(B107:D107)</f>
        <v>2123403140.5999999</v>
      </c>
      <c r="F107" s="231"/>
    </row>
    <row r="108" spans="1:10" ht="15" customHeight="1" x14ac:dyDescent="0.3">
      <c r="A108" s="72" t="s">
        <v>19</v>
      </c>
      <c r="B108" s="234">
        <f>B106-B107</f>
        <v>0</v>
      </c>
      <c r="C108" s="234">
        <f t="shared" ref="C108:D108" si="9">C106-C107</f>
        <v>0</v>
      </c>
      <c r="D108" s="234">
        <f t="shared" si="9"/>
        <v>0</v>
      </c>
      <c r="E108" s="234">
        <f>+E106-E107</f>
        <v>0</v>
      </c>
      <c r="F108" s="68"/>
    </row>
    <row r="109" spans="1:10" ht="15" customHeight="1" thickBot="1" x14ac:dyDescent="0.35">
      <c r="A109" s="73"/>
      <c r="B109" s="76"/>
      <c r="C109" s="73"/>
      <c r="D109" s="73"/>
      <c r="E109" s="73"/>
      <c r="F109" s="68"/>
    </row>
    <row r="110" spans="1:10" ht="15" customHeight="1" thickTop="1" x14ac:dyDescent="0.3">
      <c r="A110" s="68" t="s">
        <v>71</v>
      </c>
      <c r="B110" s="68"/>
      <c r="C110" s="68"/>
      <c r="D110" s="68"/>
      <c r="E110" s="68"/>
      <c r="F110" s="68"/>
    </row>
    <row r="111" spans="1:10" ht="15" customHeight="1" x14ac:dyDescent="0.3">
      <c r="A111" s="68"/>
      <c r="B111" s="68"/>
      <c r="C111" s="68"/>
      <c r="D111" s="68"/>
      <c r="E111" s="68"/>
      <c r="F111" s="68"/>
    </row>
    <row r="112" spans="1:10" ht="15" customHeight="1" x14ac:dyDescent="0.3">
      <c r="A112" s="68"/>
      <c r="B112" s="68"/>
      <c r="C112" s="68"/>
      <c r="D112" s="68"/>
      <c r="E112" s="68"/>
      <c r="F112" s="68"/>
    </row>
    <row r="113" spans="1:6" ht="15" customHeight="1" x14ac:dyDescent="0.3">
      <c r="A113" s="258" t="s">
        <v>105</v>
      </c>
      <c r="B113" s="258"/>
      <c r="C113" s="258"/>
      <c r="D113" s="258"/>
      <c r="E113" s="258"/>
      <c r="F113" s="68"/>
    </row>
    <row r="114" spans="1:6" ht="15" customHeight="1" x14ac:dyDescent="0.3">
      <c r="A114" s="258" t="s">
        <v>104</v>
      </c>
      <c r="B114" s="258"/>
      <c r="C114" s="258"/>
      <c r="D114" s="258"/>
      <c r="E114" s="258"/>
      <c r="F114" s="68"/>
    </row>
    <row r="115" spans="1:6" ht="15" customHeight="1" x14ac:dyDescent="0.3">
      <c r="A115" s="259" t="s">
        <v>52</v>
      </c>
      <c r="B115" s="259"/>
      <c r="C115" s="259"/>
      <c r="D115" s="259"/>
      <c r="E115" s="259"/>
      <c r="F115" s="75"/>
    </row>
    <row r="116" spans="1:6" ht="15" customHeight="1" x14ac:dyDescent="0.3">
      <c r="A116" s="69"/>
      <c r="B116" s="69"/>
      <c r="C116" s="69"/>
      <c r="D116" s="69"/>
      <c r="E116" s="69"/>
      <c r="F116" s="75" t="s">
        <v>54</v>
      </c>
    </row>
    <row r="117" spans="1:6" ht="15" customHeight="1" thickBot="1" x14ac:dyDescent="0.35">
      <c r="A117" s="70" t="s">
        <v>10</v>
      </c>
      <c r="B117" s="9" t="s">
        <v>33</v>
      </c>
      <c r="C117" s="9" t="s">
        <v>34</v>
      </c>
      <c r="D117" s="9" t="s">
        <v>128</v>
      </c>
      <c r="E117" s="11" t="s">
        <v>124</v>
      </c>
      <c r="F117" s="182">
        <f>+E73+E88+E105+E120</f>
        <v>4732261677.6000004</v>
      </c>
    </row>
    <row r="118" spans="1:6" ht="15" customHeight="1" x14ac:dyDescent="0.3">
      <c r="A118" s="68"/>
      <c r="B118" s="71"/>
      <c r="C118" s="71"/>
      <c r="D118" s="71"/>
      <c r="E118" s="71"/>
      <c r="F118" s="68"/>
    </row>
    <row r="119" spans="1:6" ht="15" customHeight="1" x14ac:dyDescent="0.3">
      <c r="A119" s="68" t="s">
        <v>167</v>
      </c>
      <c r="B119" s="228">
        <f>+$B$137</f>
        <v>0</v>
      </c>
      <c r="C119" s="228">
        <f>B123</f>
        <v>0</v>
      </c>
      <c r="D119" s="228">
        <f>C123</f>
        <v>0</v>
      </c>
      <c r="E119" s="228">
        <f>+B119</f>
        <v>0</v>
      </c>
      <c r="F119" s="68"/>
    </row>
    <row r="120" spans="1:6" ht="15" customHeight="1" x14ac:dyDescent="0.3">
      <c r="A120" s="68" t="s">
        <v>16</v>
      </c>
      <c r="B120" s="228">
        <f>+B149</f>
        <v>431150000</v>
      </c>
      <c r="C120" s="228">
        <f t="shared" ref="C120:D120" si="10">+C149</f>
        <v>409634000</v>
      </c>
      <c r="D120" s="228">
        <f t="shared" si="10"/>
        <v>448702000</v>
      </c>
      <c r="E120" s="228">
        <f>SUM(B120:D120)</f>
        <v>1289486000</v>
      </c>
      <c r="F120" s="68"/>
    </row>
    <row r="121" spans="1:6" ht="15" customHeight="1" x14ac:dyDescent="0.3">
      <c r="A121" s="68" t="s">
        <v>17</v>
      </c>
      <c r="B121" s="228">
        <f>SUM(B119:B120)</f>
        <v>431150000</v>
      </c>
      <c r="C121" s="228">
        <f t="shared" ref="C121:D121" si="11">SUM(C119:C120)</f>
        <v>409634000</v>
      </c>
      <c r="D121" s="228">
        <f t="shared" si="11"/>
        <v>448702000</v>
      </c>
      <c r="E121" s="228">
        <f>SUM(E119:E120)</f>
        <v>1289486000</v>
      </c>
      <c r="F121" s="68"/>
    </row>
    <row r="122" spans="1:6" ht="15" customHeight="1" x14ac:dyDescent="0.3">
      <c r="A122" s="68" t="s">
        <v>18</v>
      </c>
      <c r="B122" s="228">
        <f>+B60</f>
        <v>431150000</v>
      </c>
      <c r="C122" s="228">
        <f>+C60</f>
        <v>409634000</v>
      </c>
      <c r="D122" s="228">
        <f>+D60</f>
        <v>448702000</v>
      </c>
      <c r="E122" s="228">
        <f>+SUM(B122:D122)</f>
        <v>1289486000</v>
      </c>
      <c r="F122" s="231"/>
    </row>
    <row r="123" spans="1:6" ht="15" customHeight="1" x14ac:dyDescent="0.3">
      <c r="A123" s="72" t="s">
        <v>19</v>
      </c>
      <c r="B123" s="234">
        <f>B121-B122</f>
        <v>0</v>
      </c>
      <c r="C123" s="234">
        <f>C121-C122</f>
        <v>0</v>
      </c>
      <c r="D123" s="234">
        <f>D121-D122</f>
        <v>0</v>
      </c>
      <c r="E123" s="234">
        <f>+E121-E122</f>
        <v>0</v>
      </c>
      <c r="F123" s="68"/>
    </row>
    <row r="124" spans="1:6" ht="15" customHeight="1" thickBot="1" x14ac:dyDescent="0.35">
      <c r="A124" s="73"/>
      <c r="B124" s="76"/>
      <c r="C124" s="73"/>
      <c r="D124" s="73"/>
      <c r="E124" s="73"/>
      <c r="F124" s="68"/>
    </row>
    <row r="125" spans="1:6" ht="15" customHeight="1" thickTop="1" x14ac:dyDescent="0.3">
      <c r="A125" s="68" t="s">
        <v>71</v>
      </c>
      <c r="B125" s="68"/>
      <c r="C125" s="68"/>
      <c r="D125" s="68"/>
      <c r="E125" s="68"/>
      <c r="F125" s="68"/>
    </row>
    <row r="126" spans="1:6" ht="15" customHeight="1" x14ac:dyDescent="0.3">
      <c r="A126" s="68"/>
      <c r="B126" s="68"/>
      <c r="C126" s="68"/>
      <c r="D126" s="68"/>
      <c r="E126" s="68"/>
      <c r="F126" s="68"/>
    </row>
    <row r="127" spans="1:6" ht="15" customHeight="1" x14ac:dyDescent="0.3">
      <c r="A127" s="68"/>
      <c r="B127" s="68"/>
      <c r="C127" s="68"/>
      <c r="D127" s="68"/>
      <c r="E127" s="68"/>
      <c r="F127" s="68"/>
    </row>
    <row r="128" spans="1:6" ht="15" customHeight="1" x14ac:dyDescent="0.3">
      <c r="A128" s="68" t="s">
        <v>71</v>
      </c>
      <c r="B128" s="68"/>
      <c r="C128" s="68"/>
      <c r="D128" s="68"/>
      <c r="E128" s="68"/>
      <c r="F128" s="68"/>
    </row>
    <row r="129" spans="1:6" ht="15" customHeight="1" x14ac:dyDescent="0.3">
      <c r="A129" s="68"/>
      <c r="B129" s="68"/>
      <c r="C129" s="68"/>
      <c r="D129" s="68"/>
      <c r="E129" s="68"/>
      <c r="F129" s="68"/>
    </row>
    <row r="130" spans="1:6" ht="33" customHeight="1" x14ac:dyDescent="0.3">
      <c r="A130" s="68"/>
      <c r="B130" s="68"/>
      <c r="C130" s="68"/>
      <c r="D130" s="68"/>
      <c r="E130" s="68"/>
      <c r="F130" s="68"/>
    </row>
    <row r="131" spans="1:6" ht="15" customHeight="1" x14ac:dyDescent="0.3">
      <c r="A131" s="68"/>
      <c r="B131" s="68"/>
      <c r="C131" s="68"/>
      <c r="D131" s="68"/>
      <c r="E131" s="68"/>
      <c r="F131" s="68"/>
    </row>
    <row r="132" spans="1:6" ht="15" customHeight="1" x14ac:dyDescent="0.3">
      <c r="A132" s="231" t="s">
        <v>158</v>
      </c>
      <c r="B132" s="68"/>
      <c r="C132" s="68"/>
      <c r="D132" s="68"/>
      <c r="E132" s="68"/>
      <c r="F132" s="68"/>
    </row>
    <row r="133" spans="1:6" ht="15" customHeight="1" x14ac:dyDescent="0.3">
      <c r="A133" s="255" t="s">
        <v>159</v>
      </c>
      <c r="B133" s="256"/>
      <c r="C133" s="68"/>
      <c r="D133" s="68"/>
      <c r="E133" s="68"/>
      <c r="F133" s="68"/>
    </row>
    <row r="134" spans="1:6" ht="15" customHeight="1" x14ac:dyDescent="0.3">
      <c r="A134" s="235" t="s">
        <v>168</v>
      </c>
      <c r="B134" s="236">
        <f>+'II T'!E76</f>
        <v>0</v>
      </c>
      <c r="C134" s="178"/>
      <c r="D134" s="68"/>
      <c r="E134" s="68"/>
      <c r="F134" s="68"/>
    </row>
    <row r="135" spans="1:6" ht="15" customHeight="1" x14ac:dyDescent="0.3">
      <c r="A135" s="235" t="s">
        <v>169</v>
      </c>
      <c r="B135" s="236">
        <f>+'II T'!E91</f>
        <v>0</v>
      </c>
      <c r="C135" s="178"/>
      <c r="D135" s="68"/>
      <c r="E135" s="68"/>
      <c r="F135" s="68"/>
    </row>
    <row r="136" spans="1:6" ht="15" customHeight="1" x14ac:dyDescent="0.3">
      <c r="A136" s="235" t="s">
        <v>170</v>
      </c>
      <c r="B136" s="247">
        <f>+'II T'!E108</f>
        <v>0</v>
      </c>
      <c r="C136" s="68"/>
      <c r="D136" s="68"/>
      <c r="E136" s="68"/>
      <c r="F136" s="68"/>
    </row>
    <row r="137" spans="1:6" ht="15" customHeight="1" x14ac:dyDescent="0.3">
      <c r="A137" s="235" t="s">
        <v>171</v>
      </c>
      <c r="B137" s="236">
        <f>+'II T'!E123</f>
        <v>0</v>
      </c>
      <c r="C137" s="68"/>
      <c r="D137" s="68"/>
      <c r="E137" s="68"/>
      <c r="F137" s="68"/>
    </row>
    <row r="138" spans="1:6" ht="15" customHeight="1" x14ac:dyDescent="0.3">
      <c r="A138" s="235" t="s">
        <v>172</v>
      </c>
      <c r="B138" s="236">
        <v>0</v>
      </c>
      <c r="C138" s="68"/>
      <c r="D138" s="68"/>
      <c r="E138" s="68"/>
      <c r="F138" s="68"/>
    </row>
    <row r="139" spans="1:6" ht="15" customHeight="1" x14ac:dyDescent="0.3">
      <c r="A139" s="175" t="s">
        <v>129</v>
      </c>
      <c r="B139" s="176">
        <f>SUM(B134:B138)</f>
        <v>0</v>
      </c>
      <c r="C139" s="68"/>
      <c r="D139" s="68"/>
      <c r="E139" s="68"/>
      <c r="F139" s="68"/>
    </row>
    <row r="140" spans="1:6" ht="15" customHeight="1" x14ac:dyDescent="0.3">
      <c r="A140" s="68"/>
      <c r="B140" s="68"/>
      <c r="C140" s="68"/>
      <c r="D140" s="68"/>
      <c r="E140" s="68"/>
      <c r="F140" s="68"/>
    </row>
    <row r="141" spans="1:6" ht="15" customHeight="1" x14ac:dyDescent="0.3">
      <c r="B141" s="145"/>
    </row>
    <row r="142" spans="1:6" s="179" customFormat="1" ht="15" customHeight="1" x14ac:dyDescent="0.3"/>
    <row r="144" spans="1:6" ht="15" customHeight="1" x14ac:dyDescent="0.3">
      <c r="B144" s="231" t="s">
        <v>157</v>
      </c>
    </row>
    <row r="145" spans="1:10" ht="15" customHeight="1" x14ac:dyDescent="0.3">
      <c r="A145" s="172" t="s">
        <v>107</v>
      </c>
      <c r="B145" s="172" t="s">
        <v>125</v>
      </c>
      <c r="C145" s="172" t="s">
        <v>126</v>
      </c>
      <c r="D145" s="172" t="s">
        <v>127</v>
      </c>
      <c r="E145" s="172" t="s">
        <v>124</v>
      </c>
    </row>
    <row r="146" spans="1:10" ht="15" customHeight="1" x14ac:dyDescent="0.3">
      <c r="A146" s="237" t="s">
        <v>108</v>
      </c>
      <c r="B146" s="238">
        <v>339540120</v>
      </c>
      <c r="C146" s="238">
        <v>317108040</v>
      </c>
      <c r="D146" s="238">
        <v>321186600</v>
      </c>
      <c r="E146" s="238">
        <f>+B146+C146+D146</f>
        <v>977834760</v>
      </c>
      <c r="G146" s="46"/>
      <c r="H146" s="46"/>
      <c r="I146" s="46"/>
      <c r="J146" s="46"/>
    </row>
    <row r="147" spans="1:10" ht="15" customHeight="1" x14ac:dyDescent="0.3">
      <c r="A147" s="237" t="s">
        <v>109</v>
      </c>
      <c r="B147" s="238">
        <v>110039279</v>
      </c>
      <c r="C147" s="238">
        <v>115015110</v>
      </c>
      <c r="D147" s="238">
        <v>116483388</v>
      </c>
      <c r="E147" s="238">
        <f t="shared" ref="E147:E149" si="12">+B147+C147+D147</f>
        <v>341537777</v>
      </c>
      <c r="G147" s="46"/>
      <c r="H147" s="46"/>
      <c r="I147" s="46"/>
      <c r="J147" s="46"/>
    </row>
    <row r="148" spans="1:10" ht="15" customHeight="1" x14ac:dyDescent="0.3">
      <c r="A148" s="239" t="s">
        <v>106</v>
      </c>
      <c r="B148" s="240">
        <v>881720707.19999993</v>
      </c>
      <c r="C148" s="240">
        <v>608705877.20000005</v>
      </c>
      <c r="D148" s="240">
        <v>632976556.19999993</v>
      </c>
      <c r="E148" s="238">
        <f t="shared" si="12"/>
        <v>2123403140.5999999</v>
      </c>
      <c r="G148" s="198"/>
      <c r="H148" s="198"/>
      <c r="I148" s="198"/>
      <c r="J148" s="198"/>
    </row>
    <row r="149" spans="1:10" ht="15" customHeight="1" x14ac:dyDescent="0.3">
      <c r="A149" s="237" t="s">
        <v>80</v>
      </c>
      <c r="B149" s="181">
        <v>431150000</v>
      </c>
      <c r="C149" s="181">
        <v>409634000</v>
      </c>
      <c r="D149" s="181">
        <v>448702000</v>
      </c>
      <c r="E149" s="238">
        <f t="shared" si="12"/>
        <v>1289486000</v>
      </c>
      <c r="G149" s="46"/>
      <c r="H149" s="46"/>
      <c r="I149" s="46"/>
      <c r="J149" s="46"/>
    </row>
    <row r="150" spans="1:10" ht="15" customHeight="1" x14ac:dyDescent="0.3">
      <c r="A150" s="237"/>
      <c r="B150" s="238"/>
      <c r="C150" s="238"/>
      <c r="D150" s="238"/>
      <c r="E150" s="238"/>
    </row>
    <row r="151" spans="1:10" ht="15" customHeight="1" thickBot="1" x14ac:dyDescent="0.35">
      <c r="A151" s="241"/>
      <c r="B151" s="242"/>
      <c r="C151" s="242"/>
      <c r="D151" s="242"/>
      <c r="E151" s="242"/>
    </row>
    <row r="152" spans="1:10" ht="15" customHeight="1" thickBot="1" x14ac:dyDescent="0.35">
      <c r="A152" s="173"/>
      <c r="B152" s="174">
        <f>SUM(B146:B151)</f>
        <v>1762450106.1999998</v>
      </c>
      <c r="C152" s="174">
        <f t="shared" ref="C152:E152" si="13">SUM(C146:C151)</f>
        <v>1450463027.2</v>
      </c>
      <c r="D152" s="174">
        <f t="shared" si="13"/>
        <v>1519348544.1999998</v>
      </c>
      <c r="E152" s="174">
        <f t="shared" si="13"/>
        <v>4732261677.6000004</v>
      </c>
    </row>
    <row r="155" spans="1:10" ht="15" customHeight="1" x14ac:dyDescent="0.3">
      <c r="A155" s="172" t="s">
        <v>107</v>
      </c>
      <c r="B155" s="177" t="s">
        <v>114</v>
      </c>
    </row>
    <row r="156" spans="1:10" ht="15" customHeight="1" x14ac:dyDescent="0.3">
      <c r="A156" s="237" t="s">
        <v>108</v>
      </c>
      <c r="B156" s="237">
        <v>1870</v>
      </c>
    </row>
    <row r="157" spans="1:10" ht="15" customHeight="1" x14ac:dyDescent="0.3">
      <c r="A157" s="237" t="s">
        <v>109</v>
      </c>
      <c r="B157" s="237">
        <v>1354</v>
      </c>
    </row>
    <row r="158" spans="1:10" ht="15" customHeight="1" x14ac:dyDescent="0.3">
      <c r="A158" s="239" t="s">
        <v>106</v>
      </c>
      <c r="B158" s="239">
        <v>13573</v>
      </c>
    </row>
    <row r="159" spans="1:10" ht="15" customHeight="1" x14ac:dyDescent="0.3">
      <c r="A159" s="237" t="s">
        <v>80</v>
      </c>
      <c r="B159" s="237">
        <f>494+209</f>
        <v>703</v>
      </c>
    </row>
    <row r="160" spans="1:10" ht="15" customHeight="1" x14ac:dyDescent="0.3">
      <c r="A160" s="237"/>
      <c r="B160" s="237"/>
    </row>
    <row r="161" spans="1:8" ht="15" customHeight="1" thickBot="1" x14ac:dyDescent="0.35">
      <c r="A161" s="241"/>
      <c r="B161" s="241"/>
    </row>
    <row r="162" spans="1:8" ht="15" customHeight="1" thickBot="1" x14ac:dyDescent="0.35">
      <c r="A162" s="173" t="s">
        <v>160</v>
      </c>
      <c r="B162" s="173">
        <f>SUM(B156:B161)</f>
        <v>17500</v>
      </c>
    </row>
    <row r="163" spans="1:8" ht="15" customHeight="1" x14ac:dyDescent="0.3">
      <c r="H163" s="180"/>
    </row>
  </sheetData>
  <mergeCells count="27">
    <mergeCell ref="A16:A18"/>
    <mergeCell ref="A1:F1"/>
    <mergeCell ref="A7:F7"/>
    <mergeCell ref="A8:F8"/>
    <mergeCell ref="A9:F9"/>
    <mergeCell ref="A13:A15"/>
    <mergeCell ref="A81:E81"/>
    <mergeCell ref="A19:A21"/>
    <mergeCell ref="A22:A24"/>
    <mergeCell ref="A30:F30"/>
    <mergeCell ref="A31:F31"/>
    <mergeCell ref="A32:F32"/>
    <mergeCell ref="A51:E51"/>
    <mergeCell ref="A52:E52"/>
    <mergeCell ref="A53:E53"/>
    <mergeCell ref="A66:E66"/>
    <mergeCell ref="A67:E67"/>
    <mergeCell ref="A68:E68"/>
    <mergeCell ref="A114:E114"/>
    <mergeCell ref="A115:E115"/>
    <mergeCell ref="A133:B133"/>
    <mergeCell ref="A82:E82"/>
    <mergeCell ref="A83:E83"/>
    <mergeCell ref="A98:E98"/>
    <mergeCell ref="A99:E99"/>
    <mergeCell ref="A100:E100"/>
    <mergeCell ref="A113:E113"/>
  </mergeCells>
  <phoneticPr fontId="15" type="noConversion"/>
  <printOptions horizontalCentered="1" verticalCentered="1"/>
  <pageMargins left="0.70866141732283472" right="1.18" top="0.3" bottom="0.2" header="0.31496062992125984" footer="0.31496062992125984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3"/>
  <sheetViews>
    <sheetView zoomScale="80" zoomScaleNormal="80" workbookViewId="0">
      <selection sqref="A1:F1"/>
    </sheetView>
  </sheetViews>
  <sheetFormatPr baseColWidth="10" defaultColWidth="11.5546875" defaultRowHeight="15" customHeight="1" x14ac:dyDescent="0.3"/>
  <cols>
    <col min="1" max="1" width="72.44140625" style="1" customWidth="1"/>
    <col min="2" max="2" width="27.5546875" style="1" customWidth="1"/>
    <col min="3" max="3" width="18.21875" style="1" bestFit="1" customWidth="1"/>
    <col min="4" max="4" width="21.77734375" style="1" customWidth="1"/>
    <col min="5" max="5" width="22.77734375" style="1" customWidth="1"/>
    <col min="6" max="6" width="22.33203125" style="1" bestFit="1" customWidth="1"/>
    <col min="7" max="7" width="15.44140625" style="1" customWidth="1"/>
    <col min="8" max="8" width="27.21875" style="1" bestFit="1" customWidth="1"/>
    <col min="9" max="9" width="11.5546875" style="1"/>
    <col min="10" max="10" width="14.21875" style="1" bestFit="1" customWidth="1"/>
    <col min="11" max="16384" width="11.5546875" style="1"/>
  </cols>
  <sheetData>
    <row r="1" spans="1:7" ht="15" customHeight="1" x14ac:dyDescent="0.3">
      <c r="A1" s="260" t="s">
        <v>20</v>
      </c>
      <c r="B1" s="260"/>
      <c r="C1" s="260"/>
      <c r="D1" s="260"/>
      <c r="E1" s="260"/>
      <c r="F1" s="260"/>
    </row>
    <row r="2" spans="1:7" ht="14.4" x14ac:dyDescent="0.3">
      <c r="A2" s="3" t="s">
        <v>0</v>
      </c>
      <c r="B2" s="4" t="s">
        <v>22</v>
      </c>
      <c r="C2" s="5"/>
      <c r="D2" s="5"/>
      <c r="E2" s="5"/>
      <c r="F2" s="5"/>
    </row>
    <row r="3" spans="1:7" ht="15" customHeight="1" x14ac:dyDescent="0.3">
      <c r="A3" s="3" t="s">
        <v>1</v>
      </c>
      <c r="B3" s="4" t="s">
        <v>21</v>
      </c>
      <c r="C3" s="5"/>
      <c r="D3" s="5"/>
      <c r="E3" s="5"/>
      <c r="F3" s="5"/>
    </row>
    <row r="4" spans="1:7" ht="15" customHeight="1" x14ac:dyDescent="0.3">
      <c r="A4" s="3" t="s">
        <v>11</v>
      </c>
      <c r="B4" s="5" t="s">
        <v>166</v>
      </c>
      <c r="C4" s="5"/>
      <c r="D4" s="5"/>
      <c r="E4" s="5"/>
      <c r="F4" s="5"/>
    </row>
    <row r="5" spans="1:7" ht="15" customHeight="1" x14ac:dyDescent="0.3">
      <c r="A5" s="3" t="s">
        <v>47</v>
      </c>
      <c r="B5" s="6" t="s">
        <v>161</v>
      </c>
      <c r="C5" s="5"/>
      <c r="D5" s="5"/>
      <c r="E5" s="5"/>
      <c r="F5" s="5"/>
    </row>
    <row r="7" spans="1:7" ht="15" customHeight="1" x14ac:dyDescent="0.3">
      <c r="A7" s="260" t="s">
        <v>9</v>
      </c>
      <c r="B7" s="260"/>
      <c r="C7" s="260"/>
      <c r="D7" s="260"/>
      <c r="E7" s="260"/>
      <c r="F7" s="260"/>
    </row>
    <row r="8" spans="1:7" ht="15" customHeight="1" x14ac:dyDescent="0.3">
      <c r="A8" s="260" t="s">
        <v>12</v>
      </c>
      <c r="B8" s="260"/>
      <c r="C8" s="260"/>
      <c r="D8" s="260"/>
      <c r="E8" s="260"/>
      <c r="F8" s="260"/>
    </row>
    <row r="9" spans="1:7" ht="15" customHeight="1" x14ac:dyDescent="0.3">
      <c r="A9" s="257" t="s">
        <v>50</v>
      </c>
      <c r="B9" s="257"/>
      <c r="C9" s="257"/>
      <c r="D9" s="257"/>
      <c r="E9" s="257"/>
      <c r="F9" s="257"/>
    </row>
    <row r="10" spans="1:7" s="8" customFormat="1" ht="15" customHeight="1" x14ac:dyDescent="0.3">
      <c r="A10" s="7"/>
      <c r="B10" s="7"/>
      <c r="C10" s="7"/>
      <c r="D10" s="7"/>
      <c r="E10" s="7"/>
      <c r="F10" s="7"/>
    </row>
    <row r="11" spans="1:7" ht="15" customHeight="1" thickBot="1" x14ac:dyDescent="0.35">
      <c r="A11" s="9" t="s">
        <v>64</v>
      </c>
      <c r="B11" s="9"/>
      <c r="C11" s="9" t="s">
        <v>36</v>
      </c>
      <c r="D11" s="9" t="s">
        <v>37</v>
      </c>
      <c r="E11" s="9" t="s">
        <v>38</v>
      </c>
      <c r="F11" s="9" t="s">
        <v>130</v>
      </c>
    </row>
    <row r="13" spans="1:7" ht="14.4" x14ac:dyDescent="0.3">
      <c r="A13" s="261" t="s">
        <v>84</v>
      </c>
      <c r="B13" s="84" t="s">
        <v>58</v>
      </c>
      <c r="C13" s="85">
        <f>+('III T'!E13-C15)+53</f>
        <v>83</v>
      </c>
      <c r="D13" s="85">
        <f>+(C13-D15)+53</f>
        <v>63</v>
      </c>
      <c r="E13" s="85">
        <f>+(D13-E15)+3</f>
        <v>13</v>
      </c>
      <c r="F13" s="86">
        <f>E13</f>
        <v>13</v>
      </c>
    </row>
    <row r="14" spans="1:7" ht="15" customHeight="1" x14ac:dyDescent="0.3">
      <c r="A14" s="262"/>
      <c r="B14" s="87" t="s">
        <v>59</v>
      </c>
      <c r="C14" s="88">
        <v>1556</v>
      </c>
      <c r="D14" s="88">
        <v>1564</v>
      </c>
      <c r="E14" s="88">
        <v>1606</v>
      </c>
      <c r="F14" s="89">
        <f t="shared" ref="F14:F24" si="0">AVERAGE(C14:E14)</f>
        <v>1575.3333333333333</v>
      </c>
    </row>
    <row r="15" spans="1:7" ht="15" customHeight="1" x14ac:dyDescent="0.3">
      <c r="A15" s="263"/>
      <c r="B15" s="90" t="s">
        <v>60</v>
      </c>
      <c r="C15" s="91">
        <f>14+45</f>
        <v>59</v>
      </c>
      <c r="D15" s="91">
        <f>20+53</f>
        <v>73</v>
      </c>
      <c r="E15" s="91">
        <v>53</v>
      </c>
      <c r="F15" s="92">
        <f t="shared" si="0"/>
        <v>61.666666666666664</v>
      </c>
      <c r="G15" s="1">
        <f>+F14+F15</f>
        <v>1637</v>
      </c>
    </row>
    <row r="16" spans="1:7" ht="14.4" x14ac:dyDescent="0.3">
      <c r="A16" s="261" t="s">
        <v>24</v>
      </c>
      <c r="B16" s="84" t="s">
        <v>58</v>
      </c>
      <c r="C16" s="85">
        <f>+('III T'!E16-C18)+34</f>
        <v>70</v>
      </c>
      <c r="D16" s="85">
        <f>+(C16-D18)+70</f>
        <v>106</v>
      </c>
      <c r="E16" s="85">
        <f>+(D16-E18)+23+6</f>
        <v>88</v>
      </c>
      <c r="F16" s="86">
        <f>E16</f>
        <v>88</v>
      </c>
    </row>
    <row r="17" spans="1:7" ht="15" customHeight="1" x14ac:dyDescent="0.3">
      <c r="A17" s="262"/>
      <c r="B17" s="87" t="s">
        <v>59</v>
      </c>
      <c r="C17" s="88">
        <v>1300</v>
      </c>
      <c r="D17" s="88">
        <v>1263</v>
      </c>
      <c r="E17" s="88">
        <v>1309</v>
      </c>
      <c r="F17" s="89">
        <f t="shared" si="0"/>
        <v>1290.6666666666667</v>
      </c>
    </row>
    <row r="18" spans="1:7" ht="15" customHeight="1" x14ac:dyDescent="0.3">
      <c r="A18" s="263"/>
      <c r="B18" s="90" t="s">
        <v>60</v>
      </c>
      <c r="C18" s="91">
        <v>0</v>
      </c>
      <c r="D18" s="91">
        <v>34</v>
      </c>
      <c r="E18" s="91">
        <v>47</v>
      </c>
      <c r="F18" s="92">
        <f t="shared" si="0"/>
        <v>27</v>
      </c>
      <c r="G18" s="1">
        <f>+F18+F17</f>
        <v>1317.6666666666667</v>
      </c>
    </row>
    <row r="19" spans="1:7" ht="14.4" x14ac:dyDescent="0.3">
      <c r="A19" s="261" t="s">
        <v>96</v>
      </c>
      <c r="B19" s="84" t="s">
        <v>58</v>
      </c>
      <c r="C19" s="85">
        <f>+('III T'!E19-C21)+125</f>
        <v>250</v>
      </c>
      <c r="D19" s="85">
        <f>+(C19-D21)+122</f>
        <v>122</v>
      </c>
      <c r="E19" s="85">
        <f>+(D19-E21)+67</f>
        <v>135</v>
      </c>
      <c r="F19" s="86">
        <f>E19</f>
        <v>135</v>
      </c>
    </row>
    <row r="20" spans="1:7" ht="15" customHeight="1" x14ac:dyDescent="0.3">
      <c r="A20" s="262"/>
      <c r="B20" s="87" t="s">
        <v>59</v>
      </c>
      <c r="C20" s="91">
        <v>10992</v>
      </c>
      <c r="D20" s="88">
        <v>10896</v>
      </c>
      <c r="E20" s="88">
        <v>11090</v>
      </c>
      <c r="F20" s="89">
        <f t="shared" si="0"/>
        <v>10992.666666666666</v>
      </c>
    </row>
    <row r="21" spans="1:7" ht="15" customHeight="1" x14ac:dyDescent="0.3">
      <c r="A21" s="263"/>
      <c r="B21" s="90" t="s">
        <v>60</v>
      </c>
      <c r="C21" s="91">
        <f>99+98</f>
        <v>197</v>
      </c>
      <c r="D21" s="91">
        <f>125+125</f>
        <v>250</v>
      </c>
      <c r="E21" s="91">
        <v>54</v>
      </c>
      <c r="F21" s="92">
        <f t="shared" si="0"/>
        <v>167</v>
      </c>
      <c r="G21" s="1">
        <f>+F21+F20</f>
        <v>11159.666666666666</v>
      </c>
    </row>
    <row r="22" spans="1:7" ht="15" customHeight="1" x14ac:dyDescent="0.3">
      <c r="A22" s="261" t="s">
        <v>115</v>
      </c>
      <c r="B22" s="215" t="s">
        <v>58</v>
      </c>
      <c r="C22" s="85">
        <f>+('III T'!E22-C24)+0</f>
        <v>0</v>
      </c>
      <c r="D22" s="85">
        <f>+(C22-D24)+0</f>
        <v>0</v>
      </c>
      <c r="E22" s="85">
        <f>+(D22-E24)+0</f>
        <v>0</v>
      </c>
      <c r="F22" s="86">
        <f>E22</f>
        <v>0</v>
      </c>
    </row>
    <row r="23" spans="1:7" ht="15" customHeight="1" x14ac:dyDescent="0.3">
      <c r="A23" s="262"/>
      <c r="B23" s="216" t="s">
        <v>59</v>
      </c>
      <c r="C23" s="88">
        <v>917</v>
      </c>
      <c r="D23" s="88">
        <v>927</v>
      </c>
      <c r="E23" s="88">
        <v>959</v>
      </c>
      <c r="F23" s="94">
        <f t="shared" si="0"/>
        <v>934.33333333333337</v>
      </c>
    </row>
    <row r="24" spans="1:7" ht="15" customHeight="1" x14ac:dyDescent="0.3">
      <c r="A24" s="263"/>
      <c r="B24" s="217" t="s">
        <v>60</v>
      </c>
      <c r="C24" s="91">
        <v>0</v>
      </c>
      <c r="D24" s="91">
        <v>0</v>
      </c>
      <c r="E24" s="91">
        <v>0</v>
      </c>
      <c r="F24" s="95">
        <f t="shared" si="0"/>
        <v>0</v>
      </c>
      <c r="G24" s="1">
        <f>+F24+F23</f>
        <v>934.33333333333337</v>
      </c>
    </row>
    <row r="25" spans="1:7" ht="15" customHeight="1" thickBot="1" x14ac:dyDescent="0.35">
      <c r="A25" s="10" t="s">
        <v>13</v>
      </c>
      <c r="B25" s="10" t="s">
        <v>51</v>
      </c>
      <c r="C25" s="48">
        <f>+C14+C15+C17+C18+C20+C21+C23+C24</f>
        <v>15021</v>
      </c>
      <c r="D25" s="48">
        <f>+D14+D15+D17+D18+D20+D21+D23+D24</f>
        <v>15007</v>
      </c>
      <c r="E25" s="48">
        <f>+E14+E15+E17+E18+E20+E21+E23+E24</f>
        <v>15118</v>
      </c>
      <c r="F25" s="50">
        <f>AVERAGE(C25:E25)</f>
        <v>15048.666666666666</v>
      </c>
    </row>
    <row r="26" spans="1:7" ht="15" customHeight="1" thickTop="1" x14ac:dyDescent="0.3">
      <c r="A26" s="41"/>
      <c r="B26" s="8"/>
      <c r="C26" s="8"/>
      <c r="D26" s="8"/>
      <c r="E26" s="8"/>
      <c r="F26" s="8"/>
      <c r="G26" s="1">
        <f>+G24+G21+G18+G15</f>
        <v>15048.666666666666</v>
      </c>
    </row>
    <row r="27" spans="1:7" ht="15" customHeight="1" x14ac:dyDescent="0.3">
      <c r="A27" s="1" t="s">
        <v>71</v>
      </c>
    </row>
    <row r="30" spans="1:7" ht="15" customHeight="1" x14ac:dyDescent="0.3">
      <c r="A30" s="257" t="s">
        <v>14</v>
      </c>
      <c r="B30" s="257"/>
      <c r="C30" s="257"/>
      <c r="D30" s="257"/>
      <c r="E30" s="257"/>
      <c r="F30" s="257"/>
    </row>
    <row r="31" spans="1:7" ht="15" customHeight="1" x14ac:dyDescent="0.3">
      <c r="A31" s="260" t="s">
        <v>31</v>
      </c>
      <c r="B31" s="260"/>
      <c r="C31" s="260"/>
      <c r="D31" s="260"/>
      <c r="E31" s="260"/>
      <c r="F31" s="260"/>
    </row>
    <row r="32" spans="1:7" ht="15" customHeight="1" x14ac:dyDescent="0.3">
      <c r="A32" s="257" t="s">
        <v>52</v>
      </c>
      <c r="B32" s="257"/>
      <c r="C32" s="257"/>
      <c r="D32" s="257"/>
      <c r="E32" s="257"/>
      <c r="F32" s="257"/>
    </row>
    <row r="33" spans="1:7" s="8" customFormat="1" ht="15" customHeight="1" x14ac:dyDescent="0.3">
      <c r="A33" s="214"/>
      <c r="B33" s="214"/>
      <c r="C33" s="214"/>
      <c r="D33" s="214"/>
      <c r="E33" s="214"/>
      <c r="F33" s="214"/>
    </row>
    <row r="34" spans="1:7" ht="15" customHeight="1" thickBot="1" x14ac:dyDescent="0.35">
      <c r="A34" s="11" t="s">
        <v>64</v>
      </c>
      <c r="B34" s="11"/>
      <c r="C34" s="9" t="s">
        <v>36</v>
      </c>
      <c r="D34" s="9" t="s">
        <v>37</v>
      </c>
      <c r="E34" s="9" t="s">
        <v>38</v>
      </c>
      <c r="F34" s="9" t="s">
        <v>130</v>
      </c>
    </row>
    <row r="35" spans="1:7" ht="15" customHeight="1" x14ac:dyDescent="0.3">
      <c r="C35" s="2"/>
      <c r="D35" s="2"/>
      <c r="E35" s="2"/>
      <c r="F35" s="2"/>
    </row>
    <row r="36" spans="1:7" ht="15" customHeight="1" x14ac:dyDescent="0.3">
      <c r="A36" s="147" t="s">
        <v>122</v>
      </c>
      <c r="B36" s="148" t="s">
        <v>56</v>
      </c>
      <c r="C36" s="183">
        <v>550453968</v>
      </c>
      <c r="D36" s="183">
        <v>318943392</v>
      </c>
      <c r="E36" s="183">
        <v>327508368</v>
      </c>
      <c r="F36" s="218">
        <f t="shared" ref="F36:F43" si="1">SUM(C36:E36)</f>
        <v>1196905728</v>
      </c>
    </row>
    <row r="37" spans="1:7" ht="15" customHeight="1" x14ac:dyDescent="0.3">
      <c r="A37" s="151"/>
      <c r="B37" s="152" t="s">
        <v>55</v>
      </c>
      <c r="C37" s="184">
        <f>2854992+9176760</f>
        <v>12031752</v>
      </c>
      <c r="D37" s="184">
        <f>4078560+18893184</f>
        <v>22971744</v>
      </c>
      <c r="E37" s="184">
        <v>10808184</v>
      </c>
      <c r="F37" s="219">
        <f t="shared" si="1"/>
        <v>45811680</v>
      </c>
      <c r="G37" s="1">
        <f>+F37+F36</f>
        <v>1242717408</v>
      </c>
    </row>
    <row r="38" spans="1:7" ht="15" customHeight="1" x14ac:dyDescent="0.3">
      <c r="A38" s="96" t="s">
        <v>24</v>
      </c>
      <c r="B38" s="97" t="s">
        <v>56</v>
      </c>
      <c r="C38" s="185">
        <v>188122300</v>
      </c>
      <c r="D38" s="185">
        <v>103024173</v>
      </c>
      <c r="E38" s="185">
        <v>106776439</v>
      </c>
      <c r="F38" s="220">
        <f t="shared" si="1"/>
        <v>397922912</v>
      </c>
    </row>
    <row r="39" spans="1:7" ht="15" customHeight="1" x14ac:dyDescent="0.3">
      <c r="A39" s="99"/>
      <c r="B39" s="100" t="s">
        <v>55</v>
      </c>
      <c r="C39" s="186">
        <v>0</v>
      </c>
      <c r="D39" s="186">
        <v>4873414</v>
      </c>
      <c r="E39" s="186">
        <v>3833837</v>
      </c>
      <c r="F39" s="221">
        <f t="shared" si="1"/>
        <v>8707251</v>
      </c>
      <c r="G39" s="1">
        <f>+F39+F38</f>
        <v>406630163</v>
      </c>
    </row>
    <row r="40" spans="1:7" ht="15" customHeight="1" x14ac:dyDescent="0.3">
      <c r="A40" s="155" t="s">
        <v>96</v>
      </c>
      <c r="B40" s="156" t="s">
        <v>56</v>
      </c>
      <c r="C40" s="187">
        <v>851573783.73000002</v>
      </c>
      <c r="D40" s="187">
        <v>622736950.21000004</v>
      </c>
      <c r="E40" s="187">
        <v>626551035.13999999</v>
      </c>
      <c r="F40" s="222">
        <f t="shared" si="1"/>
        <v>2100861769.0799999</v>
      </c>
    </row>
    <row r="41" spans="1:7" ht="15" customHeight="1" x14ac:dyDescent="0.3">
      <c r="A41" s="159"/>
      <c r="B41" s="160" t="s">
        <v>55</v>
      </c>
      <c r="C41" s="188">
        <f>7088769+7088769</f>
        <v>14177538</v>
      </c>
      <c r="D41" s="188">
        <f>4812375+4812375</f>
        <v>9624750</v>
      </c>
      <c r="E41" s="188">
        <v>3814085</v>
      </c>
      <c r="F41" s="223">
        <f t="shared" si="1"/>
        <v>27616373</v>
      </c>
      <c r="G41" s="1">
        <f>+F41+F40</f>
        <v>2128478142.0799999</v>
      </c>
    </row>
    <row r="42" spans="1:7" ht="15" customHeight="1" x14ac:dyDescent="0.3">
      <c r="A42" s="102" t="s">
        <v>95</v>
      </c>
      <c r="B42" s="224" t="s">
        <v>56</v>
      </c>
      <c r="C42" s="185">
        <v>445902000</v>
      </c>
      <c r="D42" s="185">
        <v>451152000</v>
      </c>
      <c r="E42" s="185">
        <v>1048252000</v>
      </c>
      <c r="F42" s="220">
        <f t="shared" si="1"/>
        <v>1945306000</v>
      </c>
    </row>
    <row r="43" spans="1:7" ht="15" customHeight="1" x14ac:dyDescent="0.3">
      <c r="A43" s="103"/>
      <c r="B43" s="225" t="s">
        <v>55</v>
      </c>
      <c r="C43" s="186">
        <v>0</v>
      </c>
      <c r="D43" s="186">
        <v>0</v>
      </c>
      <c r="E43" s="186">
        <v>0</v>
      </c>
      <c r="F43" s="221">
        <f t="shared" si="1"/>
        <v>0</v>
      </c>
      <c r="G43" s="1">
        <f>+F43+F42</f>
        <v>1945306000</v>
      </c>
    </row>
    <row r="44" spans="1:7" ht="15" customHeight="1" x14ac:dyDescent="0.3">
      <c r="A44" s="59"/>
      <c r="B44" s="226"/>
      <c r="C44" s="189"/>
      <c r="D44" s="189"/>
      <c r="E44" s="189"/>
      <c r="F44" s="189"/>
    </row>
    <row r="45" spans="1:7" ht="15" customHeight="1" thickBot="1" x14ac:dyDescent="0.35">
      <c r="A45" s="10" t="s">
        <v>13</v>
      </c>
      <c r="B45" s="10"/>
      <c r="C45" s="190">
        <f>SUM(C36:C43)</f>
        <v>2062261341.73</v>
      </c>
      <c r="D45" s="190">
        <f>SUM(D36:D43)</f>
        <v>1533326423.21</v>
      </c>
      <c r="E45" s="190">
        <f>SUM(E36:E43)</f>
        <v>2127543948.1399999</v>
      </c>
      <c r="F45" s="190">
        <f>SUM(F36:F43)</f>
        <v>5723131713.0799999</v>
      </c>
      <c r="G45" s="1">
        <f>+G43+G41+G39+G37</f>
        <v>5723131713.0799999</v>
      </c>
    </row>
    <row r="46" spans="1:7" ht="15" customHeight="1" thickTop="1" x14ac:dyDescent="0.3">
      <c r="A46" s="8" t="s">
        <v>42</v>
      </c>
    </row>
    <row r="47" spans="1:7" ht="15" customHeight="1" x14ac:dyDescent="0.3">
      <c r="A47" s="1" t="s">
        <v>72</v>
      </c>
    </row>
    <row r="48" spans="1:7" ht="15" customHeight="1" x14ac:dyDescent="0.3">
      <c r="A48" s="227"/>
    </row>
    <row r="49" spans="1:5" ht="15" customHeight="1" x14ac:dyDescent="0.3">
      <c r="A49" s="227"/>
    </row>
    <row r="50" spans="1:5" ht="15" customHeight="1" x14ac:dyDescent="0.3">
      <c r="A50" s="227"/>
    </row>
    <row r="51" spans="1:5" ht="15" customHeight="1" x14ac:dyDescent="0.3">
      <c r="A51" s="260" t="s">
        <v>15</v>
      </c>
      <c r="B51" s="260"/>
      <c r="C51" s="260"/>
      <c r="D51" s="260"/>
      <c r="E51" s="260"/>
    </row>
    <row r="52" spans="1:5" ht="15" customHeight="1" x14ac:dyDescent="0.3">
      <c r="A52" s="260" t="s">
        <v>32</v>
      </c>
      <c r="B52" s="260"/>
      <c r="C52" s="260"/>
      <c r="D52" s="260"/>
      <c r="E52" s="260"/>
    </row>
    <row r="53" spans="1:5" ht="15" customHeight="1" x14ac:dyDescent="0.3">
      <c r="A53" s="257" t="s">
        <v>52</v>
      </c>
      <c r="B53" s="257"/>
      <c r="C53" s="257"/>
      <c r="D53" s="257"/>
      <c r="E53" s="257"/>
    </row>
    <row r="54" spans="1:5" ht="15" customHeight="1" x14ac:dyDescent="0.3">
      <c r="A54" s="7"/>
      <c r="B54" s="7"/>
      <c r="C54" s="7"/>
      <c r="D54" s="7"/>
      <c r="E54" s="7"/>
    </row>
    <row r="55" spans="1:5" ht="15" customHeight="1" thickBot="1" x14ac:dyDescent="0.35">
      <c r="A55" s="11" t="s">
        <v>10</v>
      </c>
      <c r="B55" s="9" t="s">
        <v>36</v>
      </c>
      <c r="C55" s="9" t="s">
        <v>37</v>
      </c>
      <c r="D55" s="9" t="s">
        <v>38</v>
      </c>
      <c r="E55" s="9" t="s">
        <v>131</v>
      </c>
    </row>
    <row r="56" spans="1:5" ht="15" customHeight="1" x14ac:dyDescent="0.3">
      <c r="B56" s="47"/>
      <c r="C56" s="47"/>
      <c r="D56" s="47"/>
      <c r="E56" s="47"/>
    </row>
    <row r="57" spans="1:5" ht="15" customHeight="1" x14ac:dyDescent="0.3">
      <c r="A57" s="1" t="s">
        <v>97</v>
      </c>
      <c r="B57" s="46">
        <f>SUM(C36:C37)</f>
        <v>562485720</v>
      </c>
      <c r="C57" s="46">
        <f>SUM(D36:D37)</f>
        <v>341915136</v>
      </c>
      <c r="D57" s="46">
        <f>SUM(E36:E37)</f>
        <v>338316552</v>
      </c>
      <c r="E57" s="46">
        <f t="shared" ref="E57:E60" si="2">SUM(B57:D57)</f>
        <v>1242717408</v>
      </c>
    </row>
    <row r="58" spans="1:5" ht="15" customHeight="1" x14ac:dyDescent="0.3">
      <c r="A58" s="1" t="s">
        <v>98</v>
      </c>
      <c r="B58" s="46">
        <f>SUM(C38:C39)</f>
        <v>188122300</v>
      </c>
      <c r="C58" s="46">
        <f>SUM(D38:D39)</f>
        <v>107897587</v>
      </c>
      <c r="D58" s="46">
        <f>SUM(E38:E39)</f>
        <v>110610276</v>
      </c>
      <c r="E58" s="46">
        <f t="shared" si="2"/>
        <v>406630163</v>
      </c>
    </row>
    <row r="59" spans="1:5" ht="15" customHeight="1" x14ac:dyDescent="0.3">
      <c r="A59" s="1" t="s">
        <v>99</v>
      </c>
      <c r="B59" s="46">
        <f>SUM(C40:C41)</f>
        <v>865751321.73000002</v>
      </c>
      <c r="C59" s="46">
        <f>SUM(D40:D41)</f>
        <v>632361700.21000004</v>
      </c>
      <c r="D59" s="46">
        <f>SUM(E40:E41)</f>
        <v>630365120.13999999</v>
      </c>
      <c r="E59" s="46">
        <f t="shared" si="2"/>
        <v>2128478142.0799999</v>
      </c>
    </row>
    <row r="60" spans="1:5" ht="15" customHeight="1" x14ac:dyDescent="0.3">
      <c r="A60" s="1" t="s">
        <v>100</v>
      </c>
      <c r="B60" s="46">
        <f>SUM(C42:C43)</f>
        <v>445902000</v>
      </c>
      <c r="C60" s="46">
        <f>SUM(D42:D43)</f>
        <v>451152000</v>
      </c>
      <c r="D60" s="46">
        <f>SUM(E42:E43)</f>
        <v>1048252000</v>
      </c>
      <c r="E60" s="46">
        <f t="shared" si="2"/>
        <v>1945306000</v>
      </c>
    </row>
    <row r="61" spans="1:5" ht="15" customHeight="1" x14ac:dyDescent="0.3">
      <c r="B61" s="47"/>
      <c r="C61" s="47"/>
      <c r="D61" s="47"/>
      <c r="E61" s="47"/>
    </row>
    <row r="62" spans="1:5" ht="15" customHeight="1" thickBot="1" x14ac:dyDescent="0.35">
      <c r="A62" s="10" t="s">
        <v>13</v>
      </c>
      <c r="B62" s="48">
        <f>SUM(B57:B61)</f>
        <v>2062261341.73</v>
      </c>
      <c r="C62" s="48">
        <f>SUM(C57:C61)</f>
        <v>1533326423.21</v>
      </c>
      <c r="D62" s="48">
        <f>SUM(D57:D61)</f>
        <v>2127543948.1399999</v>
      </c>
      <c r="E62" s="48">
        <f>SUM(E57:E61)</f>
        <v>5723131713.0799999</v>
      </c>
    </row>
    <row r="63" spans="1:5" ht="15" customHeight="1" thickTop="1" x14ac:dyDescent="0.3">
      <c r="A63" s="1" t="s">
        <v>71</v>
      </c>
    </row>
    <row r="66" spans="1:9" ht="15" customHeight="1" x14ac:dyDescent="0.3">
      <c r="A66" s="258" t="s">
        <v>44</v>
      </c>
      <c r="B66" s="258"/>
      <c r="C66" s="258"/>
      <c r="D66" s="258"/>
      <c r="E66" s="258"/>
      <c r="F66" s="68"/>
    </row>
    <row r="67" spans="1:9" ht="15" customHeight="1" x14ac:dyDescent="0.3">
      <c r="A67" s="258" t="s">
        <v>103</v>
      </c>
      <c r="B67" s="258"/>
      <c r="C67" s="258"/>
      <c r="D67" s="258"/>
      <c r="E67" s="258"/>
      <c r="F67" s="68"/>
    </row>
    <row r="68" spans="1:9" ht="15" customHeight="1" x14ac:dyDescent="0.3">
      <c r="A68" s="259" t="s">
        <v>52</v>
      </c>
      <c r="B68" s="259"/>
      <c r="C68" s="259"/>
      <c r="D68" s="259"/>
      <c r="E68" s="259"/>
      <c r="F68" s="68"/>
    </row>
    <row r="69" spans="1:9" ht="15" customHeight="1" x14ac:dyDescent="0.3">
      <c r="A69" s="69"/>
      <c r="B69" s="69"/>
      <c r="C69" s="69"/>
      <c r="D69" s="69"/>
      <c r="E69" s="69"/>
      <c r="F69" s="68"/>
    </row>
    <row r="70" spans="1:9" ht="15" customHeight="1" thickBot="1" x14ac:dyDescent="0.35">
      <c r="A70" s="70" t="s">
        <v>10</v>
      </c>
      <c r="B70" s="9" t="s">
        <v>36</v>
      </c>
      <c r="C70" s="9" t="s">
        <v>37</v>
      </c>
      <c r="D70" s="9" t="s">
        <v>38</v>
      </c>
      <c r="E70" s="9" t="s">
        <v>131</v>
      </c>
      <c r="F70" s="68"/>
    </row>
    <row r="71" spans="1:9" ht="15" customHeight="1" x14ac:dyDescent="0.3">
      <c r="A71" s="68"/>
      <c r="B71" s="71"/>
      <c r="C71" s="71"/>
      <c r="D71" s="71"/>
      <c r="E71" s="71"/>
      <c r="F71" s="68"/>
    </row>
    <row r="72" spans="1:9" ht="15" customHeight="1" x14ac:dyDescent="0.3">
      <c r="A72" s="68" t="s">
        <v>167</v>
      </c>
      <c r="B72" s="228">
        <f>+$B$134</f>
        <v>0</v>
      </c>
      <c r="C72" s="228">
        <f>B76</f>
        <v>0</v>
      </c>
      <c r="D72" s="228">
        <f>C76</f>
        <v>0</v>
      </c>
      <c r="E72" s="228">
        <f>B72</f>
        <v>0</v>
      </c>
      <c r="F72" s="68"/>
    </row>
    <row r="73" spans="1:9" ht="15" customHeight="1" x14ac:dyDescent="0.3">
      <c r="A73" s="68" t="s">
        <v>16</v>
      </c>
      <c r="B73" s="228">
        <f>+B146</f>
        <v>562485720</v>
      </c>
      <c r="C73" s="228">
        <f t="shared" ref="C73:D73" si="3">+C146</f>
        <v>341915136</v>
      </c>
      <c r="D73" s="228">
        <f t="shared" si="3"/>
        <v>338316552</v>
      </c>
      <c r="E73" s="229">
        <f>+SUM(B73:D73)</f>
        <v>1242717408</v>
      </c>
      <c r="F73" s="68"/>
      <c r="G73" s="226"/>
      <c r="H73" s="226"/>
      <c r="I73" s="226"/>
    </row>
    <row r="74" spans="1:9" ht="15" customHeight="1" x14ac:dyDescent="0.3">
      <c r="A74" s="68" t="s">
        <v>17</v>
      </c>
      <c r="B74" s="228">
        <f>SUM(B72:B73)</f>
        <v>562485720</v>
      </c>
      <c r="C74" s="228">
        <f t="shared" ref="C74:D74" si="4">SUM(C72:C73)</f>
        <v>341915136</v>
      </c>
      <c r="D74" s="228">
        <f t="shared" si="4"/>
        <v>338316552</v>
      </c>
      <c r="E74" s="228">
        <f>+E72+E73</f>
        <v>1242717408</v>
      </c>
      <c r="F74" s="68"/>
    </row>
    <row r="75" spans="1:9" ht="15" customHeight="1" x14ac:dyDescent="0.3">
      <c r="A75" s="68" t="s">
        <v>18</v>
      </c>
      <c r="B75" s="230">
        <f>B57</f>
        <v>562485720</v>
      </c>
      <c r="C75" s="230">
        <f>C57</f>
        <v>341915136</v>
      </c>
      <c r="D75" s="230">
        <f>D57</f>
        <v>338316552</v>
      </c>
      <c r="E75" s="228">
        <f>+SUM(B75:D75)</f>
        <v>1242717408</v>
      </c>
      <c r="F75" s="231"/>
    </row>
    <row r="76" spans="1:9" ht="15" customHeight="1" x14ac:dyDescent="0.3">
      <c r="A76" s="72" t="s">
        <v>19</v>
      </c>
      <c r="B76" s="232">
        <f>B74-B75</f>
        <v>0</v>
      </c>
      <c r="C76" s="232">
        <f>C74-C75</f>
        <v>0</v>
      </c>
      <c r="D76" s="232">
        <f>D74-D75</f>
        <v>0</v>
      </c>
      <c r="E76" s="232">
        <f>+E74-E75</f>
        <v>0</v>
      </c>
      <c r="F76" s="68"/>
    </row>
    <row r="77" spans="1:9" ht="15" customHeight="1" thickBot="1" x14ac:dyDescent="0.35">
      <c r="A77" s="73"/>
      <c r="B77" s="74"/>
      <c r="C77" s="74"/>
      <c r="D77" s="74"/>
      <c r="E77" s="74"/>
      <c r="F77" s="68"/>
    </row>
    <row r="78" spans="1:9" ht="15" customHeight="1" thickTop="1" x14ac:dyDescent="0.3">
      <c r="A78" s="68" t="s">
        <v>71</v>
      </c>
      <c r="B78" s="68"/>
      <c r="C78" s="68"/>
      <c r="D78" s="68"/>
      <c r="E78" s="68"/>
      <c r="F78" s="68"/>
    </row>
    <row r="79" spans="1:9" ht="15" customHeight="1" x14ac:dyDescent="0.3">
      <c r="A79" s="233"/>
      <c r="B79" s="68"/>
      <c r="C79" s="68"/>
      <c r="D79" s="68"/>
      <c r="E79" s="68"/>
      <c r="F79" s="68"/>
    </row>
    <row r="80" spans="1:9" ht="15" customHeight="1" x14ac:dyDescent="0.3">
      <c r="A80" s="233"/>
      <c r="B80" s="68"/>
      <c r="C80" s="68"/>
      <c r="D80" s="68"/>
      <c r="E80" s="68"/>
      <c r="F80" s="68"/>
    </row>
    <row r="81" spans="1:6" ht="15" customHeight="1" x14ac:dyDescent="0.3">
      <c r="A81" s="258" t="s">
        <v>45</v>
      </c>
      <c r="B81" s="258"/>
      <c r="C81" s="258"/>
      <c r="D81" s="258"/>
      <c r="E81" s="258"/>
      <c r="F81" s="68"/>
    </row>
    <row r="82" spans="1:6" ht="15" customHeight="1" x14ac:dyDescent="0.3">
      <c r="A82" s="258" t="s">
        <v>101</v>
      </c>
      <c r="B82" s="258"/>
      <c r="C82" s="258"/>
      <c r="D82" s="258"/>
      <c r="E82" s="258"/>
      <c r="F82" s="68"/>
    </row>
    <row r="83" spans="1:6" ht="15" customHeight="1" x14ac:dyDescent="0.3">
      <c r="A83" s="259" t="s">
        <v>52</v>
      </c>
      <c r="B83" s="259"/>
      <c r="C83" s="259"/>
      <c r="D83" s="259"/>
      <c r="E83" s="259"/>
      <c r="F83" s="68"/>
    </row>
    <row r="84" spans="1:6" ht="15" customHeight="1" x14ac:dyDescent="0.3">
      <c r="A84" s="69"/>
      <c r="B84" s="69"/>
      <c r="C84" s="69"/>
      <c r="D84" s="69"/>
      <c r="E84" s="69"/>
      <c r="F84" s="68"/>
    </row>
    <row r="85" spans="1:6" ht="15" customHeight="1" thickBot="1" x14ac:dyDescent="0.35">
      <c r="A85" s="70" t="s">
        <v>10</v>
      </c>
      <c r="B85" s="9" t="s">
        <v>36</v>
      </c>
      <c r="C85" s="9" t="s">
        <v>37</v>
      </c>
      <c r="D85" s="9" t="s">
        <v>38</v>
      </c>
      <c r="E85" s="9" t="s">
        <v>131</v>
      </c>
      <c r="F85" s="68"/>
    </row>
    <row r="86" spans="1:6" ht="15" customHeight="1" x14ac:dyDescent="0.3">
      <c r="A86" s="68"/>
      <c r="B86" s="71"/>
      <c r="C86" s="71"/>
      <c r="D86" s="71"/>
      <c r="E86" s="71"/>
      <c r="F86" s="68"/>
    </row>
    <row r="87" spans="1:6" ht="15" customHeight="1" x14ac:dyDescent="0.3">
      <c r="A87" s="68" t="s">
        <v>167</v>
      </c>
      <c r="B87" s="228">
        <f>+$B$135</f>
        <v>0</v>
      </c>
      <c r="C87" s="228">
        <f>B91</f>
        <v>0</v>
      </c>
      <c r="D87" s="228">
        <f>C91</f>
        <v>0</v>
      </c>
      <c r="E87" s="228">
        <f>B87</f>
        <v>0</v>
      </c>
      <c r="F87" s="68"/>
    </row>
    <row r="88" spans="1:6" ht="15" customHeight="1" x14ac:dyDescent="0.3">
      <c r="A88" s="68" t="s">
        <v>16</v>
      </c>
      <c r="B88" s="228">
        <f>+B147</f>
        <v>188122300</v>
      </c>
      <c r="C88" s="228">
        <f t="shared" ref="C88:D88" si="5">+C147</f>
        <v>107897587</v>
      </c>
      <c r="D88" s="228">
        <f t="shared" si="5"/>
        <v>110610276</v>
      </c>
      <c r="E88" s="229">
        <f>+SUM(B88:D88)</f>
        <v>406630163</v>
      </c>
      <c r="F88" s="68"/>
    </row>
    <row r="89" spans="1:6" ht="15" customHeight="1" x14ac:dyDescent="0.3">
      <c r="A89" s="68" t="s">
        <v>17</v>
      </c>
      <c r="B89" s="228">
        <f>B87+B88</f>
        <v>188122300</v>
      </c>
      <c r="C89" s="228">
        <f t="shared" ref="C89:D89" si="6">C87+C88</f>
        <v>107897587</v>
      </c>
      <c r="D89" s="228">
        <f t="shared" si="6"/>
        <v>110610276</v>
      </c>
      <c r="E89" s="228">
        <f>+E87+E88</f>
        <v>406630163</v>
      </c>
      <c r="F89" s="68"/>
    </row>
    <row r="90" spans="1:6" ht="15" customHeight="1" x14ac:dyDescent="0.3">
      <c r="A90" s="68" t="s">
        <v>18</v>
      </c>
      <c r="B90" s="230">
        <f>+B58</f>
        <v>188122300</v>
      </c>
      <c r="C90" s="230">
        <f>+C58</f>
        <v>107897587</v>
      </c>
      <c r="D90" s="230">
        <f>+D58</f>
        <v>110610276</v>
      </c>
      <c r="E90" s="228">
        <f>+SUM(B90:D90)</f>
        <v>406630163</v>
      </c>
      <c r="F90" s="68"/>
    </row>
    <row r="91" spans="1:6" ht="15" customHeight="1" x14ac:dyDescent="0.3">
      <c r="A91" s="72" t="s">
        <v>19</v>
      </c>
      <c r="B91" s="232">
        <f>B89-B90</f>
        <v>0</v>
      </c>
      <c r="C91" s="232">
        <f>C89-C90</f>
        <v>0</v>
      </c>
      <c r="D91" s="232">
        <f>D89-D90</f>
        <v>0</v>
      </c>
      <c r="E91" s="232">
        <f>+E89-E90</f>
        <v>0</v>
      </c>
      <c r="F91" s="68"/>
    </row>
    <row r="92" spans="1:6" ht="15" customHeight="1" thickBot="1" x14ac:dyDescent="0.35">
      <c r="A92" s="73"/>
      <c r="B92" s="74"/>
      <c r="C92" s="74"/>
      <c r="D92" s="74"/>
      <c r="E92" s="74"/>
      <c r="F92" s="68"/>
    </row>
    <row r="93" spans="1:6" ht="15" customHeight="1" thickTop="1" x14ac:dyDescent="0.3">
      <c r="A93" s="68" t="s">
        <v>71</v>
      </c>
      <c r="B93" s="68"/>
      <c r="C93" s="68"/>
      <c r="D93" s="68"/>
      <c r="E93" s="68"/>
      <c r="F93" s="68"/>
    </row>
    <row r="94" spans="1:6" ht="15" customHeight="1" x14ac:dyDescent="0.3">
      <c r="A94" s="233"/>
      <c r="B94" s="68"/>
      <c r="C94" s="68"/>
      <c r="D94" s="68"/>
      <c r="E94" s="68"/>
      <c r="F94" s="68"/>
    </row>
    <row r="95" spans="1:6" ht="15" customHeight="1" x14ac:dyDescent="0.3">
      <c r="A95" s="233"/>
      <c r="B95" s="68"/>
      <c r="C95" s="68"/>
      <c r="D95" s="68"/>
      <c r="E95" s="68"/>
      <c r="F95" s="68"/>
    </row>
    <row r="96" spans="1:6" ht="15" customHeight="1" x14ac:dyDescent="0.3">
      <c r="A96" s="233"/>
      <c r="B96" s="68"/>
      <c r="C96" s="68"/>
      <c r="D96" s="68"/>
      <c r="E96" s="68"/>
      <c r="F96" s="68"/>
    </row>
    <row r="97" spans="1:10" ht="15" customHeight="1" x14ac:dyDescent="0.3">
      <c r="A97" s="68"/>
      <c r="B97" s="68"/>
      <c r="C97" s="68"/>
      <c r="D97" s="68"/>
      <c r="E97" s="68"/>
      <c r="F97" s="68"/>
    </row>
    <row r="98" spans="1:10" ht="15" customHeight="1" x14ac:dyDescent="0.3">
      <c r="A98" s="258" t="s">
        <v>102</v>
      </c>
      <c r="B98" s="258"/>
      <c r="C98" s="258"/>
      <c r="D98" s="258"/>
      <c r="E98" s="258"/>
      <c r="F98" s="68"/>
    </row>
    <row r="99" spans="1:10" ht="15" customHeight="1" x14ac:dyDescent="0.3">
      <c r="A99" s="258" t="s">
        <v>49</v>
      </c>
      <c r="B99" s="258"/>
      <c r="C99" s="258"/>
      <c r="D99" s="258"/>
      <c r="E99" s="258"/>
      <c r="F99" s="68"/>
      <c r="H99" s="39"/>
      <c r="J99" s="227"/>
    </row>
    <row r="100" spans="1:10" ht="15" customHeight="1" x14ac:dyDescent="0.3">
      <c r="A100" s="259" t="s">
        <v>52</v>
      </c>
      <c r="B100" s="259"/>
      <c r="C100" s="259"/>
      <c r="D100" s="259"/>
      <c r="E100" s="259"/>
      <c r="F100" s="75"/>
    </row>
    <row r="101" spans="1:10" ht="15" customHeight="1" x14ac:dyDescent="0.3">
      <c r="A101" s="69"/>
      <c r="B101" s="69"/>
      <c r="C101" s="69"/>
      <c r="D101" s="69"/>
      <c r="E101" s="69"/>
      <c r="F101" s="68"/>
    </row>
    <row r="102" spans="1:10" ht="15" customHeight="1" thickBot="1" x14ac:dyDescent="0.35">
      <c r="A102" s="70" t="s">
        <v>10</v>
      </c>
      <c r="B102" s="9" t="s">
        <v>36</v>
      </c>
      <c r="C102" s="9" t="s">
        <v>37</v>
      </c>
      <c r="D102" s="9" t="s">
        <v>38</v>
      </c>
      <c r="E102" s="9" t="s">
        <v>131</v>
      </c>
      <c r="F102" s="68"/>
    </row>
    <row r="103" spans="1:10" ht="15" customHeight="1" x14ac:dyDescent="0.3">
      <c r="A103" s="68"/>
      <c r="B103" s="71"/>
      <c r="C103" s="71"/>
      <c r="D103" s="71"/>
      <c r="E103" s="71"/>
      <c r="F103" s="68"/>
    </row>
    <row r="104" spans="1:10" ht="15" customHeight="1" x14ac:dyDescent="0.3">
      <c r="A104" s="68" t="s">
        <v>167</v>
      </c>
      <c r="B104" s="228">
        <f>+B136</f>
        <v>0</v>
      </c>
      <c r="C104" s="228">
        <f>B108</f>
        <v>0</v>
      </c>
      <c r="D104" s="228">
        <f>C108</f>
        <v>0</v>
      </c>
      <c r="E104" s="228">
        <f>+B104</f>
        <v>0</v>
      </c>
      <c r="F104" s="68"/>
    </row>
    <row r="105" spans="1:10" ht="15" customHeight="1" x14ac:dyDescent="0.3">
      <c r="A105" s="68" t="s">
        <v>16</v>
      </c>
      <c r="B105" s="228">
        <f>+B148</f>
        <v>865751321.73000002</v>
      </c>
      <c r="C105" s="228">
        <f t="shared" ref="C105:D105" si="7">+C148</f>
        <v>632361700.21000004</v>
      </c>
      <c r="D105" s="228">
        <f t="shared" si="7"/>
        <v>630365120.13999999</v>
      </c>
      <c r="E105" s="229">
        <f>SUM(B105:D105)</f>
        <v>2128478142.0799999</v>
      </c>
      <c r="F105" s="68"/>
      <c r="G105" s="226"/>
      <c r="H105" s="226"/>
      <c r="I105" s="226"/>
    </row>
    <row r="106" spans="1:10" ht="15" customHeight="1" x14ac:dyDescent="0.3">
      <c r="A106" s="68" t="s">
        <v>17</v>
      </c>
      <c r="B106" s="228">
        <f>SUM(B104:B105)</f>
        <v>865751321.73000002</v>
      </c>
      <c r="C106" s="228">
        <f t="shared" ref="C106:D106" si="8">SUM(C104:C105)</f>
        <v>632361700.21000004</v>
      </c>
      <c r="D106" s="228">
        <f t="shared" si="8"/>
        <v>630365120.13999999</v>
      </c>
      <c r="E106" s="228">
        <f>SUM(E104:E105)</f>
        <v>2128478142.0799999</v>
      </c>
      <c r="F106" s="68"/>
    </row>
    <row r="107" spans="1:10" ht="15" customHeight="1" x14ac:dyDescent="0.3">
      <c r="A107" s="68" t="s">
        <v>18</v>
      </c>
      <c r="B107" s="228">
        <f>+B59</f>
        <v>865751321.73000002</v>
      </c>
      <c r="C107" s="228">
        <f>+C59</f>
        <v>632361700.21000004</v>
      </c>
      <c r="D107" s="228">
        <f>+D59</f>
        <v>630365120.13999999</v>
      </c>
      <c r="E107" s="228">
        <f>+SUM(B107:D107)</f>
        <v>2128478142.0799999</v>
      </c>
      <c r="F107" s="231"/>
    </row>
    <row r="108" spans="1:10" ht="15" customHeight="1" x14ac:dyDescent="0.3">
      <c r="A108" s="72" t="s">
        <v>19</v>
      </c>
      <c r="B108" s="234">
        <f>B106-B107</f>
        <v>0</v>
      </c>
      <c r="C108" s="234">
        <f t="shared" ref="C108:D108" si="9">C106-C107</f>
        <v>0</v>
      </c>
      <c r="D108" s="234">
        <f t="shared" si="9"/>
        <v>0</v>
      </c>
      <c r="E108" s="234">
        <f>+E106-E107</f>
        <v>0</v>
      </c>
      <c r="F108" s="68"/>
    </row>
    <row r="109" spans="1:10" ht="15" customHeight="1" thickBot="1" x14ac:dyDescent="0.35">
      <c r="A109" s="73"/>
      <c r="B109" s="76"/>
      <c r="C109" s="73"/>
      <c r="D109" s="73"/>
      <c r="E109" s="73"/>
      <c r="F109" s="68"/>
    </row>
    <row r="110" spans="1:10" ht="15" customHeight="1" thickTop="1" x14ac:dyDescent="0.3">
      <c r="A110" s="68" t="s">
        <v>71</v>
      </c>
      <c r="B110" s="68"/>
      <c r="C110" s="68"/>
      <c r="D110" s="68"/>
      <c r="E110" s="68"/>
      <c r="F110" s="68"/>
    </row>
    <row r="111" spans="1:10" ht="15" customHeight="1" x14ac:dyDescent="0.3">
      <c r="A111" s="68"/>
      <c r="B111" s="68"/>
      <c r="C111" s="68"/>
      <c r="D111" s="68"/>
      <c r="E111" s="68"/>
      <c r="F111" s="68"/>
    </row>
    <row r="112" spans="1:10" ht="15" customHeight="1" x14ac:dyDescent="0.3">
      <c r="A112" s="68"/>
      <c r="B112" s="68"/>
      <c r="C112" s="68"/>
      <c r="D112" s="68"/>
      <c r="E112" s="68"/>
      <c r="F112" s="68"/>
    </row>
    <row r="113" spans="1:7" ht="15" customHeight="1" x14ac:dyDescent="0.3">
      <c r="A113" s="258" t="s">
        <v>105</v>
      </c>
      <c r="B113" s="258"/>
      <c r="C113" s="258"/>
      <c r="D113" s="258"/>
      <c r="E113" s="258"/>
      <c r="F113" s="68"/>
    </row>
    <row r="114" spans="1:7" ht="15" customHeight="1" x14ac:dyDescent="0.3">
      <c r="A114" s="258" t="s">
        <v>104</v>
      </c>
      <c r="B114" s="258"/>
      <c r="C114" s="258"/>
      <c r="D114" s="258"/>
      <c r="E114" s="258"/>
      <c r="F114" s="68"/>
    </row>
    <row r="115" spans="1:7" ht="15" customHeight="1" x14ac:dyDescent="0.3">
      <c r="A115" s="259" t="s">
        <v>52</v>
      </c>
      <c r="B115" s="259"/>
      <c r="C115" s="259"/>
      <c r="D115" s="259"/>
      <c r="E115" s="259"/>
      <c r="F115" s="75"/>
    </row>
    <row r="116" spans="1:7" ht="15" customHeight="1" x14ac:dyDescent="0.3">
      <c r="A116" s="69"/>
      <c r="B116" s="69"/>
      <c r="C116" s="69"/>
      <c r="D116" s="69"/>
      <c r="E116" s="69"/>
      <c r="F116" s="75" t="s">
        <v>54</v>
      </c>
    </row>
    <row r="117" spans="1:7" ht="15" customHeight="1" thickBot="1" x14ac:dyDescent="0.35">
      <c r="A117" s="70" t="s">
        <v>10</v>
      </c>
      <c r="B117" s="9" t="s">
        <v>36</v>
      </c>
      <c r="C117" s="9" t="s">
        <v>37</v>
      </c>
      <c r="D117" s="9" t="s">
        <v>38</v>
      </c>
      <c r="E117" s="9" t="s">
        <v>131</v>
      </c>
      <c r="F117" s="182"/>
      <c r="G117" s="1">
        <f>+E120+E105+E88+E73</f>
        <v>5723131713.0799999</v>
      </c>
    </row>
    <row r="118" spans="1:7" ht="15" customHeight="1" x14ac:dyDescent="0.3">
      <c r="A118" s="68"/>
      <c r="B118" s="71"/>
      <c r="C118" s="71"/>
      <c r="D118" s="71"/>
      <c r="E118" s="71"/>
      <c r="F118" s="68"/>
    </row>
    <row r="119" spans="1:7" ht="15" customHeight="1" x14ac:dyDescent="0.3">
      <c r="A119" s="68" t="s">
        <v>167</v>
      </c>
      <c r="B119" s="228">
        <f>+$B$137</f>
        <v>0</v>
      </c>
      <c r="C119" s="228">
        <f>B123</f>
        <v>0</v>
      </c>
      <c r="D119" s="228">
        <f>C123</f>
        <v>0</v>
      </c>
      <c r="E119" s="228">
        <f>+B119</f>
        <v>0</v>
      </c>
      <c r="F119" s="68"/>
    </row>
    <row r="120" spans="1:7" ht="15" customHeight="1" x14ac:dyDescent="0.3">
      <c r="A120" s="68" t="s">
        <v>16</v>
      </c>
      <c r="B120" s="228">
        <f>+B149</f>
        <v>445902000</v>
      </c>
      <c r="C120" s="228">
        <f t="shared" ref="C120:D120" si="10">+C149</f>
        <v>451152000</v>
      </c>
      <c r="D120" s="228">
        <f t="shared" si="10"/>
        <v>1048252000</v>
      </c>
      <c r="E120" s="229">
        <f>SUM(B120:D120)</f>
        <v>1945306000</v>
      </c>
      <c r="F120" s="68"/>
    </row>
    <row r="121" spans="1:7" ht="15" customHeight="1" x14ac:dyDescent="0.3">
      <c r="A121" s="68" t="s">
        <v>17</v>
      </c>
      <c r="B121" s="228">
        <f>SUM(B119:B120)</f>
        <v>445902000</v>
      </c>
      <c r="C121" s="228">
        <f t="shared" ref="C121:D121" si="11">SUM(C119:C120)</f>
        <v>451152000</v>
      </c>
      <c r="D121" s="228">
        <f t="shared" si="11"/>
        <v>1048252000</v>
      </c>
      <c r="E121" s="228">
        <f>SUM(E119:E120)</f>
        <v>1945306000</v>
      </c>
      <c r="F121" s="68"/>
    </row>
    <row r="122" spans="1:7" ht="15" customHeight="1" x14ac:dyDescent="0.3">
      <c r="A122" s="68" t="s">
        <v>18</v>
      </c>
      <c r="B122" s="228">
        <f>+B60</f>
        <v>445902000</v>
      </c>
      <c r="C122" s="228">
        <f>+C60</f>
        <v>451152000</v>
      </c>
      <c r="D122" s="228">
        <f>+D60</f>
        <v>1048252000</v>
      </c>
      <c r="E122" s="228">
        <f>+SUM(B122:D122)</f>
        <v>1945306000</v>
      </c>
      <c r="F122" s="231"/>
    </row>
    <row r="123" spans="1:7" ht="15" customHeight="1" x14ac:dyDescent="0.3">
      <c r="A123" s="72" t="s">
        <v>19</v>
      </c>
      <c r="B123" s="234">
        <f>B121-B122</f>
        <v>0</v>
      </c>
      <c r="C123" s="234">
        <f>C121-C122</f>
        <v>0</v>
      </c>
      <c r="D123" s="234">
        <f>D121-D122</f>
        <v>0</v>
      </c>
      <c r="E123" s="234">
        <f>+E121-E122</f>
        <v>0</v>
      </c>
      <c r="F123" s="68"/>
    </row>
    <row r="124" spans="1:7" ht="15" customHeight="1" thickBot="1" x14ac:dyDescent="0.35">
      <c r="A124" s="73"/>
      <c r="B124" s="76"/>
      <c r="C124" s="73"/>
      <c r="D124" s="73"/>
      <c r="E124" s="73"/>
      <c r="F124" s="68"/>
    </row>
    <row r="125" spans="1:7" ht="15" customHeight="1" thickTop="1" x14ac:dyDescent="0.3">
      <c r="A125" s="68" t="s">
        <v>71</v>
      </c>
      <c r="B125" s="68"/>
      <c r="C125" s="68"/>
      <c r="D125" s="68"/>
      <c r="E125" s="68"/>
      <c r="F125" s="68"/>
    </row>
    <row r="126" spans="1:7" ht="15" customHeight="1" x14ac:dyDescent="0.3">
      <c r="A126" s="68"/>
      <c r="B126" s="68"/>
      <c r="C126" s="68"/>
      <c r="D126" s="68"/>
      <c r="E126" s="68"/>
      <c r="F126" s="68"/>
    </row>
    <row r="127" spans="1:7" ht="15" customHeight="1" x14ac:dyDescent="0.3">
      <c r="A127" s="68"/>
      <c r="B127" s="68"/>
      <c r="C127" s="68"/>
      <c r="D127" s="68"/>
      <c r="E127" s="68"/>
      <c r="F127" s="68"/>
    </row>
    <row r="128" spans="1:7" ht="15" customHeight="1" x14ac:dyDescent="0.3">
      <c r="A128" s="68" t="s">
        <v>71</v>
      </c>
      <c r="B128" s="68"/>
      <c r="C128" s="68"/>
      <c r="D128" s="68"/>
      <c r="E128" s="68"/>
      <c r="F128" s="68"/>
    </row>
    <row r="129" spans="1:6" ht="15" customHeight="1" x14ac:dyDescent="0.3">
      <c r="A129" s="68"/>
      <c r="B129" s="68"/>
      <c r="C129" s="68"/>
      <c r="D129" s="68"/>
      <c r="E129" s="68"/>
      <c r="F129" s="68"/>
    </row>
    <row r="130" spans="1:6" ht="33" customHeight="1" x14ac:dyDescent="0.3">
      <c r="A130" s="68"/>
      <c r="B130" s="68"/>
      <c r="C130" s="68"/>
      <c r="D130" s="68"/>
      <c r="E130" s="68"/>
      <c r="F130" s="68"/>
    </row>
    <row r="131" spans="1:6" ht="15" customHeight="1" x14ac:dyDescent="0.3">
      <c r="A131" s="68"/>
      <c r="B131" s="68"/>
      <c r="C131" s="68"/>
      <c r="D131" s="68"/>
      <c r="E131" s="68"/>
      <c r="F131" s="68"/>
    </row>
    <row r="132" spans="1:6" ht="15" customHeight="1" x14ac:dyDescent="0.3">
      <c r="A132" s="231" t="s">
        <v>145</v>
      </c>
      <c r="B132" s="68"/>
      <c r="C132" s="68"/>
      <c r="D132" s="68"/>
      <c r="E132" s="68"/>
      <c r="F132" s="68"/>
    </row>
    <row r="133" spans="1:6" ht="15" customHeight="1" x14ac:dyDescent="0.3">
      <c r="A133" s="255" t="s">
        <v>163</v>
      </c>
      <c r="B133" s="256"/>
      <c r="C133" s="68"/>
      <c r="D133" s="191" t="s">
        <v>165</v>
      </c>
      <c r="E133" s="68"/>
      <c r="F133" s="68"/>
    </row>
    <row r="134" spans="1:6" ht="15" customHeight="1" x14ac:dyDescent="0.3">
      <c r="A134" s="235" t="s">
        <v>168</v>
      </c>
      <c r="B134" s="236">
        <f>+'III T'!E76</f>
        <v>0</v>
      </c>
      <c r="C134" s="178"/>
      <c r="D134" s="191">
        <f>+E76</f>
        <v>0</v>
      </c>
      <c r="E134" s="178"/>
      <c r="F134" s="68"/>
    </row>
    <row r="135" spans="1:6" ht="15" customHeight="1" x14ac:dyDescent="0.3">
      <c r="A135" s="235" t="s">
        <v>169</v>
      </c>
      <c r="B135" s="236">
        <f>+'III T'!E91</f>
        <v>0</v>
      </c>
      <c r="C135" s="178"/>
      <c r="D135" s="191">
        <f>+E91</f>
        <v>0</v>
      </c>
      <c r="E135" s="178"/>
      <c r="F135" s="68"/>
    </row>
    <row r="136" spans="1:6" ht="15" customHeight="1" x14ac:dyDescent="0.3">
      <c r="A136" s="235" t="s">
        <v>170</v>
      </c>
      <c r="B136" s="236">
        <v>0</v>
      </c>
      <c r="C136" s="68"/>
      <c r="D136" s="191">
        <f>+E108</f>
        <v>0</v>
      </c>
      <c r="E136" s="68"/>
      <c r="F136" s="68"/>
    </row>
    <row r="137" spans="1:6" ht="15" customHeight="1" x14ac:dyDescent="0.3">
      <c r="A137" s="235" t="s">
        <v>171</v>
      </c>
      <c r="B137" s="236">
        <f>+'III T'!E123</f>
        <v>0</v>
      </c>
      <c r="C137" s="68"/>
      <c r="D137" s="191">
        <f>+E123</f>
        <v>0</v>
      </c>
      <c r="E137" s="68"/>
      <c r="F137" s="68"/>
    </row>
    <row r="138" spans="1:6" ht="15" customHeight="1" x14ac:dyDescent="0.3">
      <c r="A138" s="235" t="s">
        <v>172</v>
      </c>
      <c r="B138" s="236">
        <v>0</v>
      </c>
      <c r="C138" s="68"/>
      <c r="D138" s="191"/>
      <c r="E138" s="68"/>
      <c r="F138" s="68"/>
    </row>
    <row r="139" spans="1:6" ht="15" customHeight="1" thickBot="1" x14ac:dyDescent="0.35">
      <c r="A139" s="175" t="s">
        <v>132</v>
      </c>
      <c r="B139" s="176">
        <f>SUM(B134:B138)</f>
        <v>0</v>
      </c>
      <c r="C139" s="68"/>
      <c r="D139" s="192">
        <f>SUM(D134:D138)</f>
        <v>0</v>
      </c>
      <c r="E139" s="68"/>
      <c r="F139" s="68"/>
    </row>
    <row r="140" spans="1:6" ht="15" customHeight="1" x14ac:dyDescent="0.3">
      <c r="A140" s="68"/>
      <c r="B140" s="68"/>
      <c r="C140" s="68"/>
      <c r="D140" s="68"/>
      <c r="E140" s="68"/>
      <c r="F140" s="68"/>
    </row>
    <row r="141" spans="1:6" ht="15" customHeight="1" x14ac:dyDescent="0.3">
      <c r="B141" s="145"/>
    </row>
    <row r="142" spans="1:6" s="179" customFormat="1" ht="15" customHeight="1" x14ac:dyDescent="0.3"/>
    <row r="144" spans="1:6" ht="15" customHeight="1" x14ac:dyDescent="0.3">
      <c r="B144" s="231" t="s">
        <v>162</v>
      </c>
    </row>
    <row r="145" spans="1:5" ht="15" customHeight="1" x14ac:dyDescent="0.3">
      <c r="A145" s="172" t="s">
        <v>107</v>
      </c>
      <c r="B145" s="172" t="s">
        <v>36</v>
      </c>
      <c r="C145" s="172" t="s">
        <v>37</v>
      </c>
      <c r="D145" s="172" t="s">
        <v>38</v>
      </c>
      <c r="E145" s="172" t="s">
        <v>131</v>
      </c>
    </row>
    <row r="146" spans="1:5" ht="15" customHeight="1" x14ac:dyDescent="0.3">
      <c r="A146" s="237" t="s">
        <v>108</v>
      </c>
      <c r="B146" s="238">
        <v>562485720</v>
      </c>
      <c r="C146" s="238">
        <v>341915136</v>
      </c>
      <c r="D146" s="238">
        <v>338316552</v>
      </c>
      <c r="E146" s="238">
        <f>+B146+C146+D146</f>
        <v>1242717408</v>
      </c>
    </row>
    <row r="147" spans="1:5" ht="15" customHeight="1" x14ac:dyDescent="0.3">
      <c r="A147" s="237" t="s">
        <v>109</v>
      </c>
      <c r="B147" s="238">
        <v>188122300</v>
      </c>
      <c r="C147" s="238">
        <v>107897587</v>
      </c>
      <c r="D147" s="238">
        <v>110610276</v>
      </c>
      <c r="E147" s="238">
        <f t="shared" ref="E147:E149" si="12">+B147+C147+D147</f>
        <v>406630163</v>
      </c>
    </row>
    <row r="148" spans="1:5" ht="15" customHeight="1" x14ac:dyDescent="0.3">
      <c r="A148" s="239" t="s">
        <v>106</v>
      </c>
      <c r="B148" s="240">
        <v>865751321.73000002</v>
      </c>
      <c r="C148" s="240">
        <v>632361700.21000004</v>
      </c>
      <c r="D148" s="240">
        <v>630365120.13999999</v>
      </c>
      <c r="E148" s="238">
        <f t="shared" si="12"/>
        <v>2128478142.0799999</v>
      </c>
    </row>
    <row r="149" spans="1:5" ht="15" customHeight="1" x14ac:dyDescent="0.3">
      <c r="A149" s="237" t="s">
        <v>80</v>
      </c>
      <c r="B149" s="181">
        <v>445902000</v>
      </c>
      <c r="C149" s="39">
        <v>451152000</v>
      </c>
      <c r="D149" s="39">
        <v>1048252000</v>
      </c>
      <c r="E149" s="238">
        <f t="shared" si="12"/>
        <v>1945306000</v>
      </c>
    </row>
    <row r="150" spans="1:5" ht="15" customHeight="1" x14ac:dyDescent="0.3">
      <c r="A150" s="237"/>
      <c r="B150" s="238"/>
      <c r="C150" s="238"/>
      <c r="D150" s="238"/>
      <c r="E150" s="238"/>
    </row>
    <row r="151" spans="1:5" ht="15" customHeight="1" thickBot="1" x14ac:dyDescent="0.35">
      <c r="A151" s="241"/>
      <c r="B151" s="242"/>
      <c r="C151" s="242"/>
      <c r="D151" s="242"/>
      <c r="E151" s="242"/>
    </row>
    <row r="152" spans="1:5" ht="15" customHeight="1" thickBot="1" x14ac:dyDescent="0.35">
      <c r="A152" s="173"/>
      <c r="B152" s="174">
        <f>SUM(B146:B151)</f>
        <v>2062261341.73</v>
      </c>
      <c r="C152" s="174">
        <f t="shared" ref="C152:E152" si="13">SUM(C146:C151)</f>
        <v>1533326423.21</v>
      </c>
      <c r="D152" s="174">
        <f t="shared" si="13"/>
        <v>2127543948.1399999</v>
      </c>
      <c r="E152" s="174">
        <f t="shared" si="13"/>
        <v>5723131713.0799999</v>
      </c>
    </row>
    <row r="155" spans="1:5" ht="15" customHeight="1" x14ac:dyDescent="0.3">
      <c r="A155" s="172" t="s">
        <v>107</v>
      </c>
      <c r="B155" s="177" t="s">
        <v>114</v>
      </c>
    </row>
    <row r="156" spans="1:5" ht="15" customHeight="1" x14ac:dyDescent="0.3">
      <c r="A156" s="237" t="s">
        <v>108</v>
      </c>
      <c r="B156" s="243">
        <v>0</v>
      </c>
    </row>
    <row r="157" spans="1:5" ht="15" customHeight="1" x14ac:dyDescent="0.3">
      <c r="A157" s="237" t="s">
        <v>109</v>
      </c>
      <c r="B157" s="243">
        <v>0</v>
      </c>
    </row>
    <row r="158" spans="1:5" ht="15" customHeight="1" x14ac:dyDescent="0.3">
      <c r="A158" s="239" t="s">
        <v>106</v>
      </c>
      <c r="B158" s="244">
        <v>0</v>
      </c>
    </row>
    <row r="159" spans="1:5" ht="15" customHeight="1" x14ac:dyDescent="0.3">
      <c r="A159" s="237" t="s">
        <v>80</v>
      </c>
      <c r="B159" s="243">
        <v>0</v>
      </c>
    </row>
    <row r="160" spans="1:5" ht="15" customHeight="1" x14ac:dyDescent="0.3">
      <c r="A160" s="237"/>
      <c r="B160" s="243"/>
    </row>
    <row r="161" spans="1:8" ht="15" customHeight="1" thickBot="1" x14ac:dyDescent="0.35">
      <c r="A161" s="241"/>
      <c r="B161" s="245"/>
    </row>
    <row r="162" spans="1:8" ht="15" customHeight="1" thickBot="1" x14ac:dyDescent="0.35">
      <c r="A162" s="173" t="s">
        <v>144</v>
      </c>
      <c r="B162" s="206">
        <f>SUM(B156:B161)</f>
        <v>0</v>
      </c>
    </row>
    <row r="163" spans="1:8" ht="15" customHeight="1" x14ac:dyDescent="0.3">
      <c r="H163" s="180"/>
    </row>
  </sheetData>
  <mergeCells count="27">
    <mergeCell ref="A114:E114"/>
    <mergeCell ref="A115:E115"/>
    <mergeCell ref="A133:B133"/>
    <mergeCell ref="A82:E82"/>
    <mergeCell ref="A83:E83"/>
    <mergeCell ref="A98:E98"/>
    <mergeCell ref="A99:E99"/>
    <mergeCell ref="A100:E100"/>
    <mergeCell ref="A113:E113"/>
    <mergeCell ref="A81:E81"/>
    <mergeCell ref="A19:A21"/>
    <mergeCell ref="A22:A24"/>
    <mergeCell ref="A30:F30"/>
    <mergeCell ref="A31:F31"/>
    <mergeCell ref="A32:F32"/>
    <mergeCell ref="A51:E51"/>
    <mergeCell ref="A52:E52"/>
    <mergeCell ref="A53:E53"/>
    <mergeCell ref="A66:E66"/>
    <mergeCell ref="A67:E67"/>
    <mergeCell ref="A68:E68"/>
    <mergeCell ref="A16:A18"/>
    <mergeCell ref="A1:F1"/>
    <mergeCell ref="A7:F7"/>
    <mergeCell ref="A8:F8"/>
    <mergeCell ref="A9:F9"/>
    <mergeCell ref="A13:A15"/>
  </mergeCells>
  <printOptions horizontalCentered="1" verticalCentered="1"/>
  <pageMargins left="0.70866141732283472" right="1.18" top="0.3" bottom="0.2" header="0.31496062992125984" footer="0.31496062992125984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F127"/>
  <sheetViews>
    <sheetView zoomScale="90" zoomScaleNormal="90" workbookViewId="0">
      <selection activeCell="E108" sqref="E108"/>
    </sheetView>
  </sheetViews>
  <sheetFormatPr baseColWidth="10" defaultColWidth="11.5546875" defaultRowHeight="14.4" x14ac:dyDescent="0.3"/>
  <cols>
    <col min="1" max="1" width="65.5546875" style="19" customWidth="1"/>
    <col min="2" max="2" width="23.21875" style="13" customWidth="1"/>
    <col min="3" max="3" width="18.5546875" style="13" customWidth="1"/>
    <col min="4" max="4" width="16.77734375" style="13" bestFit="1" customWidth="1"/>
    <col min="5" max="5" width="17.44140625" style="13" customWidth="1"/>
    <col min="6" max="6" width="11.5546875" style="13"/>
    <col min="7" max="7" width="15.21875" style="13" bestFit="1" customWidth="1"/>
    <col min="8" max="8" width="13.5546875" style="13" bestFit="1" customWidth="1"/>
    <col min="9" max="9" width="14.21875" style="13" bestFit="1" customWidth="1"/>
    <col min="10" max="16384" width="11.5546875" style="13"/>
  </cols>
  <sheetData>
    <row r="1" spans="1:6" ht="15" customHeight="1" x14ac:dyDescent="0.3">
      <c r="A1" s="265" t="s">
        <v>20</v>
      </c>
      <c r="B1" s="265"/>
      <c r="C1" s="265"/>
      <c r="D1" s="265"/>
      <c r="E1" s="265"/>
    </row>
    <row r="2" spans="1:6" ht="15" customHeight="1" x14ac:dyDescent="0.3">
      <c r="A2" s="3" t="s">
        <v>0</v>
      </c>
      <c r="B2" s="4" t="s">
        <v>22</v>
      </c>
      <c r="C2" s="14"/>
      <c r="D2" s="14"/>
    </row>
    <row r="3" spans="1:6" ht="15" customHeight="1" x14ac:dyDescent="0.3">
      <c r="A3" s="3" t="s">
        <v>1</v>
      </c>
      <c r="B3" s="4" t="s">
        <v>21</v>
      </c>
      <c r="C3" s="14"/>
      <c r="D3" s="14"/>
    </row>
    <row r="4" spans="1:6" ht="15" customHeight="1" x14ac:dyDescent="0.3">
      <c r="A4" s="3" t="s">
        <v>11</v>
      </c>
      <c r="B4" s="14" t="s">
        <v>61</v>
      </c>
      <c r="C4" s="14"/>
      <c r="D4" s="14"/>
    </row>
    <row r="5" spans="1:6" ht="15" customHeight="1" x14ac:dyDescent="0.3">
      <c r="A5" s="3" t="s">
        <v>53</v>
      </c>
      <c r="B5" s="15" t="s">
        <v>134</v>
      </c>
      <c r="C5" s="14"/>
      <c r="D5" s="14"/>
    </row>
    <row r="6" spans="1:6" ht="15" customHeight="1" x14ac:dyDescent="0.3"/>
    <row r="7" spans="1:6" ht="15" customHeight="1" x14ac:dyDescent="0.3">
      <c r="A7" s="265" t="s">
        <v>9</v>
      </c>
      <c r="B7" s="265"/>
      <c r="C7" s="265"/>
      <c r="D7" s="265"/>
      <c r="E7" s="265"/>
    </row>
    <row r="8" spans="1:6" ht="15" customHeight="1" x14ac:dyDescent="0.3">
      <c r="A8" s="265" t="s">
        <v>12</v>
      </c>
      <c r="B8" s="265"/>
      <c r="C8" s="265"/>
      <c r="D8" s="265"/>
      <c r="E8" s="265"/>
    </row>
    <row r="9" spans="1:6" ht="15" customHeight="1" x14ac:dyDescent="0.3">
      <c r="A9" s="268" t="s">
        <v>50</v>
      </c>
      <c r="B9" s="268"/>
      <c r="C9" s="268"/>
      <c r="D9" s="268"/>
      <c r="E9" s="268"/>
    </row>
    <row r="10" spans="1:6" ht="15" customHeight="1" x14ac:dyDescent="0.3">
      <c r="A10" s="264"/>
      <c r="B10" s="264"/>
      <c r="C10" s="264"/>
      <c r="D10" s="264"/>
      <c r="E10" s="264"/>
    </row>
    <row r="11" spans="1:6" ht="15" customHeight="1" thickBot="1" x14ac:dyDescent="0.35">
      <c r="A11" s="9" t="s">
        <v>64</v>
      </c>
      <c r="B11" s="31"/>
      <c r="C11" s="31" t="s">
        <v>6</v>
      </c>
      <c r="D11" s="31" t="s">
        <v>30</v>
      </c>
      <c r="E11" s="9" t="s">
        <v>67</v>
      </c>
      <c r="F11" s="35"/>
    </row>
    <row r="12" spans="1:6" ht="15" customHeight="1" x14ac:dyDescent="0.3">
      <c r="F12" s="26"/>
    </row>
    <row r="13" spans="1:6" ht="15" customHeight="1" x14ac:dyDescent="0.3">
      <c r="A13" s="266" t="s">
        <v>23</v>
      </c>
      <c r="B13" s="113" t="s">
        <v>58</v>
      </c>
      <c r="C13" s="114">
        <f>+'I T'!F13</f>
        <v>136</v>
      </c>
      <c r="D13" s="114">
        <f>+'II T'!F13</f>
        <v>66</v>
      </c>
      <c r="E13" s="115">
        <f>D13</f>
        <v>66</v>
      </c>
      <c r="F13" s="43"/>
    </row>
    <row r="14" spans="1:6" ht="15" customHeight="1" x14ac:dyDescent="0.3">
      <c r="A14" s="266"/>
      <c r="B14" s="113" t="s">
        <v>59</v>
      </c>
      <c r="C14" s="114">
        <f>+'I T'!F14</f>
        <v>1134.3333333333333</v>
      </c>
      <c r="D14" s="114">
        <f>+'II T'!F14</f>
        <v>1578.3333333333333</v>
      </c>
      <c r="E14" s="115">
        <f t="shared" ref="E14:E27" si="0">+(C14+D14)/2</f>
        <v>1356.3333333333333</v>
      </c>
      <c r="F14" s="26"/>
    </row>
    <row r="15" spans="1:6" ht="15" customHeight="1" x14ac:dyDescent="0.3">
      <c r="A15" s="266"/>
      <c r="B15" s="113" t="s">
        <v>60</v>
      </c>
      <c r="C15" s="114">
        <f>+'I T'!F15</f>
        <v>420.33333333333331</v>
      </c>
      <c r="D15" s="114">
        <f>+'II T'!F15</f>
        <v>52.333333333333336</v>
      </c>
      <c r="E15" s="115">
        <f t="shared" si="0"/>
        <v>236.33333333333331</v>
      </c>
      <c r="F15" s="26"/>
    </row>
    <row r="16" spans="1:6" ht="15" customHeight="1" x14ac:dyDescent="0.3">
      <c r="A16" s="267" t="s">
        <v>24</v>
      </c>
      <c r="B16" s="120" t="s">
        <v>58</v>
      </c>
      <c r="C16" s="121">
        <f>+'I T'!F16</f>
        <v>103</v>
      </c>
      <c r="D16" s="121">
        <f>+'II T'!F16</f>
        <v>173</v>
      </c>
      <c r="E16" s="122">
        <f>D16</f>
        <v>173</v>
      </c>
      <c r="F16" s="43"/>
    </row>
    <row r="17" spans="1:6" ht="15" customHeight="1" x14ac:dyDescent="0.3">
      <c r="A17" s="267"/>
      <c r="B17" s="120" t="s">
        <v>59</v>
      </c>
      <c r="C17" s="121">
        <f>+'I T'!F17</f>
        <v>1160.3333333333333</v>
      </c>
      <c r="D17" s="121">
        <f>+'II T'!F17</f>
        <v>1256</v>
      </c>
      <c r="E17" s="122">
        <f t="shared" si="0"/>
        <v>1208.1666666666665</v>
      </c>
      <c r="F17" s="26"/>
    </row>
    <row r="18" spans="1:6" ht="15" customHeight="1" x14ac:dyDescent="0.3">
      <c r="A18" s="267"/>
      <c r="B18" s="120" t="s">
        <v>60</v>
      </c>
      <c r="C18" s="121">
        <f>+'I T'!F18</f>
        <v>129.33333333333334</v>
      </c>
      <c r="D18" s="121">
        <f>+'II T'!F18</f>
        <v>77.333333333333329</v>
      </c>
      <c r="E18" s="122">
        <f t="shared" si="0"/>
        <v>103.33333333333334</v>
      </c>
      <c r="F18" s="26"/>
    </row>
    <row r="19" spans="1:6" ht="15" customHeight="1" x14ac:dyDescent="0.3">
      <c r="A19" s="269" t="s">
        <v>25</v>
      </c>
      <c r="B19" s="113" t="s">
        <v>58</v>
      </c>
      <c r="C19" s="114">
        <f>+'I T'!F19</f>
        <v>1267</v>
      </c>
      <c r="D19" s="114">
        <f>+'II T'!F19</f>
        <v>5004</v>
      </c>
      <c r="E19" s="115">
        <f>D19</f>
        <v>5004</v>
      </c>
      <c r="F19" s="43"/>
    </row>
    <row r="20" spans="1:6" ht="15" customHeight="1" x14ac:dyDescent="0.3">
      <c r="A20" s="269"/>
      <c r="B20" s="113" t="s">
        <v>59</v>
      </c>
      <c r="C20" s="114">
        <f>+'I T'!F20</f>
        <v>6430</v>
      </c>
      <c r="D20" s="114">
        <f>+'II T'!F20</f>
        <v>9534</v>
      </c>
      <c r="E20" s="114">
        <f t="shared" si="0"/>
        <v>7982</v>
      </c>
      <c r="F20" s="26"/>
    </row>
    <row r="21" spans="1:6" ht="15" customHeight="1" x14ac:dyDescent="0.3">
      <c r="A21" s="269"/>
      <c r="B21" s="113" t="s">
        <v>60</v>
      </c>
      <c r="C21" s="114">
        <f>+'I T'!F21</f>
        <v>3496</v>
      </c>
      <c r="D21" s="114">
        <f>+'II T'!F21</f>
        <v>121.66666666666667</v>
      </c>
      <c r="E21" s="114">
        <f t="shared" si="0"/>
        <v>1808.8333333333333</v>
      </c>
      <c r="F21" s="26"/>
    </row>
    <row r="22" spans="1:6" ht="15" customHeight="1" x14ac:dyDescent="0.3">
      <c r="A22" s="116" t="s">
        <v>74</v>
      </c>
      <c r="B22" s="117" t="s">
        <v>58</v>
      </c>
      <c r="C22" s="118">
        <f>+'I T'!F22</f>
        <v>0</v>
      </c>
      <c r="D22" s="118">
        <f>+'II T'!F22</f>
        <v>0</v>
      </c>
      <c r="E22" s="118">
        <f>D22</f>
        <v>0</v>
      </c>
      <c r="F22" s="26"/>
    </row>
    <row r="23" spans="1:6" ht="15" customHeight="1" x14ac:dyDescent="0.3">
      <c r="A23" s="119"/>
      <c r="B23" s="117" t="s">
        <v>59</v>
      </c>
      <c r="C23" s="118">
        <f>+'I T'!F23</f>
        <v>527</v>
      </c>
      <c r="D23" s="118">
        <f>+'II T'!F23</f>
        <v>807.33333333333337</v>
      </c>
      <c r="E23" s="118">
        <f t="shared" si="0"/>
        <v>667.16666666666674</v>
      </c>
      <c r="F23" s="26"/>
    </row>
    <row r="24" spans="1:6" ht="15" customHeight="1" x14ac:dyDescent="0.3">
      <c r="A24" s="119"/>
      <c r="B24" s="117" t="s">
        <v>60</v>
      </c>
      <c r="C24" s="118">
        <f>+'I T'!F24</f>
        <v>263</v>
      </c>
      <c r="D24" s="118">
        <f>+'II T'!F24</f>
        <v>4.666666666666667</v>
      </c>
      <c r="E24" s="118">
        <f t="shared" si="0"/>
        <v>133.83333333333334</v>
      </c>
      <c r="F24" s="26"/>
    </row>
    <row r="25" spans="1:6" ht="15" customHeight="1" x14ac:dyDescent="0.3">
      <c r="A25" s="58"/>
      <c r="B25" s="8"/>
      <c r="F25" s="26"/>
    </row>
    <row r="26" spans="1:6" ht="15" customHeight="1" x14ac:dyDescent="0.3">
      <c r="A26" s="21"/>
      <c r="F26" s="26"/>
    </row>
    <row r="27" spans="1:6" ht="15" customHeight="1" thickBot="1" x14ac:dyDescent="0.35">
      <c r="A27" s="22" t="s">
        <v>13</v>
      </c>
      <c r="B27" s="23"/>
      <c r="C27" s="23">
        <f>+C14+C15+C17+C18+C20+C21+C23+C24</f>
        <v>13560.333333333334</v>
      </c>
      <c r="D27" s="23">
        <f>+D14+D15+D17+D18+D20+D21+D23+D24</f>
        <v>13431.666666666666</v>
      </c>
      <c r="E27" s="23">
        <f t="shared" si="0"/>
        <v>13496</v>
      </c>
      <c r="F27" s="26"/>
    </row>
    <row r="28" spans="1:6" ht="15" customHeight="1" thickTop="1" x14ac:dyDescent="0.3">
      <c r="A28" s="41" t="s">
        <v>65</v>
      </c>
      <c r="B28" s="26"/>
      <c r="C28" s="26"/>
      <c r="D28" s="26"/>
      <c r="E28" s="26"/>
      <c r="F28" s="26"/>
    </row>
    <row r="29" spans="1:6" ht="15" customHeight="1" x14ac:dyDescent="0.3">
      <c r="A29" s="1" t="s">
        <v>71</v>
      </c>
    </row>
    <row r="30" spans="1:6" ht="15" customHeight="1" x14ac:dyDescent="0.3">
      <c r="A30" s="1"/>
    </row>
    <row r="31" spans="1:6" ht="15" customHeight="1" x14ac:dyDescent="0.3"/>
    <row r="32" spans="1:6" ht="15" customHeight="1" x14ac:dyDescent="0.3">
      <c r="A32" s="268" t="s">
        <v>14</v>
      </c>
      <c r="B32" s="268"/>
      <c r="C32" s="268"/>
      <c r="D32" s="268"/>
      <c r="E32" s="268"/>
    </row>
    <row r="33" spans="1:5" ht="15" customHeight="1" x14ac:dyDescent="0.3">
      <c r="A33" s="265" t="s">
        <v>31</v>
      </c>
      <c r="B33" s="265"/>
      <c r="C33" s="265"/>
      <c r="D33" s="265"/>
      <c r="E33" s="265"/>
    </row>
    <row r="34" spans="1:5" ht="15" customHeight="1" x14ac:dyDescent="0.3">
      <c r="A34" s="268" t="s">
        <v>52</v>
      </c>
      <c r="B34" s="268"/>
      <c r="C34" s="268"/>
      <c r="D34" s="268"/>
      <c r="E34" s="268"/>
    </row>
    <row r="35" spans="1:5" ht="15" customHeight="1" x14ac:dyDescent="0.3">
      <c r="A35" s="264"/>
      <c r="B35" s="264"/>
      <c r="C35" s="264"/>
      <c r="D35" s="264"/>
    </row>
    <row r="36" spans="1:5" ht="15" customHeight="1" thickBot="1" x14ac:dyDescent="0.35">
      <c r="A36" s="9" t="s">
        <v>64</v>
      </c>
      <c r="B36" s="17"/>
      <c r="C36" s="17" t="s">
        <v>6</v>
      </c>
      <c r="D36" s="17" t="s">
        <v>30</v>
      </c>
      <c r="E36" s="17" t="s">
        <v>41</v>
      </c>
    </row>
    <row r="37" spans="1:5" ht="15" customHeight="1" x14ac:dyDescent="0.3"/>
    <row r="38" spans="1:5" ht="15" customHeight="1" x14ac:dyDescent="0.3">
      <c r="A38" s="21" t="s">
        <v>23</v>
      </c>
      <c r="B38" s="13" t="s">
        <v>56</v>
      </c>
      <c r="C38" s="13">
        <f>+'I T'!F36</f>
        <v>690296280</v>
      </c>
      <c r="D38" s="13">
        <f>+'II T'!F36</f>
        <v>965599080</v>
      </c>
      <c r="E38" s="13">
        <f t="shared" ref="E38:E43" si="1">+C38+D38</f>
        <v>1655895360</v>
      </c>
    </row>
    <row r="39" spans="1:5" ht="15" customHeight="1" x14ac:dyDescent="0.3">
      <c r="A39" s="21"/>
      <c r="B39" s="13" t="s">
        <v>55</v>
      </c>
      <c r="C39" s="13">
        <f>+'I T'!F37</f>
        <v>257153208</v>
      </c>
      <c r="D39" s="13">
        <f>+'II T'!F37</f>
        <v>32016696</v>
      </c>
      <c r="E39" s="13">
        <f t="shared" si="1"/>
        <v>289169904</v>
      </c>
    </row>
    <row r="40" spans="1:5" ht="15" customHeight="1" x14ac:dyDescent="0.3">
      <c r="A40" s="21" t="s">
        <v>24</v>
      </c>
      <c r="B40" s="13" t="s">
        <v>56</v>
      </c>
      <c r="C40" s="13">
        <f>+'I T'!F38</f>
        <v>285009074</v>
      </c>
      <c r="D40" s="13">
        <f>+'II T'!F38</f>
        <v>306135963</v>
      </c>
      <c r="E40" s="13">
        <f t="shared" si="1"/>
        <v>591145037</v>
      </c>
    </row>
    <row r="41" spans="1:5" ht="15" customHeight="1" x14ac:dyDescent="0.3">
      <c r="A41" s="21"/>
      <c r="B41" s="13" t="s">
        <v>55</v>
      </c>
      <c r="C41" s="13">
        <f>+'I T'!F39</f>
        <v>31649548</v>
      </c>
      <c r="D41" s="13">
        <f>+'II T'!F39</f>
        <v>18924472</v>
      </c>
      <c r="E41" s="13">
        <f t="shared" si="1"/>
        <v>50574020</v>
      </c>
    </row>
    <row r="42" spans="1:5" ht="15" customHeight="1" x14ac:dyDescent="0.3">
      <c r="A42" s="21" t="s">
        <v>25</v>
      </c>
      <c r="B42" s="13" t="s">
        <v>56</v>
      </c>
      <c r="C42" s="13">
        <f>+'I T'!F40</f>
        <v>1165038285.6200001</v>
      </c>
      <c r="D42" s="13">
        <f>+'II T'!F40</f>
        <v>1667191360.6000001</v>
      </c>
      <c r="E42" s="13">
        <f t="shared" si="1"/>
        <v>2832229646.2200003</v>
      </c>
    </row>
    <row r="43" spans="1:5" ht="15" customHeight="1" x14ac:dyDescent="0.3">
      <c r="A43" s="21"/>
      <c r="B43" s="13" t="s">
        <v>55</v>
      </c>
      <c r="C43" s="13">
        <f>+'I T'!F41</f>
        <v>628476026.95999992</v>
      </c>
      <c r="D43" s="13">
        <f>+'II T'!F41</f>
        <v>31324904</v>
      </c>
      <c r="E43" s="13">
        <f t="shared" si="1"/>
        <v>659800930.95999992</v>
      </c>
    </row>
    <row r="44" spans="1:5" ht="15" customHeight="1" x14ac:dyDescent="0.3">
      <c r="A44" s="59" t="s">
        <v>74</v>
      </c>
      <c r="B44" s="38" t="s">
        <v>56</v>
      </c>
      <c r="C44" s="62">
        <f>+'I T'!F42</f>
        <v>824062000</v>
      </c>
      <c r="D44" s="62">
        <f>+'II T'!F42</f>
        <v>1270266000</v>
      </c>
      <c r="E44" s="62">
        <f>+C44+D44</f>
        <v>2094328000</v>
      </c>
    </row>
    <row r="45" spans="1:5" ht="15" customHeight="1" x14ac:dyDescent="0.3">
      <c r="A45" s="59"/>
      <c r="B45" s="38" t="s">
        <v>55</v>
      </c>
      <c r="C45" s="62">
        <f>+'I T'!F43</f>
        <v>407542000</v>
      </c>
      <c r="D45" s="62">
        <f>+'II T'!F43</f>
        <v>6300000</v>
      </c>
      <c r="E45" s="62">
        <f>+C45+D45</f>
        <v>413842000</v>
      </c>
    </row>
    <row r="46" spans="1:5" ht="15" customHeight="1" thickBot="1" x14ac:dyDescent="0.35">
      <c r="A46" s="22" t="s">
        <v>13</v>
      </c>
      <c r="B46" s="23"/>
      <c r="C46" s="23">
        <f>SUM(C38:C45)</f>
        <v>4289226422.5799999</v>
      </c>
      <c r="D46" s="23">
        <f>SUM(D38:D45)</f>
        <v>4297758475.6000004</v>
      </c>
      <c r="E46" s="23">
        <f>SUM(E38:E45)</f>
        <v>8586984898.1800003</v>
      </c>
    </row>
    <row r="47" spans="1:5" ht="15" customHeight="1" thickTop="1" x14ac:dyDescent="0.3">
      <c r="A47" s="25" t="s">
        <v>42</v>
      </c>
      <c r="E47" s="26"/>
    </row>
    <row r="48" spans="1:5" ht="15" customHeight="1" x14ac:dyDescent="0.3">
      <c r="A48" s="1" t="s">
        <v>71</v>
      </c>
    </row>
    <row r="49" spans="1:5" ht="15" customHeight="1" x14ac:dyDescent="0.3">
      <c r="A49" s="1"/>
    </row>
    <row r="50" spans="1:5" ht="15" customHeight="1" x14ac:dyDescent="0.3">
      <c r="A50" s="1"/>
    </row>
    <row r="51" spans="1:5" ht="15" customHeight="1" x14ac:dyDescent="0.3"/>
    <row r="52" spans="1:5" ht="15" customHeight="1" x14ac:dyDescent="0.3">
      <c r="A52" s="265" t="s">
        <v>15</v>
      </c>
      <c r="B52" s="265"/>
      <c r="C52" s="265"/>
      <c r="D52" s="265"/>
    </row>
    <row r="53" spans="1:5" ht="15" customHeight="1" x14ac:dyDescent="0.3">
      <c r="A53" s="265" t="s">
        <v>32</v>
      </c>
      <c r="B53" s="265"/>
      <c r="C53" s="265"/>
      <c r="D53" s="265"/>
    </row>
    <row r="54" spans="1:5" ht="15" customHeight="1" x14ac:dyDescent="0.3">
      <c r="A54" s="268" t="s">
        <v>52</v>
      </c>
      <c r="B54" s="268"/>
      <c r="C54" s="268"/>
      <c r="D54" s="268"/>
    </row>
    <row r="55" spans="1:5" ht="15" customHeight="1" x14ac:dyDescent="0.3">
      <c r="A55" s="264"/>
      <c r="B55" s="264"/>
      <c r="C55" s="264"/>
      <c r="D55" s="264"/>
    </row>
    <row r="56" spans="1:5" ht="15" customHeight="1" thickBot="1" x14ac:dyDescent="0.35">
      <c r="A56" s="30" t="s">
        <v>10</v>
      </c>
      <c r="B56" s="31" t="s">
        <v>6</v>
      </c>
      <c r="C56" s="31" t="s">
        <v>30</v>
      </c>
      <c r="D56" s="31" t="s">
        <v>41</v>
      </c>
      <c r="E56" s="35"/>
    </row>
    <row r="57" spans="1:5" ht="15" customHeight="1" x14ac:dyDescent="0.3">
      <c r="E57" s="26"/>
    </row>
    <row r="58" spans="1:5" ht="15" customHeight="1" x14ac:dyDescent="0.3">
      <c r="A58" s="79" t="s">
        <v>135</v>
      </c>
      <c r="B58" s="13">
        <f>+'I T'!E57</f>
        <v>947449488</v>
      </c>
      <c r="C58" s="13">
        <f>+'II T'!E57</f>
        <v>997615776</v>
      </c>
      <c r="D58" s="13">
        <f>+B58+C58</f>
        <v>1945065264</v>
      </c>
      <c r="E58" s="26"/>
    </row>
    <row r="59" spans="1:5" ht="15" customHeight="1" x14ac:dyDescent="0.3">
      <c r="A59" s="79" t="s">
        <v>136</v>
      </c>
      <c r="B59" s="13">
        <f>+'I T'!E58</f>
        <v>316658622</v>
      </c>
      <c r="C59" s="13">
        <f>+'II T'!E58</f>
        <v>325060435</v>
      </c>
      <c r="D59" s="13">
        <f>+B59+C59</f>
        <v>641719057</v>
      </c>
      <c r="E59" s="26"/>
    </row>
    <row r="60" spans="1:5" ht="15" customHeight="1" x14ac:dyDescent="0.3">
      <c r="A60" s="19" t="s">
        <v>43</v>
      </c>
      <c r="B60" s="13">
        <f>+'I T'!E59</f>
        <v>1793514312.5800002</v>
      </c>
      <c r="C60" s="13">
        <f>+'II T'!E59</f>
        <v>1698516264.6000001</v>
      </c>
      <c r="D60" s="13">
        <f>+B60+C60</f>
        <v>3492030577.1800003</v>
      </c>
      <c r="E60" s="26"/>
    </row>
    <row r="61" spans="1:5" ht="15" customHeight="1" x14ac:dyDescent="0.3">
      <c r="A61" s="1" t="s">
        <v>75</v>
      </c>
      <c r="B61" s="13">
        <f>+'I T'!E60</f>
        <v>1231604000</v>
      </c>
      <c r="C61" s="13">
        <f>+'II T'!E60</f>
        <v>1276566000</v>
      </c>
      <c r="D61" s="13">
        <f>+B61+C61</f>
        <v>2508170000</v>
      </c>
      <c r="E61" s="26"/>
    </row>
    <row r="62" spans="1:5" ht="15" customHeight="1" x14ac:dyDescent="0.3">
      <c r="E62" s="26"/>
    </row>
    <row r="63" spans="1:5" ht="15" customHeight="1" x14ac:dyDescent="0.3">
      <c r="E63" s="26"/>
    </row>
    <row r="64" spans="1:5" ht="15" customHeight="1" thickBot="1" x14ac:dyDescent="0.35">
      <c r="A64" s="22" t="s">
        <v>13</v>
      </c>
      <c r="B64" s="23">
        <f>SUM(B58:B63)</f>
        <v>4289226422.5799999</v>
      </c>
      <c r="C64" s="23">
        <f>SUM(C58:C63)</f>
        <v>4297758475.6000004</v>
      </c>
      <c r="D64" s="23">
        <f>SUM(D58:D63)</f>
        <v>8586984898.1800003</v>
      </c>
      <c r="E64" s="26"/>
    </row>
    <row r="65" spans="1:5" ht="15" customHeight="1" thickTop="1" x14ac:dyDescent="0.3">
      <c r="A65" s="1" t="s">
        <v>71</v>
      </c>
    </row>
    <row r="66" spans="1:5" ht="15" customHeight="1" x14ac:dyDescent="0.3">
      <c r="A66" s="1"/>
    </row>
    <row r="67" spans="1:5" ht="15" customHeight="1" x14ac:dyDescent="0.3"/>
    <row r="68" spans="1:5" ht="15" customHeight="1" x14ac:dyDescent="0.3">
      <c r="A68" s="265" t="s">
        <v>44</v>
      </c>
      <c r="B68" s="265"/>
      <c r="C68" s="265"/>
      <c r="D68" s="265"/>
    </row>
    <row r="69" spans="1:5" ht="15" customHeight="1" x14ac:dyDescent="0.3">
      <c r="A69" s="260" t="s">
        <v>103</v>
      </c>
      <c r="B69" s="260"/>
      <c r="C69" s="260"/>
      <c r="D69" s="260"/>
      <c r="E69" s="260"/>
    </row>
    <row r="70" spans="1:5" ht="15" customHeight="1" x14ac:dyDescent="0.3">
      <c r="A70" s="268" t="s">
        <v>52</v>
      </c>
      <c r="B70" s="268"/>
      <c r="C70" s="268"/>
      <c r="D70" s="268"/>
    </row>
    <row r="71" spans="1:5" ht="15" customHeight="1" x14ac:dyDescent="0.3">
      <c r="A71" s="264"/>
      <c r="B71" s="264"/>
      <c r="C71" s="264"/>
      <c r="D71" s="264"/>
    </row>
    <row r="72" spans="1:5" ht="15" customHeight="1" thickBot="1" x14ac:dyDescent="0.35">
      <c r="A72" s="30" t="s">
        <v>10</v>
      </c>
      <c r="B72" s="31" t="s">
        <v>6</v>
      </c>
      <c r="C72" s="31" t="s">
        <v>30</v>
      </c>
      <c r="D72" s="31" t="s">
        <v>41</v>
      </c>
      <c r="E72" s="35"/>
    </row>
    <row r="73" spans="1:5" ht="15" customHeight="1" x14ac:dyDescent="0.3">
      <c r="E73" s="26"/>
    </row>
    <row r="74" spans="1:5" ht="15" customHeight="1" x14ac:dyDescent="0.3">
      <c r="A74" s="13" t="s">
        <v>62</v>
      </c>
      <c r="B74" s="13">
        <f>+'I T'!E72</f>
        <v>0</v>
      </c>
      <c r="C74" s="13">
        <f>+'II T'!E72</f>
        <v>0</v>
      </c>
      <c r="D74" s="13">
        <f>B74</f>
        <v>0</v>
      </c>
      <c r="E74" s="26"/>
    </row>
    <row r="75" spans="1:5" ht="15" customHeight="1" x14ac:dyDescent="0.3">
      <c r="A75" s="13" t="s">
        <v>16</v>
      </c>
      <c r="B75" s="13">
        <f>+'I T'!E73</f>
        <v>947449488</v>
      </c>
      <c r="C75" s="13">
        <f>+'II T'!E73</f>
        <v>997615776</v>
      </c>
      <c r="D75" s="13">
        <f>+B75+C75</f>
        <v>1945065264</v>
      </c>
      <c r="E75" s="26"/>
    </row>
    <row r="76" spans="1:5" ht="15" customHeight="1" x14ac:dyDescent="0.3">
      <c r="A76" s="13" t="s">
        <v>17</v>
      </c>
      <c r="B76" s="13">
        <f>+'I T'!E74</f>
        <v>947449488</v>
      </c>
      <c r="C76" s="13">
        <f>+'II T'!E74</f>
        <v>997615776</v>
      </c>
      <c r="D76" s="13">
        <f>+D74+D75</f>
        <v>1945065264</v>
      </c>
      <c r="E76" s="26"/>
    </row>
    <row r="77" spans="1:5" ht="15" customHeight="1" x14ac:dyDescent="0.3">
      <c r="A77" s="13" t="s">
        <v>18</v>
      </c>
      <c r="B77" s="13">
        <f>+'I T'!E75</f>
        <v>947449488</v>
      </c>
      <c r="C77" s="13">
        <f>+'II T'!E75</f>
        <v>997615776</v>
      </c>
      <c r="D77" s="13">
        <f>+B77+C77</f>
        <v>1945065264</v>
      </c>
      <c r="E77" s="26"/>
    </row>
    <row r="78" spans="1:5" ht="15" customHeight="1" x14ac:dyDescent="0.3">
      <c r="A78" s="26" t="s">
        <v>19</v>
      </c>
      <c r="B78" s="26">
        <f>+'I T'!E76</f>
        <v>0</v>
      </c>
      <c r="C78" s="26">
        <f>+'II T'!E76</f>
        <v>0</v>
      </c>
      <c r="D78" s="26">
        <f>+D76-D77</f>
        <v>0</v>
      </c>
      <c r="E78" s="26"/>
    </row>
    <row r="79" spans="1:5" ht="15" customHeight="1" thickBot="1" x14ac:dyDescent="0.35">
      <c r="A79" s="23"/>
      <c r="B79" s="23"/>
      <c r="C79" s="23"/>
      <c r="D79" s="23"/>
      <c r="E79" s="26"/>
    </row>
    <row r="80" spans="1:5" ht="15" customHeight="1" thickTop="1" x14ac:dyDescent="0.3">
      <c r="A80" s="1" t="s">
        <v>71</v>
      </c>
    </row>
    <row r="81" spans="1:5" ht="15" customHeight="1" x14ac:dyDescent="0.3">
      <c r="A81" s="1"/>
    </row>
    <row r="82" spans="1:5" ht="15" customHeight="1" x14ac:dyDescent="0.3">
      <c r="A82" s="1"/>
    </row>
    <row r="83" spans="1:5" ht="15" customHeight="1" x14ac:dyDescent="0.3">
      <c r="A83" s="265" t="s">
        <v>45</v>
      </c>
      <c r="B83" s="265"/>
      <c r="C83" s="265"/>
      <c r="D83" s="265"/>
    </row>
    <row r="84" spans="1:5" ht="15" customHeight="1" x14ac:dyDescent="0.3">
      <c r="A84" s="260" t="s">
        <v>101</v>
      </c>
      <c r="B84" s="260"/>
      <c r="C84" s="260"/>
      <c r="D84" s="260"/>
      <c r="E84" s="260"/>
    </row>
    <row r="85" spans="1:5" ht="15" customHeight="1" x14ac:dyDescent="0.3">
      <c r="A85" s="268" t="s">
        <v>52</v>
      </c>
      <c r="B85" s="268"/>
      <c r="C85" s="268"/>
      <c r="D85" s="268"/>
    </row>
    <row r="86" spans="1:5" ht="15" customHeight="1" x14ac:dyDescent="0.3">
      <c r="A86" s="264"/>
      <c r="B86" s="264"/>
      <c r="C86" s="264"/>
      <c r="D86" s="264"/>
    </row>
    <row r="87" spans="1:5" ht="15" customHeight="1" thickBot="1" x14ac:dyDescent="0.35">
      <c r="A87" s="30" t="s">
        <v>10</v>
      </c>
      <c r="B87" s="31" t="s">
        <v>6</v>
      </c>
      <c r="C87" s="31" t="s">
        <v>30</v>
      </c>
      <c r="D87" s="31" t="s">
        <v>41</v>
      </c>
      <c r="E87" s="35"/>
    </row>
    <row r="88" spans="1:5" ht="15" customHeight="1" x14ac:dyDescent="0.3">
      <c r="E88" s="26"/>
    </row>
    <row r="89" spans="1:5" ht="15" customHeight="1" x14ac:dyDescent="0.3">
      <c r="A89" s="13" t="s">
        <v>62</v>
      </c>
      <c r="B89" s="13">
        <f>+'I T'!E87</f>
        <v>0</v>
      </c>
      <c r="C89" s="13">
        <f>+'II T'!E87</f>
        <v>0</v>
      </c>
      <c r="D89" s="13">
        <f>B89</f>
        <v>0</v>
      </c>
      <c r="E89" s="26"/>
    </row>
    <row r="90" spans="1:5" ht="15" customHeight="1" x14ac:dyDescent="0.3">
      <c r="A90" s="13" t="s">
        <v>16</v>
      </c>
      <c r="B90" s="13">
        <f>+'I T'!E88</f>
        <v>316658622</v>
      </c>
      <c r="C90" s="13">
        <f>+'II T'!E88</f>
        <v>325060435</v>
      </c>
      <c r="D90" s="13">
        <f>+B90+C90</f>
        <v>641719057</v>
      </c>
      <c r="E90" s="26"/>
    </row>
    <row r="91" spans="1:5" ht="15" customHeight="1" x14ac:dyDescent="0.3">
      <c r="A91" s="13" t="s">
        <v>17</v>
      </c>
      <c r="B91" s="13">
        <f>+'I T'!E89</f>
        <v>316658622</v>
      </c>
      <c r="C91" s="13">
        <f>+'II T'!E89</f>
        <v>325060435</v>
      </c>
      <c r="D91" s="13">
        <f>+D89+D90</f>
        <v>641719057</v>
      </c>
      <c r="E91" s="26"/>
    </row>
    <row r="92" spans="1:5" ht="15" customHeight="1" x14ac:dyDescent="0.3">
      <c r="A92" s="166" t="s">
        <v>18</v>
      </c>
      <c r="B92" s="166">
        <f>+'I T'!E90</f>
        <v>316658622</v>
      </c>
      <c r="C92" s="166">
        <f>+'II T'!E90</f>
        <v>325060435</v>
      </c>
      <c r="D92" s="166">
        <f>+B92+C92</f>
        <v>641719057</v>
      </c>
      <c r="E92" s="26"/>
    </row>
    <row r="93" spans="1:5" ht="15" customHeight="1" x14ac:dyDescent="0.3">
      <c r="A93" s="26" t="s">
        <v>19</v>
      </c>
      <c r="B93" s="26">
        <f>+'I T'!E91</f>
        <v>0</v>
      </c>
      <c r="C93" s="26">
        <f>+'II T'!E91</f>
        <v>0</v>
      </c>
      <c r="D93" s="26">
        <f>+D91-D92</f>
        <v>0</v>
      </c>
      <c r="E93" s="26"/>
    </row>
    <row r="94" spans="1:5" ht="15" customHeight="1" thickBot="1" x14ac:dyDescent="0.35">
      <c r="A94" s="23"/>
      <c r="B94" s="23"/>
      <c r="C94" s="23"/>
      <c r="D94" s="23"/>
      <c r="E94" s="26"/>
    </row>
    <row r="95" spans="1:5" ht="15" customHeight="1" thickTop="1" x14ac:dyDescent="0.3">
      <c r="A95" s="1" t="s">
        <v>71</v>
      </c>
    </row>
    <row r="96" spans="1:5" ht="15" customHeight="1" x14ac:dyDescent="0.3">
      <c r="A96" s="13"/>
      <c r="E96" s="14"/>
    </row>
    <row r="97" spans="1:5" ht="15" customHeight="1" x14ac:dyDescent="0.3">
      <c r="A97" s="265" t="s">
        <v>102</v>
      </c>
      <c r="B97" s="265"/>
      <c r="C97" s="265"/>
      <c r="D97" s="265"/>
      <c r="E97" s="14"/>
    </row>
    <row r="98" spans="1:5" x14ac:dyDescent="0.3">
      <c r="A98" s="265" t="s">
        <v>48</v>
      </c>
      <c r="B98" s="265"/>
      <c r="C98" s="265"/>
      <c r="D98" s="265"/>
      <c r="E98" s="14"/>
    </row>
    <row r="99" spans="1:5" x14ac:dyDescent="0.3">
      <c r="A99" s="268" t="s">
        <v>52</v>
      </c>
      <c r="B99" s="268"/>
      <c r="C99" s="268"/>
      <c r="D99" s="268"/>
      <c r="E99" s="14"/>
    </row>
    <row r="100" spans="1:5" x14ac:dyDescent="0.3">
      <c r="A100" s="264"/>
      <c r="B100" s="264"/>
      <c r="C100" s="264"/>
      <c r="D100" s="264"/>
    </row>
    <row r="101" spans="1:5" ht="15" thickBot="1" x14ac:dyDescent="0.35">
      <c r="A101" s="30" t="s">
        <v>10</v>
      </c>
      <c r="B101" s="31" t="s">
        <v>6</v>
      </c>
      <c r="C101" s="31" t="s">
        <v>30</v>
      </c>
      <c r="D101" s="31" t="s">
        <v>41</v>
      </c>
    </row>
    <row r="103" spans="1:5" x14ac:dyDescent="0.3">
      <c r="A103" s="13" t="s">
        <v>62</v>
      </c>
      <c r="B103" s="13">
        <f>+'I T'!E104</f>
        <v>0</v>
      </c>
      <c r="C103" s="13">
        <f>+'II T'!E104</f>
        <v>0</v>
      </c>
      <c r="D103" s="13">
        <f>B103</f>
        <v>0</v>
      </c>
    </row>
    <row r="104" spans="1:5" x14ac:dyDescent="0.3">
      <c r="A104" s="13" t="s">
        <v>16</v>
      </c>
      <c r="B104" s="13">
        <f>+'I T'!E105</f>
        <v>1793514312.5800002</v>
      </c>
      <c r="C104" s="13">
        <f>+'II T'!E105</f>
        <v>1698516264.6000001</v>
      </c>
      <c r="D104" s="13">
        <f>+B104+C104</f>
        <v>3492030577.1800003</v>
      </c>
    </row>
    <row r="105" spans="1:5" x14ac:dyDescent="0.3">
      <c r="A105" s="13" t="s">
        <v>17</v>
      </c>
      <c r="B105" s="13">
        <f>+'I T'!E106</f>
        <v>1793514312.5800002</v>
      </c>
      <c r="C105" s="13">
        <f>+'II T'!E106</f>
        <v>1698516264.6000001</v>
      </c>
      <c r="D105" s="13">
        <f>SUM(D103:D104)</f>
        <v>3492030577.1800003</v>
      </c>
    </row>
    <row r="106" spans="1:5" x14ac:dyDescent="0.3">
      <c r="A106" s="13" t="s">
        <v>18</v>
      </c>
      <c r="B106" s="13">
        <f>+'I T'!E107</f>
        <v>1793514312.5800002</v>
      </c>
      <c r="C106" s="13">
        <f>+'II T'!E107</f>
        <v>1698516264.6000001</v>
      </c>
      <c r="D106" s="13">
        <f>SUM(B106:C106)</f>
        <v>3492030577.1800003</v>
      </c>
    </row>
    <row r="107" spans="1:5" x14ac:dyDescent="0.3">
      <c r="A107" s="26" t="s">
        <v>19</v>
      </c>
      <c r="B107" s="13">
        <f>+'I T'!E108</f>
        <v>0</v>
      </c>
      <c r="C107" s="13">
        <f>+'II T'!E108</f>
        <v>0</v>
      </c>
      <c r="D107" s="26">
        <f>+D105-D106</f>
        <v>0</v>
      </c>
    </row>
    <row r="108" spans="1:5" ht="15" thickBot="1" x14ac:dyDescent="0.35">
      <c r="A108" s="23"/>
      <c r="B108" s="23"/>
      <c r="C108" s="23"/>
      <c r="D108" s="23"/>
    </row>
    <row r="109" spans="1:5" ht="15" thickTop="1" x14ac:dyDescent="0.3">
      <c r="A109" s="1" t="s">
        <v>71</v>
      </c>
    </row>
    <row r="110" spans="1:5" x14ac:dyDescent="0.3">
      <c r="A110" s="1"/>
    </row>
    <row r="111" spans="1:5" x14ac:dyDescent="0.3">
      <c r="A111" s="1"/>
    </row>
    <row r="112" spans="1:5" x14ac:dyDescent="0.3">
      <c r="A112" s="265" t="s">
        <v>105</v>
      </c>
      <c r="B112" s="265"/>
      <c r="C112" s="265"/>
      <c r="D112" s="265"/>
    </row>
    <row r="113" spans="1:5" x14ac:dyDescent="0.3">
      <c r="A113" s="265" t="s">
        <v>104</v>
      </c>
      <c r="B113" s="265"/>
      <c r="C113" s="265"/>
      <c r="D113" s="265"/>
      <c r="E113" s="14"/>
    </row>
    <row r="114" spans="1:5" x14ac:dyDescent="0.3">
      <c r="A114" s="268" t="s">
        <v>52</v>
      </c>
      <c r="B114" s="268"/>
      <c r="C114" s="268"/>
      <c r="D114" s="268"/>
      <c r="E114" s="14"/>
    </row>
    <row r="115" spans="1:5" x14ac:dyDescent="0.3">
      <c r="A115" s="264"/>
      <c r="B115" s="264"/>
      <c r="C115" s="264"/>
      <c r="D115" s="264"/>
    </row>
    <row r="116" spans="1:5" ht="15" thickBot="1" x14ac:dyDescent="0.35">
      <c r="A116" s="30" t="s">
        <v>10</v>
      </c>
      <c r="B116" s="31" t="s">
        <v>6</v>
      </c>
      <c r="C116" s="31" t="s">
        <v>30</v>
      </c>
      <c r="D116" s="31" t="s">
        <v>41</v>
      </c>
    </row>
    <row r="118" spans="1:5" x14ac:dyDescent="0.3">
      <c r="A118" s="13" t="s">
        <v>62</v>
      </c>
      <c r="B118" s="13">
        <f>+'I T'!E119</f>
        <v>0</v>
      </c>
      <c r="C118" s="13">
        <f>+'II T'!E119</f>
        <v>0</v>
      </c>
      <c r="D118" s="13">
        <f>B118</f>
        <v>0</v>
      </c>
    </row>
    <row r="119" spans="1:5" x14ac:dyDescent="0.3">
      <c r="A119" s="13" t="s">
        <v>16</v>
      </c>
      <c r="B119" s="13">
        <f>+'I T'!E120</f>
        <v>1231604000</v>
      </c>
      <c r="C119" s="13">
        <f>+'II T'!E120</f>
        <v>1276566000</v>
      </c>
      <c r="D119" s="13">
        <f>+B119+C119</f>
        <v>2508170000</v>
      </c>
    </row>
    <row r="120" spans="1:5" x14ac:dyDescent="0.3">
      <c r="A120" s="13" t="s">
        <v>17</v>
      </c>
      <c r="B120" s="13">
        <f>+'I T'!E121</f>
        <v>1231604000</v>
      </c>
      <c r="C120" s="13">
        <f>+'II T'!E121</f>
        <v>1276566000</v>
      </c>
      <c r="D120" s="13">
        <f>SUM(D118:D119)</f>
        <v>2508170000</v>
      </c>
    </row>
    <row r="121" spans="1:5" x14ac:dyDescent="0.3">
      <c r="A121" s="13" t="s">
        <v>18</v>
      </c>
      <c r="B121" s="13">
        <f>+'I T'!E122</f>
        <v>1231604000</v>
      </c>
      <c r="C121" s="13">
        <f>+'II T'!E122</f>
        <v>1276566000</v>
      </c>
      <c r="D121" s="13">
        <f>SUM(B121:C121)</f>
        <v>2508170000</v>
      </c>
    </row>
    <row r="122" spans="1:5" x14ac:dyDescent="0.3">
      <c r="A122" s="26" t="s">
        <v>19</v>
      </c>
      <c r="B122" s="13">
        <f>+'I T'!E123</f>
        <v>0</v>
      </c>
      <c r="C122" s="13">
        <f>+'II T'!E123</f>
        <v>0</v>
      </c>
      <c r="D122" s="26">
        <f>+D120-D121</f>
        <v>0</v>
      </c>
    </row>
    <row r="123" spans="1:5" ht="15" thickBot="1" x14ac:dyDescent="0.35">
      <c r="A123" s="23"/>
      <c r="B123" s="23"/>
      <c r="C123" s="23"/>
      <c r="D123" s="23"/>
    </row>
    <row r="124" spans="1:5" ht="15" thickTop="1" x14ac:dyDescent="0.3">
      <c r="A124" s="1" t="s">
        <v>71</v>
      </c>
    </row>
    <row r="127" spans="1:5" x14ac:dyDescent="0.3">
      <c r="A127" s="79" t="s">
        <v>137</v>
      </c>
    </row>
  </sheetData>
  <mergeCells count="32">
    <mergeCell ref="A35:D35"/>
    <mergeCell ref="A52:D52"/>
    <mergeCell ref="A53:D53"/>
    <mergeCell ref="A55:D55"/>
    <mergeCell ref="A99:D99"/>
    <mergeCell ref="A68:D68"/>
    <mergeCell ref="A71:D71"/>
    <mergeCell ref="A97:D97"/>
    <mergeCell ref="A70:D70"/>
    <mergeCell ref="A69:E69"/>
    <mergeCell ref="A84:E84"/>
    <mergeCell ref="A113:D113"/>
    <mergeCell ref="A114:D114"/>
    <mergeCell ref="A85:D85"/>
    <mergeCell ref="A86:D86"/>
    <mergeCell ref="A100:D100"/>
    <mergeCell ref="A115:D115"/>
    <mergeCell ref="A112:D112"/>
    <mergeCell ref="A1:E1"/>
    <mergeCell ref="A13:A15"/>
    <mergeCell ref="A16:A18"/>
    <mergeCell ref="A32:E32"/>
    <mergeCell ref="A33:E33"/>
    <mergeCell ref="A34:E34"/>
    <mergeCell ref="A9:E9"/>
    <mergeCell ref="A98:D98"/>
    <mergeCell ref="A7:E7"/>
    <mergeCell ref="A8:E8"/>
    <mergeCell ref="A10:E10"/>
    <mergeCell ref="A54:D54"/>
    <mergeCell ref="A19:A21"/>
    <mergeCell ref="A83:D8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4"/>
  <sheetViews>
    <sheetView zoomScale="80" zoomScaleNormal="80" workbookViewId="0">
      <selection sqref="A1:E1"/>
    </sheetView>
  </sheetViews>
  <sheetFormatPr baseColWidth="10" defaultColWidth="11.5546875" defaultRowHeight="14.4" x14ac:dyDescent="0.3"/>
  <cols>
    <col min="1" max="1" width="67.5546875" style="19" customWidth="1"/>
    <col min="2" max="2" width="24.77734375" style="13" customWidth="1"/>
    <col min="3" max="3" width="25" style="13" customWidth="1"/>
    <col min="4" max="4" width="21.21875" style="13" customWidth="1"/>
    <col min="5" max="6" width="17.77734375" style="13" bestFit="1" customWidth="1"/>
    <col min="7" max="7" width="17.21875" style="13" customWidth="1"/>
    <col min="8" max="8" width="15.88671875" style="13" bestFit="1" customWidth="1"/>
    <col min="9" max="16384" width="11.5546875" style="13"/>
  </cols>
  <sheetData>
    <row r="1" spans="1:7" ht="15" customHeight="1" x14ac:dyDescent="0.3">
      <c r="A1" s="265" t="s">
        <v>20</v>
      </c>
      <c r="B1" s="265"/>
      <c r="C1" s="265"/>
      <c r="D1" s="265"/>
      <c r="E1" s="265"/>
    </row>
    <row r="2" spans="1:7" ht="15" customHeight="1" x14ac:dyDescent="0.3">
      <c r="A2" s="3" t="s">
        <v>0</v>
      </c>
      <c r="B2" s="36" t="s">
        <v>22</v>
      </c>
      <c r="C2" s="15"/>
      <c r="D2" s="15"/>
      <c r="E2" s="21"/>
    </row>
    <row r="3" spans="1:7" ht="15" customHeight="1" x14ac:dyDescent="0.3">
      <c r="A3" s="3" t="s">
        <v>1</v>
      </c>
      <c r="B3" s="36" t="s">
        <v>21</v>
      </c>
      <c r="C3" s="36"/>
      <c r="D3" s="36"/>
      <c r="E3" s="21"/>
    </row>
    <row r="4" spans="1:7" ht="15" customHeight="1" x14ac:dyDescent="0.3">
      <c r="A4" s="3" t="s">
        <v>11</v>
      </c>
      <c r="B4" s="15" t="s">
        <v>61</v>
      </c>
      <c r="C4" s="15"/>
      <c r="D4" s="15"/>
      <c r="E4" s="21"/>
    </row>
    <row r="5" spans="1:7" ht="15" customHeight="1" x14ac:dyDescent="0.3">
      <c r="A5" s="3" t="s">
        <v>2</v>
      </c>
      <c r="B5" s="40">
        <v>2022</v>
      </c>
      <c r="C5" s="15"/>
      <c r="D5" s="15"/>
      <c r="E5" s="21"/>
    </row>
    <row r="6" spans="1:7" ht="15" customHeight="1" x14ac:dyDescent="0.3"/>
    <row r="7" spans="1:7" ht="15" customHeight="1" x14ac:dyDescent="0.3">
      <c r="A7" s="265" t="s">
        <v>9</v>
      </c>
      <c r="B7" s="265"/>
      <c r="C7" s="265"/>
      <c r="D7" s="265"/>
      <c r="E7" s="265"/>
      <c r="F7" s="265"/>
      <c r="G7" s="265"/>
    </row>
    <row r="8" spans="1:7" ht="15" customHeight="1" x14ac:dyDescent="0.3">
      <c r="A8" s="265" t="s">
        <v>12</v>
      </c>
      <c r="B8" s="265"/>
      <c r="C8" s="265"/>
      <c r="D8" s="265"/>
      <c r="E8" s="265"/>
      <c r="F8" s="265"/>
      <c r="G8" s="265"/>
    </row>
    <row r="9" spans="1:7" ht="15" customHeight="1" x14ac:dyDescent="0.3">
      <c r="A9" s="268" t="s">
        <v>50</v>
      </c>
      <c r="B9" s="268"/>
      <c r="C9" s="268"/>
      <c r="D9" s="268"/>
      <c r="E9" s="268"/>
      <c r="F9" s="268"/>
      <c r="G9" s="268"/>
    </row>
    <row r="10" spans="1:7" ht="15" customHeight="1" x14ac:dyDescent="0.3">
      <c r="A10" s="264"/>
      <c r="B10" s="264"/>
      <c r="C10" s="264"/>
      <c r="D10" s="264"/>
      <c r="E10" s="264"/>
      <c r="F10" s="264"/>
      <c r="G10" s="264"/>
    </row>
    <row r="11" spans="1:7" ht="15" customHeight="1" thickBot="1" x14ac:dyDescent="0.35">
      <c r="A11" s="9" t="s">
        <v>64</v>
      </c>
      <c r="B11" s="31"/>
      <c r="C11" s="31" t="s">
        <v>6</v>
      </c>
      <c r="D11" s="31" t="s">
        <v>30</v>
      </c>
      <c r="E11" s="31" t="s">
        <v>35</v>
      </c>
      <c r="F11" s="31" t="s">
        <v>39</v>
      </c>
      <c r="G11" s="42" t="s">
        <v>66</v>
      </c>
    </row>
    <row r="12" spans="1:7" ht="15" customHeight="1" x14ac:dyDescent="0.3">
      <c r="F12" s="26"/>
    </row>
    <row r="13" spans="1:7" ht="15" customHeight="1" x14ac:dyDescent="0.3">
      <c r="A13" s="272" t="s">
        <v>23</v>
      </c>
      <c r="B13" s="8" t="s">
        <v>58</v>
      </c>
      <c r="C13" s="13">
        <f>+'I T'!F13</f>
        <v>136</v>
      </c>
      <c r="D13" s="13">
        <f>+'II T'!F13</f>
        <v>66</v>
      </c>
      <c r="E13" s="13">
        <f>+'III T'!F13</f>
        <v>89</v>
      </c>
      <c r="F13" s="13">
        <f>+'IV T'!F13</f>
        <v>13</v>
      </c>
      <c r="G13" s="45">
        <f>F13</f>
        <v>13</v>
      </c>
    </row>
    <row r="14" spans="1:7" ht="15" customHeight="1" x14ac:dyDescent="0.3">
      <c r="A14" s="272"/>
      <c r="B14" s="8" t="s">
        <v>59</v>
      </c>
      <c r="C14" s="13">
        <f>+'I T'!F14</f>
        <v>1134.3333333333333</v>
      </c>
      <c r="D14" s="13">
        <f>+'II T'!F14</f>
        <v>1578.3333333333333</v>
      </c>
      <c r="E14" s="13">
        <f>+'III T'!F14</f>
        <v>1573.3333333333333</v>
      </c>
      <c r="F14" s="13">
        <f>+'IV T'!F14</f>
        <v>1575.3333333333333</v>
      </c>
      <c r="G14" s="45">
        <f t="shared" ref="G14:G21" si="0">+(+C14+D14+E14+F14)/4</f>
        <v>1465.3333333333333</v>
      </c>
    </row>
    <row r="15" spans="1:7" ht="15" customHeight="1" x14ac:dyDescent="0.3">
      <c r="A15" s="272"/>
      <c r="B15" s="8" t="s">
        <v>60</v>
      </c>
      <c r="C15" s="13">
        <f>+'I T'!F15</f>
        <v>420.33333333333331</v>
      </c>
      <c r="D15" s="13">
        <f>+'II T'!F15</f>
        <v>52.333333333333336</v>
      </c>
      <c r="E15" s="13">
        <f>+'III T'!F15</f>
        <v>30.333333333333332</v>
      </c>
      <c r="F15" s="13">
        <f>+'IV T'!F15</f>
        <v>61.666666666666664</v>
      </c>
      <c r="G15" s="45">
        <f t="shared" si="0"/>
        <v>141.16666666666666</v>
      </c>
    </row>
    <row r="16" spans="1:7" ht="15" customHeight="1" x14ac:dyDescent="0.3">
      <c r="A16" s="272" t="s">
        <v>24</v>
      </c>
      <c r="B16" s="8" t="s">
        <v>58</v>
      </c>
      <c r="C16" s="13">
        <f>+'I T'!F16</f>
        <v>103</v>
      </c>
      <c r="D16" s="13">
        <f>+'II T'!F16</f>
        <v>173</v>
      </c>
      <c r="E16" s="13">
        <f>+'III T'!F16</f>
        <v>36</v>
      </c>
      <c r="F16" s="13">
        <f>+'IV T'!F16</f>
        <v>88</v>
      </c>
      <c r="G16" s="45">
        <f>F16</f>
        <v>88</v>
      </c>
    </row>
    <row r="17" spans="1:7" ht="15" customHeight="1" x14ac:dyDescent="0.3">
      <c r="A17" s="272"/>
      <c r="B17" s="8" t="s">
        <v>59</v>
      </c>
      <c r="C17" s="13">
        <f>+'I T'!F17</f>
        <v>1160.3333333333333</v>
      </c>
      <c r="D17" s="13">
        <f>+'II T'!F17</f>
        <v>1256</v>
      </c>
      <c r="E17" s="13">
        <f>+'III T'!F17</f>
        <v>1290.6666666666667</v>
      </c>
      <c r="F17" s="13">
        <f>+'IV T'!F17</f>
        <v>1290.6666666666667</v>
      </c>
      <c r="G17" s="45">
        <f t="shared" si="0"/>
        <v>1249.4166666666667</v>
      </c>
    </row>
    <row r="18" spans="1:7" ht="15" customHeight="1" x14ac:dyDescent="0.3">
      <c r="A18" s="272"/>
      <c r="B18" s="8" t="s">
        <v>60</v>
      </c>
      <c r="C18" s="13">
        <f>+'I T'!F18</f>
        <v>129.33333333333334</v>
      </c>
      <c r="D18" s="13">
        <f>+'II T'!F18</f>
        <v>77.333333333333329</v>
      </c>
      <c r="E18" s="13">
        <f>+'III T'!F18</f>
        <v>105</v>
      </c>
      <c r="F18" s="13">
        <f>+'IV T'!F18</f>
        <v>27</v>
      </c>
      <c r="G18" s="45">
        <f t="shared" si="0"/>
        <v>84.666666666666671</v>
      </c>
    </row>
    <row r="19" spans="1:7" ht="15" customHeight="1" x14ac:dyDescent="0.3">
      <c r="A19" s="273" t="s">
        <v>25</v>
      </c>
      <c r="B19" s="8" t="s">
        <v>58</v>
      </c>
      <c r="C19" s="13">
        <f>+'I T'!F19</f>
        <v>1267</v>
      </c>
      <c r="D19" s="13">
        <f>+'II T'!F19</f>
        <v>5004</v>
      </c>
      <c r="E19" s="13">
        <f>+'III T'!F19</f>
        <v>322</v>
      </c>
      <c r="F19" s="13">
        <f>+'IV T'!F19</f>
        <v>135</v>
      </c>
      <c r="G19" s="45">
        <f>F19</f>
        <v>135</v>
      </c>
    </row>
    <row r="20" spans="1:7" ht="15" customHeight="1" x14ac:dyDescent="0.3">
      <c r="A20" s="273"/>
      <c r="B20" s="8" t="s">
        <v>59</v>
      </c>
      <c r="C20" s="13">
        <f>+'I T'!F20</f>
        <v>6430</v>
      </c>
      <c r="D20" s="13">
        <f>+'II T'!F20</f>
        <v>9534</v>
      </c>
      <c r="E20" s="13">
        <f>+'III T'!F20</f>
        <v>10920.333333333334</v>
      </c>
      <c r="F20" s="13">
        <f>+'IV T'!F20</f>
        <v>10992.666666666666</v>
      </c>
      <c r="G20" s="13">
        <f t="shared" si="0"/>
        <v>9469.25</v>
      </c>
    </row>
    <row r="21" spans="1:7" ht="15" customHeight="1" x14ac:dyDescent="0.3">
      <c r="A21" s="273"/>
      <c r="B21" s="8" t="s">
        <v>60</v>
      </c>
      <c r="C21" s="13">
        <f>+'I T'!F21</f>
        <v>3496</v>
      </c>
      <c r="D21" s="13">
        <f>+'II T'!F21</f>
        <v>121.66666666666667</v>
      </c>
      <c r="E21" s="13">
        <f>+'III T'!F21</f>
        <v>1762.3333333333333</v>
      </c>
      <c r="F21" s="13">
        <f>+'IV T'!F21</f>
        <v>167</v>
      </c>
      <c r="G21" s="13">
        <f t="shared" si="0"/>
        <v>1386.75</v>
      </c>
    </row>
    <row r="22" spans="1:7" ht="15" customHeight="1" x14ac:dyDescent="0.3">
      <c r="A22" s="61" t="s">
        <v>74</v>
      </c>
      <c r="B22" s="60" t="s">
        <v>58</v>
      </c>
      <c r="C22" s="62">
        <f>+'I T'!F22</f>
        <v>0</v>
      </c>
      <c r="D22" s="62">
        <f>+'II T'!F22</f>
        <v>0</v>
      </c>
      <c r="E22" s="62">
        <f>+'III T'!F22</f>
        <v>0</v>
      </c>
      <c r="F22" s="62">
        <f>+'IV T'!F22</f>
        <v>0</v>
      </c>
      <c r="G22" s="62">
        <f>F22</f>
        <v>0</v>
      </c>
    </row>
    <row r="23" spans="1:7" ht="15" customHeight="1" x14ac:dyDescent="0.3">
      <c r="A23"/>
      <c r="B23" s="60" t="s">
        <v>59</v>
      </c>
      <c r="C23" s="62">
        <f>+'I T'!F23</f>
        <v>527</v>
      </c>
      <c r="D23" s="62">
        <f>+'II T'!F23</f>
        <v>807.33333333333337</v>
      </c>
      <c r="E23" s="62">
        <f>+'III T'!F23</f>
        <v>850.66666666666663</v>
      </c>
      <c r="F23" s="62">
        <f>+'IV T'!F23</f>
        <v>934.33333333333337</v>
      </c>
      <c r="G23" s="62">
        <f>+(+C23+D23+E23+F23)</f>
        <v>3119.3333333333335</v>
      </c>
    </row>
    <row r="24" spans="1:7" ht="15" customHeight="1" x14ac:dyDescent="0.3">
      <c r="A24"/>
      <c r="B24" s="60" t="s">
        <v>60</v>
      </c>
      <c r="C24" s="62">
        <f>+'I T'!F24</f>
        <v>263</v>
      </c>
      <c r="D24" s="62">
        <f>+'II T'!F24</f>
        <v>4.666666666666667</v>
      </c>
      <c r="E24" s="62">
        <f>+'III T'!F24</f>
        <v>4.333333333333333</v>
      </c>
      <c r="F24" s="62">
        <f>+'IV T'!F24</f>
        <v>0</v>
      </c>
      <c r="G24" s="62">
        <f>+(+C24+D24+E24+F24)</f>
        <v>272</v>
      </c>
    </row>
    <row r="25" spans="1:7" ht="15" customHeight="1" x14ac:dyDescent="0.3">
      <c r="A25" s="58"/>
      <c r="B25" s="8"/>
      <c r="F25" s="26"/>
    </row>
    <row r="26" spans="1:7" ht="15" customHeight="1" x14ac:dyDescent="0.3">
      <c r="A26" s="21"/>
      <c r="F26" s="26"/>
      <c r="G26" s="13">
        <f>+(+C26+D26+E26+F26)/4</f>
        <v>0</v>
      </c>
    </row>
    <row r="27" spans="1:7" ht="15" customHeight="1" thickBot="1" x14ac:dyDescent="0.35">
      <c r="A27" s="22" t="s">
        <v>13</v>
      </c>
      <c r="B27" s="23" t="s">
        <v>51</v>
      </c>
      <c r="C27" s="23">
        <f>+C14+C15+C17+C18+C20+C21+C23+C24</f>
        <v>13560.333333333334</v>
      </c>
      <c r="D27" s="23">
        <f>+D14+D15+D17+D18+D20+D21+D23+D24</f>
        <v>13431.666666666666</v>
      </c>
      <c r="E27" s="23">
        <f>+E14+E15+E17+E18+E20+E21+E23+E24</f>
        <v>16537</v>
      </c>
      <c r="F27" s="23">
        <f>+F14+F15+F17+F18+F20+F21+F23+F24</f>
        <v>15048.666666666666</v>
      </c>
      <c r="G27" s="23">
        <f>+(+C27+D27+E27+F27)/4</f>
        <v>14644.416666666666</v>
      </c>
    </row>
    <row r="28" spans="1:7" ht="15" customHeight="1" thickTop="1" x14ac:dyDescent="0.3">
      <c r="A28" s="41" t="s">
        <v>65</v>
      </c>
      <c r="B28" s="26"/>
      <c r="C28" s="26"/>
      <c r="D28" s="26"/>
      <c r="E28" s="26"/>
      <c r="F28" s="26"/>
    </row>
    <row r="29" spans="1:7" ht="15" customHeight="1" x14ac:dyDescent="0.3">
      <c r="A29" s="1" t="s">
        <v>71</v>
      </c>
    </row>
    <row r="30" spans="1:7" ht="15" customHeight="1" x14ac:dyDescent="0.3">
      <c r="A30" s="1"/>
    </row>
    <row r="31" spans="1:7" ht="15" customHeight="1" x14ac:dyDescent="0.3">
      <c r="A31" s="1"/>
    </row>
    <row r="32" spans="1:7" ht="15" customHeight="1" x14ac:dyDescent="0.3">
      <c r="A32" s="268" t="s">
        <v>14</v>
      </c>
      <c r="B32" s="268"/>
      <c r="C32" s="268"/>
      <c r="D32" s="268"/>
      <c r="E32" s="268"/>
      <c r="F32" s="268"/>
    </row>
    <row r="33" spans="1:7" ht="15" customHeight="1" x14ac:dyDescent="0.3">
      <c r="A33" s="265" t="s">
        <v>31</v>
      </c>
      <c r="B33" s="265"/>
      <c r="C33" s="265"/>
      <c r="D33" s="265"/>
      <c r="E33" s="265"/>
      <c r="F33" s="265"/>
    </row>
    <row r="34" spans="1:7" ht="15" customHeight="1" x14ac:dyDescent="0.3">
      <c r="A34" s="268" t="s">
        <v>52</v>
      </c>
      <c r="B34" s="268"/>
      <c r="C34" s="268"/>
      <c r="D34" s="268"/>
      <c r="E34" s="268"/>
      <c r="F34" s="268"/>
      <c r="G34" s="268"/>
    </row>
    <row r="35" spans="1:7" ht="15" customHeight="1" x14ac:dyDescent="0.3">
      <c r="A35" s="264"/>
      <c r="B35" s="264"/>
      <c r="C35" s="264"/>
      <c r="D35" s="264"/>
      <c r="E35" s="264"/>
      <c r="F35" s="264"/>
    </row>
    <row r="36" spans="1:7" ht="15" customHeight="1" thickBot="1" x14ac:dyDescent="0.35">
      <c r="A36" s="9" t="s">
        <v>64</v>
      </c>
      <c r="B36" s="17"/>
      <c r="C36" s="17" t="s">
        <v>6</v>
      </c>
      <c r="D36" s="17" t="s">
        <v>30</v>
      </c>
      <c r="E36" s="17" t="s">
        <v>35</v>
      </c>
      <c r="F36" s="17" t="s">
        <v>39</v>
      </c>
      <c r="G36" s="17" t="s">
        <v>40</v>
      </c>
    </row>
    <row r="37" spans="1:7" ht="15" customHeight="1" x14ac:dyDescent="0.3"/>
    <row r="38" spans="1:7" ht="15" customHeight="1" x14ac:dyDescent="0.3">
      <c r="A38" s="193" t="s">
        <v>121</v>
      </c>
      <c r="B38" s="13" t="s">
        <v>56</v>
      </c>
      <c r="C38" s="13">
        <f>+'I T'!F36</f>
        <v>690296280</v>
      </c>
      <c r="D38" s="13">
        <f>+'II T'!F36</f>
        <v>965599080</v>
      </c>
      <c r="E38" s="13">
        <f>+'III T'!F36</f>
        <v>959277312</v>
      </c>
      <c r="F38" s="13">
        <f>+'IV T'!F36</f>
        <v>1196905728</v>
      </c>
      <c r="G38" s="13">
        <f t="shared" ref="G38:G45" si="1">SUM(C38:F38)</f>
        <v>3812078400</v>
      </c>
    </row>
    <row r="39" spans="1:7" ht="15" customHeight="1" x14ac:dyDescent="0.3">
      <c r="A39" s="21"/>
      <c r="B39" s="13" t="s">
        <v>55</v>
      </c>
      <c r="C39" s="13">
        <f>+'I T'!F37</f>
        <v>257153208</v>
      </c>
      <c r="D39" s="13">
        <f>+'II T'!F37</f>
        <v>32016696</v>
      </c>
      <c r="E39" s="13">
        <f>+'III T'!F37</f>
        <v>18557448</v>
      </c>
      <c r="F39" s="13">
        <f>+'IV T'!F37</f>
        <v>45811680</v>
      </c>
      <c r="G39" s="13">
        <f t="shared" si="1"/>
        <v>353539032</v>
      </c>
    </row>
    <row r="40" spans="1:7" ht="15" customHeight="1" x14ac:dyDescent="0.3">
      <c r="A40" s="21" t="s">
        <v>24</v>
      </c>
      <c r="B40" s="13" t="s">
        <v>56</v>
      </c>
      <c r="C40" s="13">
        <f>+'I T'!F38</f>
        <v>285009074</v>
      </c>
      <c r="D40" s="13">
        <f>+'II T'!F38</f>
        <v>306135963</v>
      </c>
      <c r="E40" s="13">
        <f>+'III T'!F38</f>
        <v>315842912</v>
      </c>
      <c r="F40" s="13">
        <f>+'IV T'!F38</f>
        <v>397922912</v>
      </c>
      <c r="G40" s="13">
        <f t="shared" si="1"/>
        <v>1304910861</v>
      </c>
    </row>
    <row r="41" spans="1:7" ht="15" customHeight="1" x14ac:dyDescent="0.3">
      <c r="A41" s="21"/>
      <c r="B41" s="13" t="s">
        <v>55</v>
      </c>
      <c r="C41" s="13">
        <f>+'I T'!F39</f>
        <v>31649548</v>
      </c>
      <c r="D41" s="13">
        <f>+'II T'!F39</f>
        <v>18924472</v>
      </c>
      <c r="E41" s="13">
        <f>+'III T'!F39</f>
        <v>25694865</v>
      </c>
      <c r="F41" s="13">
        <f>+'IV T'!F39</f>
        <v>8707251</v>
      </c>
      <c r="G41" s="13">
        <f t="shared" si="1"/>
        <v>84976136</v>
      </c>
    </row>
    <row r="42" spans="1:7" ht="15" customHeight="1" x14ac:dyDescent="0.3">
      <c r="A42" s="274" t="s">
        <v>25</v>
      </c>
      <c r="B42" s="13" t="s">
        <v>56</v>
      </c>
      <c r="C42" s="13">
        <f>+'I T'!F40</f>
        <v>1165038285.6200001</v>
      </c>
      <c r="D42" s="13">
        <f>+'II T'!F40</f>
        <v>1667191360.6000001</v>
      </c>
      <c r="E42" s="13">
        <f>+'III T'!F40</f>
        <v>1857477079.6000001</v>
      </c>
      <c r="F42" s="13">
        <f>+'IV T'!F40</f>
        <v>2100861769.0799999</v>
      </c>
      <c r="G42" s="13">
        <f t="shared" si="1"/>
        <v>6790568494.9000006</v>
      </c>
    </row>
    <row r="43" spans="1:7" ht="15" customHeight="1" x14ac:dyDescent="0.3">
      <c r="A43" s="274"/>
      <c r="B43" s="13" t="s">
        <v>55</v>
      </c>
      <c r="C43" s="13">
        <f>+'I T'!F41</f>
        <v>628476026.95999992</v>
      </c>
      <c r="D43" s="13">
        <f>+'II T'!F41</f>
        <v>31324904</v>
      </c>
      <c r="E43" s="13">
        <f>+'III T'!F41</f>
        <v>265926061</v>
      </c>
      <c r="F43" s="13">
        <f>+'IV T'!F41</f>
        <v>27616373</v>
      </c>
      <c r="G43" s="13">
        <f t="shared" si="1"/>
        <v>953343364.95999992</v>
      </c>
    </row>
    <row r="44" spans="1:7" ht="15" customHeight="1" x14ac:dyDescent="0.3">
      <c r="A44" s="59" t="s">
        <v>74</v>
      </c>
      <c r="B44" s="38" t="s">
        <v>56</v>
      </c>
      <c r="C44" s="13">
        <f>+'I T'!F42</f>
        <v>824062000</v>
      </c>
      <c r="D44" s="13">
        <f>+'II T'!F42</f>
        <v>1270266000</v>
      </c>
      <c r="E44" s="13">
        <f>+'III T'!F42</f>
        <v>1283636000</v>
      </c>
      <c r="F44" s="13">
        <f>+'IV T'!F42</f>
        <v>1945306000</v>
      </c>
      <c r="G44" s="13">
        <f t="shared" si="1"/>
        <v>5323270000</v>
      </c>
    </row>
    <row r="45" spans="1:7" ht="15" customHeight="1" x14ac:dyDescent="0.3">
      <c r="A45" s="59"/>
      <c r="B45" s="38" t="s">
        <v>55</v>
      </c>
      <c r="C45" s="13">
        <f>+'I T'!F43</f>
        <v>407542000</v>
      </c>
      <c r="D45" s="13">
        <f>+'II T'!F43</f>
        <v>6300000</v>
      </c>
      <c r="E45" s="13">
        <f>+'III T'!F43</f>
        <v>5850000</v>
      </c>
      <c r="F45" s="13">
        <f>+'IV T'!F43</f>
        <v>0</v>
      </c>
      <c r="G45" s="13">
        <f t="shared" si="1"/>
        <v>419692000</v>
      </c>
    </row>
    <row r="46" spans="1:7" ht="15" customHeight="1" thickBot="1" x14ac:dyDescent="0.35">
      <c r="A46" s="22" t="s">
        <v>13</v>
      </c>
      <c r="B46" s="23"/>
      <c r="C46" s="23">
        <f>SUM(C38:C45)</f>
        <v>4289226422.5799999</v>
      </c>
      <c r="D46" s="23">
        <f>SUM(D38:D45)</f>
        <v>4297758475.6000004</v>
      </c>
      <c r="E46" s="23">
        <f>SUM(E38:E45)</f>
        <v>4732261677.6000004</v>
      </c>
      <c r="F46" s="23">
        <f>SUM(F38:F45)</f>
        <v>5723131713.0799999</v>
      </c>
      <c r="G46" s="23">
        <f>SUM(G38:G45)</f>
        <v>19042378288.860001</v>
      </c>
    </row>
    <row r="47" spans="1:7" ht="15" customHeight="1" thickTop="1" x14ac:dyDescent="0.3">
      <c r="A47" s="25" t="s">
        <v>42</v>
      </c>
    </row>
    <row r="48" spans="1:7" ht="15" customHeight="1" x14ac:dyDescent="0.3">
      <c r="A48" s="1" t="s">
        <v>71</v>
      </c>
    </row>
    <row r="49" spans="1:7" ht="15" customHeight="1" x14ac:dyDescent="0.3">
      <c r="A49" s="1"/>
    </row>
    <row r="50" spans="1:7" ht="15" customHeight="1" x14ac:dyDescent="0.3">
      <c r="A50" s="1"/>
    </row>
    <row r="51" spans="1:7" ht="15" customHeight="1" x14ac:dyDescent="0.3"/>
    <row r="52" spans="1:7" ht="15" customHeight="1" x14ac:dyDescent="0.3">
      <c r="A52" s="268" t="s">
        <v>15</v>
      </c>
      <c r="B52" s="268"/>
      <c r="C52" s="268"/>
      <c r="D52" s="268"/>
      <c r="E52" s="268"/>
      <c r="F52" s="268"/>
    </row>
    <row r="53" spans="1:7" ht="15" customHeight="1" x14ac:dyDescent="0.3">
      <c r="A53" s="265" t="s">
        <v>46</v>
      </c>
      <c r="B53" s="265"/>
      <c r="C53" s="265"/>
      <c r="D53" s="265"/>
      <c r="E53" s="265"/>
      <c r="F53" s="265"/>
    </row>
    <row r="54" spans="1:7" ht="15" customHeight="1" x14ac:dyDescent="0.3">
      <c r="A54" s="268" t="s">
        <v>52</v>
      </c>
      <c r="B54" s="268"/>
      <c r="C54" s="268"/>
      <c r="D54" s="268"/>
      <c r="E54" s="268"/>
      <c r="F54" s="268"/>
      <c r="G54" s="33"/>
    </row>
    <row r="55" spans="1:7" ht="15" customHeight="1" x14ac:dyDescent="0.3">
      <c r="A55" s="264"/>
      <c r="B55" s="264"/>
      <c r="C55" s="264"/>
      <c r="D55" s="264"/>
      <c r="E55" s="264"/>
      <c r="F55" s="264"/>
      <c r="G55" s="26"/>
    </row>
    <row r="56" spans="1:7" ht="15" customHeight="1" thickBot="1" x14ac:dyDescent="0.35">
      <c r="A56" s="30" t="s">
        <v>10</v>
      </c>
      <c r="B56" s="31" t="s">
        <v>6</v>
      </c>
      <c r="C56" s="31" t="s">
        <v>30</v>
      </c>
      <c r="D56" s="31" t="s">
        <v>35</v>
      </c>
      <c r="E56" s="31" t="s">
        <v>39</v>
      </c>
      <c r="F56" s="31" t="s">
        <v>40</v>
      </c>
    </row>
    <row r="57" spans="1:7" ht="15" customHeight="1" x14ac:dyDescent="0.3"/>
    <row r="58" spans="1:7" ht="15" customHeight="1" x14ac:dyDescent="0.3">
      <c r="A58" s="79" t="s">
        <v>138</v>
      </c>
      <c r="B58" s="13">
        <f>+'I T'!E57</f>
        <v>947449488</v>
      </c>
      <c r="C58" s="13">
        <f>+'II T'!E57</f>
        <v>997615776</v>
      </c>
      <c r="D58" s="13">
        <f>+'III T'!E57</f>
        <v>977834760</v>
      </c>
      <c r="E58" s="13">
        <f>+'IV T'!E57</f>
        <v>1242717408</v>
      </c>
      <c r="F58" s="13">
        <f>SUM(B58:E58)</f>
        <v>4165617432</v>
      </c>
    </row>
    <row r="59" spans="1:7" ht="15" customHeight="1" x14ac:dyDescent="0.3">
      <c r="A59" s="79" t="s">
        <v>139</v>
      </c>
      <c r="B59" s="13">
        <f>+'I T'!E58</f>
        <v>316658622</v>
      </c>
      <c r="C59" s="13">
        <f>+'II T'!E58</f>
        <v>325060435</v>
      </c>
      <c r="D59" s="13">
        <f>+'III T'!E58</f>
        <v>341537777</v>
      </c>
      <c r="E59" s="13">
        <f>+'IV T'!E58</f>
        <v>406630163</v>
      </c>
      <c r="F59" s="13">
        <f>SUM(B59:E59)</f>
        <v>1389886997</v>
      </c>
    </row>
    <row r="60" spans="1:7" ht="15" customHeight="1" x14ac:dyDescent="0.3">
      <c r="A60" s="19" t="s">
        <v>43</v>
      </c>
      <c r="B60" s="13">
        <f>+'I T'!E59</f>
        <v>1793514312.5800002</v>
      </c>
      <c r="C60" s="13">
        <f>+'II T'!E59</f>
        <v>1698516264.6000001</v>
      </c>
      <c r="D60" s="13">
        <f>+'III T'!E59</f>
        <v>2123403140.5999999</v>
      </c>
      <c r="E60" s="13">
        <f>+'IV T'!E59</f>
        <v>2128478142.0799999</v>
      </c>
      <c r="F60" s="13">
        <f>SUM(B60:E60)</f>
        <v>7743911859.8600006</v>
      </c>
    </row>
    <row r="61" spans="1:7" ht="15" customHeight="1" x14ac:dyDescent="0.3">
      <c r="A61" s="19" t="s">
        <v>80</v>
      </c>
      <c r="B61" s="13">
        <f>+'I T'!E60</f>
        <v>1231604000</v>
      </c>
      <c r="C61" s="13">
        <f>+'II T'!E60</f>
        <v>1276566000</v>
      </c>
      <c r="D61" s="13">
        <f>+'III T'!E60</f>
        <v>1289486000</v>
      </c>
      <c r="E61" s="13">
        <f>+'IV T'!E60</f>
        <v>1945306000</v>
      </c>
      <c r="F61" s="13">
        <f>SUM(B61:E61)</f>
        <v>5742962000</v>
      </c>
    </row>
    <row r="62" spans="1:7" ht="15" customHeight="1" x14ac:dyDescent="0.3"/>
    <row r="63" spans="1:7" ht="15" customHeight="1" x14ac:dyDescent="0.3"/>
    <row r="64" spans="1:7" ht="15" customHeight="1" thickBot="1" x14ac:dyDescent="0.35">
      <c r="A64" s="22" t="s">
        <v>13</v>
      </c>
      <c r="B64" s="23">
        <f>SUM(B58:B63)</f>
        <v>4289226422.5799999</v>
      </c>
      <c r="C64" s="23">
        <f>SUM(C58:C63)</f>
        <v>4297758475.6000004</v>
      </c>
      <c r="D64" s="23">
        <f>SUM(D58:D63)</f>
        <v>4732261677.6000004</v>
      </c>
      <c r="E64" s="23">
        <f>SUM(E58:E63)</f>
        <v>5723131713.0799999</v>
      </c>
      <c r="F64" s="23">
        <f>SUM(F58:F63)</f>
        <v>19042378288.860001</v>
      </c>
    </row>
    <row r="65" spans="1:7" ht="15" customHeight="1" thickTop="1" x14ac:dyDescent="0.3">
      <c r="A65" s="1" t="s">
        <v>71</v>
      </c>
    </row>
    <row r="66" spans="1:7" ht="15" customHeight="1" x14ac:dyDescent="0.3">
      <c r="A66" s="1"/>
    </row>
    <row r="67" spans="1:7" ht="15" customHeight="1" x14ac:dyDescent="0.3"/>
    <row r="68" spans="1:7" ht="15" customHeight="1" x14ac:dyDescent="0.3">
      <c r="A68" s="265" t="s">
        <v>44</v>
      </c>
      <c r="B68" s="265"/>
      <c r="C68" s="265"/>
      <c r="D68" s="265"/>
      <c r="E68" s="265"/>
      <c r="F68" s="265"/>
    </row>
    <row r="69" spans="1:7" ht="15" customHeight="1" x14ac:dyDescent="0.3">
      <c r="A69" s="260" t="s">
        <v>103</v>
      </c>
      <c r="B69" s="260"/>
      <c r="C69" s="260"/>
      <c r="D69" s="260"/>
      <c r="E69" s="260"/>
      <c r="F69" s="260"/>
    </row>
    <row r="70" spans="1:7" ht="15" customHeight="1" x14ac:dyDescent="0.3">
      <c r="A70" s="268" t="s">
        <v>52</v>
      </c>
      <c r="B70" s="268"/>
      <c r="C70" s="268"/>
      <c r="D70" s="268"/>
      <c r="E70" s="268"/>
      <c r="F70" s="268"/>
    </row>
    <row r="71" spans="1:7" ht="15" customHeight="1" x14ac:dyDescent="0.3">
      <c r="A71" s="34"/>
      <c r="B71" s="34"/>
      <c r="C71" s="34"/>
      <c r="D71" s="34"/>
      <c r="E71" s="34"/>
      <c r="F71" s="34"/>
      <c r="G71" s="34"/>
    </row>
    <row r="72" spans="1:7" ht="15" customHeight="1" thickBot="1" x14ac:dyDescent="0.35">
      <c r="A72" s="30" t="s">
        <v>10</v>
      </c>
      <c r="B72" s="31" t="s">
        <v>6</v>
      </c>
      <c r="C72" s="31" t="s">
        <v>30</v>
      </c>
      <c r="D72" s="31" t="s">
        <v>35</v>
      </c>
      <c r="E72" s="31" t="s">
        <v>39</v>
      </c>
      <c r="F72" s="31" t="s">
        <v>40</v>
      </c>
      <c r="G72" s="31" t="s">
        <v>40</v>
      </c>
    </row>
    <row r="73" spans="1:7" ht="15" customHeight="1" x14ac:dyDescent="0.3"/>
    <row r="74" spans="1:7" ht="15" customHeight="1" x14ac:dyDescent="0.3">
      <c r="A74" s="13" t="s">
        <v>62</v>
      </c>
      <c r="B74" s="13">
        <f>+'I T'!E72</f>
        <v>0</v>
      </c>
      <c r="C74" s="13">
        <f>+'II T'!E72</f>
        <v>0</v>
      </c>
      <c r="D74" s="13">
        <f>+'III T'!E72</f>
        <v>0</v>
      </c>
      <c r="E74" s="13">
        <f>+'IV T'!E72</f>
        <v>0</v>
      </c>
      <c r="F74" s="19">
        <f>B74</f>
        <v>0</v>
      </c>
    </row>
    <row r="75" spans="1:7" ht="15" customHeight="1" x14ac:dyDescent="0.3">
      <c r="A75" s="13" t="s">
        <v>16</v>
      </c>
      <c r="B75" s="13">
        <f>+'I T'!E73</f>
        <v>947449488</v>
      </c>
      <c r="C75" s="13">
        <f>+'II T'!E73</f>
        <v>997615776</v>
      </c>
      <c r="D75" s="13">
        <f>+'III T'!E73</f>
        <v>977834760</v>
      </c>
      <c r="E75" s="13">
        <f>+'IV T'!E73</f>
        <v>1242717408</v>
      </c>
      <c r="F75" s="67">
        <f>SUM(B75:E75)</f>
        <v>4165617432</v>
      </c>
    </row>
    <row r="76" spans="1:7" ht="15" customHeight="1" x14ac:dyDescent="0.3">
      <c r="A76" s="13" t="s">
        <v>17</v>
      </c>
      <c r="B76" s="13">
        <f>+'I T'!E74</f>
        <v>947449488</v>
      </c>
      <c r="C76" s="13">
        <f>+'II T'!E74</f>
        <v>997615776</v>
      </c>
      <c r="D76" s="13">
        <f>+'III T'!E74</f>
        <v>977834760</v>
      </c>
      <c r="E76" s="13">
        <f>+'IV T'!E74</f>
        <v>1242717408</v>
      </c>
      <c r="F76" s="13">
        <f>SUM(F74:F75)</f>
        <v>4165617432</v>
      </c>
    </row>
    <row r="77" spans="1:7" ht="15" customHeight="1" x14ac:dyDescent="0.3">
      <c r="A77" s="13" t="s">
        <v>18</v>
      </c>
      <c r="B77" s="13">
        <f>+'I T'!E75</f>
        <v>947449488</v>
      </c>
      <c r="C77" s="13">
        <f>+'II T'!E75</f>
        <v>997615776</v>
      </c>
      <c r="D77" s="13">
        <f>+'III T'!E75</f>
        <v>977834760</v>
      </c>
      <c r="E77" s="13">
        <f>+'IV T'!E75</f>
        <v>1242717408</v>
      </c>
      <c r="F77" s="13">
        <f>SUM(B77:E77)</f>
        <v>4165617432</v>
      </c>
    </row>
    <row r="78" spans="1:7" ht="15" customHeight="1" x14ac:dyDescent="0.3">
      <c r="A78" s="26" t="s">
        <v>19</v>
      </c>
      <c r="B78" s="26">
        <f>+'I T'!E76</f>
        <v>0</v>
      </c>
      <c r="C78" s="13">
        <f>+'II T'!E76</f>
        <v>0</v>
      </c>
      <c r="D78" s="13">
        <f>+'III T'!E76</f>
        <v>0</v>
      </c>
      <c r="E78" s="13">
        <f>+'IV T'!E76</f>
        <v>0</v>
      </c>
      <c r="F78" s="195">
        <f>+F76-F77</f>
        <v>0</v>
      </c>
      <c r="G78" s="67"/>
    </row>
    <row r="79" spans="1:7" ht="15" customHeight="1" thickBot="1" x14ac:dyDescent="0.35">
      <c r="A79" s="23"/>
      <c r="B79" s="23"/>
      <c r="C79" s="23"/>
      <c r="D79" s="23"/>
      <c r="E79" s="23"/>
      <c r="F79" s="23"/>
    </row>
    <row r="80" spans="1:7" ht="15" customHeight="1" thickTop="1" x14ac:dyDescent="0.3">
      <c r="A80" s="1" t="s">
        <v>71</v>
      </c>
    </row>
    <row r="81" spans="1:7" ht="15" customHeight="1" x14ac:dyDescent="0.3">
      <c r="A81" s="1"/>
    </row>
    <row r="82" spans="1:7" ht="15" customHeight="1" x14ac:dyDescent="0.3">
      <c r="A82" s="1"/>
    </row>
    <row r="83" spans="1:7" ht="15" customHeight="1" x14ac:dyDescent="0.3">
      <c r="A83" s="265" t="s">
        <v>45</v>
      </c>
      <c r="B83" s="265"/>
      <c r="C83" s="265"/>
      <c r="D83" s="265"/>
      <c r="E83" s="265"/>
      <c r="F83" s="265"/>
    </row>
    <row r="84" spans="1:7" ht="15" customHeight="1" x14ac:dyDescent="0.3">
      <c r="A84" s="260" t="s">
        <v>101</v>
      </c>
      <c r="B84" s="260"/>
      <c r="C84" s="260"/>
      <c r="D84" s="260"/>
      <c r="E84" s="260"/>
      <c r="F84" s="260"/>
    </row>
    <row r="85" spans="1:7" ht="15" customHeight="1" x14ac:dyDescent="0.3">
      <c r="A85" s="268" t="s">
        <v>52</v>
      </c>
      <c r="B85" s="268"/>
      <c r="C85" s="268"/>
      <c r="D85" s="268"/>
      <c r="E85" s="268"/>
      <c r="F85" s="268"/>
    </row>
    <row r="86" spans="1:7" ht="15" customHeight="1" x14ac:dyDescent="0.3">
      <c r="A86" s="34"/>
      <c r="B86" s="34"/>
      <c r="C86" s="34"/>
      <c r="D86" s="34"/>
      <c r="E86" s="34"/>
      <c r="F86" s="34"/>
      <c r="G86" s="34"/>
    </row>
    <row r="87" spans="1:7" ht="15" customHeight="1" thickBot="1" x14ac:dyDescent="0.35">
      <c r="A87" s="30" t="s">
        <v>10</v>
      </c>
      <c r="B87" s="31" t="s">
        <v>6</v>
      </c>
      <c r="C87" s="31" t="s">
        <v>30</v>
      </c>
      <c r="D87" s="31" t="s">
        <v>35</v>
      </c>
      <c r="E87" s="31" t="s">
        <v>39</v>
      </c>
      <c r="F87" s="31" t="s">
        <v>40</v>
      </c>
      <c r="G87" s="31" t="s">
        <v>40</v>
      </c>
    </row>
    <row r="88" spans="1:7" ht="15" customHeight="1" x14ac:dyDescent="0.3"/>
    <row r="89" spans="1:7" ht="15" customHeight="1" x14ac:dyDescent="0.3">
      <c r="A89" s="13" t="s">
        <v>62</v>
      </c>
      <c r="B89" s="13">
        <f>+'I T'!E87</f>
        <v>0</v>
      </c>
      <c r="C89" s="13">
        <f>+'II T'!E87</f>
        <v>0</v>
      </c>
      <c r="D89" s="13">
        <f>+'III T'!E87</f>
        <v>0</v>
      </c>
      <c r="E89" s="13">
        <f>+'IV T'!E87</f>
        <v>0</v>
      </c>
      <c r="F89" s="19">
        <f>B89</f>
        <v>0</v>
      </c>
    </row>
    <row r="90" spans="1:7" ht="15" customHeight="1" x14ac:dyDescent="0.3">
      <c r="A90" s="13" t="s">
        <v>16</v>
      </c>
      <c r="B90" s="13">
        <f>+'I T'!E88</f>
        <v>316658622</v>
      </c>
      <c r="C90" s="13">
        <f>+'II T'!E88</f>
        <v>325060435</v>
      </c>
      <c r="D90" s="13">
        <f>+'III T'!E88</f>
        <v>341537777</v>
      </c>
      <c r="E90" s="13">
        <f>+'IV T'!E88</f>
        <v>406630163</v>
      </c>
      <c r="F90" s="67">
        <f>SUM(B90:E90)</f>
        <v>1389886997</v>
      </c>
    </row>
    <row r="91" spans="1:7" ht="15" customHeight="1" x14ac:dyDescent="0.3">
      <c r="A91" s="13" t="s">
        <v>17</v>
      </c>
      <c r="B91" s="13">
        <f>+'I T'!E89</f>
        <v>316658622</v>
      </c>
      <c r="C91" s="13">
        <f>+'II T'!E89</f>
        <v>325060435</v>
      </c>
      <c r="D91" s="13">
        <f>+'III T'!E89</f>
        <v>341537777</v>
      </c>
      <c r="E91" s="13">
        <f>+'IV T'!E89</f>
        <v>406630163</v>
      </c>
      <c r="F91" s="13">
        <f>SUM(F89:F90)</f>
        <v>1389886997</v>
      </c>
    </row>
    <row r="92" spans="1:7" ht="15" customHeight="1" x14ac:dyDescent="0.3">
      <c r="A92" s="13" t="s">
        <v>18</v>
      </c>
      <c r="B92" s="13">
        <f>+'I T'!E90</f>
        <v>316658622</v>
      </c>
      <c r="C92" s="13">
        <f>+'II T'!E90</f>
        <v>325060435</v>
      </c>
      <c r="D92" s="13">
        <f>+'III T'!E90</f>
        <v>341537777</v>
      </c>
      <c r="E92" s="13">
        <f>+'IV T'!E90</f>
        <v>406630163</v>
      </c>
      <c r="F92" s="13">
        <f>SUM(B92:E92)</f>
        <v>1389886997</v>
      </c>
    </row>
    <row r="93" spans="1:7" ht="15" customHeight="1" x14ac:dyDescent="0.3">
      <c r="A93" s="26" t="s">
        <v>19</v>
      </c>
      <c r="B93" s="26">
        <f>+'I T'!E91</f>
        <v>0</v>
      </c>
      <c r="C93" s="13">
        <f>+'II T'!E91</f>
        <v>0</v>
      </c>
      <c r="D93" s="13">
        <f>+'III T'!E91</f>
        <v>0</v>
      </c>
      <c r="E93" s="13">
        <f>+'IV T'!E91</f>
        <v>0</v>
      </c>
      <c r="F93" s="195">
        <f>+F91-F92</f>
        <v>0</v>
      </c>
      <c r="G93" s="67"/>
    </row>
    <row r="94" spans="1:7" ht="15" customHeight="1" thickBot="1" x14ac:dyDescent="0.35">
      <c r="A94" s="23"/>
      <c r="B94" s="23"/>
      <c r="C94" s="23"/>
      <c r="D94" s="23"/>
      <c r="E94" s="23"/>
      <c r="F94" s="23"/>
    </row>
    <row r="95" spans="1:7" ht="15" customHeight="1" thickTop="1" x14ac:dyDescent="0.3">
      <c r="A95" s="1" t="s">
        <v>71</v>
      </c>
    </row>
    <row r="96" spans="1:7" ht="15" customHeight="1" x14ac:dyDescent="0.3">
      <c r="A96" s="1"/>
    </row>
    <row r="97" spans="1:8" ht="15" customHeight="1" x14ac:dyDescent="0.3">
      <c r="A97" s="13"/>
    </row>
    <row r="98" spans="1:8" x14ac:dyDescent="0.3">
      <c r="A98" s="265" t="s">
        <v>102</v>
      </c>
      <c r="B98" s="265"/>
      <c r="C98" s="265"/>
      <c r="D98" s="265"/>
      <c r="E98" s="265"/>
      <c r="F98" s="265"/>
    </row>
    <row r="99" spans="1:8" x14ac:dyDescent="0.3">
      <c r="A99" s="265" t="s">
        <v>48</v>
      </c>
      <c r="B99" s="265"/>
      <c r="C99" s="265"/>
      <c r="D99" s="265"/>
      <c r="E99" s="265"/>
      <c r="F99" s="265"/>
    </row>
    <row r="100" spans="1:8" x14ac:dyDescent="0.3">
      <c r="A100" s="268" t="s">
        <v>52</v>
      </c>
      <c r="B100" s="268"/>
      <c r="C100" s="268"/>
      <c r="D100" s="268"/>
      <c r="E100" s="268"/>
      <c r="F100" s="268"/>
      <c r="G100" s="14"/>
    </row>
    <row r="101" spans="1:8" x14ac:dyDescent="0.3">
      <c r="A101" s="264"/>
      <c r="B101" s="264"/>
      <c r="C101" s="264"/>
      <c r="D101" s="264"/>
      <c r="E101" s="264"/>
      <c r="F101" s="264"/>
    </row>
    <row r="102" spans="1:8" ht="15" thickBot="1" x14ac:dyDescent="0.35">
      <c r="A102" s="30" t="s">
        <v>10</v>
      </c>
      <c r="B102" s="31" t="s">
        <v>6</v>
      </c>
      <c r="C102" s="31" t="s">
        <v>30</v>
      </c>
      <c r="D102" s="31" t="s">
        <v>35</v>
      </c>
      <c r="E102" s="31" t="s">
        <v>39</v>
      </c>
      <c r="F102" s="31" t="s">
        <v>40</v>
      </c>
    </row>
    <row r="104" spans="1:8" x14ac:dyDescent="0.3">
      <c r="A104" s="13" t="s">
        <v>62</v>
      </c>
      <c r="B104" s="13">
        <f>+'I T'!E104</f>
        <v>0</v>
      </c>
      <c r="C104" s="13">
        <f>+'II T'!E104</f>
        <v>0</v>
      </c>
      <c r="D104" s="13">
        <f>+'III T'!E104</f>
        <v>0</v>
      </c>
      <c r="E104" s="13">
        <f>+'IV T'!E104</f>
        <v>0</v>
      </c>
      <c r="F104" s="114">
        <f>+B104</f>
        <v>0</v>
      </c>
    </row>
    <row r="105" spans="1:8" x14ac:dyDescent="0.3">
      <c r="A105" s="13" t="s">
        <v>89</v>
      </c>
      <c r="B105" s="13">
        <f>+'I T'!E105</f>
        <v>1793514312.5800002</v>
      </c>
      <c r="C105" s="13">
        <f>+'II T'!E105</f>
        <v>1698516264.6000001</v>
      </c>
      <c r="D105" s="13">
        <f>+'III T'!E105</f>
        <v>2123403140.5999999</v>
      </c>
      <c r="E105" s="13">
        <f>+'IV T'!E105</f>
        <v>2128478142.0799999</v>
      </c>
      <c r="F105" s="13">
        <f>+SUM(B105:E105)</f>
        <v>7743911859.8600006</v>
      </c>
    </row>
    <row r="106" spans="1:8" x14ac:dyDescent="0.3">
      <c r="A106" s="13" t="s">
        <v>17</v>
      </c>
      <c r="B106" s="13">
        <f>+'I T'!E106</f>
        <v>1793514312.5800002</v>
      </c>
      <c r="C106" s="13">
        <f>+'II T'!E106</f>
        <v>1698516264.6000001</v>
      </c>
      <c r="D106" s="13">
        <f>+'III T'!E106</f>
        <v>2123403140.5999999</v>
      </c>
      <c r="E106" s="13">
        <f>+'IV T'!E106</f>
        <v>2128478142.0799999</v>
      </c>
      <c r="F106" s="13">
        <f>SUM(F104:F105)</f>
        <v>7743911859.8600006</v>
      </c>
      <c r="H106" s="13">
        <f>+F119+F105+F90+F75</f>
        <v>19042378288.860001</v>
      </c>
    </row>
    <row r="107" spans="1:8" x14ac:dyDescent="0.3">
      <c r="A107" s="13" t="s">
        <v>18</v>
      </c>
      <c r="B107" s="13">
        <f>+'I T'!E107</f>
        <v>1793514312.5800002</v>
      </c>
      <c r="C107" s="13">
        <f>+'II T'!E107</f>
        <v>1698516264.6000001</v>
      </c>
      <c r="D107" s="13">
        <f>+'III T'!E107</f>
        <v>2123403140.5999999</v>
      </c>
      <c r="E107" s="13">
        <f>+'IV T'!E107</f>
        <v>2128478142.0799999</v>
      </c>
      <c r="F107" s="13">
        <f>+SUM(B107:E107)</f>
        <v>7743911859.8600006</v>
      </c>
    </row>
    <row r="108" spans="1:8" x14ac:dyDescent="0.3">
      <c r="A108" s="26" t="s">
        <v>19</v>
      </c>
      <c r="B108" s="26">
        <f>+'I T'!E108</f>
        <v>0</v>
      </c>
      <c r="C108" s="13">
        <f>+'II T'!E108</f>
        <v>0</v>
      </c>
      <c r="D108" s="13">
        <f>+'III T'!E108</f>
        <v>0</v>
      </c>
      <c r="E108" s="13">
        <f>+'IV T'!E108</f>
        <v>0</v>
      </c>
      <c r="F108" s="207">
        <f>+F106-F107</f>
        <v>0</v>
      </c>
    </row>
    <row r="109" spans="1:8" ht="15" thickBot="1" x14ac:dyDescent="0.35">
      <c r="A109" s="23"/>
      <c r="B109" s="23"/>
      <c r="C109" s="23"/>
      <c r="D109" s="23"/>
      <c r="E109" s="23"/>
      <c r="F109" s="23"/>
    </row>
    <row r="110" spans="1:8" ht="15" thickTop="1" x14ac:dyDescent="0.3">
      <c r="A110" s="13"/>
    </row>
    <row r="111" spans="1:8" x14ac:dyDescent="0.3">
      <c r="A111" s="13"/>
    </row>
    <row r="112" spans="1:8" x14ac:dyDescent="0.3">
      <c r="A112" s="265" t="s">
        <v>105</v>
      </c>
      <c r="B112" s="265"/>
      <c r="C112" s="265"/>
      <c r="D112" s="265"/>
      <c r="E112" s="265"/>
      <c r="F112" s="265"/>
    </row>
    <row r="113" spans="1:7" x14ac:dyDescent="0.3">
      <c r="A113" s="265" t="s">
        <v>104</v>
      </c>
      <c r="B113" s="265"/>
      <c r="C113" s="265"/>
      <c r="D113" s="265"/>
      <c r="E113" s="265"/>
      <c r="F113" s="265"/>
    </row>
    <row r="114" spans="1:7" x14ac:dyDescent="0.3">
      <c r="A114" s="268" t="s">
        <v>52</v>
      </c>
      <c r="B114" s="268"/>
      <c r="C114" s="268"/>
      <c r="D114" s="268"/>
      <c r="E114" s="268"/>
      <c r="F114" s="268"/>
      <c r="G114" s="14"/>
    </row>
    <row r="115" spans="1:7" x14ac:dyDescent="0.3">
      <c r="A115" s="264"/>
      <c r="B115" s="264"/>
      <c r="C115" s="264"/>
      <c r="D115" s="264"/>
      <c r="E115" s="264"/>
      <c r="F115" s="264"/>
    </row>
    <row r="116" spans="1:7" ht="15" thickBot="1" x14ac:dyDescent="0.35">
      <c r="A116" s="30" t="s">
        <v>10</v>
      </c>
      <c r="B116" s="31" t="s">
        <v>6</v>
      </c>
      <c r="C116" s="31" t="s">
        <v>30</v>
      </c>
      <c r="D116" s="31" t="s">
        <v>35</v>
      </c>
      <c r="E116" s="31" t="s">
        <v>39</v>
      </c>
      <c r="F116" s="31" t="s">
        <v>40</v>
      </c>
    </row>
    <row r="118" spans="1:7" x14ac:dyDescent="0.3">
      <c r="A118" s="13" t="s">
        <v>62</v>
      </c>
      <c r="B118" s="13">
        <f>+'I T'!E119</f>
        <v>0</v>
      </c>
      <c r="C118" s="13">
        <f>+'II T'!E119</f>
        <v>0</v>
      </c>
      <c r="D118" s="13">
        <f>+'III T'!E119</f>
        <v>0</v>
      </c>
      <c r="E118" s="13">
        <f>+'IV T'!E119</f>
        <v>0</v>
      </c>
      <c r="F118" s="114">
        <f>+B118</f>
        <v>0</v>
      </c>
    </row>
    <row r="119" spans="1:7" x14ac:dyDescent="0.3">
      <c r="A119" s="13" t="s">
        <v>89</v>
      </c>
      <c r="B119" s="13">
        <f>+'I T'!E120</f>
        <v>1231604000</v>
      </c>
      <c r="C119" s="13">
        <f>+'II T'!E120</f>
        <v>1276566000</v>
      </c>
      <c r="D119" s="13">
        <f>+'III T'!E120</f>
        <v>1289486000</v>
      </c>
      <c r="E119" s="13">
        <f>+'IV T'!E120</f>
        <v>1945306000</v>
      </c>
      <c r="F119" s="13">
        <f>+SUM(B119:E119)</f>
        <v>5742962000</v>
      </c>
    </row>
    <row r="120" spans="1:7" x14ac:dyDescent="0.3">
      <c r="A120" s="13" t="s">
        <v>17</v>
      </c>
      <c r="B120" s="13">
        <f>+'I T'!E121</f>
        <v>1231604000</v>
      </c>
      <c r="C120" s="13">
        <f>+'II T'!E121</f>
        <v>1276566000</v>
      </c>
      <c r="D120" s="13">
        <f>+'III T'!E121</f>
        <v>1289486000</v>
      </c>
      <c r="E120" s="13">
        <f>+'IV T'!E121</f>
        <v>1945306000</v>
      </c>
      <c r="F120" s="13">
        <f>SUM(F118:F119)</f>
        <v>5742962000</v>
      </c>
    </row>
    <row r="121" spans="1:7" x14ac:dyDescent="0.3">
      <c r="A121" s="13" t="s">
        <v>18</v>
      </c>
      <c r="B121" s="13">
        <f>+'I T'!E122</f>
        <v>1231604000</v>
      </c>
      <c r="C121" s="13">
        <f>+'II T'!E122</f>
        <v>1276566000</v>
      </c>
      <c r="D121" s="13">
        <f>+'III T'!E122</f>
        <v>1289486000</v>
      </c>
      <c r="E121" s="13">
        <f>+'IV T'!E122</f>
        <v>1945306000</v>
      </c>
      <c r="F121" s="13">
        <f>+SUM(B121:E121)</f>
        <v>5742962000</v>
      </c>
    </row>
    <row r="122" spans="1:7" x14ac:dyDescent="0.3">
      <c r="A122" s="26" t="s">
        <v>19</v>
      </c>
      <c r="B122" s="13">
        <f>+'I T'!E123</f>
        <v>0</v>
      </c>
      <c r="C122" s="13">
        <f>+'II T'!E123</f>
        <v>0</v>
      </c>
      <c r="D122" s="13">
        <f>+'III T'!E123</f>
        <v>0</v>
      </c>
      <c r="E122" s="13">
        <f>+'IV T'!E123</f>
        <v>0</v>
      </c>
      <c r="F122" s="163">
        <f>+F120-F121</f>
        <v>0</v>
      </c>
    </row>
    <row r="123" spans="1:7" ht="15" thickBot="1" x14ac:dyDescent="0.35">
      <c r="A123" s="23"/>
      <c r="B123" s="23"/>
      <c r="C123" s="23"/>
      <c r="D123" s="23"/>
      <c r="E123" s="23"/>
      <c r="F123" s="23"/>
    </row>
    <row r="124" spans="1:7" ht="15" thickTop="1" x14ac:dyDescent="0.3">
      <c r="A124" s="1" t="s">
        <v>71</v>
      </c>
    </row>
    <row r="125" spans="1:7" x14ac:dyDescent="0.3">
      <c r="A125" s="13"/>
    </row>
    <row r="126" spans="1:7" x14ac:dyDescent="0.3">
      <c r="A126" s="13"/>
    </row>
    <row r="128" spans="1:7" x14ac:dyDescent="0.3">
      <c r="A128" s="79" t="s">
        <v>164</v>
      </c>
      <c r="C128" s="67"/>
      <c r="D128" s="67"/>
    </row>
    <row r="129" spans="1:4" x14ac:dyDescent="0.3">
      <c r="A129" s="83" t="s">
        <v>82</v>
      </c>
      <c r="B129" s="83" t="s">
        <v>83</v>
      </c>
      <c r="C129" s="67"/>
      <c r="D129" s="67"/>
    </row>
    <row r="130" spans="1:4" x14ac:dyDescent="0.3">
      <c r="A130" s="194" t="s">
        <v>141</v>
      </c>
      <c r="B130" s="204">
        <f>+F78</f>
        <v>0</v>
      </c>
      <c r="C130" s="67"/>
      <c r="D130" s="67"/>
    </row>
    <row r="131" spans="1:4" x14ac:dyDescent="0.3">
      <c r="A131" s="194" t="s">
        <v>140</v>
      </c>
      <c r="B131" s="204">
        <f>+F93</f>
        <v>0</v>
      </c>
      <c r="C131" s="67"/>
      <c r="D131" s="67"/>
    </row>
    <row r="132" spans="1:4" x14ac:dyDescent="0.3">
      <c r="A132" s="194" t="s">
        <v>142</v>
      </c>
      <c r="B132" s="208">
        <f>+F108</f>
        <v>0</v>
      </c>
      <c r="C132" s="67"/>
      <c r="D132" s="67"/>
    </row>
    <row r="133" spans="1:4" ht="15" thickBot="1" x14ac:dyDescent="0.35">
      <c r="A133" s="81" t="s">
        <v>81</v>
      </c>
      <c r="B133" s="205">
        <f>+F122</f>
        <v>0</v>
      </c>
      <c r="C133" s="67"/>
      <c r="D133" s="67"/>
    </row>
    <row r="134" spans="1:4" ht="15" thickBot="1" x14ac:dyDescent="0.35">
      <c r="A134" s="146" t="s">
        <v>13</v>
      </c>
      <c r="B134" s="164">
        <f>SUM(B130:B133)</f>
        <v>0</v>
      </c>
      <c r="C134" s="67"/>
      <c r="D134" s="67"/>
    </row>
    <row r="135" spans="1:4" x14ac:dyDescent="0.3">
      <c r="C135" s="67"/>
      <c r="D135" s="67"/>
    </row>
    <row r="136" spans="1:4" ht="45" customHeight="1" x14ac:dyDescent="0.3">
      <c r="A136" s="270"/>
      <c r="B136" s="271"/>
      <c r="C136" s="67"/>
      <c r="D136" s="67"/>
    </row>
    <row r="137" spans="1:4" x14ac:dyDescent="0.3">
      <c r="C137" s="67"/>
      <c r="D137" s="67"/>
    </row>
    <row r="138" spans="1:4" ht="45" customHeight="1" x14ac:dyDescent="0.3">
      <c r="A138" s="270"/>
      <c r="B138" s="271"/>
      <c r="C138" s="67"/>
      <c r="D138" s="67"/>
    </row>
    <row r="139" spans="1:4" x14ac:dyDescent="0.3">
      <c r="C139" s="67"/>
      <c r="D139" s="67"/>
    </row>
    <row r="140" spans="1:4" x14ac:dyDescent="0.3">
      <c r="C140" s="67"/>
      <c r="D140" s="67"/>
    </row>
    <row r="141" spans="1:4" x14ac:dyDescent="0.3">
      <c r="C141" s="67"/>
      <c r="D141" s="67"/>
    </row>
    <row r="142" spans="1:4" x14ac:dyDescent="0.3">
      <c r="C142" s="67"/>
      <c r="D142" s="67"/>
    </row>
    <row r="143" spans="1:4" x14ac:dyDescent="0.3">
      <c r="C143" s="67"/>
      <c r="D143" s="67"/>
    </row>
    <row r="144" spans="1:4" x14ac:dyDescent="0.3">
      <c r="C144" s="67"/>
      <c r="D144" s="67"/>
    </row>
  </sheetData>
  <mergeCells count="33">
    <mergeCell ref="A101:F101"/>
    <mergeCell ref="A35:F35"/>
    <mergeCell ref="A52:F52"/>
    <mergeCell ref="A53:F53"/>
    <mergeCell ref="A55:F55"/>
    <mergeCell ref="A68:F68"/>
    <mergeCell ref="A69:F69"/>
    <mergeCell ref="A100:F100"/>
    <mergeCell ref="A42:A43"/>
    <mergeCell ref="A98:F98"/>
    <mergeCell ref="A99:F99"/>
    <mergeCell ref="A84:F84"/>
    <mergeCell ref="A85:F85"/>
    <mergeCell ref="A83:F83"/>
    <mergeCell ref="A34:G34"/>
    <mergeCell ref="A54:F54"/>
    <mergeCell ref="A70:F70"/>
    <mergeCell ref="A32:F32"/>
    <mergeCell ref="A33:F33"/>
    <mergeCell ref="A13:A15"/>
    <mergeCell ref="A16:A18"/>
    <mergeCell ref="A19:A21"/>
    <mergeCell ref="A9:G9"/>
    <mergeCell ref="A1:E1"/>
    <mergeCell ref="A7:G7"/>
    <mergeCell ref="A8:G8"/>
    <mergeCell ref="A10:G10"/>
    <mergeCell ref="A138:B138"/>
    <mergeCell ref="A112:F112"/>
    <mergeCell ref="A113:F113"/>
    <mergeCell ref="A114:F114"/>
    <mergeCell ref="A115:F115"/>
    <mergeCell ref="A136:B136"/>
  </mergeCells>
  <pageMargins left="0.70866141732283472" right="0.70866141732283472" top="0.74803149606299213" bottom="0.74803149606299213" header="0.31496062992125984" footer="0.31496062992125984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99"/>
  <sheetViews>
    <sheetView zoomScaleNormal="100" workbookViewId="0">
      <selection activeCell="F13" sqref="F13"/>
    </sheetView>
  </sheetViews>
  <sheetFormatPr baseColWidth="10" defaultColWidth="11.5546875" defaultRowHeight="15" customHeight="1" x14ac:dyDescent="0.3"/>
  <cols>
    <col min="1" max="1" width="65.77734375" style="19" customWidth="1"/>
    <col min="2" max="2" width="25" style="13" customWidth="1"/>
    <col min="3" max="3" width="16.5546875" style="13" customWidth="1"/>
    <col min="4" max="4" width="20.5546875" style="13" customWidth="1"/>
    <col min="5" max="5" width="16.77734375" style="13" bestFit="1" customWidth="1"/>
    <col min="6" max="6" width="25.21875" style="13" customWidth="1"/>
    <col min="7" max="7" width="7.44140625" style="13" customWidth="1"/>
    <col min="8" max="8" width="15.21875" style="13" bestFit="1" customWidth="1"/>
    <col min="9" max="9" width="13.77734375" style="13" bestFit="1" customWidth="1"/>
    <col min="10" max="13" width="19.21875" style="13" customWidth="1"/>
    <col min="14" max="16384" width="11.5546875" style="13"/>
  </cols>
  <sheetData>
    <row r="1" spans="1:10" ht="15" customHeight="1" x14ac:dyDescent="0.3">
      <c r="A1" s="265" t="s">
        <v>20</v>
      </c>
      <c r="B1" s="265"/>
      <c r="C1" s="265"/>
      <c r="D1" s="265"/>
      <c r="E1" s="265"/>
      <c r="F1" s="265"/>
    </row>
    <row r="2" spans="1:10" ht="15" customHeight="1" x14ac:dyDescent="0.3">
      <c r="A2" s="3" t="s">
        <v>0</v>
      </c>
      <c r="B2" s="4" t="s">
        <v>22</v>
      </c>
      <c r="C2" s="14"/>
      <c r="D2" s="14"/>
      <c r="E2" s="14"/>
      <c r="F2" s="14"/>
    </row>
    <row r="3" spans="1:10" ht="15" customHeight="1" x14ac:dyDescent="0.3">
      <c r="A3" s="3" t="s">
        <v>1</v>
      </c>
      <c r="B3" s="4" t="s">
        <v>21</v>
      </c>
      <c r="C3" s="14"/>
      <c r="D3" s="14"/>
      <c r="E3" s="14"/>
      <c r="F3" s="14"/>
    </row>
    <row r="4" spans="1:10" ht="15" customHeight="1" x14ac:dyDescent="0.3">
      <c r="A4" s="3" t="s">
        <v>11</v>
      </c>
      <c r="B4" s="14" t="s">
        <v>61</v>
      </c>
      <c r="C4" s="14"/>
      <c r="D4" s="14"/>
      <c r="E4" s="14"/>
      <c r="F4" s="14"/>
    </row>
    <row r="5" spans="1:10" ht="15" customHeight="1" x14ac:dyDescent="0.3">
      <c r="A5" s="3" t="s">
        <v>47</v>
      </c>
      <c r="B5" s="15" t="s">
        <v>116</v>
      </c>
      <c r="C5" s="14"/>
      <c r="D5" s="14"/>
      <c r="E5" s="14"/>
      <c r="F5" s="14"/>
    </row>
    <row r="7" spans="1:10" ht="15" customHeight="1" x14ac:dyDescent="0.3">
      <c r="A7" s="265" t="s">
        <v>9</v>
      </c>
      <c r="B7" s="265"/>
      <c r="C7" s="265"/>
      <c r="D7" s="265"/>
      <c r="E7" s="265"/>
      <c r="F7" s="265"/>
    </row>
    <row r="8" spans="1:10" ht="15" customHeight="1" x14ac:dyDescent="0.3">
      <c r="A8" s="265" t="s">
        <v>12</v>
      </c>
      <c r="B8" s="265"/>
      <c r="C8" s="265"/>
      <c r="D8" s="265"/>
      <c r="E8" s="265"/>
      <c r="F8" s="265"/>
    </row>
    <row r="9" spans="1:10" ht="15" customHeight="1" x14ac:dyDescent="0.3">
      <c r="A9" s="268" t="s">
        <v>50</v>
      </c>
      <c r="B9" s="268"/>
      <c r="C9" s="268"/>
      <c r="D9" s="268"/>
      <c r="E9" s="268"/>
      <c r="F9" s="268"/>
    </row>
    <row r="10" spans="1:10" s="26" customFormat="1" ht="15" customHeight="1" x14ac:dyDescent="0.3">
      <c r="A10" s="268"/>
      <c r="B10" s="268"/>
      <c r="C10" s="268"/>
      <c r="D10" s="268"/>
      <c r="E10" s="268"/>
      <c r="F10" s="268"/>
    </row>
    <row r="11" spans="1:10" ht="15" customHeight="1" thickBot="1" x14ac:dyDescent="0.35">
      <c r="A11" s="11" t="s">
        <v>64</v>
      </c>
      <c r="B11" s="17"/>
      <c r="C11" s="18" t="s">
        <v>27</v>
      </c>
      <c r="D11" s="18" t="s">
        <v>28</v>
      </c>
      <c r="E11" s="18" t="s">
        <v>29</v>
      </c>
      <c r="F11" s="18" t="s">
        <v>70</v>
      </c>
    </row>
    <row r="12" spans="1:10" ht="14.4" x14ac:dyDescent="0.3">
      <c r="C12" s="20"/>
      <c r="D12" s="20"/>
      <c r="E12" s="20"/>
      <c r="F12" s="20"/>
    </row>
    <row r="13" spans="1:10" ht="14.4" x14ac:dyDescent="0.3">
      <c r="A13" s="275" t="s">
        <v>121</v>
      </c>
      <c r="B13" s="104" t="s">
        <v>58</v>
      </c>
      <c r="C13" s="105">
        <f>+('I T'!E13-'2 T no usar'!C15)+82</f>
        <v>-240</v>
      </c>
      <c r="D13" s="105">
        <f>+(C13-D15)+344</f>
        <v>56</v>
      </c>
      <c r="E13" s="105">
        <f>+(D13-E15)+187</f>
        <v>30</v>
      </c>
      <c r="F13" s="105">
        <f>E13</f>
        <v>30</v>
      </c>
      <c r="H13" s="19"/>
      <c r="I13" s="19"/>
      <c r="J13" s="19"/>
    </row>
    <row r="14" spans="1:10" ht="15" customHeight="1" x14ac:dyDescent="0.3">
      <c r="A14" s="275"/>
      <c r="B14" s="104" t="s">
        <v>59</v>
      </c>
      <c r="C14" s="106">
        <v>1610</v>
      </c>
      <c r="D14" s="106">
        <v>1248</v>
      </c>
      <c r="E14" s="106">
        <v>1442</v>
      </c>
      <c r="F14" s="106">
        <f>AVERAGE(C14:E14)</f>
        <v>1433.3333333333333</v>
      </c>
      <c r="H14" s="19"/>
      <c r="I14" s="19"/>
      <c r="J14" s="19"/>
    </row>
    <row r="15" spans="1:10" ht="15" customHeight="1" x14ac:dyDescent="0.3">
      <c r="A15" s="275"/>
      <c r="B15" s="104" t="s">
        <v>60</v>
      </c>
      <c r="C15" s="106">
        <v>458</v>
      </c>
      <c r="D15" s="106">
        <v>48</v>
      </c>
      <c r="E15" s="106">
        <v>213</v>
      </c>
      <c r="F15" s="106">
        <f>AVERAGE(C15:E15)</f>
        <v>239.66666666666666</v>
      </c>
      <c r="H15" s="19"/>
      <c r="I15" s="19"/>
      <c r="J15" s="19"/>
    </row>
    <row r="16" spans="1:10" ht="14.4" x14ac:dyDescent="0.3">
      <c r="A16" s="272" t="s">
        <v>24</v>
      </c>
      <c r="B16" s="8" t="s">
        <v>58</v>
      </c>
      <c r="C16" s="53">
        <f>+('I T'!E16-'2 T no usar'!C18)+69</f>
        <v>-34</v>
      </c>
      <c r="D16" s="53">
        <f>+(C16-D18)+208</f>
        <v>136</v>
      </c>
      <c r="E16" s="53">
        <f>+(D16-E18)+126</f>
        <v>24</v>
      </c>
      <c r="F16" s="53">
        <f>E16</f>
        <v>24</v>
      </c>
      <c r="H16" s="19"/>
      <c r="I16" s="19"/>
      <c r="J16" s="19"/>
    </row>
    <row r="17" spans="1:10" ht="15" customHeight="1" x14ac:dyDescent="0.3">
      <c r="A17" s="272"/>
      <c r="B17" s="8" t="s">
        <v>59</v>
      </c>
      <c r="C17" s="52">
        <v>1109</v>
      </c>
      <c r="D17" s="52">
        <v>926</v>
      </c>
      <c r="E17" s="52">
        <v>957</v>
      </c>
      <c r="F17" s="52">
        <f>AVERAGE(C17:E17)</f>
        <v>997.33333333333337</v>
      </c>
      <c r="H17" s="19"/>
      <c r="I17" s="19"/>
      <c r="J17" s="19"/>
    </row>
    <row r="18" spans="1:10" ht="15" customHeight="1" x14ac:dyDescent="0.3">
      <c r="A18" s="272"/>
      <c r="B18" s="8" t="s">
        <v>60</v>
      </c>
      <c r="C18" s="52">
        <v>206</v>
      </c>
      <c r="D18" s="52">
        <v>38</v>
      </c>
      <c r="E18" s="52">
        <v>238</v>
      </c>
      <c r="F18" s="52">
        <f>AVERAGE(C18:E18)</f>
        <v>160.66666666666666</v>
      </c>
      <c r="H18" s="19"/>
      <c r="I18" s="19"/>
      <c r="J18" s="19"/>
    </row>
    <row r="19" spans="1:10" ht="14.4" x14ac:dyDescent="0.3">
      <c r="A19" s="276" t="s">
        <v>25</v>
      </c>
      <c r="B19" s="104" t="s">
        <v>58</v>
      </c>
      <c r="C19" s="105">
        <f>+('I T'!E19-'2 T no usar'!C21)+413</f>
        <v>274</v>
      </c>
      <c r="D19" s="105">
        <f>+(C19-D21)+943</f>
        <v>1147</v>
      </c>
      <c r="E19" s="105">
        <f>+(D19-E21)+774</f>
        <v>1613</v>
      </c>
      <c r="F19" s="105">
        <f>E19</f>
        <v>1613</v>
      </c>
      <c r="H19" s="19"/>
      <c r="I19" s="19"/>
      <c r="J19" s="19"/>
    </row>
    <row r="20" spans="1:10" ht="15" customHeight="1" x14ac:dyDescent="0.3">
      <c r="A20" s="276"/>
      <c r="B20" s="104" t="s">
        <v>59</v>
      </c>
      <c r="C20" s="106">
        <v>10558</v>
      </c>
      <c r="D20" s="106">
        <v>10081</v>
      </c>
      <c r="E20" s="106">
        <v>10342</v>
      </c>
      <c r="F20" s="106">
        <f>AVERAGE(C20:E20)</f>
        <v>10327</v>
      </c>
      <c r="H20" s="19"/>
      <c r="I20" s="19"/>
      <c r="J20" s="19"/>
    </row>
    <row r="21" spans="1:10" ht="15" customHeight="1" x14ac:dyDescent="0.3">
      <c r="A21" s="276"/>
      <c r="B21" s="104" t="s">
        <v>60</v>
      </c>
      <c r="C21" s="106">
        <v>1406</v>
      </c>
      <c r="D21" s="106">
        <v>70</v>
      </c>
      <c r="E21" s="106">
        <v>308</v>
      </c>
      <c r="F21" s="106">
        <f>AVERAGE(C21:E21)</f>
        <v>594.66666666666663</v>
      </c>
      <c r="H21" s="19"/>
      <c r="I21" s="19"/>
      <c r="J21" s="19"/>
    </row>
    <row r="22" spans="1:10" ht="15" customHeight="1" x14ac:dyDescent="0.3">
      <c r="A22" s="61" t="s">
        <v>74</v>
      </c>
      <c r="B22" s="60" t="s">
        <v>58</v>
      </c>
      <c r="C22" s="53">
        <f>+('I T'!E22-'2 T no usar'!C24)+355</f>
        <v>313</v>
      </c>
      <c r="D22" s="53">
        <f>+(C22-D24)+365</f>
        <v>678</v>
      </c>
      <c r="E22" s="53">
        <f>+(D22-E24)+334</f>
        <v>1011</v>
      </c>
      <c r="F22" s="53">
        <f>E22</f>
        <v>1011</v>
      </c>
      <c r="H22" s="19"/>
      <c r="I22" s="19"/>
      <c r="J22" s="19"/>
    </row>
    <row r="23" spans="1:10" ht="15" customHeight="1" x14ac:dyDescent="0.3">
      <c r="A23"/>
      <c r="B23" s="60" t="s">
        <v>59</v>
      </c>
      <c r="C23" s="52">
        <v>262</v>
      </c>
      <c r="D23" s="52">
        <v>252</v>
      </c>
      <c r="E23" s="52">
        <v>283</v>
      </c>
      <c r="F23" s="52">
        <f>AVERAGE(C23:E23)</f>
        <v>265.66666666666669</v>
      </c>
      <c r="H23" s="19"/>
      <c r="I23" s="19"/>
      <c r="J23" s="19"/>
    </row>
    <row r="24" spans="1:10" ht="15" customHeight="1" x14ac:dyDescent="0.3">
      <c r="A24"/>
      <c r="B24" s="60" t="s">
        <v>60</v>
      </c>
      <c r="C24" s="52">
        <v>42</v>
      </c>
      <c r="D24" s="52">
        <v>0</v>
      </c>
      <c r="E24" s="52">
        <v>1</v>
      </c>
      <c r="F24" s="52">
        <f>AVERAGE(C24:E24)</f>
        <v>14.333333333333334</v>
      </c>
      <c r="H24" s="19"/>
      <c r="I24" s="19"/>
      <c r="J24" s="19"/>
    </row>
    <row r="25" spans="1:10" ht="15" customHeight="1" x14ac:dyDescent="0.3">
      <c r="A25" s="58"/>
      <c r="B25" s="8"/>
      <c r="C25" s="52"/>
      <c r="D25" s="52"/>
      <c r="E25" s="52"/>
      <c r="F25" s="52"/>
      <c r="H25" s="19"/>
      <c r="I25" s="19"/>
      <c r="J25" s="19"/>
    </row>
    <row r="26" spans="1:10" ht="15" customHeight="1" x14ac:dyDescent="0.3">
      <c r="C26" s="51"/>
      <c r="D26" s="51"/>
      <c r="E26" s="51"/>
      <c r="F26" s="51"/>
    </row>
    <row r="27" spans="1:10" ht="15" customHeight="1" thickBot="1" x14ac:dyDescent="0.35">
      <c r="A27" s="22" t="s">
        <v>13</v>
      </c>
      <c r="B27" s="23" t="s">
        <v>51</v>
      </c>
      <c r="C27" s="54">
        <f>+C14+C15+C17+C18+C20+C23+C24+C21</f>
        <v>15651</v>
      </c>
      <c r="D27" s="54">
        <f>+D14+D15+D17+D18+D20+D23+D24+D21</f>
        <v>12663</v>
      </c>
      <c r="E27" s="54">
        <f>+E14+E15+E17+E18+E20+E23+E24+E21</f>
        <v>13784</v>
      </c>
      <c r="F27" s="54">
        <f>AVERAGE(C27:E27)</f>
        <v>14032.666666666666</v>
      </c>
    </row>
    <row r="28" spans="1:10" ht="15" customHeight="1" thickTop="1" x14ac:dyDescent="0.3">
      <c r="A28" s="41" t="s">
        <v>65</v>
      </c>
      <c r="B28" s="26"/>
      <c r="C28" s="26"/>
      <c r="D28" s="26"/>
      <c r="E28" s="26"/>
      <c r="F28" s="26"/>
    </row>
    <row r="29" spans="1:10" ht="15" customHeight="1" x14ac:dyDescent="0.3">
      <c r="A29" s="1" t="s">
        <v>71</v>
      </c>
    </row>
    <row r="30" spans="1:10" ht="15" customHeight="1" x14ac:dyDescent="0.3">
      <c r="A30" s="1"/>
    </row>
    <row r="32" spans="1:10" ht="15" customHeight="1" x14ac:dyDescent="0.3">
      <c r="A32" s="268" t="s">
        <v>14</v>
      </c>
      <c r="B32" s="268"/>
      <c r="C32" s="268"/>
      <c r="D32" s="268"/>
      <c r="E32" s="268"/>
      <c r="F32" s="268"/>
    </row>
    <row r="33" spans="1:10" ht="15" customHeight="1" x14ac:dyDescent="0.3">
      <c r="A33" s="265" t="s">
        <v>31</v>
      </c>
      <c r="B33" s="265"/>
      <c r="C33" s="265"/>
      <c r="D33" s="265"/>
      <c r="E33" s="265"/>
      <c r="F33" s="265"/>
    </row>
    <row r="34" spans="1:10" ht="15" customHeight="1" x14ac:dyDescent="0.3">
      <c r="A34" s="268" t="s">
        <v>52</v>
      </c>
      <c r="B34" s="268"/>
      <c r="C34" s="268"/>
      <c r="D34" s="268"/>
      <c r="E34" s="268"/>
      <c r="F34" s="268"/>
    </row>
    <row r="35" spans="1:10" ht="15" customHeight="1" x14ac:dyDescent="0.3">
      <c r="A35" s="264"/>
      <c r="B35" s="264"/>
      <c r="C35" s="264"/>
      <c r="D35" s="264"/>
      <c r="E35" s="264"/>
    </row>
    <row r="36" spans="1:10" ht="15" customHeight="1" thickBot="1" x14ac:dyDescent="0.35">
      <c r="A36" s="9" t="s">
        <v>64</v>
      </c>
      <c r="B36" s="17"/>
      <c r="C36" s="18" t="s">
        <v>27</v>
      </c>
      <c r="D36" s="18" t="s">
        <v>28</v>
      </c>
      <c r="E36" s="18" t="s">
        <v>29</v>
      </c>
      <c r="F36" s="18" t="s">
        <v>30</v>
      </c>
    </row>
    <row r="37" spans="1:10" ht="15" customHeight="1" x14ac:dyDescent="0.3">
      <c r="C37" s="27"/>
      <c r="D37" s="27"/>
      <c r="E37" s="27"/>
      <c r="F37" s="27"/>
      <c r="J37" s="80"/>
    </row>
    <row r="38" spans="1:10" ht="15" customHeight="1" x14ac:dyDescent="0.3">
      <c r="A38" s="107" t="s">
        <v>23</v>
      </c>
      <c r="B38" s="108" t="s">
        <v>56</v>
      </c>
      <c r="C38" s="109">
        <v>305658556</v>
      </c>
      <c r="D38" s="109">
        <v>252866241</v>
      </c>
      <c r="E38" s="109">
        <v>253403112</v>
      </c>
      <c r="F38" s="109">
        <f t="shared" ref="F38:F45" si="0">SUM(C38:E38)</f>
        <v>811927909</v>
      </c>
      <c r="J38" s="80"/>
    </row>
    <row r="39" spans="1:10" ht="15" customHeight="1" x14ac:dyDescent="0.3">
      <c r="A39" s="107"/>
      <c r="B39" s="108" t="s">
        <v>55</v>
      </c>
      <c r="C39" s="109">
        <v>104331931</v>
      </c>
      <c r="D39" s="109">
        <v>10200549</v>
      </c>
      <c r="E39" s="109">
        <v>39728454</v>
      </c>
      <c r="F39" s="109">
        <f t="shared" si="0"/>
        <v>154260934</v>
      </c>
    </row>
    <row r="40" spans="1:10" ht="15" customHeight="1" x14ac:dyDescent="0.3">
      <c r="A40" s="21" t="s">
        <v>24</v>
      </c>
      <c r="B40" s="13" t="s">
        <v>56</v>
      </c>
      <c r="C40" s="56">
        <v>88833262</v>
      </c>
      <c r="D40" s="110">
        <v>73872624</v>
      </c>
      <c r="E40" s="56">
        <v>68503974</v>
      </c>
      <c r="F40" s="55">
        <f t="shared" si="0"/>
        <v>231209860</v>
      </c>
    </row>
    <row r="41" spans="1:10" ht="15" customHeight="1" x14ac:dyDescent="0.3">
      <c r="A41" s="21"/>
      <c r="B41" s="13" t="s">
        <v>55</v>
      </c>
      <c r="C41" s="56">
        <v>15032220</v>
      </c>
      <c r="D41" s="56">
        <v>2934862</v>
      </c>
      <c r="E41" s="56">
        <v>17967082</v>
      </c>
      <c r="F41" s="55">
        <f t="shared" si="0"/>
        <v>35934164</v>
      </c>
    </row>
    <row r="42" spans="1:10" ht="15" customHeight="1" x14ac:dyDescent="0.3">
      <c r="A42" s="107" t="s">
        <v>25</v>
      </c>
      <c r="B42" s="108" t="s">
        <v>56</v>
      </c>
      <c r="C42" s="109">
        <v>582258227</v>
      </c>
      <c r="D42" s="109">
        <v>552645712</v>
      </c>
      <c r="E42" s="109">
        <v>624780920.97000003</v>
      </c>
      <c r="F42" s="109">
        <f t="shared" si="0"/>
        <v>1759684859.97</v>
      </c>
    </row>
    <row r="43" spans="1:10" ht="15" customHeight="1" x14ac:dyDescent="0.3">
      <c r="A43" s="107"/>
      <c r="B43" s="108" t="s">
        <v>55</v>
      </c>
      <c r="C43" s="109">
        <v>46506195</v>
      </c>
      <c r="D43" s="109">
        <v>5616417</v>
      </c>
      <c r="E43" s="109">
        <v>13450358</v>
      </c>
      <c r="F43" s="109">
        <f t="shared" si="0"/>
        <v>65572970</v>
      </c>
    </row>
    <row r="44" spans="1:10" ht="15" customHeight="1" x14ac:dyDescent="0.3">
      <c r="A44" s="59" t="s">
        <v>74</v>
      </c>
      <c r="B44" s="38" t="s">
        <v>56</v>
      </c>
      <c r="C44" s="56">
        <v>113750000</v>
      </c>
      <c r="D44" s="56">
        <v>109900000</v>
      </c>
      <c r="E44" s="56">
        <v>115100000</v>
      </c>
      <c r="F44" s="55">
        <f t="shared" si="0"/>
        <v>338750000</v>
      </c>
    </row>
    <row r="45" spans="1:10" ht="15" customHeight="1" x14ac:dyDescent="0.3">
      <c r="A45" s="59"/>
      <c r="B45" s="38" t="s">
        <v>55</v>
      </c>
      <c r="C45" s="55">
        <v>21200000</v>
      </c>
      <c r="D45" s="55">
        <v>0</v>
      </c>
      <c r="E45" s="55">
        <v>550000</v>
      </c>
      <c r="F45" s="55">
        <f t="shared" si="0"/>
        <v>21750000</v>
      </c>
    </row>
    <row r="46" spans="1:10" ht="15" customHeight="1" thickBot="1" x14ac:dyDescent="0.35">
      <c r="A46" s="22" t="s">
        <v>13</v>
      </c>
      <c r="B46" s="23"/>
      <c r="C46" s="57">
        <f>SUM(C38:C45)</f>
        <v>1277570391</v>
      </c>
      <c r="D46" s="57">
        <f>SUM(D38:D45)</f>
        <v>1008036405</v>
      </c>
      <c r="E46" s="57">
        <f>SUM(E38:E45)</f>
        <v>1133483900.97</v>
      </c>
      <c r="F46" s="57">
        <f>SUM(F38:F45)</f>
        <v>3419090696.9700003</v>
      </c>
    </row>
    <row r="47" spans="1:10" ht="15" customHeight="1" thickTop="1" x14ac:dyDescent="0.3">
      <c r="A47" s="25" t="s">
        <v>42</v>
      </c>
    </row>
    <row r="48" spans="1:10" ht="15" customHeight="1" x14ac:dyDescent="0.3">
      <c r="A48" s="1" t="s">
        <v>71</v>
      </c>
    </row>
    <row r="49" spans="1:5" ht="15" customHeight="1" x14ac:dyDescent="0.3">
      <c r="A49" s="28"/>
    </row>
    <row r="50" spans="1:5" ht="15" customHeight="1" x14ac:dyDescent="0.3">
      <c r="A50" s="28"/>
    </row>
    <row r="51" spans="1:5" ht="15" customHeight="1" x14ac:dyDescent="0.3">
      <c r="A51" s="28"/>
    </row>
    <row r="52" spans="1:5" ht="15" customHeight="1" x14ac:dyDescent="0.3">
      <c r="A52" s="265" t="s">
        <v>15</v>
      </c>
      <c r="B52" s="265"/>
      <c r="C52" s="265"/>
      <c r="D52" s="265"/>
      <c r="E52" s="265"/>
    </row>
    <row r="53" spans="1:5" ht="15" customHeight="1" x14ac:dyDescent="0.3">
      <c r="A53" s="265" t="s">
        <v>32</v>
      </c>
      <c r="B53" s="265"/>
      <c r="C53" s="265"/>
      <c r="D53" s="265"/>
      <c r="E53" s="265"/>
    </row>
    <row r="54" spans="1:5" ht="15" customHeight="1" x14ac:dyDescent="0.3">
      <c r="A54" s="264" t="s">
        <v>52</v>
      </c>
      <c r="B54" s="264"/>
      <c r="C54" s="264"/>
      <c r="D54" s="264"/>
      <c r="E54" s="264"/>
    </row>
    <row r="55" spans="1:5" ht="15" customHeight="1" x14ac:dyDescent="0.3">
      <c r="A55" s="264"/>
      <c r="B55" s="264"/>
      <c r="C55" s="264"/>
      <c r="D55" s="264"/>
      <c r="E55" s="264"/>
    </row>
    <row r="56" spans="1:5" ht="15" customHeight="1" thickBot="1" x14ac:dyDescent="0.35">
      <c r="A56" s="16" t="s">
        <v>10</v>
      </c>
      <c r="B56" s="18" t="s">
        <v>27</v>
      </c>
      <c r="C56" s="18" t="s">
        <v>28</v>
      </c>
      <c r="D56" s="18" t="s">
        <v>29</v>
      </c>
      <c r="E56" s="18" t="s">
        <v>30</v>
      </c>
    </row>
    <row r="57" spans="1:5" ht="15" customHeight="1" x14ac:dyDescent="0.3">
      <c r="B57" s="20"/>
      <c r="C57" s="20"/>
      <c r="D57" s="20"/>
      <c r="E57" s="20"/>
    </row>
    <row r="58" spans="1:5" ht="15" customHeight="1" x14ac:dyDescent="0.3">
      <c r="A58" s="19" t="s">
        <v>26</v>
      </c>
      <c r="B58" s="52">
        <f>SUM(C38:C41)</f>
        <v>513855969</v>
      </c>
      <c r="C58" s="52">
        <f t="shared" ref="C58:D58" si="1">SUM(D38:D41)</f>
        <v>339874276</v>
      </c>
      <c r="D58" s="52">
        <f t="shared" si="1"/>
        <v>379602622</v>
      </c>
      <c r="E58" s="20">
        <f>SUM(B58:D58)</f>
        <v>1233332867</v>
      </c>
    </row>
    <row r="59" spans="1:5" ht="15" customHeight="1" x14ac:dyDescent="0.3">
      <c r="A59" s="19" t="s">
        <v>43</v>
      </c>
      <c r="B59" s="52">
        <f>SUM(C42:C43)</f>
        <v>628764422</v>
      </c>
      <c r="C59" s="52">
        <f t="shared" ref="C59:D59" si="2">SUM(D42:D43)</f>
        <v>558262129</v>
      </c>
      <c r="D59" s="52">
        <f t="shared" si="2"/>
        <v>638231278.97000003</v>
      </c>
      <c r="E59" s="20">
        <f t="shared" ref="E59:E61" si="3">SUM(B59:D59)</f>
        <v>1825257829.97</v>
      </c>
    </row>
    <row r="60" spans="1:5" ht="15" customHeight="1" x14ac:dyDescent="0.3">
      <c r="A60" s="1" t="s">
        <v>75</v>
      </c>
      <c r="B60" s="63">
        <f>SUM(C44:C45)</f>
        <v>134950000</v>
      </c>
      <c r="C60" s="63">
        <f t="shared" ref="C60:D60" si="4">SUM(D44:D45)</f>
        <v>109900000</v>
      </c>
      <c r="D60" s="63">
        <f t="shared" si="4"/>
        <v>115650000</v>
      </c>
      <c r="E60" s="20">
        <f t="shared" si="3"/>
        <v>360500000</v>
      </c>
    </row>
    <row r="61" spans="1:5" ht="15" customHeight="1" x14ac:dyDescent="0.3">
      <c r="A61" s="19" t="s">
        <v>7</v>
      </c>
      <c r="B61" s="51"/>
      <c r="C61" s="51"/>
      <c r="D61" s="51"/>
      <c r="E61" s="20">
        <f t="shared" si="3"/>
        <v>0</v>
      </c>
    </row>
    <row r="62" spans="1:5" ht="15" customHeight="1" x14ac:dyDescent="0.3">
      <c r="A62" s="19" t="s">
        <v>8</v>
      </c>
      <c r="B62" s="51"/>
      <c r="C62" s="51"/>
      <c r="D62" s="51"/>
      <c r="E62" s="20">
        <f>SUM(B62:D62)</f>
        <v>0</v>
      </c>
    </row>
    <row r="63" spans="1:5" ht="15" customHeight="1" thickBot="1" x14ac:dyDescent="0.35">
      <c r="A63" s="22" t="s">
        <v>13</v>
      </c>
      <c r="B63" s="54">
        <f>SUM(B58:B62)</f>
        <v>1277570391</v>
      </c>
      <c r="C63" s="54">
        <f>SUM(C58:C62)</f>
        <v>1008036405</v>
      </c>
      <c r="D63" s="54">
        <f>SUM(D58:D62)</f>
        <v>1133483900.97</v>
      </c>
      <c r="E63" s="24">
        <f>SUM(E58:E62)</f>
        <v>3419090696.9700003</v>
      </c>
    </row>
    <row r="64" spans="1:5" ht="15" customHeight="1" thickTop="1" x14ac:dyDescent="0.3">
      <c r="A64" s="1" t="s">
        <v>71</v>
      </c>
    </row>
    <row r="65" spans="1:9" ht="15" customHeight="1" x14ac:dyDescent="0.3">
      <c r="A65" s="1"/>
    </row>
    <row r="67" spans="1:9" ht="15" customHeight="1" x14ac:dyDescent="0.3">
      <c r="A67" s="265" t="s">
        <v>44</v>
      </c>
      <c r="B67" s="265"/>
      <c r="C67" s="265"/>
      <c r="D67" s="265"/>
      <c r="E67" s="265"/>
    </row>
    <row r="68" spans="1:9" ht="15" customHeight="1" x14ac:dyDescent="0.3">
      <c r="A68" s="260" t="s">
        <v>77</v>
      </c>
      <c r="B68" s="260"/>
      <c r="C68" s="260"/>
      <c r="D68" s="260"/>
      <c r="E68" s="260"/>
    </row>
    <row r="69" spans="1:9" ht="15" customHeight="1" x14ac:dyDescent="0.3">
      <c r="A69" s="268" t="s">
        <v>52</v>
      </c>
      <c r="B69" s="268"/>
      <c r="C69" s="268"/>
      <c r="D69" s="268"/>
      <c r="E69" s="268"/>
    </row>
    <row r="70" spans="1:9" ht="15" customHeight="1" x14ac:dyDescent="0.3">
      <c r="A70" s="264"/>
      <c r="B70" s="264"/>
      <c r="C70" s="264"/>
      <c r="D70" s="264"/>
      <c r="E70" s="264"/>
    </row>
    <row r="71" spans="1:9" ht="15" customHeight="1" thickBot="1" x14ac:dyDescent="0.35">
      <c r="A71" s="30" t="s">
        <v>10</v>
      </c>
      <c r="B71" s="32" t="s">
        <v>27</v>
      </c>
      <c r="C71" s="32" t="s">
        <v>28</v>
      </c>
      <c r="D71" s="32" t="s">
        <v>29</v>
      </c>
      <c r="E71" s="32" t="s">
        <v>30</v>
      </c>
    </row>
    <row r="72" spans="1:9" ht="15" customHeight="1" x14ac:dyDescent="0.3">
      <c r="B72" s="20"/>
      <c r="C72" s="20"/>
      <c r="D72" s="20"/>
      <c r="E72" s="20"/>
    </row>
    <row r="73" spans="1:9" ht="15" customHeight="1" x14ac:dyDescent="0.3">
      <c r="A73" s="13" t="s">
        <v>62</v>
      </c>
      <c r="B73" s="51">
        <f>'I T'!E76</f>
        <v>0</v>
      </c>
      <c r="C73" s="51">
        <f>B77</f>
        <v>-91554302</v>
      </c>
      <c r="D73" s="51">
        <f>C77</f>
        <v>-9126911</v>
      </c>
      <c r="E73" s="51">
        <f>B73</f>
        <v>0</v>
      </c>
    </row>
    <row r="74" spans="1:9" ht="15" customHeight="1" x14ac:dyDescent="0.3">
      <c r="A74" s="13" t="s">
        <v>16</v>
      </c>
      <c r="B74" s="82">
        <v>422301667</v>
      </c>
      <c r="C74" s="82">
        <v>422301667</v>
      </c>
      <c r="D74" s="82">
        <v>422301667</v>
      </c>
      <c r="E74" s="51">
        <f>SUM(B74:D74)</f>
        <v>1266905001</v>
      </c>
      <c r="G74" s="38"/>
      <c r="H74" s="38"/>
    </row>
    <row r="75" spans="1:9" ht="15" customHeight="1" x14ac:dyDescent="0.3">
      <c r="A75" s="13" t="s">
        <v>17</v>
      </c>
      <c r="B75" s="51">
        <f>+B73+B74</f>
        <v>422301667</v>
      </c>
      <c r="C75" s="51">
        <f>+C73+C74</f>
        <v>330747365</v>
      </c>
      <c r="D75" s="51">
        <f>+D73+D74</f>
        <v>413174756</v>
      </c>
      <c r="E75" s="51">
        <f>+E73+E74</f>
        <v>1266905001</v>
      </c>
      <c r="G75" s="19"/>
      <c r="H75" s="19"/>
    </row>
    <row r="76" spans="1:9" ht="15" customHeight="1" x14ac:dyDescent="0.3">
      <c r="A76" s="13" t="s">
        <v>18</v>
      </c>
      <c r="B76" s="64">
        <f>B58</f>
        <v>513855969</v>
      </c>
      <c r="C76" s="64">
        <f>C58</f>
        <v>339874276</v>
      </c>
      <c r="D76" s="64">
        <f>D58</f>
        <v>379602622</v>
      </c>
      <c r="E76" s="52">
        <f>SUM(B76:D76)</f>
        <v>1233332867</v>
      </c>
      <c r="F76" s="29"/>
      <c r="G76" s="19"/>
      <c r="H76" s="19"/>
    </row>
    <row r="77" spans="1:9" ht="15" customHeight="1" x14ac:dyDescent="0.3">
      <c r="A77" s="26" t="s">
        <v>19</v>
      </c>
      <c r="B77" s="65">
        <f>+B75-B76</f>
        <v>-91554302</v>
      </c>
      <c r="C77" s="65">
        <f>+C75-C76</f>
        <v>-9126911</v>
      </c>
      <c r="D77" s="65">
        <f>+D75-D76</f>
        <v>33572134</v>
      </c>
      <c r="E77" s="65">
        <f>+E75-E76</f>
        <v>33572134</v>
      </c>
      <c r="G77" s="19"/>
      <c r="H77" s="19"/>
    </row>
    <row r="78" spans="1:9" ht="15" customHeight="1" thickBot="1" x14ac:dyDescent="0.35">
      <c r="A78" s="23"/>
      <c r="B78" s="24"/>
      <c r="C78" s="24"/>
      <c r="D78" s="24"/>
      <c r="E78" s="24"/>
      <c r="G78" s="19"/>
      <c r="H78" s="19"/>
    </row>
    <row r="79" spans="1:9" ht="15" customHeight="1" thickTop="1" x14ac:dyDescent="0.3">
      <c r="A79" s="1" t="s">
        <v>71</v>
      </c>
      <c r="G79" s="19"/>
      <c r="H79" s="19"/>
      <c r="I79" s="19"/>
    </row>
    <row r="80" spans="1:9" ht="15" customHeight="1" x14ac:dyDescent="0.3">
      <c r="A80" s="1"/>
      <c r="G80" s="19"/>
      <c r="H80" s="19"/>
      <c r="I80" s="19"/>
    </row>
    <row r="81" spans="1:9" ht="15" customHeight="1" x14ac:dyDescent="0.3">
      <c r="A81" s="13"/>
      <c r="G81" s="19"/>
      <c r="H81" s="19"/>
      <c r="I81" s="19"/>
    </row>
    <row r="82" spans="1:9" ht="15" customHeight="1" x14ac:dyDescent="0.3">
      <c r="A82" s="265" t="s">
        <v>45</v>
      </c>
      <c r="B82" s="265"/>
      <c r="C82" s="265"/>
      <c r="D82" s="265"/>
      <c r="E82" s="265"/>
      <c r="F82" s="14" t="s">
        <v>54</v>
      </c>
      <c r="G82" s="19"/>
      <c r="H82" s="19"/>
      <c r="I82" s="28"/>
    </row>
    <row r="83" spans="1:9" ht="15" customHeight="1" x14ac:dyDescent="0.3">
      <c r="A83" s="265" t="s">
        <v>49</v>
      </c>
      <c r="B83" s="265"/>
      <c r="C83" s="265"/>
      <c r="D83" s="265"/>
      <c r="E83" s="265"/>
      <c r="F83" s="37">
        <f>E74+E89+E90</f>
        <v>3949716900</v>
      </c>
      <c r="G83" s="19"/>
      <c r="H83" s="39"/>
      <c r="I83" s="79" t="s">
        <v>86</v>
      </c>
    </row>
    <row r="84" spans="1:9" ht="15" customHeight="1" x14ac:dyDescent="0.3">
      <c r="A84" s="268" t="s">
        <v>52</v>
      </c>
      <c r="B84" s="268"/>
      <c r="C84" s="268"/>
      <c r="D84" s="268"/>
      <c r="E84" s="268"/>
      <c r="F84" s="37"/>
      <c r="G84" s="19"/>
      <c r="H84" s="19"/>
      <c r="I84" s="19"/>
    </row>
    <row r="85" spans="1:9" ht="15" customHeight="1" x14ac:dyDescent="0.3">
      <c r="A85" s="264"/>
      <c r="B85" s="264"/>
      <c r="C85" s="264"/>
      <c r="D85" s="264"/>
      <c r="E85" s="264"/>
      <c r="G85" s="19"/>
      <c r="H85" s="19"/>
      <c r="I85" s="19"/>
    </row>
    <row r="86" spans="1:9" ht="15" customHeight="1" thickBot="1" x14ac:dyDescent="0.35">
      <c r="A86" s="30" t="s">
        <v>10</v>
      </c>
      <c r="B86" s="32" t="s">
        <v>27</v>
      </c>
      <c r="C86" s="32" t="s">
        <v>28</v>
      </c>
      <c r="D86" s="32" t="s">
        <v>29</v>
      </c>
      <c r="E86" s="32" t="s">
        <v>30</v>
      </c>
      <c r="G86" s="19"/>
      <c r="H86" s="19"/>
      <c r="I86" s="19"/>
    </row>
    <row r="87" spans="1:9" ht="15" customHeight="1" x14ac:dyDescent="0.3">
      <c r="B87" s="20"/>
      <c r="C87" s="20"/>
      <c r="D87" s="20"/>
      <c r="E87" s="20"/>
      <c r="G87" s="19"/>
      <c r="H87" s="19"/>
      <c r="I87" s="19"/>
    </row>
    <row r="88" spans="1:9" ht="15" customHeight="1" x14ac:dyDescent="0.3">
      <c r="A88" s="13" t="s">
        <v>62</v>
      </c>
      <c r="B88" s="51">
        <f>'I T'!E108</f>
        <v>0</v>
      </c>
      <c r="C88" s="51">
        <f>B93</f>
        <v>130556211</v>
      </c>
      <c r="D88" s="51">
        <f>C93</f>
        <v>356664715</v>
      </c>
      <c r="E88" s="51">
        <f>+B88</f>
        <v>0</v>
      </c>
      <c r="G88" s="19"/>
      <c r="H88" s="19"/>
      <c r="I88" s="19"/>
    </row>
    <row r="89" spans="1:9" ht="15" customHeight="1" x14ac:dyDescent="0.3">
      <c r="A89" s="13" t="s">
        <v>16</v>
      </c>
      <c r="B89" s="77">
        <v>630820633</v>
      </c>
      <c r="C89" s="77">
        <v>630820633</v>
      </c>
      <c r="D89" s="77">
        <v>630820633</v>
      </c>
      <c r="E89" s="51">
        <f>SUM(B89:D89)</f>
        <v>1892461899</v>
      </c>
      <c r="G89" s="38"/>
      <c r="H89" s="38"/>
      <c r="I89" s="38"/>
    </row>
    <row r="90" spans="1:9" ht="15" customHeight="1" x14ac:dyDescent="0.3">
      <c r="A90" s="1" t="s">
        <v>76</v>
      </c>
      <c r="B90" s="77">
        <v>263450000</v>
      </c>
      <c r="C90" s="77">
        <v>263450000</v>
      </c>
      <c r="D90" s="77">
        <v>263450000</v>
      </c>
      <c r="E90" s="51">
        <f>SUM(B90:D90)</f>
        <v>790350000</v>
      </c>
      <c r="G90" s="38"/>
      <c r="H90" s="38"/>
      <c r="I90" s="38"/>
    </row>
    <row r="91" spans="1:9" ht="15" customHeight="1" x14ac:dyDescent="0.3">
      <c r="A91" s="13" t="s">
        <v>17</v>
      </c>
      <c r="B91" s="51">
        <f>SUM(B88:B90)</f>
        <v>894270633</v>
      </c>
      <c r="C91" s="51">
        <f>SUM(C88:C90)</f>
        <v>1024826844</v>
      </c>
      <c r="D91" s="51">
        <f>SUM(D88:D90)</f>
        <v>1250935348</v>
      </c>
      <c r="E91" s="51">
        <f>SUM(E88:E90)</f>
        <v>2682811899</v>
      </c>
    </row>
    <row r="92" spans="1:9" ht="15" customHeight="1" x14ac:dyDescent="0.3">
      <c r="A92" s="13" t="s">
        <v>18</v>
      </c>
      <c r="B92" s="64">
        <f>B59+B60</f>
        <v>763714422</v>
      </c>
      <c r="C92" s="64">
        <f>C59+C60</f>
        <v>668162129</v>
      </c>
      <c r="D92" s="64">
        <f>D59+D60</f>
        <v>753881278.97000003</v>
      </c>
      <c r="E92" s="52">
        <f>SUM(B92:D92)</f>
        <v>2185757829.9700003</v>
      </c>
      <c r="F92" s="29"/>
    </row>
    <row r="93" spans="1:9" ht="15" customHeight="1" x14ac:dyDescent="0.3">
      <c r="A93" s="26" t="s">
        <v>19</v>
      </c>
      <c r="B93" s="65">
        <f>+B91-B92</f>
        <v>130556211</v>
      </c>
      <c r="C93" s="65">
        <f>+C91-C92</f>
        <v>356664715</v>
      </c>
      <c r="D93" s="65">
        <f>+D91-D92</f>
        <v>497054069.02999997</v>
      </c>
      <c r="E93" s="65">
        <f>+E91-E92</f>
        <v>497054069.02999973</v>
      </c>
    </row>
    <row r="94" spans="1:9" ht="15" customHeight="1" thickBot="1" x14ac:dyDescent="0.35">
      <c r="A94" s="23"/>
      <c r="B94" s="24"/>
      <c r="C94" s="24"/>
      <c r="D94" s="24"/>
      <c r="E94" s="24"/>
    </row>
    <row r="95" spans="1:9" ht="15" customHeight="1" thickTop="1" x14ac:dyDescent="0.3">
      <c r="A95" s="1" t="s">
        <v>71</v>
      </c>
    </row>
    <row r="96" spans="1:9" ht="36.75" customHeight="1" x14ac:dyDescent="0.3">
      <c r="A96" s="1" t="s">
        <v>78</v>
      </c>
    </row>
    <row r="99" spans="1:3" ht="15" customHeight="1" x14ac:dyDescent="0.3">
      <c r="A99" s="19" t="s">
        <v>79</v>
      </c>
      <c r="C99" s="80"/>
    </row>
  </sheetData>
  <mergeCells count="24">
    <mergeCell ref="A85:E85"/>
    <mergeCell ref="A69:E69"/>
    <mergeCell ref="A84:E84"/>
    <mergeCell ref="A55:E55"/>
    <mergeCell ref="A1:F1"/>
    <mergeCell ref="A7:F7"/>
    <mergeCell ref="A8:F8"/>
    <mergeCell ref="A10:F10"/>
    <mergeCell ref="A35:E35"/>
    <mergeCell ref="A52:E52"/>
    <mergeCell ref="A53:E53"/>
    <mergeCell ref="A9:F9"/>
    <mergeCell ref="A32:F32"/>
    <mergeCell ref="A67:E67"/>
    <mergeCell ref="A68:E68"/>
    <mergeCell ref="A70:E70"/>
    <mergeCell ref="A13:A15"/>
    <mergeCell ref="A16:A18"/>
    <mergeCell ref="A19:A21"/>
    <mergeCell ref="A82:E82"/>
    <mergeCell ref="A83:E83"/>
    <mergeCell ref="A33:F33"/>
    <mergeCell ref="A34:F34"/>
    <mergeCell ref="A54:E54"/>
  </mergeCells>
  <printOptions horizontalCentered="1" verticalCentered="1"/>
  <pageMargins left="0.70866141732283472" right="1.18" top="0.3" bottom="0.2" header="0.31496062992125984" footer="0.31496062992125984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M107"/>
  <sheetViews>
    <sheetView topLeftCell="A4" zoomScale="90" zoomScaleNormal="90" workbookViewId="0">
      <selection activeCell="B6" sqref="B6"/>
    </sheetView>
  </sheetViews>
  <sheetFormatPr baseColWidth="10" defaultColWidth="11.5546875" defaultRowHeight="15" customHeight="1" x14ac:dyDescent="0.3"/>
  <cols>
    <col min="1" max="1" width="65.77734375" style="19" customWidth="1"/>
    <col min="2" max="2" width="26.5546875" style="13" customWidth="1"/>
    <col min="3" max="3" width="16" style="13" bestFit="1" customWidth="1"/>
    <col min="4" max="4" width="19.21875" style="13" customWidth="1"/>
    <col min="5" max="5" width="17" style="13" bestFit="1" customWidth="1"/>
    <col min="6" max="6" width="21.44140625" style="13" customWidth="1"/>
    <col min="7" max="7" width="19.5546875" style="13" customWidth="1"/>
    <col min="8" max="8" width="17.77734375" style="13" bestFit="1" customWidth="1"/>
    <col min="9" max="10" width="16" style="13" bestFit="1" customWidth="1"/>
    <col min="11" max="11" width="17.5546875" style="13" bestFit="1" customWidth="1"/>
    <col min="12" max="12" width="5.21875" style="13" bestFit="1" customWidth="1"/>
    <col min="13" max="16384" width="11.5546875" style="13"/>
  </cols>
  <sheetData>
    <row r="1" spans="1:10" ht="15" customHeight="1" x14ac:dyDescent="0.3">
      <c r="A1" s="265" t="s">
        <v>20</v>
      </c>
      <c r="B1" s="265"/>
      <c r="C1" s="265"/>
      <c r="D1" s="265"/>
      <c r="E1" s="265"/>
      <c r="F1" s="265"/>
    </row>
    <row r="2" spans="1:10" ht="15" customHeight="1" x14ac:dyDescent="0.3">
      <c r="A2" s="3" t="s">
        <v>0</v>
      </c>
      <c r="B2" s="4" t="s">
        <v>22</v>
      </c>
      <c r="C2" s="14"/>
      <c r="D2" s="14"/>
      <c r="E2" s="14"/>
      <c r="F2" s="14"/>
    </row>
    <row r="3" spans="1:10" ht="15" customHeight="1" x14ac:dyDescent="0.3">
      <c r="A3" s="3" t="s">
        <v>1</v>
      </c>
      <c r="B3" s="4" t="s">
        <v>21</v>
      </c>
      <c r="C3" s="14"/>
      <c r="D3" s="14"/>
      <c r="E3" s="14"/>
      <c r="F3" s="14"/>
    </row>
    <row r="4" spans="1:10" ht="15" customHeight="1" x14ac:dyDescent="0.3">
      <c r="A4" s="3" t="s">
        <v>11</v>
      </c>
      <c r="B4" s="14" t="s">
        <v>61</v>
      </c>
      <c r="C4" s="14"/>
      <c r="D4" s="14"/>
      <c r="E4" s="14"/>
      <c r="F4" s="14"/>
    </row>
    <row r="5" spans="1:10" ht="15" customHeight="1" x14ac:dyDescent="0.3">
      <c r="A5" s="3" t="s">
        <v>47</v>
      </c>
      <c r="B5" s="15" t="s">
        <v>155</v>
      </c>
      <c r="C5" s="14"/>
      <c r="D5" s="14"/>
      <c r="E5" s="14"/>
      <c r="F5" s="14"/>
    </row>
    <row r="7" spans="1:10" ht="15" customHeight="1" x14ac:dyDescent="0.3">
      <c r="A7" s="265" t="s">
        <v>9</v>
      </c>
      <c r="B7" s="265"/>
      <c r="C7" s="265"/>
      <c r="D7" s="265"/>
      <c r="E7" s="265"/>
      <c r="F7" s="265"/>
    </row>
    <row r="8" spans="1:10" ht="15" customHeight="1" x14ac:dyDescent="0.3">
      <c r="A8" s="265" t="s">
        <v>12</v>
      </c>
      <c r="B8" s="265"/>
      <c r="C8" s="265"/>
      <c r="D8" s="265"/>
      <c r="E8" s="265"/>
      <c r="F8" s="265"/>
    </row>
    <row r="9" spans="1:10" ht="15" customHeight="1" x14ac:dyDescent="0.3">
      <c r="A9" s="268" t="s">
        <v>50</v>
      </c>
      <c r="B9" s="268"/>
      <c r="C9" s="268"/>
      <c r="D9" s="268"/>
      <c r="E9" s="268"/>
      <c r="F9" s="268"/>
    </row>
    <row r="10" spans="1:10" ht="15" customHeight="1" x14ac:dyDescent="0.3">
      <c r="A10" s="264"/>
      <c r="B10" s="264"/>
      <c r="C10" s="264"/>
      <c r="D10" s="264"/>
      <c r="E10" s="264"/>
      <c r="F10" s="264"/>
    </row>
    <row r="11" spans="1:10" ht="15" customHeight="1" thickBot="1" x14ac:dyDescent="0.35">
      <c r="A11" s="9" t="s">
        <v>64</v>
      </c>
      <c r="B11" s="31"/>
      <c r="C11" s="31" t="s">
        <v>33</v>
      </c>
      <c r="D11" s="31" t="s">
        <v>34</v>
      </c>
      <c r="E11" s="31" t="s">
        <v>57</v>
      </c>
      <c r="F11" s="9" t="s">
        <v>69</v>
      </c>
    </row>
    <row r="13" spans="1:10" ht="14.4" x14ac:dyDescent="0.3">
      <c r="A13" s="278" t="s">
        <v>23</v>
      </c>
      <c r="B13" s="111" t="s">
        <v>58</v>
      </c>
      <c r="C13" s="112">
        <f>+('2 T no usar'!E13-'3 T'!C15)+181</f>
        <v>70</v>
      </c>
      <c r="D13" s="112">
        <f>+(C13-D15)+243</f>
        <v>259</v>
      </c>
      <c r="E13" s="112">
        <f>+(D13-E15)+193</f>
        <v>324</v>
      </c>
      <c r="F13" s="112">
        <f>E13</f>
        <v>324</v>
      </c>
      <c r="I13" s="19"/>
      <c r="J13" s="19"/>
    </row>
    <row r="14" spans="1:10" ht="15" customHeight="1" x14ac:dyDescent="0.3">
      <c r="A14" s="278"/>
      <c r="B14" s="111" t="s">
        <v>59</v>
      </c>
      <c r="C14" s="112">
        <v>1538</v>
      </c>
      <c r="D14" s="112">
        <v>1461</v>
      </c>
      <c r="E14" s="112">
        <v>1533</v>
      </c>
      <c r="F14" s="112">
        <f>AVERAGE(C14:E14)</f>
        <v>1510.6666666666667</v>
      </c>
      <c r="I14" s="19"/>
      <c r="J14" s="19"/>
    </row>
    <row r="15" spans="1:10" ht="15" customHeight="1" x14ac:dyDescent="0.3">
      <c r="A15" s="278"/>
      <c r="B15" s="111" t="s">
        <v>60</v>
      </c>
      <c r="C15" s="123">
        <v>141</v>
      </c>
      <c r="D15" s="112">
        <v>54</v>
      </c>
      <c r="E15" s="123">
        <v>128</v>
      </c>
      <c r="F15" s="112">
        <f>AVERAGE(C15:E15)</f>
        <v>107.66666666666667</v>
      </c>
      <c r="J15" s="19"/>
    </row>
    <row r="16" spans="1:10" ht="14.4" x14ac:dyDescent="0.3">
      <c r="A16" s="267" t="s">
        <v>24</v>
      </c>
      <c r="B16" s="120" t="s">
        <v>58</v>
      </c>
      <c r="C16" s="121">
        <f>+('2 T no usar'!E16-'3 T'!C18)+32</f>
        <v>-39</v>
      </c>
      <c r="D16" s="121">
        <f>+(C16-D18)+38</f>
        <v>-70</v>
      </c>
      <c r="E16" s="121">
        <f>+(D16-E18)+62</f>
        <v>-46</v>
      </c>
      <c r="F16" s="121">
        <f>E16</f>
        <v>-46</v>
      </c>
      <c r="I16" s="19"/>
      <c r="J16" s="19"/>
    </row>
    <row r="17" spans="1:10" ht="15" customHeight="1" x14ac:dyDescent="0.3">
      <c r="A17" s="267"/>
      <c r="B17" s="120" t="s">
        <v>59</v>
      </c>
      <c r="C17" s="121">
        <v>1181</v>
      </c>
      <c r="D17" s="121">
        <v>1167</v>
      </c>
      <c r="E17" s="121">
        <v>1207</v>
      </c>
      <c r="F17" s="121">
        <f>AVERAGE(C17:E17)</f>
        <v>1185</v>
      </c>
      <c r="I17" s="19"/>
      <c r="J17" s="19"/>
    </row>
    <row r="18" spans="1:10" ht="15" customHeight="1" x14ac:dyDescent="0.3">
      <c r="A18" s="267"/>
      <c r="B18" s="120" t="s">
        <v>60</v>
      </c>
      <c r="C18" s="121">
        <v>95</v>
      </c>
      <c r="D18" s="121">
        <v>69</v>
      </c>
      <c r="E18" s="121">
        <v>38</v>
      </c>
      <c r="F18" s="121">
        <f>AVERAGE(C18:E18)</f>
        <v>67.333333333333329</v>
      </c>
      <c r="J18" s="19"/>
    </row>
    <row r="19" spans="1:10" ht="14.4" x14ac:dyDescent="0.3">
      <c r="A19" s="277" t="s">
        <v>25</v>
      </c>
      <c r="B19" s="111" t="s">
        <v>58</v>
      </c>
      <c r="C19" s="112">
        <f>+('2 T no usar'!E19-'3 T'!C21)+398</f>
        <v>1539</v>
      </c>
      <c r="D19" s="112">
        <f>+(C19-D21)+838</f>
        <v>1588</v>
      </c>
      <c r="E19" s="112">
        <f>+(D19-E21)+1559</f>
        <v>2683</v>
      </c>
      <c r="F19" s="112">
        <f>+E19</f>
        <v>2683</v>
      </c>
      <c r="I19" s="19"/>
      <c r="J19" s="19"/>
    </row>
    <row r="20" spans="1:10" ht="15" customHeight="1" x14ac:dyDescent="0.3">
      <c r="A20" s="277"/>
      <c r="B20" s="111" t="s">
        <v>59</v>
      </c>
      <c r="C20" s="112">
        <v>10236</v>
      </c>
      <c r="D20" s="112">
        <v>9844</v>
      </c>
      <c r="E20" s="112">
        <v>9292</v>
      </c>
      <c r="F20" s="112">
        <f>AVERAGE(C20:E20)</f>
        <v>9790.6666666666661</v>
      </c>
      <c r="I20" s="19"/>
      <c r="J20" s="19"/>
    </row>
    <row r="21" spans="1:10" ht="15" customHeight="1" x14ac:dyDescent="0.3">
      <c r="A21" s="277"/>
      <c r="B21" s="111" t="s">
        <v>60</v>
      </c>
      <c r="C21" s="112">
        <v>472</v>
      </c>
      <c r="D21" s="112">
        <v>789</v>
      </c>
      <c r="E21" s="112">
        <v>464</v>
      </c>
      <c r="F21" s="112">
        <f>AVERAGE(C21:E21)</f>
        <v>575</v>
      </c>
      <c r="I21" s="19"/>
      <c r="J21" s="19"/>
    </row>
    <row r="22" spans="1:10" ht="15" customHeight="1" x14ac:dyDescent="0.3">
      <c r="A22" s="116" t="s">
        <v>74</v>
      </c>
      <c r="B22" s="117" t="s">
        <v>58</v>
      </c>
      <c r="C22" s="112">
        <f>+('2 T no usar'!E22-'3 T'!C24)+325</f>
        <v>1318</v>
      </c>
      <c r="D22" s="112">
        <f>+(C22-D24)+0</f>
        <v>71</v>
      </c>
      <c r="E22" s="112">
        <f>+(D22-E24)+23</f>
        <v>-374</v>
      </c>
      <c r="F22" s="118">
        <f>E22</f>
        <v>-374</v>
      </c>
      <c r="I22" s="19"/>
      <c r="J22" s="19"/>
    </row>
    <row r="23" spans="1:10" ht="15" customHeight="1" x14ac:dyDescent="0.3">
      <c r="A23" s="119"/>
      <c r="B23" s="117" t="s">
        <v>59</v>
      </c>
      <c r="C23" s="118">
        <v>292</v>
      </c>
      <c r="D23" s="118">
        <v>588</v>
      </c>
      <c r="E23" s="118">
        <v>655</v>
      </c>
      <c r="F23" s="118">
        <f>AVERAGE(C23:E23)</f>
        <v>511.66666666666669</v>
      </c>
      <c r="I23" s="19"/>
      <c r="J23" s="19"/>
    </row>
    <row r="24" spans="1:10" ht="15" customHeight="1" x14ac:dyDescent="0.3">
      <c r="A24" s="119"/>
      <c r="B24" s="117" t="s">
        <v>60</v>
      </c>
      <c r="C24" s="118">
        <v>18</v>
      </c>
      <c r="D24" s="118">
        <v>1247</v>
      </c>
      <c r="E24" s="118">
        <v>468</v>
      </c>
      <c r="F24" s="118">
        <f>AVERAGE(C24:E24)</f>
        <v>577.66666666666663</v>
      </c>
      <c r="I24" s="19"/>
      <c r="J24" s="19"/>
    </row>
    <row r="25" spans="1:10" ht="15" customHeight="1" x14ac:dyDescent="0.3">
      <c r="A25" s="58"/>
      <c r="B25" s="8"/>
      <c r="I25" s="19"/>
      <c r="J25" s="19"/>
    </row>
    <row r="26" spans="1:10" ht="15" customHeight="1" x14ac:dyDescent="0.3">
      <c r="I26" s="19"/>
      <c r="J26" s="19"/>
    </row>
    <row r="27" spans="1:10" ht="15" customHeight="1" thickBot="1" x14ac:dyDescent="0.35">
      <c r="A27" s="22" t="s">
        <v>13</v>
      </c>
      <c r="B27" s="23" t="s">
        <v>51</v>
      </c>
      <c r="C27" s="23">
        <f>+C14+C15+C17+C18+C20+C21+C23+C24</f>
        <v>13973</v>
      </c>
      <c r="D27" s="23">
        <f>+D14+D15+D17+D18+D20+D21+D23+D24</f>
        <v>15219</v>
      </c>
      <c r="E27" s="23">
        <f>+E14+E15+E17+E18+E20+E21+E23+E24</f>
        <v>13785</v>
      </c>
      <c r="F27" s="23">
        <f>AVERAGE(C27:E27)</f>
        <v>14325.666666666666</v>
      </c>
    </row>
    <row r="28" spans="1:10" ht="15" customHeight="1" thickTop="1" x14ac:dyDescent="0.3">
      <c r="A28" s="41" t="s">
        <v>65</v>
      </c>
      <c r="B28" s="26"/>
      <c r="C28" s="26"/>
      <c r="D28" s="26"/>
      <c r="E28" s="26"/>
      <c r="F28" s="26"/>
    </row>
    <row r="29" spans="1:10" ht="15" customHeight="1" x14ac:dyDescent="0.3">
      <c r="A29" s="1" t="s">
        <v>71</v>
      </c>
    </row>
    <row r="30" spans="1:10" ht="15" customHeight="1" x14ac:dyDescent="0.3">
      <c r="A30" s="1"/>
      <c r="C30" s="67"/>
      <c r="D30" s="67"/>
      <c r="E30" s="67"/>
    </row>
    <row r="32" spans="1:10" ht="15" customHeight="1" x14ac:dyDescent="0.3">
      <c r="A32" s="268" t="s">
        <v>14</v>
      </c>
      <c r="B32" s="268"/>
      <c r="C32" s="268"/>
      <c r="D32" s="268"/>
      <c r="E32" s="268"/>
      <c r="F32" s="268"/>
    </row>
    <row r="33" spans="1:6" ht="15" customHeight="1" x14ac:dyDescent="0.3">
      <c r="A33" s="265" t="s">
        <v>31</v>
      </c>
      <c r="B33" s="265"/>
      <c r="C33" s="265"/>
      <c r="D33" s="265"/>
      <c r="E33" s="265"/>
      <c r="F33" s="265"/>
    </row>
    <row r="34" spans="1:6" ht="15" customHeight="1" x14ac:dyDescent="0.3">
      <c r="A34" s="268" t="s">
        <v>52</v>
      </c>
      <c r="B34" s="268"/>
      <c r="C34" s="268"/>
      <c r="D34" s="268"/>
      <c r="E34" s="268"/>
      <c r="F34" s="268"/>
    </row>
    <row r="35" spans="1:6" ht="15" customHeight="1" x14ac:dyDescent="0.3">
      <c r="A35" s="264"/>
      <c r="B35" s="264"/>
      <c r="C35" s="264"/>
      <c r="D35" s="264"/>
      <c r="E35" s="264"/>
    </row>
    <row r="36" spans="1:6" ht="15" customHeight="1" thickBot="1" x14ac:dyDescent="0.35">
      <c r="A36" s="9" t="s">
        <v>64</v>
      </c>
      <c r="B36" s="17"/>
      <c r="C36" s="17" t="s">
        <v>33</v>
      </c>
      <c r="D36" s="17" t="s">
        <v>34</v>
      </c>
      <c r="E36" s="17" t="s">
        <v>57</v>
      </c>
      <c r="F36" s="17" t="s">
        <v>35</v>
      </c>
    </row>
    <row r="38" spans="1:6" ht="15" customHeight="1" x14ac:dyDescent="0.3">
      <c r="A38" s="138" t="s">
        <v>23</v>
      </c>
      <c r="B38" s="139" t="s">
        <v>56</v>
      </c>
      <c r="C38" s="141">
        <v>269151328</v>
      </c>
      <c r="D38" s="141">
        <v>256266424</v>
      </c>
      <c r="E38" s="141">
        <v>268614457</v>
      </c>
      <c r="F38" s="139">
        <f t="shared" ref="F38:F45" si="0">SUM(C38:E38)</f>
        <v>794032209</v>
      </c>
    </row>
    <row r="39" spans="1:6" ht="15" customHeight="1" x14ac:dyDescent="0.3">
      <c r="A39" s="138"/>
      <c r="B39" s="139" t="s">
        <v>55</v>
      </c>
      <c r="C39" s="141">
        <v>25232937</v>
      </c>
      <c r="D39" s="141">
        <v>9663678</v>
      </c>
      <c r="E39" s="141">
        <v>22190668</v>
      </c>
      <c r="F39" s="139">
        <f t="shared" si="0"/>
        <v>57087283</v>
      </c>
    </row>
    <row r="40" spans="1:6" ht="15" customHeight="1" x14ac:dyDescent="0.3">
      <c r="A40" s="107" t="s">
        <v>24</v>
      </c>
      <c r="B40" s="108" t="s">
        <v>56</v>
      </c>
      <c r="C40" s="142">
        <v>84323596</v>
      </c>
      <c r="D40" s="142">
        <v>83393030</v>
      </c>
      <c r="E40" s="142">
        <v>85898400</v>
      </c>
      <c r="F40" s="108">
        <f t="shared" si="0"/>
        <v>253615026</v>
      </c>
    </row>
    <row r="41" spans="1:6" ht="15" customHeight="1" x14ac:dyDescent="0.3">
      <c r="A41" s="107"/>
      <c r="B41" s="108" t="s">
        <v>55</v>
      </c>
      <c r="C41" s="142">
        <v>6800290</v>
      </c>
      <c r="D41" s="142">
        <v>4294920</v>
      </c>
      <c r="E41" s="142">
        <v>2362206</v>
      </c>
      <c r="F41" s="108">
        <f t="shared" si="0"/>
        <v>13457416</v>
      </c>
    </row>
    <row r="42" spans="1:6" ht="15" customHeight="1" x14ac:dyDescent="0.3">
      <c r="A42" s="138" t="s">
        <v>25</v>
      </c>
      <c r="B42" s="139" t="s">
        <v>56</v>
      </c>
      <c r="C42" s="140">
        <v>585171730</v>
      </c>
      <c r="D42" s="140">
        <v>538676922</v>
      </c>
      <c r="E42" s="140">
        <v>518832649</v>
      </c>
      <c r="F42" s="139">
        <f t="shared" si="0"/>
        <v>1642681301</v>
      </c>
    </row>
    <row r="43" spans="1:6" ht="15" customHeight="1" x14ac:dyDescent="0.3">
      <c r="A43" s="138"/>
      <c r="B43" s="139" t="s">
        <v>55</v>
      </c>
      <c r="C43" s="140">
        <v>21332588</v>
      </c>
      <c r="D43" s="140">
        <v>33446574</v>
      </c>
      <c r="E43" s="140">
        <v>36249233</v>
      </c>
      <c r="F43" s="139">
        <f t="shared" si="0"/>
        <v>91028395</v>
      </c>
    </row>
    <row r="44" spans="1:6" ht="15" customHeight="1" x14ac:dyDescent="0.3">
      <c r="A44" s="136" t="s">
        <v>74</v>
      </c>
      <c r="B44" s="135" t="s">
        <v>56</v>
      </c>
      <c r="C44" s="135">
        <v>118400000</v>
      </c>
      <c r="D44" s="135">
        <v>237500000</v>
      </c>
      <c r="E44" s="135">
        <v>232400000</v>
      </c>
      <c r="F44" s="133">
        <f t="shared" si="0"/>
        <v>588300000</v>
      </c>
    </row>
    <row r="45" spans="1:6" ht="15" customHeight="1" x14ac:dyDescent="0.3">
      <c r="A45" s="136"/>
      <c r="B45" s="135" t="s">
        <v>55</v>
      </c>
      <c r="C45" s="137">
        <v>6600000</v>
      </c>
      <c r="D45" s="133">
        <v>457500000</v>
      </c>
      <c r="E45" s="133">
        <v>180400000</v>
      </c>
      <c r="F45" s="133">
        <f t="shared" si="0"/>
        <v>644500000</v>
      </c>
    </row>
    <row r="46" spans="1:6" ht="15" customHeight="1" thickBot="1" x14ac:dyDescent="0.35">
      <c r="A46" s="22" t="s">
        <v>13</v>
      </c>
      <c r="B46" s="23"/>
      <c r="C46" s="66">
        <f>SUM(C38:C45)</f>
        <v>1117012469</v>
      </c>
      <c r="D46" s="66">
        <f>SUM(D38:D45)</f>
        <v>1620741548</v>
      </c>
      <c r="E46" s="66">
        <f>SUM(E38:E45)</f>
        <v>1346947613</v>
      </c>
      <c r="F46" s="66">
        <f>SUM(F38:F45)</f>
        <v>4084701630</v>
      </c>
    </row>
    <row r="47" spans="1:6" ht="15" customHeight="1" thickTop="1" x14ac:dyDescent="0.3">
      <c r="A47" s="25" t="s">
        <v>42</v>
      </c>
    </row>
    <row r="48" spans="1:6" ht="15" customHeight="1" x14ac:dyDescent="0.3">
      <c r="A48" s="1" t="s">
        <v>71</v>
      </c>
    </row>
    <row r="49" spans="1:5" ht="15" customHeight="1" x14ac:dyDescent="0.3">
      <c r="A49" s="1"/>
    </row>
    <row r="50" spans="1:5" ht="15" customHeight="1" x14ac:dyDescent="0.3">
      <c r="A50" s="1"/>
    </row>
    <row r="52" spans="1:5" ht="15" customHeight="1" x14ac:dyDescent="0.3">
      <c r="A52" s="265" t="s">
        <v>15</v>
      </c>
      <c r="B52" s="265"/>
      <c r="C52" s="265"/>
      <c r="D52" s="265"/>
      <c r="E52" s="265"/>
    </row>
    <row r="53" spans="1:5" ht="15" customHeight="1" x14ac:dyDescent="0.3">
      <c r="A53" s="265" t="s">
        <v>32</v>
      </c>
      <c r="B53" s="265"/>
      <c r="C53" s="265"/>
      <c r="D53" s="265"/>
      <c r="E53" s="265"/>
    </row>
    <row r="54" spans="1:5" ht="15" customHeight="1" x14ac:dyDescent="0.3">
      <c r="A54" s="268" t="s">
        <v>52</v>
      </c>
      <c r="B54" s="268"/>
      <c r="C54" s="268"/>
      <c r="D54" s="268"/>
      <c r="E54" s="268"/>
    </row>
    <row r="55" spans="1:5" ht="15" customHeight="1" x14ac:dyDescent="0.3">
      <c r="A55" s="264"/>
      <c r="B55" s="264"/>
      <c r="C55" s="264"/>
      <c r="D55" s="264"/>
      <c r="E55" s="264"/>
    </row>
    <row r="56" spans="1:5" ht="15" customHeight="1" thickBot="1" x14ac:dyDescent="0.35">
      <c r="A56" s="30" t="s">
        <v>10</v>
      </c>
      <c r="B56" s="31" t="s">
        <v>33</v>
      </c>
      <c r="C56" s="31" t="s">
        <v>34</v>
      </c>
      <c r="D56" s="31" t="s">
        <v>57</v>
      </c>
      <c r="E56" s="31" t="s">
        <v>35</v>
      </c>
    </row>
    <row r="58" spans="1:5" ht="15" customHeight="1" x14ac:dyDescent="0.3">
      <c r="A58" s="19" t="s">
        <v>26</v>
      </c>
      <c r="B58" s="13">
        <f>SUM(C38:C41)</f>
        <v>385508151</v>
      </c>
      <c r="C58" s="13">
        <f t="shared" ref="C58:D58" si="1">SUM(D38:D41)</f>
        <v>353618052</v>
      </c>
      <c r="D58" s="13">
        <f t="shared" si="1"/>
        <v>379065731</v>
      </c>
      <c r="E58" s="13">
        <f>SUM(B58:D58)</f>
        <v>1118191934</v>
      </c>
    </row>
    <row r="59" spans="1:5" ht="15" customHeight="1" x14ac:dyDescent="0.3">
      <c r="A59" s="19" t="s">
        <v>43</v>
      </c>
      <c r="B59" s="13">
        <f>SUM(C42:C43)</f>
        <v>606504318</v>
      </c>
      <c r="C59" s="13">
        <f t="shared" ref="C59:D59" si="2">SUM(D42:D43)</f>
        <v>572123496</v>
      </c>
      <c r="D59" s="13">
        <f t="shared" si="2"/>
        <v>555081882</v>
      </c>
      <c r="E59" s="13">
        <f>SUM(B59:D59)</f>
        <v>1733709696</v>
      </c>
    </row>
    <row r="60" spans="1:5" ht="15" customHeight="1" x14ac:dyDescent="0.3">
      <c r="A60" s="1" t="s">
        <v>75</v>
      </c>
      <c r="B60" s="62">
        <f>SUM(C44:C45)</f>
        <v>125000000</v>
      </c>
      <c r="C60" s="62">
        <f t="shared" ref="C60:D60" si="3">SUM(D44:D45)</f>
        <v>695000000</v>
      </c>
      <c r="D60" s="62">
        <f t="shared" si="3"/>
        <v>412800000</v>
      </c>
      <c r="E60" s="62">
        <f>SUM(B60:D60)</f>
        <v>1232800000</v>
      </c>
    </row>
    <row r="61" spans="1:5" ht="15" customHeight="1" x14ac:dyDescent="0.3">
      <c r="A61" s="19" t="s">
        <v>7</v>
      </c>
      <c r="E61" s="13">
        <f>SUM(B61:D61)</f>
        <v>0</v>
      </c>
    </row>
    <row r="62" spans="1:5" ht="15" customHeight="1" x14ac:dyDescent="0.3">
      <c r="A62" s="19" t="s">
        <v>8</v>
      </c>
      <c r="E62" s="13">
        <f>SUM(B62:D62)</f>
        <v>0</v>
      </c>
    </row>
    <row r="63" spans="1:5" ht="15" customHeight="1" thickBot="1" x14ac:dyDescent="0.35">
      <c r="A63" s="22" t="s">
        <v>13</v>
      </c>
      <c r="B63" s="23">
        <f>SUM(B58:B62)</f>
        <v>1117012469</v>
      </c>
      <c r="C63" s="23">
        <f>SUM(C58:C62)</f>
        <v>1620741548</v>
      </c>
      <c r="D63" s="23">
        <f>SUM(D58:D62)</f>
        <v>1346947613</v>
      </c>
      <c r="E63" s="23">
        <f>SUM(E58:E62)</f>
        <v>4084701630</v>
      </c>
    </row>
    <row r="64" spans="1:5" ht="15" customHeight="1" thickTop="1" x14ac:dyDescent="0.3">
      <c r="A64" s="1" t="s">
        <v>71</v>
      </c>
    </row>
    <row r="65" spans="1:9" ht="15" customHeight="1" x14ac:dyDescent="0.3">
      <c r="A65" s="1"/>
    </row>
    <row r="67" spans="1:9" ht="15" customHeight="1" x14ac:dyDescent="0.3">
      <c r="A67" s="265" t="s">
        <v>44</v>
      </c>
      <c r="B67" s="265"/>
      <c r="C67" s="265"/>
      <c r="D67" s="265"/>
      <c r="E67" s="265"/>
    </row>
    <row r="68" spans="1:9" ht="15" customHeight="1" x14ac:dyDescent="0.3">
      <c r="A68" s="260" t="s">
        <v>77</v>
      </c>
      <c r="B68" s="260"/>
      <c r="C68" s="260"/>
      <c r="D68" s="260"/>
      <c r="E68" s="260"/>
    </row>
    <row r="69" spans="1:9" ht="15" customHeight="1" x14ac:dyDescent="0.3">
      <c r="A69" s="268" t="s">
        <v>52</v>
      </c>
      <c r="B69" s="268"/>
      <c r="C69" s="268"/>
      <c r="D69" s="268"/>
      <c r="E69" s="268"/>
    </row>
    <row r="70" spans="1:9" ht="15" customHeight="1" x14ac:dyDescent="0.3">
      <c r="A70" s="264"/>
      <c r="B70" s="264"/>
      <c r="C70" s="264"/>
      <c r="D70" s="264"/>
      <c r="E70" s="264"/>
    </row>
    <row r="71" spans="1:9" ht="15" customHeight="1" thickBot="1" x14ac:dyDescent="0.35">
      <c r="A71" s="30" t="s">
        <v>10</v>
      </c>
      <c r="B71" s="31" t="s">
        <v>33</v>
      </c>
      <c r="C71" s="31" t="s">
        <v>34</v>
      </c>
      <c r="D71" s="31" t="s">
        <v>57</v>
      </c>
      <c r="E71" s="31" t="s">
        <v>35</v>
      </c>
    </row>
    <row r="73" spans="1:9" ht="15" customHeight="1" x14ac:dyDescent="0.3">
      <c r="A73" s="13" t="s">
        <v>62</v>
      </c>
      <c r="B73" s="13">
        <f>'2 T no usar'!E77</f>
        <v>33572134</v>
      </c>
      <c r="C73" s="13">
        <f>B77</f>
        <v>70365650</v>
      </c>
      <c r="D73" s="13">
        <f>C77</f>
        <v>139049265</v>
      </c>
      <c r="E73" s="13">
        <f>B73</f>
        <v>33572134</v>
      </c>
    </row>
    <row r="74" spans="1:9" ht="15" customHeight="1" x14ac:dyDescent="0.3">
      <c r="A74" s="13" t="s">
        <v>16</v>
      </c>
      <c r="B74" s="82">
        <v>422301667</v>
      </c>
      <c r="C74" s="82">
        <v>422301667</v>
      </c>
      <c r="D74" s="82">
        <v>422301667</v>
      </c>
      <c r="E74" s="13">
        <f>SUM(B74:D74)</f>
        <v>1266905001</v>
      </c>
      <c r="H74" s="38"/>
      <c r="I74" s="38"/>
    </row>
    <row r="75" spans="1:9" ht="15" customHeight="1" x14ac:dyDescent="0.3">
      <c r="A75" s="13" t="s">
        <v>17</v>
      </c>
      <c r="B75" s="13">
        <f>+B73+B74</f>
        <v>455873801</v>
      </c>
      <c r="C75" s="13">
        <f>+C73+C74</f>
        <v>492667317</v>
      </c>
      <c r="D75" s="13">
        <f>+D73+D74</f>
        <v>561350932</v>
      </c>
      <c r="E75" s="13">
        <f>+E73+E74</f>
        <v>1300477135</v>
      </c>
      <c r="H75" s="19"/>
      <c r="I75" s="19"/>
    </row>
    <row r="76" spans="1:9" ht="15" customHeight="1" x14ac:dyDescent="0.3">
      <c r="A76" s="13" t="s">
        <v>18</v>
      </c>
      <c r="B76" s="44">
        <f>B58</f>
        <v>385508151</v>
      </c>
      <c r="C76" s="44">
        <f>C58</f>
        <v>353618052</v>
      </c>
      <c r="D76" s="44">
        <f>D58</f>
        <v>379065731</v>
      </c>
      <c r="E76" s="19">
        <f>SUM(B76:D76)</f>
        <v>1118191934</v>
      </c>
      <c r="F76" s="29"/>
      <c r="H76" s="19"/>
      <c r="I76" s="19"/>
    </row>
    <row r="77" spans="1:9" ht="15" customHeight="1" x14ac:dyDescent="0.3">
      <c r="A77" s="26" t="s">
        <v>19</v>
      </c>
      <c r="B77" s="26">
        <f>+B75-B76</f>
        <v>70365650</v>
      </c>
      <c r="C77" s="26">
        <f>+C75-C76</f>
        <v>139049265</v>
      </c>
      <c r="D77" s="26">
        <f>+D75-D76</f>
        <v>182285201</v>
      </c>
      <c r="E77" s="26">
        <f>+E75-E76</f>
        <v>182285201</v>
      </c>
      <c r="H77" s="19"/>
      <c r="I77" s="19"/>
    </row>
    <row r="78" spans="1:9" ht="15" customHeight="1" thickBot="1" x14ac:dyDescent="0.35">
      <c r="A78" s="23"/>
      <c r="B78" s="23"/>
      <c r="C78" s="23"/>
      <c r="D78" s="23"/>
      <c r="E78" s="23"/>
      <c r="H78" s="19"/>
      <c r="I78" s="19"/>
    </row>
    <row r="79" spans="1:9" ht="15" customHeight="1" thickTop="1" x14ac:dyDescent="0.3">
      <c r="A79" s="1" t="s">
        <v>71</v>
      </c>
      <c r="H79" s="19"/>
      <c r="I79" s="19"/>
    </row>
    <row r="80" spans="1:9" ht="15" customHeight="1" x14ac:dyDescent="0.3">
      <c r="A80" s="1"/>
      <c r="H80" s="19"/>
      <c r="I80" s="19"/>
    </row>
    <row r="81" spans="1:13" ht="15" customHeight="1" x14ac:dyDescent="0.3">
      <c r="A81" s="13"/>
      <c r="H81" s="19"/>
      <c r="I81" s="19"/>
    </row>
    <row r="82" spans="1:13" ht="15" customHeight="1" x14ac:dyDescent="0.3">
      <c r="A82" s="265" t="s">
        <v>45</v>
      </c>
      <c r="B82" s="265"/>
      <c r="C82" s="265"/>
      <c r="D82" s="265"/>
      <c r="E82" s="265"/>
      <c r="F82" s="14" t="s">
        <v>54</v>
      </c>
      <c r="G82" s="19"/>
      <c r="H82" s="19"/>
      <c r="I82" s="19"/>
    </row>
    <row r="83" spans="1:13" ht="15" customHeight="1" x14ac:dyDescent="0.3">
      <c r="A83" s="265" t="s">
        <v>49</v>
      </c>
      <c r="B83" s="265"/>
      <c r="C83" s="265"/>
      <c r="D83" s="265"/>
      <c r="E83" s="265"/>
      <c r="F83" s="37"/>
      <c r="G83" s="19"/>
      <c r="H83" s="19"/>
      <c r="I83" s="28"/>
    </row>
    <row r="84" spans="1:13" ht="15" customHeight="1" x14ac:dyDescent="0.3">
      <c r="A84" s="268" t="s">
        <v>52</v>
      </c>
      <c r="B84" s="268"/>
      <c r="C84" s="268"/>
      <c r="D84" s="268"/>
      <c r="E84" s="268"/>
      <c r="F84" s="14"/>
      <c r="G84" s="19"/>
      <c r="H84" s="19"/>
      <c r="I84" s="19"/>
    </row>
    <row r="85" spans="1:13" ht="15" customHeight="1" x14ac:dyDescent="0.3">
      <c r="A85" s="264"/>
      <c r="B85" s="264"/>
      <c r="C85" s="264"/>
      <c r="D85" s="264"/>
      <c r="E85" s="264"/>
      <c r="G85" s="19"/>
      <c r="H85" s="19"/>
      <c r="I85" s="19"/>
    </row>
    <row r="86" spans="1:13" ht="15" customHeight="1" thickBot="1" x14ac:dyDescent="0.35">
      <c r="A86" s="30" t="s">
        <v>10</v>
      </c>
      <c r="B86" s="31" t="s">
        <v>33</v>
      </c>
      <c r="C86" s="31" t="s">
        <v>34</v>
      </c>
      <c r="D86" s="31" t="s">
        <v>57</v>
      </c>
      <c r="E86" s="31" t="s">
        <v>35</v>
      </c>
      <c r="G86" s="19"/>
      <c r="H86" s="19"/>
      <c r="I86" s="19"/>
    </row>
    <row r="87" spans="1:13" ht="15" customHeight="1" x14ac:dyDescent="0.3">
      <c r="G87" s="19"/>
      <c r="H87" s="19"/>
      <c r="I87" s="19"/>
    </row>
    <row r="88" spans="1:13" ht="15" customHeight="1" x14ac:dyDescent="0.3">
      <c r="A88" s="13" t="s">
        <v>62</v>
      </c>
      <c r="B88" s="13">
        <f>'2 T no usar'!E93</f>
        <v>497054069.02999973</v>
      </c>
      <c r="C88" s="13">
        <f>B93</f>
        <v>659820384.02999973</v>
      </c>
      <c r="D88" s="13">
        <f>C93</f>
        <v>286967521.02999973</v>
      </c>
      <c r="E88" s="13">
        <f>+B88</f>
        <v>497054069.02999973</v>
      </c>
      <c r="G88" s="19"/>
      <c r="H88" s="78"/>
      <c r="I88" s="19"/>
    </row>
    <row r="89" spans="1:13" ht="15" customHeight="1" x14ac:dyDescent="0.3">
      <c r="A89" s="13" t="s">
        <v>16</v>
      </c>
      <c r="B89" s="77">
        <v>630820633</v>
      </c>
      <c r="C89" s="77">
        <v>630820633</v>
      </c>
      <c r="D89" s="77">
        <v>630820633</v>
      </c>
      <c r="E89" s="13">
        <f>SUM(B89:D89)</f>
        <v>1892461899</v>
      </c>
      <c r="G89" s="38"/>
      <c r="H89" s="143"/>
      <c r="I89" s="143"/>
      <c r="J89" s="67"/>
      <c r="K89" s="67"/>
      <c r="L89" s="67"/>
      <c r="M89" s="67"/>
    </row>
    <row r="90" spans="1:13" ht="15" customHeight="1" x14ac:dyDescent="0.3">
      <c r="A90" s="1" t="s">
        <v>76</v>
      </c>
      <c r="B90" s="77">
        <v>263450000</v>
      </c>
      <c r="C90" s="77">
        <v>263450000</v>
      </c>
      <c r="D90" s="77">
        <v>263450000</v>
      </c>
      <c r="E90" s="13">
        <f>SUM(B90:D90)</f>
        <v>790350000</v>
      </c>
      <c r="G90" s="38"/>
      <c r="H90" s="143"/>
      <c r="I90" s="143"/>
      <c r="J90" s="67"/>
      <c r="K90" s="67"/>
      <c r="L90" s="67"/>
      <c r="M90" s="67"/>
    </row>
    <row r="91" spans="1:13" ht="15" customHeight="1" x14ac:dyDescent="0.3">
      <c r="A91" s="13" t="s">
        <v>17</v>
      </c>
      <c r="B91" s="13">
        <f>SUM(B88:B90)</f>
        <v>1391324702.0299997</v>
      </c>
      <c r="C91" s="13">
        <f>SUM(C88:C90)</f>
        <v>1554091017.0299997</v>
      </c>
      <c r="D91" s="13">
        <f>SUM(D88:D90)</f>
        <v>1181238154.0299997</v>
      </c>
      <c r="E91" s="13">
        <f>SUM(E88:E90)</f>
        <v>3179865968.0299997</v>
      </c>
      <c r="F91" s="67"/>
      <c r="H91" s="67"/>
      <c r="I91" s="67"/>
      <c r="J91" s="67"/>
      <c r="K91" s="67"/>
      <c r="L91" s="67"/>
      <c r="M91" s="67"/>
    </row>
    <row r="92" spans="1:13" ht="15" customHeight="1" x14ac:dyDescent="0.3">
      <c r="A92" s="13" t="s">
        <v>18</v>
      </c>
      <c r="B92" s="44">
        <f>B59+B60</f>
        <v>731504318</v>
      </c>
      <c r="C92" s="44">
        <f>C59+C60</f>
        <v>1267123496</v>
      </c>
      <c r="D92" s="44">
        <f>D59+D60</f>
        <v>967881882</v>
      </c>
      <c r="E92" s="13">
        <f>SUM(B92:D92)</f>
        <v>2966509696</v>
      </c>
      <c r="F92" s="29"/>
      <c r="H92" s="67"/>
      <c r="I92" s="67"/>
      <c r="J92" s="67"/>
      <c r="K92" s="67"/>
      <c r="L92" s="67"/>
      <c r="M92" s="67"/>
    </row>
    <row r="93" spans="1:13" ht="15" customHeight="1" x14ac:dyDescent="0.3">
      <c r="A93" s="26" t="s">
        <v>19</v>
      </c>
      <c r="B93" s="26">
        <f>+B91-B92</f>
        <v>659820384.02999973</v>
      </c>
      <c r="C93" s="26">
        <f>+C91-C92</f>
        <v>286967521.02999973</v>
      </c>
      <c r="D93" s="26">
        <f>+D91-D92</f>
        <v>213356272.02999973</v>
      </c>
      <c r="E93" s="26">
        <f>+E91-E92</f>
        <v>213356272.02999973</v>
      </c>
      <c r="H93" s="67"/>
      <c r="I93" s="67"/>
      <c r="J93" s="67"/>
      <c r="K93" s="67"/>
      <c r="L93" s="67"/>
      <c r="M93" s="67"/>
    </row>
    <row r="94" spans="1:13" ht="15" customHeight="1" thickBot="1" x14ac:dyDescent="0.35">
      <c r="A94" s="23"/>
      <c r="B94" s="23"/>
      <c r="C94" s="23"/>
      <c r="D94" s="23"/>
      <c r="E94" s="23"/>
    </row>
    <row r="95" spans="1:13" ht="15" customHeight="1" thickTop="1" x14ac:dyDescent="0.3">
      <c r="A95" s="1" t="s">
        <v>71</v>
      </c>
      <c r="G95" s="67"/>
    </row>
    <row r="96" spans="1:13" ht="38.25" customHeight="1" x14ac:dyDescent="0.3">
      <c r="A96" s="1" t="s">
        <v>78</v>
      </c>
    </row>
    <row r="97" spans="1:7" ht="15" customHeight="1" x14ac:dyDescent="0.3">
      <c r="G97" s="67"/>
    </row>
    <row r="98" spans="1:7" ht="15" customHeight="1" x14ac:dyDescent="0.3">
      <c r="D98" s="80"/>
      <c r="G98" s="67"/>
    </row>
    <row r="99" spans="1:7" ht="15" customHeight="1" x14ac:dyDescent="0.3">
      <c r="A99" s="79" t="s">
        <v>87</v>
      </c>
      <c r="D99" s="80"/>
    </row>
    <row r="100" spans="1:7" ht="15" customHeight="1" x14ac:dyDescent="0.3">
      <c r="D100" s="80"/>
    </row>
    <row r="101" spans="1:7" ht="15" customHeight="1" x14ac:dyDescent="0.3">
      <c r="D101" s="80"/>
    </row>
    <row r="102" spans="1:7" ht="15" customHeight="1" x14ac:dyDescent="0.3">
      <c r="D102" s="80"/>
    </row>
    <row r="103" spans="1:7" ht="15" customHeight="1" x14ac:dyDescent="0.3">
      <c r="D103" s="80"/>
    </row>
    <row r="104" spans="1:7" ht="15" customHeight="1" x14ac:dyDescent="0.3">
      <c r="D104" s="80"/>
    </row>
    <row r="105" spans="1:7" ht="15" customHeight="1" x14ac:dyDescent="0.3">
      <c r="D105" s="80"/>
    </row>
    <row r="106" spans="1:7" ht="15" customHeight="1" x14ac:dyDescent="0.3">
      <c r="D106" s="80"/>
    </row>
    <row r="107" spans="1:7" ht="15" customHeight="1" x14ac:dyDescent="0.3">
      <c r="D107" s="80"/>
    </row>
  </sheetData>
  <mergeCells count="24">
    <mergeCell ref="A67:E67"/>
    <mergeCell ref="A68:E68"/>
    <mergeCell ref="A1:F1"/>
    <mergeCell ref="A85:E85"/>
    <mergeCell ref="A54:E54"/>
    <mergeCell ref="A69:E69"/>
    <mergeCell ref="A84:E84"/>
    <mergeCell ref="A13:A15"/>
    <mergeCell ref="A10:F10"/>
    <mergeCell ref="A52:E52"/>
    <mergeCell ref="A53:E53"/>
    <mergeCell ref="A55:E55"/>
    <mergeCell ref="A35:E35"/>
    <mergeCell ref="A82:E82"/>
    <mergeCell ref="A83:E83"/>
    <mergeCell ref="A70:E70"/>
    <mergeCell ref="A33:F33"/>
    <mergeCell ref="A16:A18"/>
    <mergeCell ref="A7:F7"/>
    <mergeCell ref="A34:F34"/>
    <mergeCell ref="A8:F8"/>
    <mergeCell ref="A9:F9"/>
    <mergeCell ref="A32:F32"/>
    <mergeCell ref="A19:A21"/>
  </mergeCells>
  <printOptions horizontalCentered="1" verticalCentered="1"/>
  <pageMargins left="0.70866141732283472" right="1.18" top="0.3" bottom="0.2" header="0.31496062992125984" footer="0.31496062992125984"/>
  <pageSetup scale="4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M99"/>
  <sheetViews>
    <sheetView zoomScale="85" zoomScaleNormal="85" workbookViewId="0">
      <selection activeCell="B22" sqref="B22"/>
    </sheetView>
  </sheetViews>
  <sheetFormatPr baseColWidth="10" defaultColWidth="11.5546875" defaultRowHeight="15" customHeight="1" x14ac:dyDescent="0.3"/>
  <cols>
    <col min="1" max="1" width="65.77734375" style="19" customWidth="1"/>
    <col min="2" max="2" width="24.44140625" style="13" customWidth="1"/>
    <col min="3" max="3" width="15.44140625" style="13" bestFit="1" customWidth="1"/>
    <col min="4" max="5" width="16.77734375" style="13" bestFit="1" customWidth="1"/>
    <col min="6" max="6" width="16.21875" style="13" customWidth="1"/>
    <col min="7" max="7" width="16.77734375" style="13" bestFit="1" customWidth="1"/>
    <col min="8" max="8" width="18.21875" style="13" customWidth="1"/>
    <col min="9" max="9" width="17.5546875" style="13" customWidth="1"/>
    <col min="10" max="10" width="15.21875" style="13" customWidth="1"/>
    <col min="11" max="11" width="12.5546875" style="13" bestFit="1" customWidth="1"/>
    <col min="12" max="12" width="15.21875" style="13" bestFit="1" customWidth="1"/>
    <col min="13" max="16384" width="11.5546875" style="13"/>
  </cols>
  <sheetData>
    <row r="1" spans="1:8" ht="15" customHeight="1" x14ac:dyDescent="0.3">
      <c r="A1" s="265" t="s">
        <v>20</v>
      </c>
      <c r="B1" s="265"/>
      <c r="C1" s="265"/>
      <c r="D1" s="265"/>
      <c r="E1" s="265"/>
      <c r="F1" s="265"/>
    </row>
    <row r="2" spans="1:8" ht="15" customHeight="1" x14ac:dyDescent="0.3">
      <c r="A2" s="3" t="s">
        <v>0</v>
      </c>
      <c r="B2" s="4" t="s">
        <v>22</v>
      </c>
      <c r="C2" s="14"/>
      <c r="D2" s="14"/>
      <c r="E2" s="14"/>
      <c r="F2" s="14"/>
    </row>
    <row r="3" spans="1:8" ht="15" customHeight="1" x14ac:dyDescent="0.3">
      <c r="A3" s="3" t="s">
        <v>1</v>
      </c>
      <c r="B3" s="4" t="s">
        <v>21</v>
      </c>
      <c r="C3" s="14"/>
      <c r="D3" s="14"/>
      <c r="E3" s="14"/>
      <c r="F3" s="14"/>
    </row>
    <row r="4" spans="1:8" ht="15" customHeight="1" x14ac:dyDescent="0.3">
      <c r="A4" s="3" t="s">
        <v>11</v>
      </c>
      <c r="B4" s="14" t="s">
        <v>61</v>
      </c>
      <c r="C4" s="14"/>
      <c r="D4" s="14"/>
      <c r="E4" s="14"/>
      <c r="F4" s="14"/>
    </row>
    <row r="5" spans="1:8" ht="15" customHeight="1" x14ac:dyDescent="0.3">
      <c r="A5" s="3" t="s">
        <v>47</v>
      </c>
      <c r="B5" s="15" t="s">
        <v>90</v>
      </c>
      <c r="C5" s="14"/>
      <c r="D5" s="14"/>
      <c r="E5" s="14"/>
      <c r="F5" s="14"/>
    </row>
    <row r="7" spans="1:8" ht="15" customHeight="1" x14ac:dyDescent="0.3">
      <c r="A7" s="265" t="s">
        <v>9</v>
      </c>
      <c r="B7" s="265"/>
      <c r="C7" s="265"/>
      <c r="D7" s="265"/>
      <c r="E7" s="265"/>
      <c r="F7" s="265"/>
    </row>
    <row r="8" spans="1:8" ht="15" customHeight="1" x14ac:dyDescent="0.3">
      <c r="A8" s="265" t="s">
        <v>12</v>
      </c>
      <c r="B8" s="265"/>
      <c r="C8" s="265"/>
      <c r="D8" s="265"/>
      <c r="E8" s="265"/>
      <c r="F8" s="265"/>
    </row>
    <row r="9" spans="1:8" ht="15" customHeight="1" x14ac:dyDescent="0.3">
      <c r="A9" s="268" t="s">
        <v>50</v>
      </c>
      <c r="B9" s="268"/>
      <c r="C9" s="268"/>
      <c r="D9" s="268"/>
      <c r="E9" s="268"/>
      <c r="F9" s="268"/>
    </row>
    <row r="10" spans="1:8" ht="15" customHeight="1" x14ac:dyDescent="0.3">
      <c r="A10" s="34"/>
      <c r="B10" s="34"/>
      <c r="C10" s="34"/>
      <c r="D10" s="34"/>
      <c r="E10" s="34"/>
      <c r="F10" s="34"/>
    </row>
    <row r="11" spans="1:8" ht="15" customHeight="1" thickBot="1" x14ac:dyDescent="0.35">
      <c r="A11" s="9" t="s">
        <v>64</v>
      </c>
      <c r="B11" s="31"/>
      <c r="C11" s="31" t="s">
        <v>36</v>
      </c>
      <c r="D11" s="31" t="s">
        <v>37</v>
      </c>
      <c r="E11" s="31" t="s">
        <v>38</v>
      </c>
      <c r="F11" s="9" t="s">
        <v>68</v>
      </c>
    </row>
    <row r="12" spans="1:8" ht="15" customHeight="1" x14ac:dyDescent="0.3">
      <c r="H12" s="29"/>
    </row>
    <row r="13" spans="1:8" ht="14.4" x14ac:dyDescent="0.3">
      <c r="A13" s="280" t="s">
        <v>23</v>
      </c>
      <c r="B13" s="124" t="s">
        <v>58</v>
      </c>
      <c r="C13" s="125">
        <f>+('3 T'!E13-'4 T'!C15)+266</f>
        <v>91</v>
      </c>
      <c r="D13" s="125">
        <f>+(C13-D15)+114</f>
        <v>-63</v>
      </c>
      <c r="E13" s="125">
        <f>+(D13-E15)+36</f>
        <v>-361</v>
      </c>
      <c r="F13" s="126">
        <f>E13</f>
        <v>-361</v>
      </c>
      <c r="G13" s="29"/>
    </row>
    <row r="14" spans="1:8" ht="15" customHeight="1" x14ac:dyDescent="0.3">
      <c r="A14" s="280"/>
      <c r="B14" s="124" t="s">
        <v>59</v>
      </c>
      <c r="C14" s="125">
        <v>1445</v>
      </c>
      <c r="D14" s="125">
        <v>1619</v>
      </c>
      <c r="E14" s="125">
        <v>1696</v>
      </c>
      <c r="F14" s="126">
        <f>AVERAGE(C14:E14)</f>
        <v>1586.6666666666667</v>
      </c>
    </row>
    <row r="15" spans="1:8" ht="15" customHeight="1" x14ac:dyDescent="0.3">
      <c r="A15" s="280"/>
      <c r="B15" s="124" t="s">
        <v>60</v>
      </c>
      <c r="C15" s="125">
        <v>499</v>
      </c>
      <c r="D15" s="125">
        <v>268</v>
      </c>
      <c r="E15" s="125">
        <v>334</v>
      </c>
      <c r="F15" s="126">
        <f>AVERAGE(C15:E15)</f>
        <v>367</v>
      </c>
    </row>
    <row r="16" spans="1:8" ht="14.4" x14ac:dyDescent="0.3">
      <c r="A16" s="275" t="s">
        <v>24</v>
      </c>
      <c r="B16" s="104" t="s">
        <v>58</v>
      </c>
      <c r="C16" s="127">
        <f>+('3 T'!E16-'4 T'!C18)+105</f>
        <v>2</v>
      </c>
      <c r="D16" s="127">
        <f>+(C16-D18)+86</f>
        <v>15</v>
      </c>
      <c r="E16" s="127">
        <f>+(D16-E18)</f>
        <v>-103</v>
      </c>
      <c r="F16" s="128">
        <f>E16</f>
        <v>-103</v>
      </c>
      <c r="G16" s="29"/>
    </row>
    <row r="17" spans="1:7" ht="15" customHeight="1" x14ac:dyDescent="0.3">
      <c r="A17" s="275"/>
      <c r="B17" s="104" t="s">
        <v>59</v>
      </c>
      <c r="C17" s="127">
        <v>1168</v>
      </c>
      <c r="D17" s="127">
        <v>1190</v>
      </c>
      <c r="E17" s="127">
        <v>1278</v>
      </c>
      <c r="F17" s="128">
        <f>AVERAGE(C17:E17)</f>
        <v>1212</v>
      </c>
    </row>
    <row r="18" spans="1:7" ht="15" customHeight="1" x14ac:dyDescent="0.3">
      <c r="A18" s="275"/>
      <c r="B18" s="104" t="s">
        <v>60</v>
      </c>
      <c r="C18" s="127">
        <v>57</v>
      </c>
      <c r="D18" s="127">
        <v>73</v>
      </c>
      <c r="E18" s="127">
        <v>118</v>
      </c>
      <c r="F18" s="128">
        <f>AVERAGE(C18:E18)</f>
        <v>82.666666666666671</v>
      </c>
    </row>
    <row r="19" spans="1:7" ht="14.4" x14ac:dyDescent="0.3">
      <c r="A19" s="279" t="s">
        <v>25</v>
      </c>
      <c r="B19" s="124" t="s">
        <v>58</v>
      </c>
      <c r="C19" s="125">
        <f>+('3 T'!E19-'4 T'!C21)+865</f>
        <v>970</v>
      </c>
      <c r="D19" s="125">
        <f>+(C19-D21)+425</f>
        <v>750</v>
      </c>
      <c r="E19" s="125">
        <f>+(D19-E21)-931+731</f>
        <v>-314</v>
      </c>
      <c r="F19" s="126">
        <f>E19</f>
        <v>-314</v>
      </c>
      <c r="G19" s="29"/>
    </row>
    <row r="20" spans="1:7" ht="15" customHeight="1" x14ac:dyDescent="0.3">
      <c r="A20" s="279"/>
      <c r="B20" s="124" t="s">
        <v>59</v>
      </c>
      <c r="C20" s="125">
        <v>10031</v>
      </c>
      <c r="D20" s="125">
        <v>9982</v>
      </c>
      <c r="E20" s="125">
        <v>11777</v>
      </c>
      <c r="F20" s="126">
        <f>AVERAGE(C20:E20)</f>
        <v>10596.666666666666</v>
      </c>
    </row>
    <row r="21" spans="1:7" ht="15" customHeight="1" x14ac:dyDescent="0.3">
      <c r="A21" s="279"/>
      <c r="B21" s="124" t="s">
        <v>60</v>
      </c>
      <c r="C21" s="125">
        <v>2578</v>
      </c>
      <c r="D21" s="125">
        <v>645</v>
      </c>
      <c r="E21" s="125">
        <v>864</v>
      </c>
      <c r="F21" s="129">
        <f>AVERAGE(C21:E21)</f>
        <v>1362.3333333333333</v>
      </c>
    </row>
    <row r="22" spans="1:7" ht="15" customHeight="1" x14ac:dyDescent="0.3">
      <c r="A22" s="130" t="s">
        <v>74</v>
      </c>
      <c r="B22" s="131" t="s">
        <v>58</v>
      </c>
      <c r="C22" s="132">
        <f>+('3 T'!E22-'4 T'!C24)+25</f>
        <v>-372</v>
      </c>
      <c r="D22" s="132">
        <f>+(C22-D24)+114</f>
        <v>-283</v>
      </c>
      <c r="E22" s="132">
        <f>+(D22-E24)+24</f>
        <v>-373</v>
      </c>
      <c r="F22" s="133">
        <f>E22</f>
        <v>-373</v>
      </c>
    </row>
    <row r="23" spans="1:7" ht="15" customHeight="1" x14ac:dyDescent="0.3">
      <c r="A23" s="132"/>
      <c r="B23" s="131" t="s">
        <v>59</v>
      </c>
      <c r="C23" s="132">
        <v>635</v>
      </c>
      <c r="D23" s="132">
        <v>552</v>
      </c>
      <c r="E23" s="132">
        <v>639</v>
      </c>
      <c r="F23" s="134">
        <f>AVERAGE(C23:E23)</f>
        <v>608.66666666666663</v>
      </c>
    </row>
    <row r="24" spans="1:7" ht="15" customHeight="1" x14ac:dyDescent="0.3">
      <c r="A24" s="132"/>
      <c r="B24" s="131" t="s">
        <v>60</v>
      </c>
      <c r="C24" s="132">
        <v>23</v>
      </c>
      <c r="D24" s="132">
        <v>25</v>
      </c>
      <c r="E24" s="132">
        <v>114</v>
      </c>
      <c r="F24" s="134">
        <f>AVERAGE(C24:E24)</f>
        <v>54</v>
      </c>
    </row>
    <row r="25" spans="1:7" ht="15" customHeight="1" x14ac:dyDescent="0.3">
      <c r="A25" s="58"/>
      <c r="B25" s="8"/>
      <c r="C25"/>
      <c r="D25"/>
      <c r="E25"/>
    </row>
    <row r="27" spans="1:7" ht="15" customHeight="1" thickBot="1" x14ac:dyDescent="0.35">
      <c r="A27" s="22" t="s">
        <v>13</v>
      </c>
      <c r="B27" s="23" t="s">
        <v>51</v>
      </c>
      <c r="C27" s="23">
        <f>+C14+C15+C17+C18+C20+C21+C23+C24</f>
        <v>16436</v>
      </c>
      <c r="D27" s="23">
        <f>+D14+D15+D17+D18+D20+D21+D23+D24</f>
        <v>14354</v>
      </c>
      <c r="E27" s="23">
        <f>+E14+E15+E17+E18+E20+E21+E23+E24</f>
        <v>16820</v>
      </c>
      <c r="F27" s="23">
        <f>AVERAGE(C27:E27)</f>
        <v>15870</v>
      </c>
    </row>
    <row r="28" spans="1:7" ht="15" customHeight="1" thickTop="1" x14ac:dyDescent="0.3">
      <c r="A28" s="41" t="s">
        <v>65</v>
      </c>
      <c r="B28" s="26"/>
      <c r="C28" s="26"/>
      <c r="D28" s="26"/>
      <c r="E28" s="26"/>
      <c r="F28" s="26"/>
    </row>
    <row r="29" spans="1:7" ht="15" customHeight="1" x14ac:dyDescent="0.3">
      <c r="A29" s="1" t="s">
        <v>73</v>
      </c>
    </row>
    <row r="30" spans="1:7" ht="15" customHeight="1" x14ac:dyDescent="0.3">
      <c r="A30" s="1"/>
    </row>
    <row r="32" spans="1:7" ht="15" customHeight="1" x14ac:dyDescent="0.3">
      <c r="A32" s="268" t="s">
        <v>14</v>
      </c>
      <c r="B32" s="268"/>
      <c r="C32" s="268"/>
      <c r="D32" s="268"/>
      <c r="E32" s="268"/>
      <c r="F32" s="268"/>
    </row>
    <row r="33" spans="1:10" ht="15" customHeight="1" x14ac:dyDescent="0.3">
      <c r="A33" s="265" t="s">
        <v>31</v>
      </c>
      <c r="B33" s="265"/>
      <c r="C33" s="265"/>
      <c r="D33" s="265"/>
      <c r="E33" s="265"/>
      <c r="F33" s="265"/>
    </row>
    <row r="34" spans="1:10" ht="15" customHeight="1" x14ac:dyDescent="0.3">
      <c r="A34" s="268" t="s">
        <v>52</v>
      </c>
      <c r="B34" s="268"/>
      <c r="C34" s="268"/>
      <c r="D34" s="268"/>
      <c r="E34" s="268"/>
      <c r="F34" s="268"/>
    </row>
    <row r="35" spans="1:10" ht="15" customHeight="1" x14ac:dyDescent="0.3">
      <c r="A35" s="264"/>
      <c r="B35" s="264"/>
      <c r="C35" s="264"/>
      <c r="D35" s="264"/>
      <c r="E35" s="264"/>
    </row>
    <row r="36" spans="1:10" ht="15" customHeight="1" thickBot="1" x14ac:dyDescent="0.35">
      <c r="A36" s="9" t="s">
        <v>64</v>
      </c>
      <c r="B36" s="17"/>
      <c r="C36" s="17" t="s">
        <v>36</v>
      </c>
      <c r="D36" s="17" t="s">
        <v>37</v>
      </c>
      <c r="E36" s="17" t="s">
        <v>38</v>
      </c>
      <c r="F36" s="17" t="s">
        <v>39</v>
      </c>
      <c r="H36" s="144"/>
    </row>
    <row r="38" spans="1:10" ht="15" customHeight="1" x14ac:dyDescent="0.3">
      <c r="A38" s="138" t="s">
        <v>23</v>
      </c>
      <c r="B38" s="139" t="s">
        <v>56</v>
      </c>
      <c r="C38" s="141">
        <v>253582069</v>
      </c>
      <c r="D38" s="141">
        <v>283288931</v>
      </c>
      <c r="E38" s="141">
        <v>378978776</v>
      </c>
      <c r="F38" s="139">
        <f t="shared" ref="F38:F45" si="0">SUM(C38:E38)</f>
        <v>915849776</v>
      </c>
      <c r="G38" s="67"/>
    </row>
    <row r="39" spans="1:10" ht="15" customHeight="1" x14ac:dyDescent="0.3">
      <c r="A39" s="138"/>
      <c r="B39" s="139" t="s">
        <v>55</v>
      </c>
      <c r="C39" s="141">
        <v>148892224</v>
      </c>
      <c r="D39" s="141">
        <v>45991949</v>
      </c>
      <c r="E39" s="141">
        <v>61561208</v>
      </c>
      <c r="F39" s="139">
        <f t="shared" si="0"/>
        <v>256445381</v>
      </c>
      <c r="G39" s="67"/>
    </row>
    <row r="40" spans="1:10" ht="15" customHeight="1" x14ac:dyDescent="0.3">
      <c r="A40" s="107" t="s">
        <v>24</v>
      </c>
      <c r="B40" s="108" t="s">
        <v>56</v>
      </c>
      <c r="C40" s="142">
        <v>83393030</v>
      </c>
      <c r="D40" s="142">
        <v>84967834</v>
      </c>
      <c r="E40" s="142">
        <v>120055900.61</v>
      </c>
      <c r="F40" s="108">
        <f t="shared" si="0"/>
        <v>288416764.61000001</v>
      </c>
      <c r="G40" s="67"/>
    </row>
    <row r="41" spans="1:10" ht="15" customHeight="1" x14ac:dyDescent="0.3">
      <c r="A41" s="107"/>
      <c r="B41" s="108" t="s">
        <v>55</v>
      </c>
      <c r="C41" s="142">
        <v>33715122</v>
      </c>
      <c r="D41" s="142">
        <v>5225486</v>
      </c>
      <c r="E41" s="142">
        <v>7730856</v>
      </c>
      <c r="F41" s="108">
        <f t="shared" si="0"/>
        <v>46671464</v>
      </c>
      <c r="G41" s="67"/>
      <c r="H41" s="67" t="s">
        <v>91</v>
      </c>
      <c r="I41" s="13">
        <f>+E42-I42</f>
        <v>1252910009.8</v>
      </c>
    </row>
    <row r="42" spans="1:10" ht="15" customHeight="1" x14ac:dyDescent="0.3">
      <c r="A42" s="138" t="s">
        <v>25</v>
      </c>
      <c r="B42" s="139" t="s">
        <v>56</v>
      </c>
      <c r="C42" s="140">
        <v>595576456</v>
      </c>
      <c r="D42" s="140">
        <v>620235825</v>
      </c>
      <c r="E42" s="168">
        <v>1303653874.7</v>
      </c>
      <c r="F42" s="139">
        <f t="shared" si="0"/>
        <v>2519466155.6999998</v>
      </c>
      <c r="H42" s="166" t="s">
        <v>92</v>
      </c>
      <c r="I42" s="167">
        <v>50743864.899999999</v>
      </c>
      <c r="J42" s="67"/>
    </row>
    <row r="43" spans="1:10" ht="15" customHeight="1" x14ac:dyDescent="0.3">
      <c r="A43" s="138"/>
      <c r="B43" s="139" t="s">
        <v>55</v>
      </c>
      <c r="C43" s="140">
        <v>292043708</v>
      </c>
      <c r="D43" s="140">
        <v>46083130</v>
      </c>
      <c r="E43" s="140">
        <v>81223761</v>
      </c>
      <c r="F43" s="139">
        <f t="shared" si="0"/>
        <v>419350599</v>
      </c>
      <c r="H43" s="67" t="s">
        <v>13</v>
      </c>
      <c r="I43" s="13">
        <f>+I41+I42</f>
        <v>1303653874.7</v>
      </c>
    </row>
    <row r="44" spans="1:10" ht="15" customHeight="1" x14ac:dyDescent="0.3">
      <c r="A44" s="136" t="s">
        <v>74</v>
      </c>
      <c r="B44" s="135" t="s">
        <v>56</v>
      </c>
      <c r="C44" s="135">
        <v>230400000</v>
      </c>
      <c r="D44" s="135">
        <v>206050000</v>
      </c>
      <c r="E44" s="135">
        <v>561306000</v>
      </c>
      <c r="F44" s="133">
        <f t="shared" si="0"/>
        <v>997756000</v>
      </c>
      <c r="H44" s="67"/>
    </row>
    <row r="45" spans="1:10" ht="15" customHeight="1" x14ac:dyDescent="0.3">
      <c r="A45" s="136"/>
      <c r="B45" s="135" t="s">
        <v>55</v>
      </c>
      <c r="C45" s="137">
        <v>8650000</v>
      </c>
      <c r="D45" s="133">
        <v>11550000</v>
      </c>
      <c r="E45" s="133">
        <v>44550000</v>
      </c>
      <c r="F45" s="133">
        <f t="shared" si="0"/>
        <v>64750000</v>
      </c>
      <c r="H45" s="67"/>
    </row>
    <row r="46" spans="1:10" ht="15" customHeight="1" thickBot="1" x14ac:dyDescent="0.35">
      <c r="A46" s="22" t="s">
        <v>13</v>
      </c>
      <c r="B46" s="23"/>
      <c r="C46" s="23">
        <f>SUM(C38:C45)</f>
        <v>1646252609</v>
      </c>
      <c r="D46" s="23">
        <f>SUM(D38:D45)</f>
        <v>1303393155</v>
      </c>
      <c r="E46" s="23">
        <f>SUM(E38:E45)</f>
        <v>2559060376.3099999</v>
      </c>
      <c r="F46" s="23">
        <f>SUM(F38:F45)</f>
        <v>5508706140.3099995</v>
      </c>
      <c r="H46" s="67"/>
    </row>
    <row r="47" spans="1:10" ht="15" customHeight="1" thickTop="1" x14ac:dyDescent="0.3">
      <c r="A47" s="25" t="s">
        <v>63</v>
      </c>
    </row>
    <row r="48" spans="1:10" ht="15" customHeight="1" x14ac:dyDescent="0.3">
      <c r="A48" s="1" t="s">
        <v>71</v>
      </c>
    </row>
    <row r="49" spans="1:5" ht="15" customHeight="1" x14ac:dyDescent="0.3">
      <c r="A49" s="1"/>
    </row>
    <row r="50" spans="1:5" ht="15" customHeight="1" x14ac:dyDescent="0.3">
      <c r="A50" s="1"/>
    </row>
    <row r="52" spans="1:5" ht="15" customHeight="1" x14ac:dyDescent="0.3">
      <c r="A52" s="265" t="s">
        <v>15</v>
      </c>
      <c r="B52" s="265"/>
      <c r="C52" s="265"/>
      <c r="D52" s="265"/>
      <c r="E52" s="265"/>
    </row>
    <row r="53" spans="1:5" ht="15" customHeight="1" x14ac:dyDescent="0.3">
      <c r="A53" s="265" t="s">
        <v>32</v>
      </c>
      <c r="B53" s="265"/>
      <c r="C53" s="265"/>
      <c r="D53" s="265"/>
      <c r="E53" s="265"/>
    </row>
    <row r="54" spans="1:5" ht="15" customHeight="1" x14ac:dyDescent="0.3">
      <c r="A54" s="268" t="s">
        <v>52</v>
      </c>
      <c r="B54" s="268"/>
      <c r="C54" s="268"/>
      <c r="D54" s="268"/>
      <c r="E54" s="268"/>
    </row>
    <row r="55" spans="1:5" ht="15" customHeight="1" x14ac:dyDescent="0.3">
      <c r="A55" s="264"/>
      <c r="B55" s="264"/>
      <c r="C55" s="264"/>
      <c r="D55" s="264"/>
      <c r="E55" s="264"/>
    </row>
    <row r="56" spans="1:5" ht="15" customHeight="1" thickBot="1" x14ac:dyDescent="0.35">
      <c r="A56" s="30" t="s">
        <v>10</v>
      </c>
      <c r="B56" s="31" t="s">
        <v>36</v>
      </c>
      <c r="C56" s="31" t="s">
        <v>37</v>
      </c>
      <c r="D56" s="31" t="s">
        <v>38</v>
      </c>
      <c r="E56" s="31" t="s">
        <v>39</v>
      </c>
    </row>
    <row r="58" spans="1:5" ht="15" customHeight="1" x14ac:dyDescent="0.3">
      <c r="A58" s="19" t="s">
        <v>26</v>
      </c>
      <c r="B58" s="38">
        <f>SUM(C38:C41)</f>
        <v>519582445</v>
      </c>
      <c r="C58" s="38">
        <f t="shared" ref="C58:D58" si="1">SUM(D38:D41)</f>
        <v>419474200</v>
      </c>
      <c r="D58" s="38">
        <f t="shared" si="1"/>
        <v>568326740.61000001</v>
      </c>
      <c r="E58" s="13">
        <f>SUM(B58:D58)</f>
        <v>1507383385.6100001</v>
      </c>
    </row>
    <row r="59" spans="1:5" ht="15" customHeight="1" x14ac:dyDescent="0.3">
      <c r="A59" s="19" t="s">
        <v>43</v>
      </c>
      <c r="B59" s="38">
        <f>SUM(C42:C43)</f>
        <v>887620164</v>
      </c>
      <c r="C59" s="38">
        <f t="shared" ref="C59:D59" si="2">SUM(D42:D43)</f>
        <v>666318955</v>
      </c>
      <c r="D59" s="38">
        <f t="shared" si="2"/>
        <v>1384877635.7</v>
      </c>
      <c r="E59" s="13">
        <f>SUM(B59:D59)</f>
        <v>2938816754.6999998</v>
      </c>
    </row>
    <row r="60" spans="1:5" ht="15" customHeight="1" x14ac:dyDescent="0.3">
      <c r="A60" s="1" t="s">
        <v>75</v>
      </c>
      <c r="B60" s="38">
        <f>SUM(C44:C45)</f>
        <v>239050000</v>
      </c>
      <c r="C60" s="38">
        <f t="shared" ref="C60:D60" si="3">SUM(D44:D45)</f>
        <v>217600000</v>
      </c>
      <c r="D60" s="38">
        <f t="shared" si="3"/>
        <v>605856000</v>
      </c>
      <c r="E60" s="13">
        <f>SUM(B60:D60)</f>
        <v>1062506000</v>
      </c>
    </row>
    <row r="61" spans="1:5" ht="15" customHeight="1" x14ac:dyDescent="0.3">
      <c r="A61" s="19" t="s">
        <v>7</v>
      </c>
      <c r="B61"/>
      <c r="C61"/>
      <c r="D61"/>
      <c r="E61" s="13">
        <f>SUM(B61:D61)</f>
        <v>0</v>
      </c>
    </row>
    <row r="62" spans="1:5" ht="15" customHeight="1" x14ac:dyDescent="0.3">
      <c r="A62" s="19" t="s">
        <v>8</v>
      </c>
      <c r="B62"/>
      <c r="C62"/>
      <c r="D62"/>
      <c r="E62" s="13">
        <f>SUM(B62:D62)</f>
        <v>0</v>
      </c>
    </row>
    <row r="63" spans="1:5" ht="15" customHeight="1" thickBot="1" x14ac:dyDescent="0.35">
      <c r="A63" s="22" t="s">
        <v>13</v>
      </c>
      <c r="B63" s="23">
        <f>SUM(B58:B62)</f>
        <v>1646252609</v>
      </c>
      <c r="C63" s="23">
        <f>SUM(C58:C62)</f>
        <v>1303393155</v>
      </c>
      <c r="D63" s="23">
        <f>SUM(D58:D62)</f>
        <v>2559060376.3099999</v>
      </c>
      <c r="E63" s="23">
        <f>SUM(E58:E62)</f>
        <v>5508706140.3099995</v>
      </c>
    </row>
    <row r="64" spans="1:5" ht="15" customHeight="1" thickTop="1" x14ac:dyDescent="0.3">
      <c r="A64" s="1" t="s">
        <v>71</v>
      </c>
    </row>
    <row r="65" spans="1:8" ht="15" customHeight="1" x14ac:dyDescent="0.3">
      <c r="A65" s="1"/>
    </row>
    <row r="67" spans="1:8" ht="15" customHeight="1" x14ac:dyDescent="0.3">
      <c r="A67" s="265" t="s">
        <v>44</v>
      </c>
      <c r="B67" s="265"/>
      <c r="C67" s="265"/>
      <c r="D67" s="265"/>
      <c r="E67" s="265"/>
    </row>
    <row r="68" spans="1:8" ht="15" customHeight="1" x14ac:dyDescent="0.3">
      <c r="A68" s="260" t="s">
        <v>77</v>
      </c>
      <c r="B68" s="260"/>
      <c r="C68" s="260"/>
      <c r="D68" s="260"/>
      <c r="E68" s="260"/>
    </row>
    <row r="69" spans="1:8" ht="15" customHeight="1" x14ac:dyDescent="0.3">
      <c r="A69" s="268" t="s">
        <v>52</v>
      </c>
      <c r="B69" s="268"/>
      <c r="C69" s="268"/>
      <c r="D69" s="268"/>
      <c r="E69" s="268"/>
    </row>
    <row r="70" spans="1:8" ht="15" customHeight="1" x14ac:dyDescent="0.3">
      <c r="A70" s="264"/>
      <c r="B70" s="264"/>
      <c r="C70" s="264"/>
      <c r="D70" s="264"/>
      <c r="E70" s="264"/>
    </row>
    <row r="71" spans="1:8" ht="15" customHeight="1" thickBot="1" x14ac:dyDescent="0.35">
      <c r="A71" s="30" t="s">
        <v>10</v>
      </c>
      <c r="B71" s="31" t="s">
        <v>36</v>
      </c>
      <c r="C71" s="31" t="s">
        <v>37</v>
      </c>
      <c r="D71" s="31" t="s">
        <v>38</v>
      </c>
      <c r="E71" s="31" t="s">
        <v>39</v>
      </c>
    </row>
    <row r="73" spans="1:8" ht="15" customHeight="1" x14ac:dyDescent="0.3">
      <c r="A73" s="13" t="s">
        <v>62</v>
      </c>
      <c r="B73" s="19">
        <f>'3 T'!E77</f>
        <v>182285201</v>
      </c>
      <c r="C73" s="19">
        <f>B77</f>
        <v>85004423</v>
      </c>
      <c r="D73" s="19">
        <f>C77</f>
        <v>87831890</v>
      </c>
      <c r="E73" s="13">
        <f>+B73</f>
        <v>182285201</v>
      </c>
    </row>
    <row r="74" spans="1:8" ht="15" customHeight="1" x14ac:dyDescent="0.3">
      <c r="A74" s="13" t="s">
        <v>16</v>
      </c>
      <c r="B74" s="52">
        <v>422301667</v>
      </c>
      <c r="C74" s="52">
        <v>422301667</v>
      </c>
      <c r="D74" s="52">
        <f>422301667+1155427.38</f>
        <v>423457094.38</v>
      </c>
      <c r="E74" s="13">
        <f>SUM(B74:D74)</f>
        <v>1268060428.3800001</v>
      </c>
    </row>
    <row r="75" spans="1:8" ht="15" customHeight="1" x14ac:dyDescent="0.3">
      <c r="A75" s="13" t="s">
        <v>17</v>
      </c>
      <c r="B75" s="13">
        <f>B73+B74</f>
        <v>604586868</v>
      </c>
      <c r="C75" s="13">
        <f>C73+C74</f>
        <v>507306090</v>
      </c>
      <c r="D75" s="13">
        <f>D73+D74</f>
        <v>511288984.38</v>
      </c>
      <c r="E75" s="13">
        <f>+E73+E74</f>
        <v>1450345629.3800001</v>
      </c>
    </row>
    <row r="76" spans="1:8" ht="15" customHeight="1" x14ac:dyDescent="0.3">
      <c r="A76" s="13" t="s">
        <v>18</v>
      </c>
      <c r="B76" s="44">
        <f>B58</f>
        <v>519582445</v>
      </c>
      <c r="C76" s="44">
        <f>C58</f>
        <v>419474200</v>
      </c>
      <c r="D76" s="44">
        <f>D58</f>
        <v>568326740.61000001</v>
      </c>
      <c r="E76" s="19">
        <f>SUM(B76:D76)</f>
        <v>1507383385.6100001</v>
      </c>
      <c r="G76" s="67"/>
      <c r="H76" s="67"/>
    </row>
    <row r="77" spans="1:8" ht="15" customHeight="1" x14ac:dyDescent="0.3">
      <c r="A77" s="26" t="s">
        <v>19</v>
      </c>
      <c r="B77" s="26">
        <f>+B75-B76</f>
        <v>85004423</v>
      </c>
      <c r="C77" s="26">
        <f>+C75-C76</f>
        <v>87831890</v>
      </c>
      <c r="D77" s="25">
        <f>+D75-D76</f>
        <v>-57037756.230000019</v>
      </c>
      <c r="E77" s="43">
        <f>+E75-E76</f>
        <v>-57037756.230000019</v>
      </c>
      <c r="G77" s="67"/>
      <c r="H77" s="67"/>
    </row>
    <row r="78" spans="1:8" ht="15" customHeight="1" thickBot="1" x14ac:dyDescent="0.35">
      <c r="A78" s="23"/>
      <c r="B78" s="23"/>
      <c r="C78" s="23"/>
      <c r="D78" s="23"/>
      <c r="E78" s="23"/>
      <c r="F78" s="67"/>
      <c r="G78" s="67"/>
      <c r="H78" s="67"/>
    </row>
    <row r="79" spans="1:8" ht="15" customHeight="1" thickTop="1" x14ac:dyDescent="0.3">
      <c r="A79" s="1" t="s">
        <v>71</v>
      </c>
      <c r="F79" s="67"/>
      <c r="G79" s="67"/>
      <c r="H79" s="67"/>
    </row>
    <row r="80" spans="1:8" ht="15" customHeight="1" x14ac:dyDescent="0.3">
      <c r="A80" s="1"/>
      <c r="F80" s="67"/>
      <c r="G80" s="67"/>
      <c r="H80" s="67"/>
    </row>
    <row r="81" spans="1:13" ht="15" customHeight="1" x14ac:dyDescent="0.3">
      <c r="A81" s="13"/>
    </row>
    <row r="82" spans="1:13" ht="15" customHeight="1" x14ac:dyDescent="0.3">
      <c r="A82" s="265" t="s">
        <v>45</v>
      </c>
      <c r="B82" s="265"/>
      <c r="C82" s="265"/>
      <c r="D82" s="265"/>
      <c r="E82" s="265"/>
      <c r="F82" s="14" t="s">
        <v>54</v>
      </c>
    </row>
    <row r="83" spans="1:13" ht="15" customHeight="1" x14ac:dyDescent="0.3">
      <c r="A83" s="265" t="s">
        <v>49</v>
      </c>
      <c r="B83" s="265"/>
      <c r="C83" s="265"/>
      <c r="D83" s="265"/>
      <c r="E83" s="265"/>
      <c r="F83" s="14">
        <f>E74+E89+E90</f>
        <v>4682462913.1700001</v>
      </c>
    </row>
    <row r="84" spans="1:13" ht="15" customHeight="1" x14ac:dyDescent="0.3">
      <c r="A84" s="268" t="s">
        <v>52</v>
      </c>
      <c r="B84" s="268"/>
      <c r="C84" s="268"/>
      <c r="D84" s="268"/>
      <c r="E84" s="268"/>
      <c r="F84" s="14"/>
    </row>
    <row r="85" spans="1:13" ht="15" customHeight="1" x14ac:dyDescent="0.3">
      <c r="A85" s="264"/>
      <c r="B85" s="264"/>
      <c r="C85" s="264"/>
      <c r="D85" s="264"/>
      <c r="E85" s="264"/>
    </row>
    <row r="86" spans="1:13" ht="15" customHeight="1" thickBot="1" x14ac:dyDescent="0.35">
      <c r="A86" s="30" t="s">
        <v>10</v>
      </c>
      <c r="B86" s="31" t="s">
        <v>36</v>
      </c>
      <c r="C86" s="31" t="s">
        <v>37</v>
      </c>
      <c r="D86" s="31" t="s">
        <v>38</v>
      </c>
      <c r="E86" s="31" t="s">
        <v>39</v>
      </c>
    </row>
    <row r="88" spans="1:13" ht="15" customHeight="1" x14ac:dyDescent="0.3">
      <c r="A88" s="13" t="s">
        <v>62</v>
      </c>
      <c r="B88" s="19">
        <f>'3 T'!E93</f>
        <v>213356272.02999973</v>
      </c>
      <c r="C88" s="19">
        <f>B93</f>
        <v>-19043258.970000267</v>
      </c>
      <c r="D88" s="19">
        <f>C93</f>
        <v>-8691580.970000267</v>
      </c>
      <c r="E88" s="13">
        <f>+B88</f>
        <v>213356272.02999973</v>
      </c>
    </row>
    <row r="89" spans="1:13" ht="15" customHeight="1" x14ac:dyDescent="0.3">
      <c r="A89" s="80" t="s">
        <v>85</v>
      </c>
      <c r="B89" s="52">
        <v>630820633</v>
      </c>
      <c r="C89" s="52">
        <v>630820633</v>
      </c>
      <c r="D89" s="165">
        <f>630820633+(472036858.8+33044608.44)+50743864.9+60306010.98</f>
        <v>1246951976.1200001</v>
      </c>
      <c r="E89" s="13">
        <f>SUM(B89:D89)</f>
        <v>2508593242.1199999</v>
      </c>
      <c r="G89" s="13" t="s">
        <v>91</v>
      </c>
      <c r="H89" s="13">
        <f>+D89-H90</f>
        <v>1196208111.22</v>
      </c>
    </row>
    <row r="90" spans="1:13" ht="15" customHeight="1" x14ac:dyDescent="0.3">
      <c r="A90" s="1" t="s">
        <v>76</v>
      </c>
      <c r="B90" s="52">
        <v>263450000</v>
      </c>
      <c r="C90" s="52">
        <v>263450000</v>
      </c>
      <c r="D90" s="52">
        <f>263450000+115456000+3242.67</f>
        <v>378909242.67000002</v>
      </c>
      <c r="E90" s="13">
        <f>SUM(B90:D90)</f>
        <v>905809242.67000008</v>
      </c>
      <c r="F90" s="67"/>
      <c r="G90" s="169" t="s">
        <v>93</v>
      </c>
      <c r="H90" s="170">
        <v>50743864.899999999</v>
      </c>
      <c r="M90" s="80"/>
    </row>
    <row r="91" spans="1:13" ht="15" customHeight="1" x14ac:dyDescent="0.3">
      <c r="A91" s="13" t="s">
        <v>17</v>
      </c>
      <c r="B91" s="13">
        <f>SUM(B88:B90)</f>
        <v>1107626905.0299997</v>
      </c>
      <c r="C91" s="13">
        <f>SUM(C88:C90)</f>
        <v>875227374.02999973</v>
      </c>
      <c r="D91" s="13">
        <f>SUM(D88:D90)</f>
        <v>1617169637.8199999</v>
      </c>
      <c r="E91" s="13">
        <f>SUM(E88:E90)</f>
        <v>3627758756.8199997</v>
      </c>
      <c r="G91" s="67" t="s">
        <v>13</v>
      </c>
      <c r="H91" s="13">
        <f>+H89+H90</f>
        <v>1246951976.1200001</v>
      </c>
    </row>
    <row r="92" spans="1:13" ht="15" customHeight="1" x14ac:dyDescent="0.3">
      <c r="A92" s="13" t="s">
        <v>18</v>
      </c>
      <c r="B92" s="44">
        <f>B59+B60</f>
        <v>1126670164</v>
      </c>
      <c r="C92" s="44">
        <f>C59+C60</f>
        <v>883918955</v>
      </c>
      <c r="D92" s="44">
        <f>D59+D60</f>
        <v>1990733635.7</v>
      </c>
      <c r="E92" s="19">
        <f>SUM(B92:D92)</f>
        <v>4001322754.6999998</v>
      </c>
      <c r="F92" s="29"/>
      <c r="G92" s="67"/>
    </row>
    <row r="93" spans="1:13" ht="15" customHeight="1" x14ac:dyDescent="0.3">
      <c r="A93" s="26" t="s">
        <v>19</v>
      </c>
      <c r="B93" s="26">
        <f>+B91-B92</f>
        <v>-19043258.970000267</v>
      </c>
      <c r="C93" s="26">
        <f>+C91-C92</f>
        <v>-8691580.970000267</v>
      </c>
      <c r="D93" s="25">
        <f>+D91-D92</f>
        <v>-373563997.88000011</v>
      </c>
      <c r="E93" s="43">
        <f>+E91-E92</f>
        <v>-373563997.88000011</v>
      </c>
      <c r="F93" s="29"/>
      <c r="G93" s="67"/>
    </row>
    <row r="94" spans="1:13" ht="15" customHeight="1" thickBot="1" x14ac:dyDescent="0.35">
      <c r="A94" s="23"/>
      <c r="B94" s="23"/>
      <c r="C94" s="23"/>
      <c r="D94" s="23"/>
      <c r="E94" s="23"/>
      <c r="F94" s="29"/>
      <c r="G94" s="67"/>
    </row>
    <row r="95" spans="1:13" ht="15" customHeight="1" thickTop="1" x14ac:dyDescent="0.3">
      <c r="A95" s="1" t="s">
        <v>71</v>
      </c>
      <c r="F95" s="29"/>
    </row>
    <row r="96" spans="1:13" ht="28.8" x14ac:dyDescent="0.3">
      <c r="A96" s="1" t="s">
        <v>78</v>
      </c>
      <c r="E96" s="67"/>
      <c r="F96" s="29"/>
    </row>
    <row r="97" spans="1:12" ht="15" customHeight="1" x14ac:dyDescent="0.3">
      <c r="E97" s="67"/>
      <c r="F97" s="29"/>
      <c r="L97" s="67"/>
    </row>
    <row r="98" spans="1:12" ht="15" customHeight="1" x14ac:dyDescent="0.3">
      <c r="A98" s="79" t="s">
        <v>88</v>
      </c>
      <c r="E98" s="67"/>
      <c r="F98" s="29"/>
    </row>
    <row r="99" spans="1:12" ht="17.25" customHeight="1" x14ac:dyDescent="0.3"/>
  </sheetData>
  <mergeCells count="23">
    <mergeCell ref="A85:E85"/>
    <mergeCell ref="A52:E52"/>
    <mergeCell ref="A53:E53"/>
    <mergeCell ref="A55:E55"/>
    <mergeCell ref="A67:E67"/>
    <mergeCell ref="A68:E68"/>
    <mergeCell ref="A70:E70"/>
    <mergeCell ref="A84:E84"/>
    <mergeCell ref="A35:E35"/>
    <mergeCell ref="A1:F1"/>
    <mergeCell ref="A82:E82"/>
    <mergeCell ref="A83:E83"/>
    <mergeCell ref="A7:F7"/>
    <mergeCell ref="A8:F8"/>
    <mergeCell ref="A9:F9"/>
    <mergeCell ref="A19:A21"/>
    <mergeCell ref="A16:A18"/>
    <mergeCell ref="A13:A15"/>
    <mergeCell ref="A34:F34"/>
    <mergeCell ref="A33:F33"/>
    <mergeCell ref="A32:F32"/>
    <mergeCell ref="A54:E54"/>
    <mergeCell ref="A69:E69"/>
  </mergeCells>
  <printOptions horizontalCentered="1" verticalCentered="1"/>
  <pageMargins left="0.70866141732283472" right="1.18" top="0.3" bottom="0.2" header="0.31496062992125984" footer="0.31496062992125984"/>
  <pageSetup scale="3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 T</vt:lpstr>
      <vt:lpstr>II T</vt:lpstr>
      <vt:lpstr>III T</vt:lpstr>
      <vt:lpstr>IV T</vt:lpstr>
      <vt:lpstr>I semestre</vt:lpstr>
      <vt:lpstr>Anual</vt:lpstr>
      <vt:lpstr>2 T no usar</vt:lpstr>
      <vt:lpstr>3 T</vt:lpstr>
      <vt:lpstr>4 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Stephanie Tatiana Salas Soto</cp:lastModifiedBy>
  <cp:lastPrinted>2018-04-05T14:15:43Z</cp:lastPrinted>
  <dcterms:created xsi:type="dcterms:W3CDTF">2011-03-10T14:40:05Z</dcterms:created>
  <dcterms:modified xsi:type="dcterms:W3CDTF">2026-01-03T14:07:04Z</dcterms:modified>
</cp:coreProperties>
</file>