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Informes Trimestrales\"/>
    </mc:Choice>
  </mc:AlternateContent>
  <bookViews>
    <workbookView xWindow="0" yWindow="0" windowWidth="10170" windowHeight="7680" tabRatio="698"/>
  </bookViews>
  <sheets>
    <sheet name="I T" sheetId="1" r:id="rId1"/>
    <sheet name="II T" sheetId="16" r:id="rId2"/>
    <sheet name="III T" sheetId="17" r:id="rId3"/>
    <sheet name="IV T" sheetId="18" r:id="rId4"/>
    <sheet name="I semestre" sheetId="12" r:id="rId5"/>
    <sheet name="Anual" sheetId="10" r:id="rId6"/>
    <sheet name="2 T no usar" sheetId="3" state="hidden" r:id="rId7"/>
    <sheet name="3 T" sheetId="6" state="hidden" r:id="rId8"/>
    <sheet name="4 T" sheetId="8" state="hidden" r:id="rId9"/>
  </sheets>
  <calcPr calcId="162913"/>
</workbook>
</file>

<file path=xl/calcChain.xml><?xml version="1.0" encoding="utf-8"?>
<calcChain xmlns="http://schemas.openxmlformats.org/spreadsheetml/2006/main">
  <c r="D148" i="18" l="1"/>
  <c r="D146" i="18"/>
  <c r="B145" i="10" l="1"/>
  <c r="H83" i="10" s="1"/>
  <c r="H78" i="10"/>
  <c r="H76" i="10"/>
  <c r="J89" i="10" l="1"/>
  <c r="J91" i="10" s="1"/>
  <c r="B133" i="10"/>
  <c r="B131" i="10"/>
  <c r="D119" i="10"/>
  <c r="E119" i="10"/>
  <c r="D120" i="10"/>
  <c r="E120" i="10"/>
  <c r="D121" i="10"/>
  <c r="E121" i="10"/>
  <c r="D122" i="10"/>
  <c r="E122" i="10"/>
  <c r="E118" i="10"/>
  <c r="D118" i="10"/>
  <c r="C119" i="10"/>
  <c r="C120" i="10"/>
  <c r="C121" i="10"/>
  <c r="C122" i="10"/>
  <c r="C118" i="10"/>
  <c r="B119" i="10"/>
  <c r="B120" i="10"/>
  <c r="B121" i="10"/>
  <c r="F121" i="10" s="1"/>
  <c r="B122" i="10"/>
  <c r="B118" i="10"/>
  <c r="E107" i="10"/>
  <c r="E104" i="10"/>
  <c r="D105" i="10"/>
  <c r="D106" i="10"/>
  <c r="D107" i="10"/>
  <c r="D108" i="10"/>
  <c r="D104" i="10"/>
  <c r="C105" i="10"/>
  <c r="C106" i="10"/>
  <c r="C107" i="10"/>
  <c r="C108" i="10"/>
  <c r="C104" i="10"/>
  <c r="E90" i="10"/>
  <c r="E91" i="10"/>
  <c r="E92" i="10"/>
  <c r="E93" i="10"/>
  <c r="E89" i="10"/>
  <c r="D90" i="10"/>
  <c r="D91" i="10"/>
  <c r="D92" i="10"/>
  <c r="D93" i="10"/>
  <c r="D89" i="10"/>
  <c r="C90" i="10"/>
  <c r="C91" i="10"/>
  <c r="C92" i="10"/>
  <c r="C93" i="10"/>
  <c r="C89" i="10"/>
  <c r="E77" i="10"/>
  <c r="E74" i="10"/>
  <c r="D75" i="10"/>
  <c r="D76" i="10"/>
  <c r="D77" i="10"/>
  <c r="D78" i="10"/>
  <c r="D74" i="10"/>
  <c r="C75" i="10"/>
  <c r="C76" i="10"/>
  <c r="C77" i="10"/>
  <c r="C78" i="10"/>
  <c r="C74" i="10"/>
  <c r="F119" i="10"/>
  <c r="F118" i="10"/>
  <c r="B93" i="10"/>
  <c r="B92" i="10"/>
  <c r="B91" i="10"/>
  <c r="B90" i="10"/>
  <c r="B89" i="10"/>
  <c r="F89" i="10" s="1"/>
  <c r="E59" i="10"/>
  <c r="E60" i="10"/>
  <c r="E61" i="10"/>
  <c r="E58" i="10"/>
  <c r="D59" i="10"/>
  <c r="D60" i="10"/>
  <c r="D61" i="10"/>
  <c r="D58" i="10"/>
  <c r="C59" i="10"/>
  <c r="C60" i="10"/>
  <c r="C61" i="10"/>
  <c r="C58" i="10"/>
  <c r="B59" i="10"/>
  <c r="F59" i="10" s="1"/>
  <c r="F39" i="10"/>
  <c r="F40" i="10"/>
  <c r="F41" i="10"/>
  <c r="F42" i="10"/>
  <c r="F43" i="10"/>
  <c r="F44" i="10"/>
  <c r="F45" i="10"/>
  <c r="F38" i="10"/>
  <c r="E45" i="10"/>
  <c r="E44" i="10"/>
  <c r="E43" i="10"/>
  <c r="E42" i="10"/>
  <c r="E41" i="10"/>
  <c r="E40" i="10"/>
  <c r="E39" i="10"/>
  <c r="E38" i="10"/>
  <c r="D45" i="10"/>
  <c r="D44" i="10"/>
  <c r="D43" i="10"/>
  <c r="D42" i="10"/>
  <c r="D41" i="10"/>
  <c r="D40" i="10"/>
  <c r="D39" i="10"/>
  <c r="D38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C13" i="10"/>
  <c r="C122" i="12"/>
  <c r="B122" i="12"/>
  <c r="C121" i="12"/>
  <c r="D121" i="12" s="1"/>
  <c r="B121" i="12"/>
  <c r="C120" i="12"/>
  <c r="B120" i="12"/>
  <c r="C119" i="12"/>
  <c r="B119" i="12"/>
  <c r="C118" i="12"/>
  <c r="B118" i="12"/>
  <c r="D118" i="12" s="1"/>
  <c r="C104" i="12"/>
  <c r="C105" i="12"/>
  <c r="C106" i="12"/>
  <c r="C107" i="12"/>
  <c r="B107" i="12"/>
  <c r="B104" i="12"/>
  <c r="B105" i="12"/>
  <c r="B106" i="12"/>
  <c r="D106" i="12"/>
  <c r="C103" i="12"/>
  <c r="C93" i="12"/>
  <c r="C92" i="12"/>
  <c r="C91" i="12"/>
  <c r="C90" i="12"/>
  <c r="C89" i="12"/>
  <c r="C78" i="12"/>
  <c r="C77" i="12"/>
  <c r="C76" i="12"/>
  <c r="C75" i="12"/>
  <c r="C74" i="12"/>
  <c r="B93" i="12"/>
  <c r="B92" i="12"/>
  <c r="B91" i="12"/>
  <c r="B90" i="12"/>
  <c r="B89" i="12"/>
  <c r="D89" i="12" s="1"/>
  <c r="C61" i="12"/>
  <c r="C60" i="12"/>
  <c r="C59" i="12"/>
  <c r="C58" i="12"/>
  <c r="B59" i="12"/>
  <c r="D45" i="12"/>
  <c r="D44" i="12"/>
  <c r="D43" i="12"/>
  <c r="D42" i="12"/>
  <c r="D41" i="12"/>
  <c r="D40" i="12"/>
  <c r="D39" i="12"/>
  <c r="D38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F120" i="10" l="1"/>
  <c r="F122" i="10" s="1"/>
  <c r="F90" i="10"/>
  <c r="F91" i="10" s="1"/>
  <c r="F92" i="10"/>
  <c r="D119" i="12"/>
  <c r="D92" i="12"/>
  <c r="D90" i="12"/>
  <c r="D91" i="12" s="1"/>
  <c r="D93" i="12" s="1"/>
  <c r="D59" i="12"/>
  <c r="F93" i="10" l="1"/>
  <c r="D120" i="12"/>
  <c r="D122" i="12" s="1"/>
  <c r="B147" i="18" l="1"/>
  <c r="B146" i="18"/>
  <c r="D137" i="18" l="1"/>
  <c r="E16" i="18" l="1"/>
  <c r="D16" i="18"/>
  <c r="C16" i="18"/>
  <c r="D13" i="18"/>
  <c r="C13" i="18"/>
  <c r="E13" i="18" s="1"/>
  <c r="D19" i="18"/>
  <c r="E19" i="18"/>
  <c r="C19" i="18"/>
  <c r="C22" i="18"/>
  <c r="B137" i="18"/>
  <c r="B136" i="18"/>
  <c r="B135" i="18"/>
  <c r="B134" i="18"/>
  <c r="B148" i="18"/>
  <c r="B159" i="18" l="1"/>
  <c r="B162" i="18" s="1"/>
  <c r="D152" i="18"/>
  <c r="C152" i="18"/>
  <c r="B152" i="18"/>
  <c r="E149" i="18"/>
  <c r="E148" i="18"/>
  <c r="E147" i="18"/>
  <c r="E146" i="18"/>
  <c r="B119" i="18"/>
  <c r="B139" i="18"/>
  <c r="E120" i="18"/>
  <c r="D120" i="18"/>
  <c r="C120" i="18"/>
  <c r="B120" i="18"/>
  <c r="D105" i="18"/>
  <c r="C105" i="18"/>
  <c r="B105" i="18"/>
  <c r="B104" i="18"/>
  <c r="E104" i="18" s="1"/>
  <c r="D88" i="18"/>
  <c r="C88" i="18"/>
  <c r="B88" i="18"/>
  <c r="E88" i="18" s="1"/>
  <c r="B87" i="18"/>
  <c r="E87" i="18" s="1"/>
  <c r="D73" i="18"/>
  <c r="C73" i="18"/>
  <c r="B73" i="18"/>
  <c r="B72" i="18"/>
  <c r="E72" i="18" s="1"/>
  <c r="D60" i="18"/>
  <c r="D122" i="18" s="1"/>
  <c r="C60" i="18"/>
  <c r="C122" i="18" s="1"/>
  <c r="B60" i="18"/>
  <c r="D59" i="18"/>
  <c r="D107" i="18" s="1"/>
  <c r="C59" i="18"/>
  <c r="C107" i="18" s="1"/>
  <c r="B59" i="18"/>
  <c r="D58" i="18"/>
  <c r="D90" i="18" s="1"/>
  <c r="C58" i="18"/>
  <c r="C90" i="18" s="1"/>
  <c r="B58" i="18"/>
  <c r="D57" i="18"/>
  <c r="D75" i="18" s="1"/>
  <c r="C57" i="18"/>
  <c r="C75" i="18" s="1"/>
  <c r="B57" i="18"/>
  <c r="E57" i="18" s="1"/>
  <c r="E45" i="18"/>
  <c r="D45" i="18"/>
  <c r="C45" i="18"/>
  <c r="F43" i="18"/>
  <c r="F42" i="18"/>
  <c r="F41" i="18"/>
  <c r="F40" i="18"/>
  <c r="F39" i="18"/>
  <c r="F38" i="18"/>
  <c r="F37" i="18"/>
  <c r="F36" i="18"/>
  <c r="E25" i="18"/>
  <c r="D25" i="18"/>
  <c r="C25" i="18"/>
  <c r="F24" i="18"/>
  <c r="F23" i="18"/>
  <c r="D22" i="18"/>
  <c r="E22" i="18" s="1"/>
  <c r="F22" i="18" s="1"/>
  <c r="F21" i="18"/>
  <c r="F20" i="18"/>
  <c r="F19" i="18"/>
  <c r="F18" i="18"/>
  <c r="F17" i="18"/>
  <c r="F16" i="18"/>
  <c r="F15" i="18"/>
  <c r="F14" i="18"/>
  <c r="F13" i="18"/>
  <c r="E89" i="18" l="1"/>
  <c r="F25" i="18"/>
  <c r="F45" i="18"/>
  <c r="E73" i="18"/>
  <c r="E152" i="18"/>
  <c r="E105" i="18"/>
  <c r="E58" i="18"/>
  <c r="B90" i="18"/>
  <c r="E90" i="18" s="1"/>
  <c r="E91" i="18"/>
  <c r="D135" i="18" s="1"/>
  <c r="B62" i="18"/>
  <c r="E60" i="18"/>
  <c r="B122" i="18"/>
  <c r="E122" i="18" s="1"/>
  <c r="B74" i="18"/>
  <c r="E59" i="18"/>
  <c r="B107" i="18"/>
  <c r="E107" i="18" s="1"/>
  <c r="B75" i="18"/>
  <c r="E75" i="18" s="1"/>
  <c r="B121" i="18"/>
  <c r="E119" i="18"/>
  <c r="E121" i="18" s="1"/>
  <c r="B89" i="18"/>
  <c r="B106" i="18"/>
  <c r="C62" i="18"/>
  <c r="D62" i="18"/>
  <c r="C135" i="1"/>
  <c r="E106" i="18" l="1"/>
  <c r="E106" i="10" s="1"/>
  <c r="E105" i="10"/>
  <c r="E74" i="18"/>
  <c r="E76" i="10" s="1"/>
  <c r="E75" i="10"/>
  <c r="E123" i="18"/>
  <c r="E62" i="18"/>
  <c r="E76" i="18"/>
  <c r="E108" i="18"/>
  <c r="B123" i="18"/>
  <c r="C119" i="18" s="1"/>
  <c r="C121" i="18" s="1"/>
  <c r="C123" i="18" s="1"/>
  <c r="D119" i="18" s="1"/>
  <c r="D121" i="18" s="1"/>
  <c r="D123" i="18" s="1"/>
  <c r="B108" i="18"/>
  <c r="C104" i="18" s="1"/>
  <c r="C106" i="18" s="1"/>
  <c r="C108" i="18" s="1"/>
  <c r="D104" i="18" s="1"/>
  <c r="D106" i="18" s="1"/>
  <c r="D108" i="18" s="1"/>
  <c r="B76" i="18"/>
  <c r="C72" i="18" s="1"/>
  <c r="C74" i="18" s="1"/>
  <c r="C76" i="18" s="1"/>
  <c r="D72" i="18" s="1"/>
  <c r="D74" i="18" s="1"/>
  <c r="D76" i="18" s="1"/>
  <c r="B91" i="18"/>
  <c r="C87" i="18" s="1"/>
  <c r="C89" i="18" s="1"/>
  <c r="C91" i="18" s="1"/>
  <c r="D87" i="18" s="1"/>
  <c r="D89" i="18" s="1"/>
  <c r="D91" i="18" s="1"/>
  <c r="C13" i="17"/>
  <c r="D13" i="17" s="1"/>
  <c r="E13" i="17" s="1"/>
  <c r="H13" i="16"/>
  <c r="E22" i="17"/>
  <c r="C22" i="17"/>
  <c r="E19" i="17"/>
  <c r="D19" i="17"/>
  <c r="C19" i="17"/>
  <c r="E16" i="17"/>
  <c r="D16" i="17"/>
  <c r="C16" i="17"/>
  <c r="H19" i="16"/>
  <c r="D136" i="18" l="1"/>
  <c r="E108" i="10"/>
  <c r="D134" i="18"/>
  <c r="E78" i="10"/>
  <c r="D139" i="18"/>
  <c r="B137" i="17"/>
  <c r="B136" i="17"/>
  <c r="B135" i="17"/>
  <c r="B134" i="17"/>
  <c r="F13" i="17"/>
  <c r="B159" i="17"/>
  <c r="B162" i="17" s="1"/>
  <c r="D152" i="17"/>
  <c r="C152" i="17"/>
  <c r="B152" i="17"/>
  <c r="E149" i="17"/>
  <c r="E148" i="17"/>
  <c r="E147" i="17"/>
  <c r="E146" i="17"/>
  <c r="B119" i="17"/>
  <c r="D120" i="17"/>
  <c r="C120" i="17"/>
  <c r="B120" i="17"/>
  <c r="E120" i="17" s="1"/>
  <c r="D105" i="17"/>
  <c r="C105" i="17"/>
  <c r="B105" i="17"/>
  <c r="E105" i="17" s="1"/>
  <c r="B104" i="17"/>
  <c r="E104" i="17" s="1"/>
  <c r="E106" i="17" s="1"/>
  <c r="D88" i="17"/>
  <c r="C88" i="17"/>
  <c r="B88" i="17"/>
  <c r="E88" i="17" s="1"/>
  <c r="B87" i="17"/>
  <c r="E87" i="17" s="1"/>
  <c r="E89" i="17" s="1"/>
  <c r="D73" i="17"/>
  <c r="C73" i="17"/>
  <c r="B73" i="17"/>
  <c r="E73" i="17" s="1"/>
  <c r="D60" i="17"/>
  <c r="D122" i="17" s="1"/>
  <c r="C60" i="17"/>
  <c r="C122" i="17" s="1"/>
  <c r="B60" i="17"/>
  <c r="D59" i="17"/>
  <c r="D107" i="17" s="1"/>
  <c r="C59" i="17"/>
  <c r="C107" i="17" s="1"/>
  <c r="B59" i="17"/>
  <c r="D58" i="17"/>
  <c r="D90" i="17" s="1"/>
  <c r="C58" i="17"/>
  <c r="C90" i="17" s="1"/>
  <c r="B58" i="17"/>
  <c r="B90" i="17" s="1"/>
  <c r="D57" i="17"/>
  <c r="D75" i="17" s="1"/>
  <c r="C57" i="17"/>
  <c r="C75" i="17" s="1"/>
  <c r="B57" i="17"/>
  <c r="E45" i="17"/>
  <c r="D45" i="17"/>
  <c r="C45" i="17"/>
  <c r="F43" i="17"/>
  <c r="F42" i="17"/>
  <c r="F41" i="17"/>
  <c r="F40" i="17"/>
  <c r="F39" i="17"/>
  <c r="F38" i="17"/>
  <c r="F37" i="17"/>
  <c r="F36" i="17"/>
  <c r="E25" i="17"/>
  <c r="D25" i="17"/>
  <c r="C25" i="17"/>
  <c r="F24" i="17"/>
  <c r="F23" i="17"/>
  <c r="D22" i="17"/>
  <c r="F22" i="17" s="1"/>
  <c r="F21" i="17"/>
  <c r="F20" i="17"/>
  <c r="F19" i="17"/>
  <c r="F18" i="17"/>
  <c r="F17" i="17"/>
  <c r="F16" i="17"/>
  <c r="F15" i="17"/>
  <c r="F14" i="17"/>
  <c r="F25" i="17" l="1"/>
  <c r="E60" i="17"/>
  <c r="E59" i="17"/>
  <c r="E57" i="17"/>
  <c r="F45" i="17"/>
  <c r="E152" i="17"/>
  <c r="E90" i="17"/>
  <c r="E91" i="17" s="1"/>
  <c r="B121" i="17"/>
  <c r="E119" i="17"/>
  <c r="E121" i="17" s="1"/>
  <c r="F117" i="17"/>
  <c r="B106" i="17"/>
  <c r="B108" i="17" s="1"/>
  <c r="C104" i="17" s="1"/>
  <c r="C106" i="17" s="1"/>
  <c r="C108" i="17" s="1"/>
  <c r="D104" i="17" s="1"/>
  <c r="D106" i="17" s="1"/>
  <c r="D108" i="17" s="1"/>
  <c r="B122" i="17"/>
  <c r="E122" i="17" s="1"/>
  <c r="E58" i="17"/>
  <c r="B62" i="17"/>
  <c r="B75" i="17"/>
  <c r="E75" i="17" s="1"/>
  <c r="B89" i="17"/>
  <c r="B91" i="17" s="1"/>
  <c r="C87" i="17" s="1"/>
  <c r="C89" i="17" s="1"/>
  <c r="C91" i="17" s="1"/>
  <c r="D87" i="17" s="1"/>
  <c r="D89" i="17" s="1"/>
  <c r="D91" i="17" s="1"/>
  <c r="B107" i="17"/>
  <c r="E107" i="17" s="1"/>
  <c r="E108" i="17" s="1"/>
  <c r="C62" i="17"/>
  <c r="D62" i="17"/>
  <c r="E22" i="16"/>
  <c r="D22" i="16"/>
  <c r="C22" i="16"/>
  <c r="E19" i="16"/>
  <c r="D19" i="16"/>
  <c r="C19" i="16"/>
  <c r="E13" i="16"/>
  <c r="D16" i="16"/>
  <c r="C16" i="16"/>
  <c r="E62" i="17" l="1"/>
  <c r="E123" i="17"/>
  <c r="B123" i="17"/>
  <c r="C119" i="17" s="1"/>
  <c r="C121" i="17" s="1"/>
  <c r="C123" i="17" s="1"/>
  <c r="D119" i="17" s="1"/>
  <c r="D121" i="17" s="1"/>
  <c r="D123" i="17" s="1"/>
  <c r="D13" i="16"/>
  <c r="C13" i="16"/>
  <c r="C152" i="16" l="1"/>
  <c r="D152" i="16"/>
  <c r="B152" i="16"/>
  <c r="B137" i="16"/>
  <c r="B119" i="16" s="1"/>
  <c r="E119" i="16" s="1"/>
  <c r="B136" i="16"/>
  <c r="B104" i="16" s="1"/>
  <c r="B135" i="16"/>
  <c r="B134" i="16"/>
  <c r="F13" i="16"/>
  <c r="E16" i="16"/>
  <c r="F16" i="16" s="1"/>
  <c r="B162" i="16"/>
  <c r="B159" i="16"/>
  <c r="C120" i="16"/>
  <c r="E120" i="16" s="1"/>
  <c r="E149" i="16"/>
  <c r="E152" i="16" s="1"/>
  <c r="E148" i="16"/>
  <c r="E147" i="16"/>
  <c r="E146" i="16"/>
  <c r="D120" i="16"/>
  <c r="B120" i="16"/>
  <c r="D105" i="16"/>
  <c r="C105" i="16"/>
  <c r="B105" i="16"/>
  <c r="E105" i="16" s="1"/>
  <c r="D88" i="16"/>
  <c r="E88" i="16" s="1"/>
  <c r="C88" i="16"/>
  <c r="B88" i="16"/>
  <c r="B87" i="16"/>
  <c r="E87" i="16" s="1"/>
  <c r="E89" i="16" s="1"/>
  <c r="B75" i="16"/>
  <c r="D73" i="16"/>
  <c r="C73" i="16"/>
  <c r="B73" i="16"/>
  <c r="E73" i="16" s="1"/>
  <c r="C60" i="16"/>
  <c r="C122" i="16" s="1"/>
  <c r="B60" i="16"/>
  <c r="B122" i="16" s="1"/>
  <c r="D59" i="16"/>
  <c r="D107" i="16" s="1"/>
  <c r="C59" i="16"/>
  <c r="C107" i="16" s="1"/>
  <c r="B59" i="16"/>
  <c r="D58" i="16"/>
  <c r="C58" i="16"/>
  <c r="C90" i="16" s="1"/>
  <c r="B58" i="16"/>
  <c r="B90" i="16" s="1"/>
  <c r="D57" i="16"/>
  <c r="D75" i="16" s="1"/>
  <c r="C57" i="16"/>
  <c r="C75" i="16" s="1"/>
  <c r="B57" i="16"/>
  <c r="D45" i="16"/>
  <c r="C45" i="16"/>
  <c r="F43" i="16"/>
  <c r="E45" i="16"/>
  <c r="F41" i="16"/>
  <c r="F40" i="16"/>
  <c r="F39" i="16"/>
  <c r="F38" i="16"/>
  <c r="F37" i="16"/>
  <c r="F36" i="16"/>
  <c r="E25" i="16"/>
  <c r="D25" i="16"/>
  <c r="C25" i="16"/>
  <c r="F24" i="16"/>
  <c r="F23" i="16"/>
  <c r="F22" i="16"/>
  <c r="F21" i="16"/>
  <c r="F20" i="16"/>
  <c r="F19" i="16"/>
  <c r="F18" i="16"/>
  <c r="F17" i="16"/>
  <c r="F15" i="16"/>
  <c r="F14" i="16"/>
  <c r="E59" i="16" l="1"/>
  <c r="F25" i="16"/>
  <c r="E75" i="16"/>
  <c r="E57" i="16"/>
  <c r="E121" i="16"/>
  <c r="B106" i="16"/>
  <c r="E104" i="16"/>
  <c r="E106" i="16" s="1"/>
  <c r="B139" i="16"/>
  <c r="B72" i="16"/>
  <c r="B74" i="16" s="1"/>
  <c r="B76" i="16" s="1"/>
  <c r="C72" i="16" s="1"/>
  <c r="C74" i="16" s="1"/>
  <c r="C76" i="16" s="1"/>
  <c r="D72" i="16" s="1"/>
  <c r="D74" i="16" s="1"/>
  <c r="D76" i="16" s="1"/>
  <c r="F117" i="16"/>
  <c r="D90" i="16"/>
  <c r="E90" i="16" s="1"/>
  <c r="E91" i="16" s="1"/>
  <c r="F42" i="16"/>
  <c r="F45" i="16" s="1"/>
  <c r="E58" i="16"/>
  <c r="E72" i="16"/>
  <c r="E74" i="16" s="1"/>
  <c r="B89" i="16"/>
  <c r="B91" i="16" s="1"/>
  <c r="C87" i="16" s="1"/>
  <c r="C89" i="16" s="1"/>
  <c r="C91" i="16" s="1"/>
  <c r="D87" i="16" s="1"/>
  <c r="D89" i="16" s="1"/>
  <c r="B107" i="16"/>
  <c r="E107" i="16" s="1"/>
  <c r="E108" i="16" s="1"/>
  <c r="D60" i="16"/>
  <c r="D122" i="16" s="1"/>
  <c r="E122" i="16" s="1"/>
  <c r="B62" i="16"/>
  <c r="C62" i="16"/>
  <c r="B121" i="16"/>
  <c r="B123" i="16" s="1"/>
  <c r="C119" i="16" s="1"/>
  <c r="C121" i="16" s="1"/>
  <c r="C123" i="16" s="1"/>
  <c r="D119" i="16" s="1"/>
  <c r="D121" i="16" s="1"/>
  <c r="F117" i="1"/>
  <c r="B159" i="1"/>
  <c r="D25" i="1"/>
  <c r="C25" i="1"/>
  <c r="F25" i="1" s="1"/>
  <c r="D149" i="1"/>
  <c r="C149" i="1"/>
  <c r="B149" i="1"/>
  <c r="E43" i="1"/>
  <c r="E42" i="1"/>
  <c r="E23" i="1"/>
  <c r="E25" i="1" s="1"/>
  <c r="E24" i="1"/>
  <c r="C22" i="1"/>
  <c r="D22" i="1" s="1"/>
  <c r="E22" i="1" s="1"/>
  <c r="D91" i="16" l="1"/>
  <c r="E76" i="16"/>
  <c r="E123" i="16"/>
  <c r="B108" i="16"/>
  <c r="C104" i="16" s="1"/>
  <c r="C106" i="16" s="1"/>
  <c r="C108" i="16" s="1"/>
  <c r="D104" i="16" s="1"/>
  <c r="D106" i="16" s="1"/>
  <c r="D108" i="16" s="1"/>
  <c r="D123" i="16"/>
  <c r="E60" i="16"/>
  <c r="E62" i="16" s="1"/>
  <c r="D62" i="16"/>
  <c r="B60" i="1"/>
  <c r="D19" i="1"/>
  <c r="E19" i="1" s="1"/>
  <c r="D16" i="1"/>
  <c r="E16" i="1" s="1"/>
  <c r="D13" i="1"/>
  <c r="E13" i="1" s="1"/>
  <c r="B162" i="1" l="1"/>
  <c r="B122" i="1"/>
  <c r="C120" i="1"/>
  <c r="D120" i="1"/>
  <c r="B120" i="1"/>
  <c r="B119" i="1"/>
  <c r="B121" i="1" s="1"/>
  <c r="C88" i="1"/>
  <c r="D88" i="1"/>
  <c r="B88" i="1"/>
  <c r="B87" i="1"/>
  <c r="C73" i="1"/>
  <c r="D73" i="1"/>
  <c r="B73" i="1"/>
  <c r="B72" i="1"/>
  <c r="B74" i="1" s="1"/>
  <c r="C105" i="1"/>
  <c r="D105" i="1"/>
  <c r="B105" i="1"/>
  <c r="B139" i="1"/>
  <c r="E147" i="1"/>
  <c r="E148" i="1"/>
  <c r="E149" i="1"/>
  <c r="E146" i="1"/>
  <c r="B89" i="1" l="1"/>
  <c r="E120" i="1"/>
  <c r="E88" i="1"/>
  <c r="C57" i="1"/>
  <c r="C75" i="1" s="1"/>
  <c r="D57" i="1"/>
  <c r="D75" i="1" s="1"/>
  <c r="C58" i="1"/>
  <c r="C90" i="1" s="1"/>
  <c r="D58" i="1"/>
  <c r="D90" i="1" s="1"/>
  <c r="C59" i="1"/>
  <c r="C107" i="1" s="1"/>
  <c r="D59" i="1"/>
  <c r="D107" i="1" s="1"/>
  <c r="C60" i="1"/>
  <c r="C122" i="1" s="1"/>
  <c r="D60" i="1"/>
  <c r="D122" i="1" s="1"/>
  <c r="B59" i="1"/>
  <c r="B107" i="1" s="1"/>
  <c r="B58" i="1"/>
  <c r="B90" i="1" s="1"/>
  <c r="B57" i="1"/>
  <c r="B75" i="1" s="1"/>
  <c r="D45" i="1"/>
  <c r="E45" i="1"/>
  <c r="C45" i="1"/>
  <c r="B91" i="1" l="1"/>
  <c r="C87" i="1" s="1"/>
  <c r="C89" i="1" s="1"/>
  <c r="C91" i="1" s="1"/>
  <c r="D87" i="1" s="1"/>
  <c r="E107" i="1"/>
  <c r="E119" i="1"/>
  <c r="B104" i="1"/>
  <c r="B106" i="1" s="1"/>
  <c r="B108" i="1" s="1"/>
  <c r="E58" i="1"/>
  <c r="B62" i="1"/>
  <c r="C62" i="1"/>
  <c r="E87" i="1"/>
  <c r="E89" i="1" s="1"/>
  <c r="E90" i="1"/>
  <c r="D89" i="1" l="1"/>
  <c r="D91" i="1" s="1"/>
  <c r="E91" i="1"/>
  <c r="H91" i="8" l="1"/>
  <c r="H89" i="8"/>
  <c r="I43" i="8"/>
  <c r="I41" i="8"/>
  <c r="E76" i="8" l="1"/>
  <c r="D74" i="8" l="1"/>
  <c r="D90" i="8"/>
  <c r="D89" i="8"/>
  <c r="J56" i="1" l="1"/>
  <c r="J57" i="1" s="1"/>
  <c r="C22" i="3" l="1"/>
  <c r="D22" i="3" s="1"/>
  <c r="E22" i="3" s="1"/>
  <c r="C22" i="6" s="1"/>
  <c r="D22" i="6" s="1"/>
  <c r="C19" i="3" l="1"/>
  <c r="D19" i="3" s="1"/>
  <c r="E19" i="3" s="1"/>
  <c r="C19" i="6" s="1"/>
  <c r="D19" i="6" s="1"/>
  <c r="E19" i="6" s="1"/>
  <c r="C19" i="8" s="1"/>
  <c r="D19" i="8" s="1"/>
  <c r="E19" i="8" s="1"/>
  <c r="C16" i="3" l="1"/>
  <c r="D16" i="3" s="1"/>
  <c r="E16" i="3" s="1"/>
  <c r="C16" i="6" s="1"/>
  <c r="D16" i="6" s="1"/>
  <c r="E16" i="6" s="1"/>
  <c r="C16" i="8" s="1"/>
  <c r="D16" i="8" s="1"/>
  <c r="E16" i="8" s="1"/>
  <c r="C13" i="3"/>
  <c r="D13" i="3" s="1"/>
  <c r="E13" i="3" s="1"/>
  <c r="C13" i="6" s="1"/>
  <c r="D13" i="6" s="1"/>
  <c r="E13" i="6" s="1"/>
  <c r="C13" i="8" s="1"/>
  <c r="D13" i="8" s="1"/>
  <c r="E13" i="8" s="1"/>
  <c r="E89" i="8" l="1"/>
  <c r="E90" i="8" l="1"/>
  <c r="E22" i="6" l="1"/>
  <c r="F22" i="3"/>
  <c r="E60" i="1"/>
  <c r="F22" i="1"/>
  <c r="C22" i="8" l="1"/>
  <c r="D22" i="8" s="1"/>
  <c r="E22" i="8" s="1"/>
  <c r="F22" i="8" s="1"/>
  <c r="G22" i="10" s="1"/>
  <c r="E104" i="1"/>
  <c r="E90" i="6"/>
  <c r="E89" i="6"/>
  <c r="E90" i="3"/>
  <c r="E89" i="3"/>
  <c r="E105" i="1"/>
  <c r="C58" i="8"/>
  <c r="C59" i="8"/>
  <c r="D59" i="8"/>
  <c r="C60" i="8"/>
  <c r="D60" i="8"/>
  <c r="B60" i="8"/>
  <c r="B59" i="8"/>
  <c r="B58" i="8"/>
  <c r="C58" i="6"/>
  <c r="C76" i="6" s="1"/>
  <c r="D58" i="6"/>
  <c r="D76" i="6" s="1"/>
  <c r="C59" i="6"/>
  <c r="D59" i="6"/>
  <c r="C60" i="6"/>
  <c r="D60" i="6"/>
  <c r="B60" i="6"/>
  <c r="B59" i="6"/>
  <c r="B58" i="6"/>
  <c r="E61" i="3"/>
  <c r="C58" i="3"/>
  <c r="C76" i="3" s="1"/>
  <c r="D58" i="3"/>
  <c r="D76" i="3" s="1"/>
  <c r="C59" i="3"/>
  <c r="D59" i="3"/>
  <c r="C60" i="3"/>
  <c r="D60" i="3"/>
  <c r="B60" i="3"/>
  <c r="B59" i="3"/>
  <c r="B58" i="3"/>
  <c r="D27" i="3"/>
  <c r="E74" i="3"/>
  <c r="F24" i="8"/>
  <c r="F24" i="1"/>
  <c r="C24" i="10" s="1"/>
  <c r="F24" i="3"/>
  <c r="F23" i="8"/>
  <c r="F23" i="1"/>
  <c r="C23" i="10" s="1"/>
  <c r="F23" i="3"/>
  <c r="F15" i="1"/>
  <c r="C15" i="10" s="1"/>
  <c r="F15" i="3"/>
  <c r="F14" i="1"/>
  <c r="F14" i="3"/>
  <c r="F44" i="8"/>
  <c r="F42" i="1"/>
  <c r="F44" i="3"/>
  <c r="F45" i="8"/>
  <c r="F43" i="1"/>
  <c r="C45" i="12" s="1"/>
  <c r="F45" i="3"/>
  <c r="F44" i="6"/>
  <c r="F45" i="6"/>
  <c r="E46" i="3"/>
  <c r="F38" i="3"/>
  <c r="F39" i="3"/>
  <c r="F40" i="3"/>
  <c r="F41" i="3"/>
  <c r="F42" i="3"/>
  <c r="F43" i="3"/>
  <c r="D46" i="3"/>
  <c r="C46" i="3"/>
  <c r="F36" i="1"/>
  <c r="C38" i="10" s="1"/>
  <c r="F37" i="1"/>
  <c r="C39" i="12" s="1"/>
  <c r="F38" i="1"/>
  <c r="C40" i="10" s="1"/>
  <c r="F39" i="1"/>
  <c r="C41" i="12" s="1"/>
  <c r="F40" i="1"/>
  <c r="C42" i="12" s="1"/>
  <c r="F41" i="1"/>
  <c r="C43" i="12" s="1"/>
  <c r="F17" i="3"/>
  <c r="F18" i="3"/>
  <c r="F20" i="3"/>
  <c r="F21" i="3"/>
  <c r="F14" i="6"/>
  <c r="F15" i="6"/>
  <c r="F17" i="6"/>
  <c r="F18" i="6"/>
  <c r="F20" i="6"/>
  <c r="F21" i="6"/>
  <c r="F14" i="8"/>
  <c r="F15" i="8"/>
  <c r="F20" i="8"/>
  <c r="F21" i="8"/>
  <c r="F17" i="8"/>
  <c r="F18" i="8"/>
  <c r="F17" i="1"/>
  <c r="C17" i="10" s="1"/>
  <c r="F18" i="1"/>
  <c r="C18" i="12" s="1"/>
  <c r="F20" i="1"/>
  <c r="F21" i="1"/>
  <c r="C21" i="12" s="1"/>
  <c r="F22" i="6"/>
  <c r="F23" i="6"/>
  <c r="F24" i="6"/>
  <c r="C22" i="10"/>
  <c r="E22" i="12"/>
  <c r="D27" i="8"/>
  <c r="E27" i="8"/>
  <c r="C27" i="8"/>
  <c r="D27" i="6"/>
  <c r="E27" i="6"/>
  <c r="C27" i="6"/>
  <c r="E27" i="3"/>
  <c r="C27" i="3"/>
  <c r="C76" i="8"/>
  <c r="B76" i="8"/>
  <c r="E74" i="6"/>
  <c r="E73" i="1"/>
  <c r="G26" i="10"/>
  <c r="E46" i="6"/>
  <c r="D46" i="6"/>
  <c r="C46" i="6"/>
  <c r="F39" i="6"/>
  <c r="F40" i="6"/>
  <c r="F41" i="6"/>
  <c r="F42" i="6"/>
  <c r="F43" i="6"/>
  <c r="D46" i="8"/>
  <c r="C46" i="8"/>
  <c r="F39" i="8"/>
  <c r="F41" i="8"/>
  <c r="F43" i="8"/>
  <c r="F38" i="8"/>
  <c r="F42" i="8"/>
  <c r="E61" i="8"/>
  <c r="E62" i="8"/>
  <c r="E74" i="8"/>
  <c r="F38" i="6"/>
  <c r="E61" i="6"/>
  <c r="E62" i="6"/>
  <c r="E62" i="3"/>
  <c r="D62" i="1"/>
  <c r="E59" i="1"/>
  <c r="E57" i="1"/>
  <c r="C22" i="12"/>
  <c r="C44" i="12" l="1"/>
  <c r="F45" i="1"/>
  <c r="C39" i="10"/>
  <c r="B105" i="10"/>
  <c r="B58" i="12"/>
  <c r="E62" i="1"/>
  <c r="E58" i="6"/>
  <c r="B76" i="6"/>
  <c r="E76" i="6" s="1"/>
  <c r="F83" i="3"/>
  <c r="G38" i="10"/>
  <c r="E18" i="12"/>
  <c r="B63" i="3"/>
  <c r="C23" i="12"/>
  <c r="C42" i="10"/>
  <c r="C24" i="12"/>
  <c r="C43" i="10"/>
  <c r="C40" i="12"/>
  <c r="E75" i="1"/>
  <c r="B77" i="10" s="1"/>
  <c r="C41" i="10"/>
  <c r="G41" i="10" s="1"/>
  <c r="B58" i="10"/>
  <c r="C15" i="12"/>
  <c r="E15" i="12" s="1"/>
  <c r="E72" i="1"/>
  <c r="E74" i="1" s="1"/>
  <c r="C21" i="10"/>
  <c r="B63" i="8"/>
  <c r="B92" i="8"/>
  <c r="E59" i="8"/>
  <c r="E59" i="6"/>
  <c r="B63" i="6"/>
  <c r="D92" i="8"/>
  <c r="C63" i="8"/>
  <c r="F83" i="8"/>
  <c r="E60" i="8"/>
  <c r="C92" i="8"/>
  <c r="F27" i="8"/>
  <c r="D92" i="6"/>
  <c r="D63" i="6"/>
  <c r="E60" i="6"/>
  <c r="C63" i="6"/>
  <c r="C92" i="6"/>
  <c r="B92" i="6"/>
  <c r="F27" i="6"/>
  <c r="F46" i="6"/>
  <c r="E27" i="10"/>
  <c r="F27" i="10"/>
  <c r="D92" i="3"/>
  <c r="E60" i="3"/>
  <c r="C92" i="3"/>
  <c r="F27" i="3"/>
  <c r="B92" i="3"/>
  <c r="E21" i="12"/>
  <c r="E59" i="3"/>
  <c r="E42" i="12"/>
  <c r="E58" i="3"/>
  <c r="D63" i="3"/>
  <c r="C63" i="3"/>
  <c r="E45" i="12"/>
  <c r="E39" i="12"/>
  <c r="E44" i="12"/>
  <c r="F46" i="3"/>
  <c r="B76" i="3"/>
  <c r="E76" i="3" s="1"/>
  <c r="G17" i="10"/>
  <c r="E41" i="12"/>
  <c r="G15" i="10"/>
  <c r="G24" i="10"/>
  <c r="E43" i="12"/>
  <c r="D104" i="12"/>
  <c r="D105" i="12" s="1"/>
  <c r="B75" i="10"/>
  <c r="B75" i="12"/>
  <c r="C104" i="1"/>
  <c r="B61" i="10"/>
  <c r="B61" i="12"/>
  <c r="B107" i="10"/>
  <c r="B60" i="10"/>
  <c r="B60" i="12"/>
  <c r="B76" i="1"/>
  <c r="C72" i="1" s="1"/>
  <c r="C74" i="1" s="1"/>
  <c r="C45" i="10"/>
  <c r="C44" i="10"/>
  <c r="F19" i="1"/>
  <c r="C20" i="12"/>
  <c r="E20" i="12" s="1"/>
  <c r="C20" i="10"/>
  <c r="C18" i="10"/>
  <c r="G18" i="10" s="1"/>
  <c r="C17" i="12"/>
  <c r="F16" i="1"/>
  <c r="C38" i="12"/>
  <c r="C14" i="10"/>
  <c r="C14" i="12"/>
  <c r="F13" i="1"/>
  <c r="B104" i="10"/>
  <c r="F104" i="10" s="1"/>
  <c r="B103" i="12"/>
  <c r="D103" i="12" s="1"/>
  <c r="E106" i="1"/>
  <c r="C106" i="1" l="1"/>
  <c r="C108" i="1" s="1"/>
  <c r="D104" i="1" s="1"/>
  <c r="D106" i="1" s="1"/>
  <c r="D108" i="1" s="1"/>
  <c r="F105" i="10"/>
  <c r="H77" i="10" s="1"/>
  <c r="B123" i="1"/>
  <c r="C119" i="1" s="1"/>
  <c r="C121" i="1" s="1"/>
  <c r="C76" i="1"/>
  <c r="D72" i="1" s="1"/>
  <c r="D74" i="1" s="1"/>
  <c r="B77" i="12"/>
  <c r="D75" i="12"/>
  <c r="G21" i="10"/>
  <c r="D27" i="10"/>
  <c r="G20" i="10"/>
  <c r="E23" i="12"/>
  <c r="G42" i="10"/>
  <c r="E40" i="12"/>
  <c r="G43" i="10"/>
  <c r="E24" i="12"/>
  <c r="E76" i="1"/>
  <c r="B78" i="12" s="1"/>
  <c r="B74" i="12"/>
  <c r="D74" i="12" s="1"/>
  <c r="B74" i="10"/>
  <c r="F74" i="10" s="1"/>
  <c r="G23" i="10"/>
  <c r="E92" i="8"/>
  <c r="D64" i="10"/>
  <c r="G45" i="10"/>
  <c r="E46" i="10"/>
  <c r="E92" i="6"/>
  <c r="G44" i="10"/>
  <c r="E63" i="6"/>
  <c r="G39" i="10"/>
  <c r="F75" i="10"/>
  <c r="H75" i="10" s="1"/>
  <c r="H79" i="10" s="1"/>
  <c r="H82" i="10" s="1"/>
  <c r="H84" i="10" s="1"/>
  <c r="E92" i="3"/>
  <c r="D61" i="12"/>
  <c r="F61" i="10"/>
  <c r="D27" i="12"/>
  <c r="E63" i="3"/>
  <c r="E17" i="12"/>
  <c r="D46" i="12"/>
  <c r="D46" i="10"/>
  <c r="D58" i="12"/>
  <c r="B76" i="12"/>
  <c r="B76" i="10"/>
  <c r="B64" i="10"/>
  <c r="B64" i="12"/>
  <c r="C46" i="10"/>
  <c r="F19" i="3"/>
  <c r="C19" i="12"/>
  <c r="C19" i="10"/>
  <c r="F16" i="3"/>
  <c r="C16" i="12"/>
  <c r="C16" i="10"/>
  <c r="C46" i="12"/>
  <c r="E38" i="12"/>
  <c r="G14" i="10"/>
  <c r="C27" i="10"/>
  <c r="C27" i="12"/>
  <c r="E14" i="12"/>
  <c r="F13" i="3"/>
  <c r="C13" i="12"/>
  <c r="E108" i="1"/>
  <c r="B106" i="10"/>
  <c r="E46" i="12" l="1"/>
  <c r="F106" i="10"/>
  <c r="C123" i="1"/>
  <c r="D119" i="1" s="1"/>
  <c r="D121" i="1" s="1"/>
  <c r="D76" i="1"/>
  <c r="E122" i="1"/>
  <c r="D77" i="12"/>
  <c r="F76" i="10"/>
  <c r="D76" i="12"/>
  <c r="G27" i="10"/>
  <c r="B78" i="10"/>
  <c r="B73" i="3"/>
  <c r="B75" i="3" s="1"/>
  <c r="B77" i="3" s="1"/>
  <c r="C73" i="3" s="1"/>
  <c r="C75" i="3" s="1"/>
  <c r="C77" i="3" s="1"/>
  <c r="D73" i="3" s="1"/>
  <c r="D75" i="3" s="1"/>
  <c r="D77" i="3" s="1"/>
  <c r="F60" i="10"/>
  <c r="C64" i="12"/>
  <c r="F107" i="10"/>
  <c r="F108" i="10" s="1"/>
  <c r="B132" i="10" s="1"/>
  <c r="D107" i="12"/>
  <c r="E27" i="12"/>
  <c r="D60" i="12"/>
  <c r="D64" i="12" s="1"/>
  <c r="C64" i="10"/>
  <c r="F19" i="8"/>
  <c r="F19" i="6"/>
  <c r="E19" i="12"/>
  <c r="E16" i="12"/>
  <c r="F16" i="6"/>
  <c r="F16" i="8"/>
  <c r="G16" i="10" s="1"/>
  <c r="E13" i="12"/>
  <c r="F13" i="8"/>
  <c r="G13" i="10" s="1"/>
  <c r="F13" i="6"/>
  <c r="B88" i="3"/>
  <c r="B108" i="10"/>
  <c r="E121" i="1" l="1"/>
  <c r="D78" i="12"/>
  <c r="G19" i="10"/>
  <c r="E73" i="3"/>
  <c r="B91" i="3"/>
  <c r="B93" i="3" s="1"/>
  <c r="C88" i="3" s="1"/>
  <c r="C91" i="3" s="1"/>
  <c r="C93" i="3" s="1"/>
  <c r="D88" i="3" s="1"/>
  <c r="D91" i="3" s="1"/>
  <c r="D93" i="3" s="1"/>
  <c r="E88" i="3"/>
  <c r="E123" i="1" l="1"/>
  <c r="D123" i="1"/>
  <c r="E75" i="3"/>
  <c r="E91" i="3"/>
  <c r="E77" i="3" l="1"/>
  <c r="B73" i="6" s="1"/>
  <c r="E73" i="6" s="1"/>
  <c r="E93" i="3"/>
  <c r="B75" i="6" l="1"/>
  <c r="B77" i="6" s="1"/>
  <c r="C73" i="6" s="1"/>
  <c r="C75" i="6" s="1"/>
  <c r="C77" i="6" s="1"/>
  <c r="D73" i="6" s="1"/>
  <c r="D75" i="6" s="1"/>
  <c r="D77" i="6" s="1"/>
  <c r="B88" i="6"/>
  <c r="E75" i="6"/>
  <c r="E88" i="6" l="1"/>
  <c r="B91" i="6"/>
  <c r="B93" i="6" s="1"/>
  <c r="C88" i="6" s="1"/>
  <c r="C91" i="6" s="1"/>
  <c r="C93" i="6" s="1"/>
  <c r="D88" i="6" s="1"/>
  <c r="D91" i="6" s="1"/>
  <c r="D93" i="6" s="1"/>
  <c r="E77" i="6"/>
  <c r="B73" i="8" s="1"/>
  <c r="E91" i="6" l="1"/>
  <c r="E93" i="6" l="1"/>
  <c r="B88" i="8" s="1"/>
  <c r="B75" i="8"/>
  <c r="B77" i="8" s="1"/>
  <c r="C73" i="8" s="1"/>
  <c r="C75" i="8" s="1"/>
  <c r="C77" i="8" s="1"/>
  <c r="D73" i="8" s="1"/>
  <c r="D75" i="8" s="1"/>
  <c r="E73" i="8"/>
  <c r="B91" i="8" l="1"/>
  <c r="E88" i="8"/>
  <c r="E91" i="8" s="1"/>
  <c r="E93" i="8" s="1"/>
  <c r="E75" i="8"/>
  <c r="B93" i="8" l="1"/>
  <c r="C88" i="8" s="1"/>
  <c r="C91" i="8" l="1"/>
  <c r="C93" i="8" s="1"/>
  <c r="D88" i="8" l="1"/>
  <c r="D91" i="8" s="1"/>
  <c r="D93" i="8" s="1"/>
  <c r="D58" i="8" l="1"/>
  <c r="D76" i="8" s="1"/>
  <c r="E46" i="8"/>
  <c r="F40" i="8"/>
  <c r="F46" i="8" s="1"/>
  <c r="E58" i="8" l="1"/>
  <c r="E63" i="8" s="1"/>
  <c r="F46" i="10"/>
  <c r="D77" i="8"/>
  <c r="D63" i="8"/>
  <c r="E64" i="10" l="1"/>
  <c r="G40" i="10"/>
  <c r="G46" i="10" s="1"/>
  <c r="F77" i="10"/>
  <c r="F78" i="10" s="1"/>
  <c r="B130" i="10" s="1"/>
  <c r="B134" i="10" s="1"/>
  <c r="E77" i="8"/>
  <c r="F58" i="10" l="1"/>
  <c r="F64" i="10" s="1"/>
  <c r="B72" i="17" l="1"/>
  <c r="E72" i="17" s="1"/>
  <c r="E74" i="17" s="1"/>
  <c r="E76" i="17" s="1"/>
  <c r="B139" i="17"/>
  <c r="B74" i="17" l="1"/>
  <c r="B76" i="17" s="1"/>
  <c r="C72" i="17" s="1"/>
  <c r="C74" i="17" s="1"/>
  <c r="C76" i="17" s="1"/>
  <c r="D72" i="17" s="1"/>
  <c r="D74" i="17" s="1"/>
  <c r="D76" i="17" s="1"/>
</calcChain>
</file>

<file path=xl/comments1.xml><?xml version="1.0" encoding="utf-8"?>
<comments xmlns="http://schemas.openxmlformats.org/spreadsheetml/2006/main">
  <authors>
    <author>aanchia</author>
  </authors>
  <commentList>
    <comment ref="F118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aanchia:
Para año 2019 se debe limpiar este ajuste en la columna. Ajustes corresponden a reintegros realizados por asociaciones</t>
        </r>
      </text>
    </comment>
  </commentList>
</comments>
</file>

<file path=xl/comments2.xml><?xml version="1.0" encoding="utf-8"?>
<comments xmlns="http://schemas.openxmlformats.org/spreadsheetml/2006/main">
  <authors>
    <author>aanchia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en el reporte no se incluyeron 6 millones de la Muni de cartago
se actualizo hoy 4-3-2019
</t>
        </r>
      </text>
    </comment>
  </commentList>
</comments>
</file>

<file path=xl/comments3.xml><?xml version="1.0" encoding="utf-8"?>
<comments xmlns="http://schemas.openxmlformats.org/spreadsheetml/2006/main">
  <authors>
    <author>aanchia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<sst xmlns="http://schemas.openxmlformats.org/spreadsheetml/2006/main" count="1231" uniqueCount="180">
  <si>
    <t xml:space="preserve">Programa: </t>
  </si>
  <si>
    <t>Institución:</t>
  </si>
  <si>
    <t>Año:</t>
  </si>
  <si>
    <t>Enero</t>
  </si>
  <si>
    <t>Febrero</t>
  </si>
  <si>
    <t>Marzo</t>
  </si>
  <si>
    <t>I Trimestre</t>
  </si>
  <si>
    <t xml:space="preserve">4. </t>
  </si>
  <si>
    <t xml:space="preserve">5. 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</si>
  <si>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</si>
  <si>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</si>
  <si>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</si>
  <si>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</si>
  <si>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</si>
  <si>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</si>
  <si>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</si>
  <si>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</si>
  <si>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</si>
  <si>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</si>
  <si>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</si>
  <si>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FODESAF</t>
  </si>
  <si>
    <t>Consejo Nacional de la Persona del Adulto Mayor (CONAPAM)</t>
  </si>
  <si>
    <t>Construyendo Lazos de Solidaridad</t>
  </si>
  <si>
    <t>Subsidio para la atención adultos mayores institucionalizados (OBS)</t>
  </si>
  <si>
    <t>Subsidio para la atención diurna de adultos mayores (centros diurnos)</t>
  </si>
  <si>
    <t>Subsidio para la atención domiciliar de adultos mayores (OBS, municipalidades)</t>
  </si>
  <si>
    <t>1. Transferencias corrientes</t>
  </si>
  <si>
    <t>Abril</t>
  </si>
  <si>
    <t>Mayo</t>
  </si>
  <si>
    <t>Junio</t>
  </si>
  <si>
    <t>II Trimestre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</si>
  <si>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</si>
  <si>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</si>
  <si>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</si>
  <si>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</si>
  <si>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</si>
  <si>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Octubre</t>
  </si>
  <si>
    <t>Noviembre</t>
  </si>
  <si>
    <t>Diciembre</t>
  </si>
  <si>
    <t>IV Trimestre</t>
  </si>
  <si>
    <t>Anual</t>
  </si>
  <si>
    <t>I Semestre</t>
  </si>
  <si>
    <t>* El tercer porducto corresponde a red de cuido</t>
  </si>
  <si>
    <t>2. Transferencias corrientes (Red de Cuido)</t>
  </si>
  <si>
    <t>Cuadro 4.1</t>
  </si>
  <si>
    <t>Cuadro 4.2</t>
  </si>
  <si>
    <t>Reporte de gastos efectivos por objeto de gasto por el Fondo de Desarrollo Social y Asignaciones Familiares</t>
  </si>
  <si>
    <t>Periodo:</t>
  </si>
  <si>
    <t>Reporte de ingresos efectivos girados por el Fondo de Desarrollo Social y Asignaciones Familiares (Red de cuido)</t>
  </si>
  <si>
    <t>Reporte de ingresos efectivos girados por el Fondo de Desarrollo Social y Asignaciones Familiares (Red de Cuido)</t>
  </si>
  <si>
    <t>Unidad: Personas</t>
  </si>
  <si>
    <t>Pagados</t>
  </si>
  <si>
    <t>Unidad: Colones</t>
  </si>
  <si>
    <t>Período:</t>
  </si>
  <si>
    <t xml:space="preserve">Ingresos totales: </t>
  </si>
  <si>
    <t>Compromisos cancelados</t>
  </si>
  <si>
    <t>Pagos del período</t>
  </si>
  <si>
    <t>Setiembre</t>
  </si>
  <si>
    <t xml:space="preserve">Compromisos acumulados </t>
  </si>
  <si>
    <t>Pagados en el mes</t>
  </si>
  <si>
    <t>Pago de compromisos</t>
  </si>
  <si>
    <r>
      <t>Dirección Área Técnica.</t>
    </r>
    <r>
      <rPr>
        <b/>
        <sz val="11"/>
        <color indexed="8"/>
        <rFont val="Calibri"/>
        <family val="2"/>
      </rPr>
      <t xml:space="preserve"> Departamento de Evaluación y Seguimiento</t>
    </r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</si>
  <si>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</si>
  <si>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* El tercer producto corresponde a red de cuido</t>
  </si>
  <si>
    <t>Beneficio</t>
  </si>
  <si>
    <r>
      <t>I Trimestre</t>
    </r>
    <r>
      <rPr>
        <sz val="11"/>
        <color indexed="8"/>
        <rFont val="Calibri"/>
        <family val="2"/>
      </rPr>
      <t>¹</t>
    </r>
  </si>
  <si>
    <t>* El tercer porducto corresponde a red de cuido. 1/ El total de compromisos acumulados del trimestres son los pendientes de pago al último mes del período, los pagos realizados se promedian para obtener una aproximación de personas atendidas.</t>
  </si>
  <si>
    <t>Anual¹</t>
  </si>
  <si>
    <r>
      <t>I Semestre</t>
    </r>
    <r>
      <rPr>
        <sz val="11"/>
        <color indexed="8"/>
        <rFont val="Calibri"/>
        <family val="2"/>
      </rPr>
      <t>¹</t>
    </r>
  </si>
  <si>
    <r>
      <t>IV Trimestre</t>
    </r>
    <r>
      <rPr>
        <sz val="11"/>
        <color indexed="8"/>
        <rFont val="Calibri"/>
        <family val="2"/>
      </rPr>
      <t>¹</t>
    </r>
  </si>
  <si>
    <r>
      <t>III Trimestre</t>
    </r>
    <r>
      <rPr>
        <sz val="11"/>
        <color indexed="8"/>
        <rFont val="Calibri"/>
        <family val="2"/>
      </rPr>
      <t>¹</t>
    </r>
  </si>
  <si>
    <r>
      <t>II Trimestre</t>
    </r>
    <r>
      <rPr>
        <sz val="11"/>
        <color indexed="8"/>
        <rFont val="Calibri"/>
        <family val="2"/>
      </rPr>
      <t>¹</t>
    </r>
  </si>
  <si>
    <t>Fuente: Unidad de Fiscalizacion Operativa del CONAPAM</t>
  </si>
  <si>
    <t>Fuente:  Unidad de Fiscalizacion Operativa del CONAPAM</t>
  </si>
  <si>
    <t>Fuente:Unidad de Fiscalizacion Operativa del CONAPAM</t>
  </si>
  <si>
    <t>Subsidio para la atención domiciliar de adultos mayores (Abandonados)</t>
  </si>
  <si>
    <t>3. Transferencias corrientes (Red de Cuido Abandonados)</t>
  </si>
  <si>
    <t>Ingresos efectivos Abandonados</t>
  </si>
  <si>
    <t>Reporte de ingresos efectivos girados por el Fondo de Desarrollo Social y Asignaciones Familiares (Hogares y CD)</t>
  </si>
  <si>
    <t>Nota: El ingreso efectivo del cuadro 4.2 contiene el ingreso de la modalidad de Red de Cuido y Abandonados</t>
  </si>
  <si>
    <t xml:space="preserve">Fecha de actualización: </t>
  </si>
  <si>
    <r>
      <t xml:space="preserve">1. Saldo en caja inicial  (5 </t>
    </r>
    <r>
      <rPr>
        <sz val="11"/>
        <color indexed="8"/>
        <rFont val="Calibri"/>
        <family val="2"/>
      </rPr>
      <t>t-1)  (Red de Cuido)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</si>
  <si>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(Abandonados)</t>
    </r>
  </si>
  <si>
    <t>Abandonados</t>
  </si>
  <si>
    <t xml:space="preserve">    Ley N° 8783 FODESAF Abandonados y Agredidos  </t>
  </si>
  <si>
    <t>Descripción</t>
  </si>
  <si>
    <t>Saldo Final Según Unidad F.</t>
  </si>
  <si>
    <t>Subsidio para la atención adultos mayores institucionalizados (OBS-Hogar)</t>
  </si>
  <si>
    <t>2. Ingresos efectivos recibidos(red cuido)</t>
  </si>
  <si>
    <t>S</t>
  </si>
  <si>
    <t>Tercer Trimestre 2019</t>
  </si>
  <si>
    <t>Fecha de actualización:  16-10-2019</t>
  </si>
  <si>
    <t>Fecha de actualización:  22-01-2020</t>
  </si>
  <si>
    <t>2. Ingresos efectivos recibidos(Red cuido)</t>
  </si>
  <si>
    <t>Cuarto Trimestre 2019</t>
  </si>
  <si>
    <t>Red de Cuido</t>
  </si>
  <si>
    <t>Proyecto</t>
  </si>
  <si>
    <t>Proyectos</t>
  </si>
  <si>
    <t>Superavit año 2019</t>
  </si>
  <si>
    <t>Total superavit 2019</t>
  </si>
  <si>
    <t>Fecha de actualización: 14/01/2020</t>
  </si>
  <si>
    <t>Primer Trimestre 2020</t>
  </si>
  <si>
    <t xml:space="preserve"> Subsidio Personas de 65 años o más en Abandono</t>
  </si>
  <si>
    <t>Subsidio Red de Cuido (OBS, Municipalidades)</t>
  </si>
  <si>
    <t>1. Transferencias corrientes (Hogar)</t>
  </si>
  <si>
    <t>2. Transferencias corrientes (Centro Diurno)</t>
  </si>
  <si>
    <t>3. Transferencias corrientes (Red de Cuido(OBS,Municipalidades))</t>
  </si>
  <si>
    <t>4. Transferencias corrientes ( Abandonados)</t>
  </si>
  <si>
    <t>Reporte de ingresos efectivos girados por el Fondo de Desarrollo Social y Asignaciones Familiares (Centros Diurnos)</t>
  </si>
  <si>
    <t>Cuadro 4.3</t>
  </si>
  <si>
    <t>Reporte de ingresos efectivos girados por el Fondo de Desarrollo Social y Asignaciones Familiares (Hogares)</t>
  </si>
  <si>
    <t>Reporte de ingresos efectivos girados por el Fondo de Desarrollo Social y Asignaciones Familiares (Abandonados)</t>
  </si>
  <si>
    <t>Cuadro 4.4</t>
  </si>
  <si>
    <r>
      <t xml:space="preserve">1. Saldo en caja inicial  (5 </t>
    </r>
    <r>
      <rPr>
        <sz val="11"/>
        <color indexed="8"/>
        <rFont val="Calibri"/>
        <family val="2"/>
      </rPr>
      <t>t-1)  (Hogares)</t>
    </r>
  </si>
  <si>
    <r>
      <t xml:space="preserve">1. Saldo en caja inicial  (5 </t>
    </r>
    <r>
      <rPr>
        <sz val="11"/>
        <color indexed="8"/>
        <rFont val="Calibri"/>
        <family val="2"/>
      </rPr>
      <t>t-1)  (Centros Diurnos)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</si>
  <si>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(Abandonados-CONAPDIS)</t>
    </r>
  </si>
  <si>
    <t>Red De Cuido</t>
  </si>
  <si>
    <t>Detalle</t>
  </si>
  <si>
    <t>Total Presupuestado Enero-2020</t>
  </si>
  <si>
    <t>Necedades Básicas Hogar</t>
  </si>
  <si>
    <t>Necesidades Básicas. Centros Diurnos</t>
  </si>
  <si>
    <t>ENERO</t>
  </si>
  <si>
    <t>FEBRERO</t>
  </si>
  <si>
    <t>MARZO</t>
  </si>
  <si>
    <t>I TRIMESTRE</t>
  </si>
  <si>
    <t>PAM PROGRAMATICAS X MES</t>
  </si>
  <si>
    <t xml:space="preserve"> Subsidio Personas de 65 años o más en Abandonados</t>
  </si>
  <si>
    <t>TRANSFERENCIAS RECIBIDAs POR FODESAF I TRIMESTRE 2020</t>
  </si>
  <si>
    <t>Segundo Trimestre 2020</t>
  </si>
  <si>
    <t>II Trimestre 2020</t>
  </si>
  <si>
    <t>Total Presupuestado abril-2020</t>
  </si>
  <si>
    <t>Saldo Inicial 01-04-2020</t>
  </si>
  <si>
    <t>Fecha de actualización: 01/04/2020</t>
  </si>
  <si>
    <t>TRANSFERENCIAS RECIBIDAs POR FODESAF II TRIMESTRE 2020</t>
  </si>
  <si>
    <t>ABRIL</t>
  </si>
  <si>
    <t>MAYO</t>
  </si>
  <si>
    <t>JUNIO</t>
  </si>
  <si>
    <t>II TRIMESTRE</t>
  </si>
  <si>
    <t>Subsidio para la atención adultos mayores institucionalizados (Hogares)</t>
  </si>
  <si>
    <t>Subsidio para la atención adultos mayores institucionalizados (Hogares-OBS)</t>
  </si>
  <si>
    <t>IIII TRIMESTRE 2020</t>
  </si>
  <si>
    <t>IIII TRIMESTRE¹</t>
  </si>
  <si>
    <t>IIII TRIMESTRE</t>
  </si>
  <si>
    <t>TRANSFERENCIAS RECIBIDAs POR FODESAF IIII TRIMESTRE 2020</t>
  </si>
  <si>
    <t>Saldo Inicial 01-07-2020</t>
  </si>
  <si>
    <t>Fecha de actualización: 01/07/2020</t>
  </si>
  <si>
    <t>JULIO</t>
  </si>
  <si>
    <t>AGOSTO</t>
  </si>
  <si>
    <t>SEPTIEMBRE</t>
  </si>
  <si>
    <t>Septiembre</t>
  </si>
  <si>
    <t>Total saldo al 1-07-2020</t>
  </si>
  <si>
    <t>IV TRIMESTRE 2020</t>
  </si>
  <si>
    <t>IV TRIMESTRE¹</t>
  </si>
  <si>
    <t>IV TRIMESTRE</t>
  </si>
  <si>
    <t>Total saldo al 30-09-2020</t>
  </si>
  <si>
    <t>TRANSFERENCIAS RECIBIDAs POR FODESAF IV TRIMESTRE 2020</t>
  </si>
  <si>
    <t>Fecha de actualización:14/01/2021</t>
  </si>
  <si>
    <t>Saldo al 31-12-2020</t>
  </si>
  <si>
    <t>Saldo Final al 30-09-2020</t>
  </si>
  <si>
    <t>III TRIMESTRE</t>
  </si>
  <si>
    <t>Primer Semestre 2020</t>
  </si>
  <si>
    <t>1. Transferencias corrientes(Hogar)</t>
  </si>
  <si>
    <t>1. Transferencias corrientes (Centro Diurno)</t>
  </si>
  <si>
    <t>Fecha de actualización:  15-01-2021</t>
  </si>
  <si>
    <t>1. Transferencias corrientes(Hogares)</t>
  </si>
  <si>
    <t>1. Transferencias corrientes(Centros Diurnos)</t>
  </si>
  <si>
    <t>Remanentes al 31-12-2020</t>
  </si>
  <si>
    <t xml:space="preserve">    Ley N° 8783 FODESAF  Necesidades Básicas (Centros Diurnos)</t>
  </si>
  <si>
    <r>
      <t xml:space="preserve">    Ley N° 8783 FODESAF  Necesidades Básicas (Hogares) (</t>
    </r>
    <r>
      <rPr>
        <sz val="11"/>
        <color rgb="FFFF0000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)</t>
    </r>
  </si>
  <si>
    <r>
      <t xml:space="preserve">    Ley N° 8783 FODESAF  Red de Cuido (</t>
    </r>
    <r>
      <rPr>
        <sz val="11"/>
        <color rgb="FFFF0000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)</t>
    </r>
  </si>
  <si>
    <t>Superav 2020</t>
  </si>
  <si>
    <t>Reintegros</t>
  </si>
  <si>
    <t>Los reintegros son los siguientes:</t>
  </si>
  <si>
    <t>1. Hogar de Ancianos Julia Bolaños Valverde- Red de Cuido</t>
  </si>
  <si>
    <t>2. Hogar de Tilarán - Necesidades Basicas ( Hogar y CD)</t>
  </si>
  <si>
    <t>3. Intereses Generados en la Cuenta BNCR Conapam -Fodesaf 2002 - Red C</t>
  </si>
  <si>
    <t>4. Municipalidad de Puntarenas</t>
  </si>
  <si>
    <r>
      <rPr>
        <u val="singleAccounting"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: El remanente incluye superavit 2019, más transferencias de Fodesaf 2020</t>
    </r>
  </si>
  <si>
    <t>Total Reintegros no reflejados en el saldo de remantes de indicadores</t>
  </si>
  <si>
    <r>
      <rPr>
        <b/>
        <u val="singleAccounting"/>
        <sz val="11"/>
        <color theme="1"/>
        <rFont val="Calibri"/>
        <family val="2"/>
        <scheme val="minor"/>
      </rPr>
      <t>Nota 2</t>
    </r>
    <r>
      <rPr>
        <b/>
        <sz val="11"/>
        <color theme="1"/>
        <rFont val="Calibri"/>
        <family val="2"/>
        <scheme val="minor"/>
      </rPr>
      <t>: Durante el año 2020 varias Asociaciones hicieros reintegros a la cuentas de CONAPAM por mal ejecución de recursos transferidos. Estos Reintegros quedan como superavit 2020 y no están incluidos en los remanes finales de indicadores al 31-12-2020.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</si>
</sst>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0000_);_(* \(#,##0.00000\);_(* &quot;-&quot;??_);_(@_)"/>
    <numFmt numFmtId="167" formatCode="#,##0.00_ ;\-#,##0.00\ "/>
    <numFmt numFmtId="168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rgb="FF666666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E9F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41" fontId="3" fillId="0" borderId="0" applyFont="0" applyFill="0" applyBorder="0" applyAlignment="0" applyProtection="0"/>
  </cellStyleXfs>
  <cellXfs count="294">
    <xf numFmtId="0" fontId="0" fillId="0" borderId="0" xfId="0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Alignment="1"/>
    <xf numFmtId="165" fontId="5" fillId="0" borderId="0" xfId="1" applyNumberFormat="1" applyFont="1" applyFill="1" applyAlignment="1">
      <alignment horizontal="left"/>
    </xf>
    <xf numFmtId="165" fontId="5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Alignment="1"/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5" fillId="0" borderId="0" xfId="1" applyNumberFormat="1" applyFont="1"/>
    <xf numFmtId="165" fontId="5" fillId="0" borderId="0" xfId="1" applyNumberFormat="1" applyFont="1" applyAlignment="1">
      <alignment horizontal="left"/>
    </xf>
    <xf numFmtId="165" fontId="3" fillId="0" borderId="4" xfId="1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/>
    </xf>
    <xf numFmtId="165" fontId="3" fillId="0" borderId="3" xfId="1" applyNumberFormat="1" applyFont="1" applyFill="1" applyBorder="1"/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Fill="1"/>
    <xf numFmtId="165" fontId="4" fillId="0" borderId="0" xfId="1" applyNumberFormat="1" applyFont="1"/>
    <xf numFmtId="165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/>
    <xf numFmtId="165" fontId="3" fillId="0" borderId="2" xfId="1" applyNumberFormat="1" applyFont="1" applyFill="1" applyBorder="1" applyAlignment="1">
      <alignment horizontal="center" wrapText="1"/>
    </xf>
    <xf numFmtId="165" fontId="5" fillId="0" borderId="0" xfId="1" applyNumberFormat="1" applyFont="1" applyFill="1"/>
    <xf numFmtId="4" fontId="0" fillId="0" borderId="0" xfId="0" applyNumberFormat="1" applyFont="1" applyFill="1"/>
    <xf numFmtId="4" fontId="5" fillId="0" borderId="0" xfId="0" applyNumberFormat="1" applyFont="1" applyFill="1"/>
    <xf numFmtId="1" fontId="5" fillId="0" borderId="0" xfId="1" applyNumberFormat="1" applyFont="1" applyAlignment="1">
      <alignment horizontal="left"/>
    </xf>
    <xf numFmtId="165" fontId="3" fillId="0" borderId="2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/>
    <xf numFmtId="165" fontId="7" fillId="0" borderId="2" xfId="1" applyNumberFormat="1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 applyFont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wrapText="1"/>
    </xf>
    <xf numFmtId="165" fontId="4" fillId="0" borderId="0" xfId="1" applyNumberFormat="1" applyFont="1" applyBorder="1"/>
    <xf numFmtId="165" fontId="8" fillId="0" borderId="0" xfId="1" applyNumberFormat="1" applyFont="1" applyFill="1"/>
    <xf numFmtId="165" fontId="8" fillId="0" borderId="0" xfId="1" applyNumberFormat="1" applyFont="1"/>
    <xf numFmtId="37" fontId="3" fillId="0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wrapText="1"/>
    </xf>
    <xf numFmtId="165" fontId="3" fillId="0" borderId="3" xfId="1" applyNumberFormat="1" applyFont="1" applyFill="1" applyBorder="1" applyAlignment="1">
      <alignment horizontal="right" vertical="center" wrapText="1"/>
    </xf>
    <xf numFmtId="37" fontId="3" fillId="0" borderId="0" xfId="1" applyNumberFormat="1" applyFont="1" applyAlignment="1">
      <alignment horizontal="right" vertical="center"/>
    </xf>
    <xf numFmtId="37" fontId="3" fillId="0" borderId="0" xfId="1" applyNumberFormat="1" applyFont="1" applyFill="1" applyAlignment="1">
      <alignment horizontal="right" vertical="center"/>
    </xf>
    <xf numFmtId="37" fontId="3" fillId="0" borderId="0" xfId="1" applyNumberFormat="1" applyFont="1" applyFill="1" applyAlignment="1">
      <alignment horizontal="right"/>
    </xf>
    <xf numFmtId="37" fontId="3" fillId="0" borderId="3" xfId="1" applyNumberFormat="1" applyFont="1" applyBorder="1" applyAlignment="1">
      <alignment horizontal="right" vertical="center"/>
    </xf>
    <xf numFmtId="37" fontId="3" fillId="0" borderId="0" xfId="1" applyNumberFormat="1" applyFont="1" applyAlignment="1">
      <alignment vertical="center"/>
    </xf>
    <xf numFmtId="37" fontId="3" fillId="0" borderId="0" xfId="1" applyNumberFormat="1" applyFont="1" applyFill="1" applyAlignment="1">
      <alignment vertical="center"/>
    </xf>
    <xf numFmtId="37" fontId="3" fillId="0" borderId="3" xfId="1" applyNumberFormat="1" applyFont="1" applyBorder="1" applyAlignment="1">
      <alignment vertical="center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ont="1" applyFill="1"/>
    <xf numFmtId="0" fontId="10" fillId="0" borderId="0" xfId="0" applyFont="1" applyAlignment="1">
      <alignment horizontal="center"/>
    </xf>
    <xf numFmtId="37" fontId="3" fillId="0" borderId="0" xfId="1" applyNumberFormat="1" applyFont="1"/>
    <xf numFmtId="3" fontId="3" fillId="0" borderId="0" xfId="1" applyNumberFormat="1" applyFont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3" fillId="0" borderId="0" xfId="1" applyNumberFormat="1" applyFont="1" applyBorder="1" applyAlignment="1">
      <alignment horizontal="right" vertical="center"/>
    </xf>
    <xf numFmtId="37" fontId="3" fillId="0" borderId="3" xfId="1" applyNumberFormat="1" applyFont="1" applyBorder="1"/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4" fontId="3" fillId="0" borderId="0" xfId="1" applyFont="1"/>
    <xf numFmtId="165" fontId="3" fillId="2" borderId="0" xfId="1" applyNumberFormat="1" applyFont="1" applyFill="1" applyAlignment="1">
      <alignment wrapText="1"/>
    </xf>
    <xf numFmtId="165" fontId="5" fillId="2" borderId="1" xfId="1" applyNumberFormat="1" applyFont="1" applyFill="1" applyBorder="1" applyAlignment="1">
      <alignment horizontal="center" wrapText="1"/>
    </xf>
    <xf numFmtId="165" fontId="3" fillId="2" borderId="4" xfId="1" applyNumberFormat="1" applyFont="1" applyFill="1" applyBorder="1" applyAlignment="1">
      <alignment horizontal="center" wrapText="1"/>
    </xf>
    <xf numFmtId="165" fontId="3" fillId="2" borderId="0" xfId="1" applyNumberFormat="1" applyFont="1" applyFill="1" applyAlignment="1">
      <alignment horizontal="center" vertical="center" wrapText="1"/>
    </xf>
    <xf numFmtId="37" fontId="8" fillId="2" borderId="0" xfId="1" applyNumberFormat="1" applyFont="1" applyFill="1" applyAlignment="1">
      <alignment horizontal="right" vertical="center" wrapText="1"/>
    </xf>
    <xf numFmtId="37" fontId="9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/>
    <xf numFmtId="165" fontId="3" fillId="2" borderId="0" xfId="1" applyNumberFormat="1" applyFont="1" applyFill="1" applyBorder="1" applyAlignment="1">
      <alignment wrapText="1"/>
    </xf>
    <xf numFmtId="37" fontId="8" fillId="2" borderId="0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165" fontId="5" fillId="2" borderId="0" xfId="1" applyNumberFormat="1" applyFont="1" applyFill="1" applyAlignment="1">
      <alignment wrapText="1"/>
    </xf>
    <xf numFmtId="37" fontId="8" fillId="2" borderId="0" xfId="1" applyNumberFormat="1" applyFont="1" applyFill="1" applyBorder="1" applyAlignment="1">
      <alignment horizontal="right" wrapText="1"/>
    </xf>
    <xf numFmtId="165" fontId="3" fillId="2" borderId="3" xfId="1" applyNumberFormat="1" applyFont="1" applyFill="1" applyBorder="1" applyAlignment="1">
      <alignment horizontal="center" wrapText="1"/>
    </xf>
    <xf numFmtId="0" fontId="0" fillId="2" borderId="5" xfId="0" applyFill="1" applyBorder="1"/>
    <xf numFmtId="4" fontId="0" fillId="2" borderId="5" xfId="0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5" fontId="0" fillId="2" borderId="0" xfId="1" applyNumberFormat="1" applyFont="1" applyFill="1" applyAlignment="1">
      <alignment wrapText="1"/>
    </xf>
    <xf numFmtId="37" fontId="3" fillId="3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164" fontId="3" fillId="0" borderId="0" xfId="1" applyNumberFormat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3" fillId="0" borderId="8" xfId="1" applyNumberFormat="1" applyFont="1" applyBorder="1"/>
    <xf numFmtId="37" fontId="0" fillId="3" borderId="0" xfId="1" applyNumberFormat="1" applyFont="1" applyFill="1" applyAlignment="1">
      <alignment horizontal="right" vertical="center"/>
    </xf>
    <xf numFmtId="165" fontId="5" fillId="0" borderId="5" xfId="1" applyNumberFormat="1" applyFont="1" applyBorder="1"/>
    <xf numFmtId="165" fontId="3" fillId="0" borderId="10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 applyAlignment="1">
      <alignment wrapText="1"/>
    </xf>
    <xf numFmtId="37" fontId="3" fillId="0" borderId="0" xfId="1" applyNumberFormat="1" applyFont="1" applyFill="1" applyBorder="1" applyAlignment="1">
      <alignment horizontal="right" vertical="center" wrapText="1"/>
    </xf>
    <xf numFmtId="165" fontId="3" fillId="0" borderId="14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37" fontId="3" fillId="0" borderId="12" xfId="1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wrapText="1"/>
    </xf>
    <xf numFmtId="37" fontId="3" fillId="0" borderId="14" xfId="1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wrapText="1"/>
    </xf>
    <xf numFmtId="37" fontId="3" fillId="0" borderId="16" xfId="1" applyNumberFormat="1" applyFont="1" applyFill="1" applyBorder="1" applyAlignment="1">
      <alignment horizontal="right" wrapText="1"/>
    </xf>
    <xf numFmtId="165" fontId="3" fillId="0" borderId="10" xfId="1" applyNumberFormat="1" applyFont="1" applyFill="1" applyBorder="1" applyAlignment="1">
      <alignment horizontal="left" wrapText="1"/>
    </xf>
    <xf numFmtId="165" fontId="3" fillId="0" borderId="11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wrapText="1"/>
    </xf>
    <xf numFmtId="0" fontId="10" fillId="0" borderId="10" xfId="0" applyFont="1" applyBorder="1" applyAlignment="1">
      <alignment horizontal="left"/>
    </xf>
    <xf numFmtId="4" fontId="0" fillId="0" borderId="11" xfId="0" applyNumberFormat="1" applyFont="1" applyBorder="1"/>
    <xf numFmtId="0" fontId="10" fillId="0" borderId="15" xfId="0" applyFont="1" applyBorder="1" applyAlignment="1">
      <alignment horizontal="left"/>
    </xf>
    <xf numFmtId="4" fontId="0" fillId="0" borderId="1" xfId="0" applyNumberFormat="1" applyFont="1" applyBorder="1"/>
    <xf numFmtId="165" fontId="3" fillId="5" borderId="0" xfId="1" applyNumberFormat="1" applyFont="1" applyFill="1" applyBorder="1" applyAlignment="1">
      <alignment wrapText="1"/>
    </xf>
    <xf numFmtId="37" fontId="3" fillId="5" borderId="0" xfId="1" applyNumberFormat="1" applyFont="1" applyFill="1" applyAlignment="1">
      <alignment horizontal="right"/>
    </xf>
    <xf numFmtId="37" fontId="3" fillId="5" borderId="0" xfId="1" applyNumberFormat="1" applyFont="1" applyFill="1" applyAlignment="1">
      <alignment horizontal="right" vertical="center"/>
    </xf>
    <xf numFmtId="165" fontId="3" fillId="5" borderId="0" xfId="1" applyNumberFormat="1" applyFont="1" applyFill="1" applyAlignment="1">
      <alignment horizontal="left"/>
    </xf>
    <xf numFmtId="165" fontId="3" fillId="5" borderId="0" xfId="1" applyNumberFormat="1" applyFont="1" applyFill="1"/>
    <xf numFmtId="37" fontId="3" fillId="5" borderId="0" xfId="1" applyNumberFormat="1" applyFont="1" applyFill="1" applyAlignment="1">
      <alignment vertical="center"/>
    </xf>
    <xf numFmtId="37" fontId="0" fillId="0" borderId="0" xfId="1" applyNumberFormat="1" applyFont="1" applyFill="1" applyAlignment="1">
      <alignment vertical="center"/>
    </xf>
    <xf numFmtId="165" fontId="3" fillId="4" borderId="0" xfId="1" applyNumberFormat="1" applyFont="1" applyFill="1" applyBorder="1" applyAlignment="1">
      <alignment wrapText="1"/>
    </xf>
    <xf numFmtId="165" fontId="3" fillId="4" borderId="0" xfId="1" applyNumberFormat="1" applyFont="1" applyFill="1"/>
    <xf numFmtId="165" fontId="3" fillId="6" borderId="0" xfId="1" applyNumberFormat="1" applyFont="1" applyFill="1" applyBorder="1" applyAlignment="1">
      <alignment wrapText="1"/>
    </xf>
    <xf numFmtId="165" fontId="3" fillId="6" borderId="0" xfId="1" applyNumberFormat="1" applyFont="1" applyFill="1"/>
    <xf numFmtId="165" fontId="8" fillId="6" borderId="0" xfId="1" applyNumberFormat="1" applyFont="1" applyFill="1"/>
    <xf numFmtId="0" fontId="10" fillId="7" borderId="0" xfId="0" applyFont="1" applyFill="1" applyAlignment="1">
      <alignment horizontal="center"/>
    </xf>
    <xf numFmtId="0" fontId="0" fillId="7" borderId="0" xfId="0" applyFill="1" applyBorder="1" applyAlignment="1">
      <alignment wrapText="1"/>
    </xf>
    <xf numFmtId="37" fontId="3" fillId="7" borderId="0" xfId="1" applyNumberFormat="1" applyFont="1" applyFill="1"/>
    <xf numFmtId="0" fontId="0" fillId="7" borderId="0" xfId="0" applyFont="1" applyFill="1"/>
    <xf numFmtId="165" fontId="3" fillId="7" borderId="0" xfId="1" applyNumberFormat="1" applyFont="1" applyFill="1" applyBorder="1" applyAlignment="1">
      <alignment wrapText="1"/>
    </xf>
    <xf numFmtId="165" fontId="3" fillId="7" borderId="0" xfId="1" applyNumberFormat="1" applyFont="1" applyFill="1"/>
    <xf numFmtId="165" fontId="8" fillId="7" borderId="0" xfId="1" applyNumberFormat="1" applyFont="1" applyFill="1"/>
    <xf numFmtId="37" fontId="3" fillId="4" borderId="0" xfId="1" applyNumberFormat="1" applyFont="1" applyFill="1"/>
    <xf numFmtId="165" fontId="3" fillId="8" borderId="0" xfId="1" applyNumberFormat="1" applyFont="1" applyFill="1" applyBorder="1" applyAlignment="1">
      <alignment wrapText="1"/>
    </xf>
    <xf numFmtId="0" fontId="0" fillId="8" borderId="0" xfId="0" applyFont="1" applyFill="1"/>
    <xf numFmtId="165" fontId="8" fillId="8" borderId="0" xfId="1" applyNumberFormat="1" applyFont="1" applyFill="1"/>
    <xf numFmtId="0" fontId="0" fillId="5" borderId="0" xfId="0" applyFont="1" applyFill="1"/>
    <xf numFmtId="165" fontId="8" fillId="5" borderId="0" xfId="1" applyNumberFormat="1" applyFont="1" applyFill="1"/>
    <xf numFmtId="165" fontId="3" fillId="8" borderId="0" xfId="1" applyNumberFormat="1" applyFont="1" applyFill="1"/>
    <xf numFmtId="0" fontId="10" fillId="9" borderId="0" xfId="0" applyFont="1" applyFill="1" applyAlignment="1">
      <alignment horizontal="center"/>
    </xf>
    <xf numFmtId="0" fontId="0" fillId="9" borderId="0" xfId="0" applyFill="1" applyBorder="1" applyAlignment="1">
      <alignment wrapText="1"/>
    </xf>
    <xf numFmtId="0" fontId="0" fillId="9" borderId="0" xfId="0" applyFont="1" applyFill="1"/>
    <xf numFmtId="165" fontId="3" fillId="9" borderId="0" xfId="1" applyNumberFormat="1" applyFont="1" applyFill="1"/>
    <xf numFmtId="165" fontId="8" fillId="9" borderId="0" xfId="1" applyNumberFormat="1" applyFont="1" applyFill="1"/>
    <xf numFmtId="4" fontId="0" fillId="9" borderId="0" xfId="0" applyNumberFormat="1" applyFont="1" applyFill="1"/>
    <xf numFmtId="0" fontId="10" fillId="9" borderId="0" xfId="0" applyFont="1" applyFill="1" applyAlignment="1">
      <alignment horizontal="left"/>
    </xf>
    <xf numFmtId="37" fontId="3" fillId="9" borderId="0" xfId="1" applyNumberFormat="1" applyFont="1" applyFill="1"/>
    <xf numFmtId="165" fontId="3" fillId="10" borderId="0" xfId="1" applyNumberFormat="1" applyFont="1" applyFill="1" applyAlignment="1">
      <alignment horizontal="left"/>
    </xf>
    <xf numFmtId="165" fontId="3" fillId="10" borderId="0" xfId="1" applyNumberFormat="1" applyFont="1" applyFill="1"/>
    <xf numFmtId="4" fontId="0" fillId="10" borderId="0" xfId="0" applyNumberFormat="1" applyFont="1" applyFill="1"/>
    <xf numFmtId="4" fontId="3" fillId="10" borderId="0" xfId="1" applyNumberFormat="1" applyFont="1" applyFill="1"/>
    <xf numFmtId="4" fontId="3" fillId="5" borderId="0" xfId="1" applyNumberFormat="1" applyFont="1" applyFill="1"/>
    <xf numFmtId="164" fontId="0" fillId="0" borderId="0" xfId="1" applyFont="1" applyFill="1"/>
    <xf numFmtId="4" fontId="14" fillId="0" borderId="0" xfId="2" applyNumberFormat="1" applyFont="1" applyFill="1" applyBorder="1" applyAlignment="1"/>
    <xf numFmtId="164" fontId="3" fillId="0" borderId="0" xfId="1" applyFont="1" applyFill="1" applyAlignment="1">
      <alignment wrapText="1"/>
    </xf>
    <xf numFmtId="4" fontId="0" fillId="10" borderId="0" xfId="0" applyNumberFormat="1" applyFill="1"/>
    <xf numFmtId="37" fontId="0" fillId="0" borderId="1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center"/>
    </xf>
    <xf numFmtId="165" fontId="3" fillId="5" borderId="10" xfId="1" applyNumberFormat="1" applyFont="1" applyFill="1" applyBorder="1" applyAlignment="1">
      <alignment horizontal="left" wrapText="1"/>
    </xf>
    <xf numFmtId="165" fontId="3" fillId="5" borderId="11" xfId="1" applyNumberFormat="1" applyFont="1" applyFill="1" applyBorder="1" applyAlignment="1">
      <alignment wrapText="1"/>
    </xf>
    <xf numFmtId="37" fontId="3" fillId="5" borderId="11" xfId="1" applyNumberFormat="1" applyFont="1" applyFill="1" applyBorder="1" applyAlignment="1">
      <alignment horizontal="right" wrapText="1"/>
    </xf>
    <xf numFmtId="37" fontId="3" fillId="5" borderId="12" xfId="1" applyNumberFormat="1" applyFont="1" applyFill="1" applyBorder="1" applyAlignment="1">
      <alignment horizontal="right" wrapText="1"/>
    </xf>
    <xf numFmtId="165" fontId="3" fillId="5" borderId="15" xfId="1" applyNumberFormat="1" applyFont="1" applyFill="1" applyBorder="1" applyAlignment="1">
      <alignment horizontal="left" wrapText="1"/>
    </xf>
    <xf numFmtId="165" fontId="3" fillId="5" borderId="1" xfId="1" applyNumberFormat="1" applyFont="1" applyFill="1" applyBorder="1" applyAlignment="1">
      <alignment wrapText="1"/>
    </xf>
    <xf numFmtId="37" fontId="3" fillId="5" borderId="1" xfId="1" applyNumberFormat="1" applyFont="1" applyFill="1" applyBorder="1" applyAlignment="1">
      <alignment horizontal="right" wrapText="1"/>
    </xf>
    <xf numFmtId="37" fontId="3" fillId="5" borderId="16" xfId="1" applyNumberFormat="1" applyFont="1" applyFill="1" applyBorder="1" applyAlignment="1">
      <alignment horizontal="right" wrapText="1"/>
    </xf>
    <xf numFmtId="165" fontId="3" fillId="11" borderId="10" xfId="1" applyNumberFormat="1" applyFont="1" applyFill="1" applyBorder="1" applyAlignment="1">
      <alignment horizontal="left" wrapText="1"/>
    </xf>
    <xf numFmtId="165" fontId="3" fillId="11" borderId="11" xfId="1" applyNumberFormat="1" applyFont="1" applyFill="1" applyBorder="1" applyAlignment="1">
      <alignment wrapText="1"/>
    </xf>
    <xf numFmtId="37" fontId="3" fillId="11" borderId="11" xfId="1" applyNumberFormat="1" applyFont="1" applyFill="1" applyBorder="1" applyAlignment="1">
      <alignment horizontal="right" wrapText="1"/>
    </xf>
    <xf numFmtId="37" fontId="3" fillId="11" borderId="12" xfId="1" applyNumberFormat="1" applyFont="1" applyFill="1" applyBorder="1" applyAlignment="1">
      <alignment horizontal="right" wrapText="1"/>
    </xf>
    <xf numFmtId="165" fontId="3" fillId="11" borderId="15" xfId="1" applyNumberFormat="1" applyFont="1" applyFill="1" applyBorder="1" applyAlignment="1">
      <alignment horizontal="left" wrapText="1"/>
    </xf>
    <xf numFmtId="165" fontId="3" fillId="11" borderId="1" xfId="1" applyNumberFormat="1" applyFont="1" applyFill="1" applyBorder="1" applyAlignment="1">
      <alignment wrapText="1"/>
    </xf>
    <xf numFmtId="37" fontId="3" fillId="11" borderId="1" xfId="1" applyNumberFormat="1" applyFont="1" applyFill="1" applyBorder="1" applyAlignment="1">
      <alignment horizontal="right" wrapText="1"/>
    </xf>
    <xf numFmtId="37" fontId="3" fillId="11" borderId="16" xfId="1" applyNumberFormat="1" applyFont="1" applyFill="1" applyBorder="1" applyAlignment="1">
      <alignment horizontal="right" wrapText="1"/>
    </xf>
    <xf numFmtId="165" fontId="0" fillId="0" borderId="0" xfId="1" applyNumberFormat="1" applyFont="1" applyFill="1" applyAlignment="1">
      <alignment wrapText="1"/>
    </xf>
    <xf numFmtId="164" fontId="15" fillId="12" borderId="0" xfId="1" applyFont="1" applyFill="1" applyAlignment="1">
      <alignment horizontal="right" wrapText="1"/>
    </xf>
    <xf numFmtId="164" fontId="16" fillId="13" borderId="0" xfId="1" applyFont="1" applyFill="1" applyBorder="1"/>
    <xf numFmtId="164" fontId="3" fillId="0" borderId="5" xfId="1" applyFont="1" applyFill="1" applyBorder="1"/>
    <xf numFmtId="164" fontId="3" fillId="0" borderId="8" xfId="1" applyFont="1" applyFill="1" applyBorder="1"/>
    <xf numFmtId="164" fontId="5" fillId="0" borderId="2" xfId="1" applyFont="1" applyBorder="1"/>
    <xf numFmtId="37" fontId="3" fillId="13" borderId="0" xfId="1" applyNumberFormat="1" applyFont="1" applyFill="1" applyAlignment="1">
      <alignment horizontal="right" vertical="center"/>
    </xf>
    <xf numFmtId="165" fontId="3" fillId="0" borderId="1" xfId="1" applyNumberFormat="1" applyFont="1" applyBorder="1"/>
    <xf numFmtId="164" fontId="3" fillId="0" borderId="1" xfId="1" applyFont="1" applyBorder="1"/>
    <xf numFmtId="4" fontId="0" fillId="13" borderId="0" xfId="0" applyNumberFormat="1" applyFill="1"/>
    <xf numFmtId="165" fontId="3" fillId="13" borderId="1" xfId="1" applyNumberFormat="1" applyFont="1" applyFill="1" applyBorder="1"/>
    <xf numFmtId="164" fontId="3" fillId="13" borderId="1" xfId="1" applyFont="1" applyFill="1" applyBorder="1"/>
    <xf numFmtId="0" fontId="10" fillId="0" borderId="0" xfId="0" applyFont="1" applyBorder="1" applyAlignment="1">
      <alignment horizontal="left"/>
    </xf>
    <xf numFmtId="4" fontId="0" fillId="0" borderId="0" xfId="0" applyNumberFormat="1" applyFont="1" applyBorder="1"/>
    <xf numFmtId="37" fontId="3" fillId="0" borderId="0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0" fillId="7" borderId="5" xfId="0" applyFill="1" applyBorder="1"/>
    <xf numFmtId="0" fontId="0" fillId="0" borderId="5" xfId="0" applyBorder="1"/>
    <xf numFmtId="0" fontId="0" fillId="0" borderId="17" xfId="0" applyBorder="1" applyAlignment="1">
      <alignment wrapText="1"/>
    </xf>
    <xf numFmtId="0" fontId="5" fillId="0" borderId="19" xfId="0" applyFont="1" applyBorder="1"/>
    <xf numFmtId="164" fontId="0" fillId="7" borderId="5" xfId="1" applyFont="1" applyFill="1" applyBorder="1"/>
    <xf numFmtId="164" fontId="0" fillId="0" borderId="5" xfId="1" applyFont="1" applyBorder="1"/>
    <xf numFmtId="164" fontId="0" fillId="0" borderId="17" xfId="1" applyFont="1" applyFill="1" applyBorder="1"/>
    <xf numFmtId="164" fontId="5" fillId="0" borderId="20" xfId="1" applyFont="1" applyBorder="1"/>
    <xf numFmtId="0" fontId="5" fillId="2" borderId="5" xfId="0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165" fontId="3" fillId="0" borderId="5" xfId="1" applyNumberFormat="1" applyFont="1" applyFill="1" applyBorder="1" applyAlignment="1">
      <alignment wrapText="1"/>
    </xf>
    <xf numFmtId="164" fontId="3" fillId="2" borderId="0" xfId="1" applyFont="1" applyFill="1" applyAlignment="1">
      <alignment wrapText="1"/>
    </xf>
    <xf numFmtId="165" fontId="3" fillId="8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Alignment="1">
      <alignment wrapText="1"/>
    </xf>
    <xf numFmtId="165" fontId="0" fillId="0" borderId="2" xfId="1" applyNumberFormat="1" applyFont="1" applyFill="1" applyBorder="1" applyAlignment="1">
      <alignment horizontal="center" wrapText="1"/>
    </xf>
    <xf numFmtId="4" fontId="18" fillId="0" borderId="0" xfId="0" applyNumberFormat="1" applyFont="1"/>
    <xf numFmtId="164" fontId="5" fillId="7" borderId="5" xfId="1" applyFont="1" applyFill="1" applyBorder="1"/>
    <xf numFmtId="164" fontId="5" fillId="2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7" fontId="3" fillId="5" borderId="11" xfId="1" applyNumberFormat="1" applyFont="1" applyFill="1" applyBorder="1" applyAlignment="1">
      <alignment horizontal="right" wrapText="1"/>
    </xf>
    <xf numFmtId="167" fontId="3" fillId="5" borderId="12" xfId="1" applyNumberFormat="1" applyFont="1" applyFill="1" applyBorder="1" applyAlignment="1">
      <alignment horizontal="right" wrapText="1"/>
    </xf>
    <xf numFmtId="167" fontId="3" fillId="5" borderId="1" xfId="1" applyNumberFormat="1" applyFont="1" applyFill="1" applyBorder="1" applyAlignment="1">
      <alignment horizontal="right" wrapText="1"/>
    </xf>
    <xf numFmtId="167" fontId="3" fillId="5" borderId="16" xfId="1" applyNumberFormat="1" applyFont="1" applyFill="1" applyBorder="1" applyAlignment="1">
      <alignment horizontal="right" wrapText="1"/>
    </xf>
    <xf numFmtId="167" fontId="3" fillId="0" borderId="11" xfId="1" applyNumberFormat="1" applyFont="1" applyFill="1" applyBorder="1" applyAlignment="1">
      <alignment horizontal="right" wrapText="1"/>
    </xf>
    <xf numFmtId="167" fontId="3" fillId="0" borderId="12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6" xfId="1" applyNumberFormat="1" applyFont="1" applyFill="1" applyBorder="1" applyAlignment="1">
      <alignment horizontal="right" wrapText="1"/>
    </xf>
    <xf numFmtId="167" fontId="3" fillId="11" borderId="11" xfId="1" applyNumberFormat="1" applyFont="1" applyFill="1" applyBorder="1" applyAlignment="1">
      <alignment horizontal="right" wrapText="1"/>
    </xf>
    <xf numFmtId="167" fontId="3" fillId="11" borderId="12" xfId="1" applyNumberFormat="1" applyFont="1" applyFill="1" applyBorder="1" applyAlignment="1">
      <alignment horizontal="right" wrapText="1"/>
    </xf>
    <xf numFmtId="167" fontId="3" fillId="11" borderId="1" xfId="1" applyNumberFormat="1" applyFont="1" applyFill="1" applyBorder="1" applyAlignment="1">
      <alignment horizontal="right" wrapText="1"/>
    </xf>
    <xf numFmtId="167" fontId="3" fillId="11" borderId="16" xfId="1" applyNumberFormat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>
      <alignment horizontal="right" wrapText="1"/>
    </xf>
    <xf numFmtId="167" fontId="3" fillId="0" borderId="3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Alignment="1">
      <alignment wrapText="1"/>
    </xf>
    <xf numFmtId="164" fontId="3" fillId="2" borderId="5" xfId="1" applyNumberFormat="1" applyFont="1" applyFill="1" applyBorder="1" applyAlignment="1">
      <alignment wrapText="1"/>
    </xf>
    <xf numFmtId="168" fontId="5" fillId="2" borderId="21" xfId="3" applyNumberFormat="1" applyFont="1" applyFill="1" applyBorder="1" applyAlignment="1">
      <alignment wrapText="1"/>
    </xf>
    <xf numFmtId="164" fontId="4" fillId="2" borderId="5" xfId="1" applyNumberFormat="1" applyFont="1" applyFill="1" applyBorder="1" applyAlignment="1">
      <alignment wrapText="1"/>
    </xf>
    <xf numFmtId="165" fontId="0" fillId="0" borderId="4" xfId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left"/>
    </xf>
    <xf numFmtId="165" fontId="0" fillId="0" borderId="5" xfId="1" applyNumberFormat="1" applyFont="1" applyBorder="1"/>
    <xf numFmtId="164" fontId="3" fillId="13" borderId="0" xfId="1" applyNumberFormat="1" applyFont="1" applyFill="1" applyBorder="1"/>
    <xf numFmtId="164" fontId="0" fillId="0" borderId="0" xfId="1" applyFont="1"/>
    <xf numFmtId="164" fontId="3" fillId="0" borderId="0" xfId="1" applyFont="1" applyBorder="1"/>
    <xf numFmtId="164" fontId="5" fillId="0" borderId="0" xfId="1" applyFont="1" applyBorder="1"/>
    <xf numFmtId="0" fontId="0" fillId="2" borderId="6" xfId="0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2" borderId="0" xfId="1" applyNumberFormat="1" applyFont="1" applyFill="1" applyAlignment="1">
      <alignment horizontal="center" wrapText="1"/>
    </xf>
    <xf numFmtId="165" fontId="5" fillId="2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Alignment="1">
      <alignment horizontal="center" wrapText="1"/>
    </xf>
    <xf numFmtId="165" fontId="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3" fillId="6" borderId="0" xfId="1" applyNumberFormat="1" applyFont="1" applyFill="1" applyAlignment="1">
      <alignment horizontal="center" vertical="center"/>
    </xf>
    <xf numFmtId="165" fontId="3" fillId="7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3" fillId="6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left" wrapText="1"/>
    </xf>
    <xf numFmtId="165" fontId="0" fillId="0" borderId="0" xfId="1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horizontal="left" wrapText="1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wrapText="1"/>
    </xf>
    <xf numFmtId="165" fontId="3" fillId="5" borderId="0" xfId="1" applyNumberFormat="1" applyFont="1" applyFill="1" applyAlignment="1">
      <alignment horizontal="center" vertical="center"/>
    </xf>
    <xf numFmtId="165" fontId="3" fillId="5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/>
    </xf>
    <xf numFmtId="165" fontId="3" fillId="8" borderId="0" xfId="1" applyNumberFormat="1" applyFont="1" applyFill="1" applyAlignment="1">
      <alignment horizontal="center" vertical="center" wrapText="1"/>
    </xf>
    <xf numFmtId="165" fontId="3" fillId="8" borderId="0" xfId="1" applyNumberFormat="1" applyFont="1" applyFill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1086971</xdr:colOff>
      <xdr:row>41</xdr:row>
      <xdr:rowOff>44824</xdr:rowOff>
    </xdr:from>
    <xdr:to>
      <xdr:col>6</xdr:col>
      <xdr:colOff>1042147</xdr:colOff>
      <xdr:row>41</xdr:row>
      <xdr:rowOff>156882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8A4F5641-50FB-4D5E-AB8A-E0C1B35774C0}"/>
            </a:ext>
          </a:extLst>
        </xdr:cNvPr>
        <xdr:cNvCxnSpPr/>
      </xdr:nvCxnSpPr>
      <xdr:spPr>
        <a:xfrm flipV="1">
          <a:off x="9244853" y="8426824"/>
          <a:ext cx="2151529" cy="1120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11206</xdr:colOff>
      <xdr:row>88</xdr:row>
      <xdr:rowOff>89647</xdr:rowOff>
    </xdr:from>
    <xdr:to>
      <xdr:col>5</xdr:col>
      <xdr:colOff>907676</xdr:colOff>
      <xdr:row>89</xdr:row>
      <xdr:rowOff>78441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B67A796-5802-4E7D-8C7B-725387197171}"/>
            </a:ext>
          </a:extLst>
        </xdr:cNvPr>
        <xdr:cNvCxnSpPr/>
      </xdr:nvCxnSpPr>
      <xdr:spPr>
        <a:xfrm>
          <a:off x="8169088" y="17425147"/>
          <a:ext cx="2017059" cy="1792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72.42578125" style="1" customWidth="1"/>
    <col min="2" max="2" width="27.5703125" style="1" customWidth="1"/>
    <col min="3" max="3" width="18.28515625" style="1" bestFit="1" customWidth="1"/>
    <col min="4" max="4" width="21.85546875" style="1" customWidth="1"/>
    <col min="5" max="5" width="22.85546875" style="1" customWidth="1"/>
    <col min="6" max="6" width="21.28515625" style="1" customWidth="1"/>
    <col min="7" max="7" width="15.42578125" style="1" customWidth="1"/>
    <col min="8" max="8" width="27.28515625" style="1" bestFit="1" customWidth="1"/>
    <col min="9" max="9" width="11.5703125" style="1"/>
    <col min="10" max="10" width="14.28515625" style="1" bestFit="1" customWidth="1"/>
    <col min="11" max="16384" width="11.5703125" style="1"/>
  </cols>
  <sheetData>
    <row r="1" spans="1:6" ht="15" customHeight="1" x14ac:dyDescent="0.25">
      <c r="A1" s="271" t="s">
        <v>20</v>
      </c>
      <c r="B1" s="271"/>
      <c r="C1" s="271"/>
      <c r="D1" s="271"/>
      <c r="E1" s="271"/>
      <c r="F1" s="271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101</v>
      </c>
      <c r="C5" s="5"/>
      <c r="D5" s="5"/>
      <c r="E5" s="5"/>
      <c r="F5" s="5"/>
    </row>
    <row r="7" spans="1:6" ht="15" customHeight="1" x14ac:dyDescent="0.25">
      <c r="A7" s="271" t="s">
        <v>9</v>
      </c>
      <c r="B7" s="271"/>
      <c r="C7" s="271"/>
      <c r="D7" s="271"/>
      <c r="E7" s="271"/>
      <c r="F7" s="271"/>
    </row>
    <row r="8" spans="1:6" ht="15" customHeight="1" x14ac:dyDescent="0.25">
      <c r="A8" s="271" t="s">
        <v>12</v>
      </c>
      <c r="B8" s="271"/>
      <c r="C8" s="271"/>
      <c r="D8" s="271"/>
      <c r="E8" s="271"/>
      <c r="F8" s="271"/>
    </row>
    <row r="9" spans="1:6" ht="15" customHeight="1" x14ac:dyDescent="0.25">
      <c r="A9" s="268" t="s">
        <v>50</v>
      </c>
      <c r="B9" s="268"/>
      <c r="C9" s="268"/>
      <c r="D9" s="268"/>
      <c r="E9" s="268"/>
      <c r="F9" s="268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0" t="s">
        <v>64</v>
      </c>
      <c r="B11" s="9"/>
      <c r="C11" s="9" t="s">
        <v>3</v>
      </c>
      <c r="D11" s="9" t="s">
        <v>4</v>
      </c>
      <c r="E11" s="9" t="s">
        <v>5</v>
      </c>
      <c r="F11" s="45" t="s">
        <v>65</v>
      </c>
    </row>
    <row r="13" spans="1:6" x14ac:dyDescent="0.25">
      <c r="A13" s="272" t="s">
        <v>87</v>
      </c>
      <c r="B13" s="117" t="s">
        <v>58</v>
      </c>
      <c r="C13" s="118">
        <v>1696</v>
      </c>
      <c r="D13" s="118">
        <f>+(C13-D15)+532</f>
        <v>1032</v>
      </c>
      <c r="E13" s="118">
        <f>+(D13-E15)+275</f>
        <v>713</v>
      </c>
      <c r="F13" s="119">
        <f>E13</f>
        <v>713</v>
      </c>
    </row>
    <row r="14" spans="1:6" ht="15" customHeight="1" x14ac:dyDescent="0.25">
      <c r="A14" s="273"/>
      <c r="B14" s="120" t="s">
        <v>59</v>
      </c>
      <c r="C14" s="121">
        <v>108</v>
      </c>
      <c r="D14" s="121">
        <v>1250</v>
      </c>
      <c r="E14" s="121">
        <v>1506</v>
      </c>
      <c r="F14" s="122">
        <f t="shared" ref="F14:F24" si="0">AVERAGE(C14:E14)</f>
        <v>954.66666666666663</v>
      </c>
    </row>
    <row r="15" spans="1:6" ht="15" customHeight="1" x14ac:dyDescent="0.25">
      <c r="A15" s="274"/>
      <c r="B15" s="123" t="s">
        <v>60</v>
      </c>
      <c r="C15" s="124">
        <v>0</v>
      </c>
      <c r="D15" s="124">
        <v>1196</v>
      </c>
      <c r="E15" s="124">
        <v>594</v>
      </c>
      <c r="F15" s="125">
        <f t="shared" si="0"/>
        <v>596.66666666666663</v>
      </c>
    </row>
    <row r="16" spans="1:6" x14ac:dyDescent="0.25">
      <c r="A16" s="275" t="s">
        <v>24</v>
      </c>
      <c r="B16" s="117" t="s">
        <v>58</v>
      </c>
      <c r="C16" s="118">
        <v>537</v>
      </c>
      <c r="D16" s="118">
        <f>+(C16-D18)+262</f>
        <v>323</v>
      </c>
      <c r="E16" s="118">
        <f>+(D16-E18)+85</f>
        <v>154</v>
      </c>
      <c r="F16" s="119">
        <f>E16</f>
        <v>154</v>
      </c>
    </row>
    <row r="17" spans="1:6" ht="15" customHeight="1" x14ac:dyDescent="0.25">
      <c r="A17" s="273"/>
      <c r="B17" s="120" t="s">
        <v>59</v>
      </c>
      <c r="C17" s="121">
        <v>794</v>
      </c>
      <c r="D17" s="121">
        <v>1103</v>
      </c>
      <c r="E17" s="121">
        <v>1250</v>
      </c>
      <c r="F17" s="122">
        <f t="shared" si="0"/>
        <v>1049</v>
      </c>
    </row>
    <row r="18" spans="1:6" ht="15" customHeight="1" x14ac:dyDescent="0.25">
      <c r="A18" s="274"/>
      <c r="B18" s="123" t="s">
        <v>60</v>
      </c>
      <c r="C18" s="124">
        <v>0</v>
      </c>
      <c r="D18" s="124">
        <v>476</v>
      </c>
      <c r="E18" s="124">
        <v>254</v>
      </c>
      <c r="F18" s="125">
        <f t="shared" si="0"/>
        <v>243.33333333333334</v>
      </c>
    </row>
    <row r="19" spans="1:6" x14ac:dyDescent="0.25">
      <c r="A19" s="275" t="s">
        <v>103</v>
      </c>
      <c r="B19" s="117" t="s">
        <v>58</v>
      </c>
      <c r="C19" s="118">
        <v>9171</v>
      </c>
      <c r="D19" s="118">
        <f>+(C19-D21)+2527</f>
        <v>5256</v>
      </c>
      <c r="E19" s="118">
        <f>+(D19-E21)+2658</f>
        <v>6289</v>
      </c>
      <c r="F19" s="119">
        <f>E19</f>
        <v>6289</v>
      </c>
    </row>
    <row r="20" spans="1:6" ht="15" customHeight="1" x14ac:dyDescent="0.25">
      <c r="A20" s="273"/>
      <c r="B20" s="120" t="s">
        <v>59</v>
      </c>
      <c r="C20" s="121">
        <v>1091</v>
      </c>
      <c r="D20" s="121">
        <v>8231</v>
      </c>
      <c r="E20" s="121">
        <v>8206</v>
      </c>
      <c r="F20" s="122">
        <f t="shared" si="0"/>
        <v>5842.666666666667</v>
      </c>
    </row>
    <row r="21" spans="1:6" ht="15" customHeight="1" x14ac:dyDescent="0.25">
      <c r="A21" s="274"/>
      <c r="B21" s="123" t="s">
        <v>60</v>
      </c>
      <c r="C21" s="124">
        <v>0</v>
      </c>
      <c r="D21" s="124">
        <v>6442</v>
      </c>
      <c r="E21" s="185">
        <v>1625</v>
      </c>
      <c r="F21" s="125">
        <f t="shared" si="0"/>
        <v>2689</v>
      </c>
    </row>
    <row r="22" spans="1:6" s="52" customFormat="1" ht="15" customHeight="1" x14ac:dyDescent="0.25">
      <c r="A22" s="275" t="s">
        <v>126</v>
      </c>
      <c r="B22" s="126" t="s">
        <v>58</v>
      </c>
      <c r="C22" s="118">
        <f>488+182</f>
        <v>670</v>
      </c>
      <c r="D22" s="118">
        <f>+(C22-D24)+574+143</f>
        <v>1387</v>
      </c>
      <c r="E22" s="118">
        <f>+(D22-E24)+82+6</f>
        <v>202</v>
      </c>
      <c r="F22" s="119">
        <f>E22</f>
        <v>202</v>
      </c>
    </row>
    <row r="23" spans="1:6" s="52" customFormat="1" ht="15" customHeight="1" x14ac:dyDescent="0.25">
      <c r="A23" s="273"/>
      <c r="B23" s="128" t="s">
        <v>59</v>
      </c>
      <c r="C23" s="121">
        <v>0</v>
      </c>
      <c r="D23" s="121">
        <v>0</v>
      </c>
      <c r="E23" s="121">
        <f>485+135</f>
        <v>620</v>
      </c>
      <c r="F23" s="129">
        <f t="shared" si="0"/>
        <v>206.66666666666666</v>
      </c>
    </row>
    <row r="24" spans="1:6" s="52" customFormat="1" ht="15" customHeight="1" x14ac:dyDescent="0.25">
      <c r="A24" s="274"/>
      <c r="B24" s="130" t="s">
        <v>60</v>
      </c>
      <c r="C24" s="124">
        <v>0</v>
      </c>
      <c r="D24" s="124">
        <v>0</v>
      </c>
      <c r="E24" s="124">
        <f>960+313</f>
        <v>1273</v>
      </c>
      <c r="F24" s="131">
        <f t="shared" si="0"/>
        <v>424.33333333333331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1993</v>
      </c>
      <c r="D25" s="58">
        <f>+D14+D15+D17+D18+D20+D21+D23+D24</f>
        <v>18698</v>
      </c>
      <c r="E25" s="58">
        <f>+E14+E15+E17+E18+E20+E21+E23+E24</f>
        <v>15328</v>
      </c>
      <c r="F25" s="60">
        <f>AVERAGE(C25:E25)</f>
        <v>12006.333333333334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52" t="s">
        <v>72</v>
      </c>
    </row>
    <row r="30" spans="1:6" ht="15" customHeight="1" x14ac:dyDescent="0.25">
      <c r="A30" s="268" t="s">
        <v>14</v>
      </c>
      <c r="B30" s="268"/>
      <c r="C30" s="268"/>
      <c r="D30" s="268"/>
      <c r="E30" s="268"/>
      <c r="F30" s="268"/>
    </row>
    <row r="31" spans="1:6" ht="15" customHeight="1" x14ac:dyDescent="0.25">
      <c r="A31" s="271" t="s">
        <v>31</v>
      </c>
      <c r="B31" s="271"/>
      <c r="C31" s="271"/>
      <c r="D31" s="271"/>
      <c r="E31" s="271"/>
      <c r="F31" s="271"/>
    </row>
    <row r="32" spans="1:6" ht="15" customHeight="1" x14ac:dyDescent="0.25">
      <c r="A32" s="268" t="s">
        <v>52</v>
      </c>
      <c r="B32" s="268"/>
      <c r="C32" s="268"/>
      <c r="D32" s="268"/>
      <c r="E32" s="268"/>
      <c r="F32" s="268"/>
    </row>
    <row r="33" spans="1:8" s="8" customFormat="1" ht="15" customHeight="1" x14ac:dyDescent="0.25">
      <c r="A33" s="11"/>
      <c r="B33" s="11"/>
      <c r="C33" s="11"/>
      <c r="D33" s="11"/>
      <c r="E33" s="11"/>
      <c r="F33" s="11"/>
    </row>
    <row r="34" spans="1:8" ht="15" customHeight="1" thickBot="1" x14ac:dyDescent="0.3">
      <c r="A34" s="12" t="s">
        <v>64</v>
      </c>
      <c r="B34" s="12"/>
      <c r="C34" s="12" t="s">
        <v>3</v>
      </c>
      <c r="D34" s="12" t="s">
        <v>4</v>
      </c>
      <c r="E34" s="12" t="s">
        <v>5</v>
      </c>
      <c r="F34" s="12" t="s">
        <v>6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23</v>
      </c>
      <c r="B36" s="188" t="s">
        <v>56</v>
      </c>
      <c r="C36" s="189">
        <v>19356300</v>
      </c>
      <c r="D36" s="189">
        <v>224031250</v>
      </c>
      <c r="E36" s="189">
        <v>269733625</v>
      </c>
      <c r="F36" s="190">
        <f t="shared" ref="F36:F43" si="1">SUM(C36:E36)</f>
        <v>513121175</v>
      </c>
    </row>
    <row r="37" spans="1:8" ht="15" customHeight="1" x14ac:dyDescent="0.25">
      <c r="A37" s="191"/>
      <c r="B37" s="192" t="s">
        <v>55</v>
      </c>
      <c r="C37" s="193">
        <v>0</v>
      </c>
      <c r="D37" s="193">
        <v>213636200</v>
      </c>
      <c r="E37" s="193">
        <v>106280425</v>
      </c>
      <c r="F37" s="194">
        <f t="shared" si="1"/>
        <v>319916625</v>
      </c>
    </row>
    <row r="38" spans="1:8" ht="15" customHeight="1" x14ac:dyDescent="0.25">
      <c r="A38" s="132" t="s">
        <v>24</v>
      </c>
      <c r="B38" s="133" t="s">
        <v>56</v>
      </c>
      <c r="C38" s="134">
        <v>56635100</v>
      </c>
      <c r="D38" s="134">
        <v>77640270</v>
      </c>
      <c r="E38" s="134">
        <v>89612500</v>
      </c>
      <c r="F38" s="127">
        <f t="shared" si="1"/>
        <v>223887870</v>
      </c>
    </row>
    <row r="39" spans="1:8" ht="15" customHeight="1" x14ac:dyDescent="0.25">
      <c r="A39" s="135"/>
      <c r="B39" s="136" t="s">
        <v>55</v>
      </c>
      <c r="C39" s="137">
        <v>0</v>
      </c>
      <c r="D39" s="137">
        <v>32905710</v>
      </c>
      <c r="E39" s="137">
        <v>18137570</v>
      </c>
      <c r="F39" s="131">
        <f t="shared" si="1"/>
        <v>51043280</v>
      </c>
    </row>
    <row r="40" spans="1:8" ht="15" customHeight="1" x14ac:dyDescent="0.25">
      <c r="A40" s="195" t="s">
        <v>103</v>
      </c>
      <c r="B40" s="196" t="s">
        <v>56</v>
      </c>
      <c r="C40" s="197">
        <v>54783846</v>
      </c>
      <c r="D40" s="197">
        <v>454208715</v>
      </c>
      <c r="E40" s="197">
        <v>462812043</v>
      </c>
      <c r="F40" s="198">
        <f t="shared" si="1"/>
        <v>971804604</v>
      </c>
      <c r="H40" s="203"/>
    </row>
    <row r="41" spans="1:8" ht="15" customHeight="1" x14ac:dyDescent="0.25">
      <c r="A41" s="199"/>
      <c r="B41" s="200" t="s">
        <v>55</v>
      </c>
      <c r="C41" s="201">
        <v>0</v>
      </c>
      <c r="D41" s="201">
        <v>399424869</v>
      </c>
      <c r="E41" s="201">
        <v>119770872</v>
      </c>
      <c r="F41" s="202">
        <f t="shared" si="1"/>
        <v>519195741</v>
      </c>
    </row>
    <row r="42" spans="1:8" ht="15" customHeight="1" x14ac:dyDescent="0.25">
      <c r="A42" s="138" t="s">
        <v>102</v>
      </c>
      <c r="B42" s="139" t="s">
        <v>56</v>
      </c>
      <c r="C42" s="134">
        <v>0</v>
      </c>
      <c r="D42" s="134">
        <v>0</v>
      </c>
      <c r="E42" s="134">
        <f>199500000+95040000</f>
        <v>294540000</v>
      </c>
      <c r="F42" s="127">
        <f t="shared" si="1"/>
        <v>294540000</v>
      </c>
    </row>
    <row r="43" spans="1:8" ht="15" customHeight="1" x14ac:dyDescent="0.25">
      <c r="A43" s="140"/>
      <c r="B43" s="141" t="s">
        <v>55</v>
      </c>
      <c r="C43" s="137">
        <v>0</v>
      </c>
      <c r="D43" s="137">
        <v>0</v>
      </c>
      <c r="E43" s="137">
        <f>408050000+206272000</f>
        <v>614322000</v>
      </c>
      <c r="F43" s="131">
        <f t="shared" si="1"/>
        <v>614322000</v>
      </c>
      <c r="H43" s="203"/>
    </row>
    <row r="44" spans="1:8" s="85" customFormat="1" ht="15" customHeight="1" x14ac:dyDescent="0.25">
      <c r="A44" s="215"/>
      <c r="B44" s="216"/>
      <c r="C44" s="217"/>
      <c r="D44" s="217"/>
      <c r="E44" s="217"/>
      <c r="F44" s="217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130775246</v>
      </c>
      <c r="D45" s="59">
        <f>SUM(D36:D43)</f>
        <v>1401847014</v>
      </c>
      <c r="E45" s="59">
        <f>SUM(E36:E43)</f>
        <v>1975209035</v>
      </c>
      <c r="F45" s="59">
        <f>SUM(F36:F43)</f>
        <v>3507831295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52" t="s">
        <v>73</v>
      </c>
    </row>
    <row r="48" spans="1:8" ht="15" customHeight="1" x14ac:dyDescent="0.25">
      <c r="A48" s="13"/>
    </row>
    <row r="49" spans="1:10" ht="15" customHeight="1" x14ac:dyDescent="0.25">
      <c r="A49" s="13"/>
    </row>
    <row r="50" spans="1:10" ht="15" customHeight="1" x14ac:dyDescent="0.25">
      <c r="A50" s="13"/>
    </row>
    <row r="51" spans="1:10" ht="15" customHeight="1" x14ac:dyDescent="0.25">
      <c r="A51" s="271" t="s">
        <v>15</v>
      </c>
      <c r="B51" s="271"/>
      <c r="C51" s="271"/>
      <c r="D51" s="271"/>
      <c r="E51" s="271"/>
    </row>
    <row r="52" spans="1:10" ht="15" customHeight="1" x14ac:dyDescent="0.25">
      <c r="A52" s="271" t="s">
        <v>32</v>
      </c>
      <c r="B52" s="271"/>
      <c r="C52" s="271"/>
      <c r="D52" s="271"/>
      <c r="E52" s="271"/>
    </row>
    <row r="53" spans="1:10" ht="15" customHeight="1" x14ac:dyDescent="0.25">
      <c r="A53" s="268" t="s">
        <v>52</v>
      </c>
      <c r="B53" s="268"/>
      <c r="C53" s="268"/>
      <c r="D53" s="268"/>
      <c r="E53" s="268"/>
    </row>
    <row r="54" spans="1:10" ht="15" customHeight="1" x14ac:dyDescent="0.25">
      <c r="A54" s="7"/>
      <c r="B54" s="7"/>
      <c r="C54" s="7"/>
      <c r="D54" s="7"/>
      <c r="E54" s="7"/>
    </row>
    <row r="55" spans="1:10" ht="15" customHeight="1" thickBot="1" x14ac:dyDescent="0.3">
      <c r="A55" s="12" t="s">
        <v>10</v>
      </c>
      <c r="B55" s="14" t="s">
        <v>3</v>
      </c>
      <c r="C55" s="14" t="s">
        <v>4</v>
      </c>
      <c r="D55" s="14" t="s">
        <v>5</v>
      </c>
      <c r="E55" s="14" t="s">
        <v>6</v>
      </c>
      <c r="J55" s="204">
        <v>33553.33</v>
      </c>
    </row>
    <row r="56" spans="1:10" ht="15" customHeight="1" x14ac:dyDescent="0.25">
      <c r="B56" s="57"/>
      <c r="C56" s="57"/>
      <c r="D56" s="57"/>
      <c r="E56" s="57"/>
      <c r="J56" s="1">
        <f>+J55/85%</f>
        <v>39474.505882352947</v>
      </c>
    </row>
    <row r="57" spans="1:10" ht="15" customHeight="1" x14ac:dyDescent="0.25">
      <c r="A57" s="1" t="s">
        <v>104</v>
      </c>
      <c r="B57" s="56">
        <f>SUM(C36:C37)</f>
        <v>19356300</v>
      </c>
      <c r="C57" s="56">
        <f>SUM(D36:D37)</f>
        <v>437667450</v>
      </c>
      <c r="D57" s="56">
        <f>SUM(E36:E37)</f>
        <v>376014050</v>
      </c>
      <c r="E57" s="56">
        <f t="shared" ref="E57:E60" si="2">SUM(B57:D57)</f>
        <v>833037800</v>
      </c>
      <c r="J57" s="1">
        <f>+J56/4</f>
        <v>9868.6264705882368</v>
      </c>
    </row>
    <row r="58" spans="1:10" s="85" customFormat="1" ht="15" customHeight="1" x14ac:dyDescent="0.25">
      <c r="A58" s="85" t="s">
        <v>105</v>
      </c>
      <c r="B58" s="56">
        <f>SUM(C38:C39)</f>
        <v>56635100</v>
      </c>
      <c r="C58" s="56">
        <f>SUM(D38:D39)</f>
        <v>110545980</v>
      </c>
      <c r="D58" s="56">
        <f>SUM(E38:E39)</f>
        <v>107750070</v>
      </c>
      <c r="E58" s="56">
        <f t="shared" si="2"/>
        <v>274931150</v>
      </c>
    </row>
    <row r="59" spans="1:10" ht="15" customHeight="1" x14ac:dyDescent="0.25">
      <c r="A59" s="1" t="s">
        <v>106</v>
      </c>
      <c r="B59" s="56">
        <f>SUM(C40:C41)</f>
        <v>54783846</v>
      </c>
      <c r="C59" s="56">
        <f>SUM(D40:D41)</f>
        <v>853633584</v>
      </c>
      <c r="D59" s="56">
        <f>SUM(E40:E41)</f>
        <v>582582915</v>
      </c>
      <c r="E59" s="56">
        <f t="shared" si="2"/>
        <v>1491000345</v>
      </c>
    </row>
    <row r="60" spans="1:10" ht="15" customHeight="1" x14ac:dyDescent="0.25">
      <c r="A60" s="80" t="s">
        <v>107</v>
      </c>
      <c r="B60" s="56">
        <f>SUM(C42:C43)</f>
        <v>0</v>
      </c>
      <c r="C60" s="56">
        <f>SUM(D42:D43)</f>
        <v>0</v>
      </c>
      <c r="D60" s="56">
        <f>SUM(E42:E43)</f>
        <v>908862000</v>
      </c>
      <c r="E60" s="56">
        <f t="shared" si="2"/>
        <v>908862000</v>
      </c>
    </row>
    <row r="61" spans="1:10" ht="15" customHeight="1" x14ac:dyDescent="0.25">
      <c r="B61" s="57"/>
      <c r="C61" s="57"/>
      <c r="D61" s="57"/>
      <c r="E61" s="57"/>
    </row>
    <row r="62" spans="1:10" ht="15" customHeight="1" thickBot="1" x14ac:dyDescent="0.3">
      <c r="A62" s="10" t="s">
        <v>13</v>
      </c>
      <c r="B62" s="58">
        <f>SUM(B57:B61)</f>
        <v>130775246</v>
      </c>
      <c r="C62" s="58">
        <f>SUM(C57:C61)</f>
        <v>1401847014</v>
      </c>
      <c r="D62" s="58">
        <f>SUM(D57:D61)</f>
        <v>1975209035</v>
      </c>
      <c r="E62" s="58">
        <f>SUM(E57:E61)</f>
        <v>3507831295</v>
      </c>
    </row>
    <row r="63" spans="1:10" ht="15" customHeight="1" thickTop="1" x14ac:dyDescent="0.25">
      <c r="A63" s="52" t="s">
        <v>72</v>
      </c>
    </row>
    <row r="66" spans="1:9" ht="15" customHeight="1" x14ac:dyDescent="0.25">
      <c r="A66" s="269" t="s">
        <v>44</v>
      </c>
      <c r="B66" s="269"/>
      <c r="C66" s="269"/>
      <c r="D66" s="269"/>
      <c r="E66" s="269"/>
      <c r="F66" s="90"/>
    </row>
    <row r="67" spans="1:9" ht="15" customHeight="1" x14ac:dyDescent="0.25">
      <c r="A67" s="269" t="s">
        <v>110</v>
      </c>
      <c r="B67" s="269"/>
      <c r="C67" s="269"/>
      <c r="D67" s="269"/>
      <c r="E67" s="269"/>
      <c r="F67" s="90"/>
    </row>
    <row r="68" spans="1:9" ht="15" customHeight="1" x14ac:dyDescent="0.25">
      <c r="A68" s="270" t="s">
        <v>52</v>
      </c>
      <c r="B68" s="270"/>
      <c r="C68" s="270"/>
      <c r="D68" s="270"/>
      <c r="E68" s="270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92" t="s">
        <v>3</v>
      </c>
      <c r="C70" s="92" t="s">
        <v>4</v>
      </c>
      <c r="D70" s="92" t="s">
        <v>5</v>
      </c>
      <c r="E70" s="92" t="s">
        <v>6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97347972.760000005</v>
      </c>
      <c r="C72" s="94">
        <f>B76</f>
        <v>413142422.75999999</v>
      </c>
      <c r="D72" s="94">
        <f>C76</f>
        <v>310625722.75999999</v>
      </c>
      <c r="E72" s="94">
        <f>B72</f>
        <v>97347972.760000005</v>
      </c>
      <c r="F72" s="90"/>
    </row>
    <row r="73" spans="1:9" ht="15" customHeight="1" x14ac:dyDescent="0.25">
      <c r="A73" s="90" t="s">
        <v>16</v>
      </c>
      <c r="B73" s="94">
        <f>+B146</f>
        <v>335150750</v>
      </c>
      <c r="C73" s="94">
        <f t="shared" ref="C73:D73" si="3">+C146</f>
        <v>335150750</v>
      </c>
      <c r="D73" s="94">
        <f t="shared" si="3"/>
        <v>335150750</v>
      </c>
      <c r="E73" s="94">
        <f>+SUM(B73:D73)</f>
        <v>1005452250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432498722.75999999</v>
      </c>
      <c r="C74" s="94">
        <f t="shared" ref="C74:D74" si="4">SUM(C72:C73)</f>
        <v>748293172.75999999</v>
      </c>
      <c r="D74" s="94">
        <f t="shared" si="4"/>
        <v>645776472.75999999</v>
      </c>
      <c r="E74" s="94">
        <f>+E72+E73</f>
        <v>1102800222.76</v>
      </c>
      <c r="F74" s="90"/>
    </row>
    <row r="75" spans="1:9" ht="15" customHeight="1" x14ac:dyDescent="0.25">
      <c r="A75" s="90" t="s">
        <v>18</v>
      </c>
      <c r="B75" s="95">
        <f>B57</f>
        <v>19356300</v>
      </c>
      <c r="C75" s="95">
        <f>C57</f>
        <v>437667450</v>
      </c>
      <c r="D75" s="95">
        <f>D57</f>
        <v>376014050</v>
      </c>
      <c r="E75" s="94">
        <f>+SUM(B75:D75)</f>
        <v>833037800</v>
      </c>
      <c r="F75" s="96"/>
    </row>
    <row r="76" spans="1:9" ht="15" customHeight="1" x14ac:dyDescent="0.25">
      <c r="A76" s="97" t="s">
        <v>19</v>
      </c>
      <c r="B76" s="98">
        <f>B74-B75</f>
        <v>413142422.75999999</v>
      </c>
      <c r="C76" s="98">
        <f>C74-C75</f>
        <v>310625722.75999999</v>
      </c>
      <c r="D76" s="98">
        <f>D74-D75</f>
        <v>269762422.75999999</v>
      </c>
      <c r="E76" s="98">
        <f>+E74-E75</f>
        <v>269762422.75999999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s="85" customFormat="1" ht="15" customHeight="1" x14ac:dyDescent="0.25">
      <c r="A80" s="101"/>
      <c r="B80" s="90"/>
      <c r="C80" s="90"/>
      <c r="D80" s="90"/>
      <c r="E80" s="90"/>
      <c r="F80" s="90"/>
    </row>
    <row r="81" spans="1:6" s="85" customFormat="1" ht="15" customHeight="1" x14ac:dyDescent="0.25">
      <c r="A81" s="269" t="s">
        <v>45</v>
      </c>
      <c r="B81" s="269"/>
      <c r="C81" s="269"/>
      <c r="D81" s="269"/>
      <c r="E81" s="269"/>
      <c r="F81" s="90"/>
    </row>
    <row r="82" spans="1:6" s="85" customFormat="1" ht="15" customHeight="1" x14ac:dyDescent="0.25">
      <c r="A82" s="269" t="s">
        <v>108</v>
      </c>
      <c r="B82" s="269"/>
      <c r="C82" s="269"/>
      <c r="D82" s="269"/>
      <c r="E82" s="269"/>
      <c r="F82" s="90"/>
    </row>
    <row r="83" spans="1:6" s="85" customFormat="1" ht="15" customHeight="1" x14ac:dyDescent="0.25">
      <c r="A83" s="270" t="s">
        <v>52</v>
      </c>
      <c r="B83" s="270"/>
      <c r="C83" s="270"/>
      <c r="D83" s="270"/>
      <c r="E83" s="270"/>
      <c r="F83" s="90"/>
    </row>
    <row r="84" spans="1:6" s="85" customFormat="1" ht="15" customHeight="1" x14ac:dyDescent="0.25">
      <c r="A84" s="91"/>
      <c r="B84" s="91"/>
      <c r="C84" s="91"/>
      <c r="D84" s="91"/>
      <c r="E84" s="91"/>
      <c r="F84" s="90"/>
    </row>
    <row r="85" spans="1:6" s="85" customFormat="1" ht="15" customHeight="1" thickBot="1" x14ac:dyDescent="0.3">
      <c r="A85" s="92" t="s">
        <v>10</v>
      </c>
      <c r="B85" s="92" t="s">
        <v>3</v>
      </c>
      <c r="C85" s="92" t="s">
        <v>4</v>
      </c>
      <c r="D85" s="92" t="s">
        <v>5</v>
      </c>
      <c r="E85" s="92" t="s">
        <v>6</v>
      </c>
      <c r="F85" s="90"/>
    </row>
    <row r="86" spans="1:6" s="85" customFormat="1" ht="15" customHeight="1" x14ac:dyDescent="0.25">
      <c r="A86" s="90"/>
      <c r="B86" s="93"/>
      <c r="C86" s="93"/>
      <c r="D86" s="93"/>
      <c r="E86" s="93"/>
      <c r="F86" s="90"/>
    </row>
    <row r="87" spans="1:6" s="85" customFormat="1" ht="15" customHeight="1" x14ac:dyDescent="0.25">
      <c r="A87" s="90" t="s">
        <v>62</v>
      </c>
      <c r="B87" s="94">
        <f>+$B$135</f>
        <v>18741597.390000001</v>
      </c>
      <c r="C87" s="94">
        <f>B91</f>
        <v>59174757.390000001</v>
      </c>
      <c r="D87" s="94">
        <f>C91</f>
        <v>45697037.389999986</v>
      </c>
      <c r="E87" s="94">
        <f>B87</f>
        <v>18741597.390000001</v>
      </c>
      <c r="F87" s="90"/>
    </row>
    <row r="88" spans="1:6" s="85" customFormat="1" ht="15" customHeight="1" x14ac:dyDescent="0.25">
      <c r="A88" s="90" t="s">
        <v>16</v>
      </c>
      <c r="B88" s="94">
        <f>+B147</f>
        <v>97068260</v>
      </c>
      <c r="C88" s="94">
        <f t="shared" ref="C88:D88" si="5">+C147</f>
        <v>97068260</v>
      </c>
      <c r="D88" s="94">
        <f t="shared" si="5"/>
        <v>97068260</v>
      </c>
      <c r="E88" s="94">
        <f>+SUM(B88:D88)</f>
        <v>291204780</v>
      </c>
      <c r="F88" s="90"/>
    </row>
    <row r="89" spans="1:6" s="85" customFormat="1" ht="15" customHeight="1" x14ac:dyDescent="0.25">
      <c r="A89" s="90" t="s">
        <v>17</v>
      </c>
      <c r="B89" s="94">
        <f>B87+B88</f>
        <v>115809857.39</v>
      </c>
      <c r="C89" s="94">
        <f t="shared" ref="C89:D89" si="6">C87+C88</f>
        <v>156243017.38999999</v>
      </c>
      <c r="D89" s="94">
        <f t="shared" si="6"/>
        <v>142765297.38999999</v>
      </c>
      <c r="E89" s="94">
        <f>+E87+E88</f>
        <v>309946377.38999999</v>
      </c>
      <c r="F89" s="90"/>
    </row>
    <row r="90" spans="1:6" s="85" customFormat="1" ht="15" customHeight="1" x14ac:dyDescent="0.25">
      <c r="A90" s="90" t="s">
        <v>18</v>
      </c>
      <c r="B90" s="95">
        <f>+B58</f>
        <v>56635100</v>
      </c>
      <c r="C90" s="95">
        <f>+C58</f>
        <v>110545980</v>
      </c>
      <c r="D90" s="95">
        <f>+D58</f>
        <v>107750070</v>
      </c>
      <c r="E90" s="94">
        <f>+SUM(B90:D90)</f>
        <v>274931150</v>
      </c>
      <c r="F90" s="90"/>
    </row>
    <row r="91" spans="1:6" s="85" customFormat="1" ht="15" customHeight="1" x14ac:dyDescent="0.25">
      <c r="A91" s="97" t="s">
        <v>19</v>
      </c>
      <c r="B91" s="98">
        <f>B89-B90</f>
        <v>59174757.390000001</v>
      </c>
      <c r="C91" s="98">
        <f>C89-C90</f>
        <v>45697037.389999986</v>
      </c>
      <c r="D91" s="98">
        <f>D89-D90</f>
        <v>35015227.389999986</v>
      </c>
      <c r="E91" s="98">
        <f>+E89-E90</f>
        <v>35015227.389999986</v>
      </c>
      <c r="F91" s="90"/>
    </row>
    <row r="92" spans="1:6" s="85" customFormat="1" ht="15" customHeight="1" thickBot="1" x14ac:dyDescent="0.3">
      <c r="A92" s="99"/>
      <c r="B92" s="100"/>
      <c r="C92" s="100"/>
      <c r="D92" s="100"/>
      <c r="E92" s="100"/>
      <c r="F92" s="90"/>
    </row>
    <row r="93" spans="1:6" s="85" customFormat="1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s="85" customFormat="1" ht="15" customHeight="1" x14ac:dyDescent="0.25">
      <c r="A94" s="101"/>
      <c r="B94" s="90"/>
      <c r="C94" s="90"/>
      <c r="D94" s="90"/>
      <c r="E94" s="90"/>
      <c r="F94" s="90"/>
    </row>
    <row r="95" spans="1:6" s="85" customFormat="1" ht="15" customHeight="1" x14ac:dyDescent="0.25">
      <c r="A95" s="101"/>
      <c r="B95" s="90"/>
      <c r="C95" s="90"/>
      <c r="D95" s="90"/>
      <c r="E95" s="90"/>
      <c r="F95" s="90"/>
    </row>
    <row r="96" spans="1:6" s="85" customFormat="1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69" t="s">
        <v>109</v>
      </c>
      <c r="B98" s="269"/>
      <c r="C98" s="269"/>
      <c r="D98" s="269"/>
      <c r="E98" s="269"/>
      <c r="F98" s="90"/>
    </row>
    <row r="99" spans="1:10" ht="15" customHeight="1" x14ac:dyDescent="0.25">
      <c r="A99" s="269" t="s">
        <v>49</v>
      </c>
      <c r="B99" s="269"/>
      <c r="C99" s="269"/>
      <c r="D99" s="269"/>
      <c r="E99" s="269"/>
      <c r="F99" s="90"/>
      <c r="H99" s="43"/>
      <c r="J99" s="13"/>
    </row>
    <row r="100" spans="1:10" ht="15" customHeight="1" x14ac:dyDescent="0.25">
      <c r="A100" s="270" t="s">
        <v>52</v>
      </c>
      <c r="B100" s="270"/>
      <c r="C100" s="270"/>
      <c r="D100" s="270"/>
      <c r="E100" s="270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92" t="s">
        <v>3</v>
      </c>
      <c r="C102" s="92" t="s">
        <v>4</v>
      </c>
      <c r="D102" s="92" t="s">
        <v>5</v>
      </c>
      <c r="E102" s="92" t="s">
        <v>6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255754563.47999999</v>
      </c>
      <c r="C104" s="94">
        <f>B108</f>
        <v>830335694.81333339</v>
      </c>
      <c r="D104" s="94">
        <f>C108</f>
        <v>606067088.14666677</v>
      </c>
      <c r="E104" s="94">
        <f>+B104</f>
        <v>255754563.47999999</v>
      </c>
      <c r="F104" s="90"/>
    </row>
    <row r="105" spans="1:10" ht="15" customHeight="1" x14ac:dyDescent="0.25">
      <c r="A105" s="108" t="s">
        <v>16</v>
      </c>
      <c r="B105" s="94">
        <f>+B148</f>
        <v>629364977.33333337</v>
      </c>
      <c r="C105" s="94">
        <f t="shared" ref="C105:D105" si="7">+C148</f>
        <v>629364977.33333337</v>
      </c>
      <c r="D105" s="94">
        <f t="shared" si="7"/>
        <v>629364977.33333337</v>
      </c>
      <c r="E105" s="94">
        <f>SUM(B105:D105)</f>
        <v>1888094932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885119540.81333339</v>
      </c>
      <c r="C106" s="94">
        <f t="shared" ref="C106:D106" si="8">SUM(C104:C105)</f>
        <v>1459700672.1466668</v>
      </c>
      <c r="D106" s="94">
        <f t="shared" si="8"/>
        <v>1235432065.48</v>
      </c>
      <c r="E106" s="94">
        <f>SUM(E104:E105)</f>
        <v>2143849495.48</v>
      </c>
      <c r="F106" s="90"/>
    </row>
    <row r="107" spans="1:10" ht="15" customHeight="1" x14ac:dyDescent="0.25">
      <c r="A107" s="90" t="s">
        <v>18</v>
      </c>
      <c r="B107" s="94">
        <f>+B59</f>
        <v>54783846</v>
      </c>
      <c r="C107" s="94">
        <f>+C59</f>
        <v>853633584</v>
      </c>
      <c r="D107" s="94">
        <f>+D59</f>
        <v>582582915</v>
      </c>
      <c r="E107" s="94">
        <f>+SUM(B107:D107)</f>
        <v>1491000345</v>
      </c>
      <c r="F107" s="96"/>
    </row>
    <row r="108" spans="1:10" ht="15" customHeight="1" x14ac:dyDescent="0.25">
      <c r="A108" s="97" t="s">
        <v>19</v>
      </c>
      <c r="B108" s="103">
        <f>B106-B107</f>
        <v>830335694.81333339</v>
      </c>
      <c r="C108" s="103">
        <f t="shared" ref="C108:D108" si="9">C106-C107</f>
        <v>606067088.14666677</v>
      </c>
      <c r="D108" s="103">
        <f t="shared" si="9"/>
        <v>652849150.48000002</v>
      </c>
      <c r="E108" s="103">
        <f>+E106-E107</f>
        <v>652849150.48000002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s="85" customFormat="1" ht="15" customHeight="1" x14ac:dyDescent="0.25">
      <c r="A111" s="90"/>
      <c r="B111" s="90"/>
      <c r="C111" s="90"/>
      <c r="D111" s="90"/>
      <c r="E111" s="90"/>
      <c r="F111" s="90"/>
    </row>
    <row r="112" spans="1:10" s="85" customFormat="1" ht="15" customHeight="1" x14ac:dyDescent="0.25">
      <c r="A112" s="90"/>
      <c r="B112" s="90"/>
      <c r="C112" s="90"/>
      <c r="D112" s="90"/>
      <c r="E112" s="90"/>
      <c r="F112" s="90"/>
    </row>
    <row r="113" spans="1:6" s="85" customFormat="1" ht="15" customHeight="1" x14ac:dyDescent="0.25">
      <c r="A113" s="269" t="s">
        <v>112</v>
      </c>
      <c r="B113" s="269"/>
      <c r="C113" s="269"/>
      <c r="D113" s="269"/>
      <c r="E113" s="269"/>
      <c r="F113" s="90"/>
    </row>
    <row r="114" spans="1:6" s="85" customFormat="1" ht="15" customHeight="1" x14ac:dyDescent="0.25">
      <c r="A114" s="269" t="s">
        <v>111</v>
      </c>
      <c r="B114" s="269"/>
      <c r="C114" s="269"/>
      <c r="D114" s="269"/>
      <c r="E114" s="269"/>
      <c r="F114" s="90"/>
    </row>
    <row r="115" spans="1:6" s="85" customFormat="1" ht="15" customHeight="1" x14ac:dyDescent="0.25">
      <c r="A115" s="270" t="s">
        <v>52</v>
      </c>
      <c r="B115" s="270"/>
      <c r="C115" s="270"/>
      <c r="D115" s="270"/>
      <c r="E115" s="270"/>
      <c r="F115" s="102"/>
    </row>
    <row r="116" spans="1:6" s="85" customFormat="1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s="85" customFormat="1" ht="15" customHeight="1" thickBot="1" x14ac:dyDescent="0.3">
      <c r="A117" s="92" t="s">
        <v>10</v>
      </c>
      <c r="B117" s="92" t="s">
        <v>3</v>
      </c>
      <c r="C117" s="92" t="s">
        <v>4</v>
      </c>
      <c r="D117" s="92" t="s">
        <v>5</v>
      </c>
      <c r="E117" s="92" t="s">
        <v>6</v>
      </c>
      <c r="F117" s="102">
        <f>+E73+E88+E105+E120</f>
        <v>4346219962</v>
      </c>
    </row>
    <row r="118" spans="1:6" s="85" customFormat="1" ht="15" customHeight="1" x14ac:dyDescent="0.25">
      <c r="A118" s="90"/>
      <c r="B118" s="93"/>
      <c r="C118" s="93"/>
      <c r="D118" s="93"/>
      <c r="E118" s="93"/>
      <c r="F118" s="90"/>
    </row>
    <row r="119" spans="1:6" s="85" customFormat="1" ht="15" customHeight="1" x14ac:dyDescent="0.25">
      <c r="A119" s="90" t="s">
        <v>62</v>
      </c>
      <c r="B119" s="94">
        <f>+$B$137</f>
        <v>126272734.7</v>
      </c>
      <c r="C119" s="94">
        <f>B123</f>
        <v>411387714.03999996</v>
      </c>
      <c r="D119" s="94">
        <f>C123</f>
        <v>696502693.37999988</v>
      </c>
      <c r="E119" s="94">
        <f>+B119</f>
        <v>126272734.7</v>
      </c>
      <c r="F119" s="90"/>
    </row>
    <row r="120" spans="1:6" s="85" customFormat="1" ht="15" customHeight="1" x14ac:dyDescent="0.25">
      <c r="A120" s="108" t="s">
        <v>16</v>
      </c>
      <c r="B120" s="94">
        <f>+B149</f>
        <v>285114979.33999997</v>
      </c>
      <c r="C120" s="94">
        <f t="shared" ref="C120:D120" si="10">+C149</f>
        <v>285114979.33999997</v>
      </c>
      <c r="D120" s="94">
        <f t="shared" si="10"/>
        <v>591238041.31999993</v>
      </c>
      <c r="E120" s="94">
        <f>SUM(B120:D120)</f>
        <v>1161468000</v>
      </c>
      <c r="F120" s="90"/>
    </row>
    <row r="121" spans="1:6" s="85" customFormat="1" ht="15" customHeight="1" x14ac:dyDescent="0.25">
      <c r="A121" s="90" t="s">
        <v>17</v>
      </c>
      <c r="B121" s="94">
        <f>SUM(B119:B120)</f>
        <v>411387714.03999996</v>
      </c>
      <c r="C121" s="94">
        <f t="shared" ref="C121:D121" si="11">SUM(C119:C120)</f>
        <v>696502693.37999988</v>
      </c>
      <c r="D121" s="94">
        <f t="shared" si="11"/>
        <v>1287740734.6999998</v>
      </c>
      <c r="E121" s="94">
        <f>SUM(E119:E120)</f>
        <v>1287740734.7</v>
      </c>
      <c r="F121" s="90"/>
    </row>
    <row r="122" spans="1:6" s="85" customFormat="1" ht="15" customHeight="1" x14ac:dyDescent="0.25">
      <c r="A122" s="90" t="s">
        <v>18</v>
      </c>
      <c r="B122" s="94">
        <f>+B60</f>
        <v>0</v>
      </c>
      <c r="C122" s="94">
        <f>+C60</f>
        <v>0</v>
      </c>
      <c r="D122" s="94">
        <f>+D60</f>
        <v>908862000</v>
      </c>
      <c r="E122" s="94">
        <f>+SUM(B122:D122)</f>
        <v>908862000</v>
      </c>
      <c r="F122" s="96"/>
    </row>
    <row r="123" spans="1:6" s="85" customFormat="1" ht="15" customHeight="1" x14ac:dyDescent="0.25">
      <c r="A123" s="97" t="s">
        <v>19</v>
      </c>
      <c r="B123" s="103">
        <f>B121-B122</f>
        <v>411387714.03999996</v>
      </c>
      <c r="C123" s="103">
        <f>C121-C122</f>
        <v>696502693.37999988</v>
      </c>
      <c r="D123" s="103">
        <f>D121-D122</f>
        <v>378878734.69999981</v>
      </c>
      <c r="E123" s="103">
        <f>+E121-E122</f>
        <v>378878734.70000005</v>
      </c>
      <c r="F123" s="90"/>
    </row>
    <row r="124" spans="1:6" s="85" customFormat="1" ht="15" customHeight="1" thickBot="1" x14ac:dyDescent="0.3">
      <c r="A124" s="99"/>
      <c r="B124" s="104"/>
      <c r="C124" s="99"/>
      <c r="D124" s="99"/>
      <c r="E124" s="99"/>
      <c r="F124" s="90"/>
    </row>
    <row r="125" spans="1:6" s="85" customFormat="1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s="85" customFormat="1" ht="15" customHeight="1" x14ac:dyDescent="0.25">
      <c r="A126" s="90"/>
      <c r="B126" s="90"/>
      <c r="C126" s="90"/>
      <c r="D126" s="90"/>
      <c r="E126" s="90"/>
      <c r="F126" s="90"/>
    </row>
    <row r="127" spans="1:6" s="85" customFormat="1" ht="15" customHeight="1" x14ac:dyDescent="0.25">
      <c r="A127" s="90"/>
      <c r="B127" s="90"/>
      <c r="C127" s="90"/>
      <c r="D127" s="90"/>
      <c r="E127" s="90"/>
      <c r="F127" s="90"/>
    </row>
    <row r="128" spans="1:6" s="85" customFormat="1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s="85" customFormat="1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100</v>
      </c>
      <c r="B132" s="90"/>
      <c r="C132" s="90"/>
      <c r="D132" s="90"/>
      <c r="E132" s="90"/>
      <c r="F132" s="90"/>
    </row>
    <row r="133" spans="1:6" ht="15" customHeight="1" x14ac:dyDescent="0.25">
      <c r="A133" s="266" t="s">
        <v>98</v>
      </c>
      <c r="B133" s="267"/>
      <c r="C133" s="90"/>
      <c r="D133" s="90"/>
      <c r="E133" s="90"/>
      <c r="F133" s="90"/>
    </row>
    <row r="134" spans="1:6" ht="15" customHeight="1" x14ac:dyDescent="0.25">
      <c r="A134" s="105" t="s">
        <v>113</v>
      </c>
      <c r="B134" s="106">
        <v>97347972.760000005</v>
      </c>
      <c r="C134" s="230"/>
      <c r="D134" s="90"/>
      <c r="E134" s="90"/>
      <c r="F134" s="90"/>
    </row>
    <row r="135" spans="1:6" s="85" customFormat="1" ht="15" customHeight="1" x14ac:dyDescent="0.25">
      <c r="A135" s="105" t="s">
        <v>114</v>
      </c>
      <c r="B135" s="106">
        <v>18741597.390000001</v>
      </c>
      <c r="C135" s="230">
        <f>+B134+B135</f>
        <v>116089570.15000001</v>
      </c>
      <c r="D135" s="90"/>
      <c r="E135" s="90"/>
      <c r="F135" s="90"/>
    </row>
    <row r="136" spans="1:6" ht="15" customHeight="1" x14ac:dyDescent="0.25">
      <c r="A136" s="105" t="s">
        <v>81</v>
      </c>
      <c r="B136" s="106">
        <v>255754563.47999999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106">
        <v>126272734.7</v>
      </c>
      <c r="C137" s="90"/>
      <c r="D137" s="90"/>
      <c r="E137" s="90"/>
      <c r="F137" s="90"/>
    </row>
    <row r="138" spans="1:6" s="85" customFormat="1" ht="15" customHeight="1" x14ac:dyDescent="0.25">
      <c r="A138" s="105" t="s">
        <v>115</v>
      </c>
      <c r="B138" s="106">
        <v>0</v>
      </c>
      <c r="C138" s="90"/>
      <c r="D138" s="90"/>
      <c r="E138" s="90"/>
      <c r="F138" s="90"/>
    </row>
    <row r="139" spans="1:6" ht="15" customHeight="1" x14ac:dyDescent="0.25">
      <c r="A139" s="227" t="s">
        <v>99</v>
      </c>
      <c r="B139" s="228">
        <f>SUM(B134:B138)</f>
        <v>498116868.32999998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31" customFormat="1" ht="15" customHeight="1" x14ac:dyDescent="0.25"/>
    <row r="144" spans="1:6" ht="15" customHeight="1" x14ac:dyDescent="0.25">
      <c r="A144" s="85"/>
      <c r="B144" s="96" t="s">
        <v>127</v>
      </c>
    </row>
    <row r="145" spans="1:5" ht="15" customHeight="1" x14ac:dyDescent="0.25">
      <c r="A145" s="218" t="s">
        <v>117</v>
      </c>
      <c r="B145" s="218" t="s">
        <v>121</v>
      </c>
      <c r="C145" s="218" t="s">
        <v>122</v>
      </c>
      <c r="D145" s="218" t="s">
        <v>123</v>
      </c>
      <c r="E145" s="218" t="s">
        <v>124</v>
      </c>
    </row>
    <row r="146" spans="1:5" ht="15" customHeight="1" x14ac:dyDescent="0.25">
      <c r="A146" s="219" t="s">
        <v>119</v>
      </c>
      <c r="B146" s="223">
        <v>335150750</v>
      </c>
      <c r="C146" s="223">
        <v>335150750</v>
      </c>
      <c r="D146" s="223">
        <v>335150750</v>
      </c>
      <c r="E146" s="223">
        <f>+B146+C146+D146</f>
        <v>1005452250</v>
      </c>
    </row>
    <row r="147" spans="1:5" ht="15" customHeight="1" x14ac:dyDescent="0.25">
      <c r="A147" s="219" t="s">
        <v>120</v>
      </c>
      <c r="B147" s="223">
        <v>97068260</v>
      </c>
      <c r="C147" s="223">
        <v>97068260</v>
      </c>
      <c r="D147" s="223">
        <v>97068260</v>
      </c>
      <c r="E147" s="223">
        <f t="shared" ref="E147:E149" si="12">+B147+C147+D147</f>
        <v>291204780</v>
      </c>
    </row>
    <row r="148" spans="1:5" ht="15" customHeight="1" x14ac:dyDescent="0.25">
      <c r="A148" s="220" t="s">
        <v>116</v>
      </c>
      <c r="B148" s="224">
        <v>629364977.33333337</v>
      </c>
      <c r="C148" s="224">
        <v>629364977.33333337</v>
      </c>
      <c r="D148" s="224">
        <v>629364977.33333337</v>
      </c>
      <c r="E148" s="223">
        <f t="shared" si="12"/>
        <v>1888094932</v>
      </c>
    </row>
    <row r="149" spans="1:5" ht="15" customHeight="1" x14ac:dyDescent="0.25">
      <c r="A149" s="219" t="s">
        <v>83</v>
      </c>
      <c r="B149" s="223">
        <f>271700000+13414979.34</f>
        <v>285114979.33999997</v>
      </c>
      <c r="C149" s="223">
        <f>271700000+13414979.34</f>
        <v>285114979.33999997</v>
      </c>
      <c r="D149" s="223">
        <f>271700000+319538041.32</f>
        <v>591238041.31999993</v>
      </c>
      <c r="E149" s="223">
        <f t="shared" si="12"/>
        <v>1161468000</v>
      </c>
    </row>
    <row r="150" spans="1:5" ht="15" customHeight="1" x14ac:dyDescent="0.25">
      <c r="A150" s="219"/>
      <c r="B150" s="223"/>
      <c r="C150" s="223"/>
      <c r="D150" s="223"/>
      <c r="E150" s="223"/>
    </row>
    <row r="151" spans="1:5" ht="15" customHeight="1" thickBot="1" x14ac:dyDescent="0.3">
      <c r="A151" s="221"/>
      <c r="B151" s="225"/>
      <c r="C151" s="225"/>
      <c r="D151" s="225"/>
      <c r="E151" s="225"/>
    </row>
    <row r="152" spans="1:5" ht="15" customHeight="1" thickBot="1" x14ac:dyDescent="0.3">
      <c r="A152" s="222"/>
      <c r="B152" s="226"/>
      <c r="C152" s="226"/>
      <c r="D152" s="226"/>
      <c r="E152" s="226"/>
    </row>
    <row r="155" spans="1:5" ht="15" customHeight="1" x14ac:dyDescent="0.25">
      <c r="A155" s="218" t="s">
        <v>117</v>
      </c>
      <c r="B155" s="229" t="s">
        <v>125</v>
      </c>
    </row>
    <row r="156" spans="1:5" ht="15" customHeight="1" x14ac:dyDescent="0.25">
      <c r="A156" s="219" t="s">
        <v>119</v>
      </c>
      <c r="B156" s="219">
        <v>1870</v>
      </c>
    </row>
    <row r="157" spans="1:5" ht="15" customHeight="1" x14ac:dyDescent="0.25">
      <c r="A157" s="219" t="s">
        <v>120</v>
      </c>
      <c r="B157" s="219">
        <v>1354</v>
      </c>
    </row>
    <row r="158" spans="1:5" ht="15" customHeight="1" x14ac:dyDescent="0.25">
      <c r="A158" s="220" t="s">
        <v>116</v>
      </c>
      <c r="B158" s="220">
        <v>13573</v>
      </c>
    </row>
    <row r="159" spans="1:5" ht="15" customHeight="1" x14ac:dyDescent="0.25">
      <c r="A159" s="219" t="s">
        <v>83</v>
      </c>
      <c r="B159" s="219">
        <f>494+209</f>
        <v>703</v>
      </c>
    </row>
    <row r="160" spans="1:5" ht="15" customHeight="1" x14ac:dyDescent="0.25">
      <c r="A160" s="219"/>
      <c r="B160" s="219"/>
    </row>
    <row r="161" spans="1:8" ht="15" customHeight="1" thickBot="1" x14ac:dyDescent="0.3">
      <c r="A161" s="221"/>
      <c r="B161" s="221"/>
    </row>
    <row r="162" spans="1:8" ht="15" customHeight="1" thickBot="1" x14ac:dyDescent="0.3">
      <c r="A162" s="222" t="s">
        <v>118</v>
      </c>
      <c r="B162" s="222">
        <f>SUM(B156:B161)</f>
        <v>17500</v>
      </c>
    </row>
    <row r="163" spans="1:8" ht="15" customHeight="1" x14ac:dyDescent="0.25">
      <c r="H163" s="233"/>
    </row>
  </sheetData>
  <mergeCells count="27">
    <mergeCell ref="A52:E52"/>
    <mergeCell ref="A1:F1"/>
    <mergeCell ref="A7:F7"/>
    <mergeCell ref="A8:F8"/>
    <mergeCell ref="A9:F9"/>
    <mergeCell ref="A13:A15"/>
    <mergeCell ref="A16:A18"/>
    <mergeCell ref="A19:A21"/>
    <mergeCell ref="A30:F30"/>
    <mergeCell ref="A31:F31"/>
    <mergeCell ref="A32:F32"/>
    <mergeCell ref="A51:E51"/>
    <mergeCell ref="A22:A24"/>
    <mergeCell ref="A133:B133"/>
    <mergeCell ref="A53:E53"/>
    <mergeCell ref="A66:E66"/>
    <mergeCell ref="A67:E67"/>
    <mergeCell ref="A68:E68"/>
    <mergeCell ref="A100:E100"/>
    <mergeCell ref="A99:E99"/>
    <mergeCell ref="A98:E98"/>
    <mergeCell ref="A81:E81"/>
    <mergeCell ref="A82:E82"/>
    <mergeCell ref="A83:E83"/>
    <mergeCell ref="A113:E113"/>
    <mergeCell ref="A114:E114"/>
    <mergeCell ref="A115:E115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21.28515625" style="85" customWidth="1"/>
    <col min="7" max="7" width="15.42578125" style="85" customWidth="1"/>
    <col min="8" max="8" width="27.28515625" style="85" bestFit="1" customWidth="1"/>
    <col min="9" max="9" width="11.5703125" style="85"/>
    <col min="10" max="10" width="14.28515625" style="85" bestFit="1" customWidth="1"/>
    <col min="11" max="16384" width="11.5703125" style="85"/>
  </cols>
  <sheetData>
    <row r="1" spans="1:8" ht="15" customHeight="1" x14ac:dyDescent="0.25">
      <c r="A1" s="271" t="s">
        <v>20</v>
      </c>
      <c r="B1" s="271"/>
      <c r="C1" s="271"/>
      <c r="D1" s="271"/>
      <c r="E1" s="271"/>
      <c r="F1" s="271"/>
    </row>
    <row r="2" spans="1:8" x14ac:dyDescent="0.25">
      <c r="A2" s="3" t="s">
        <v>0</v>
      </c>
      <c r="B2" s="4" t="s">
        <v>22</v>
      </c>
      <c r="C2" s="5"/>
      <c r="D2" s="5"/>
      <c r="E2" s="5"/>
      <c r="F2" s="5"/>
    </row>
    <row r="3" spans="1:8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8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8" ht="15" customHeight="1" x14ac:dyDescent="0.25">
      <c r="A5" s="3" t="s">
        <v>47</v>
      </c>
      <c r="B5" s="6" t="s">
        <v>129</v>
      </c>
      <c r="C5" s="5"/>
      <c r="D5" s="5"/>
      <c r="E5" s="5"/>
      <c r="F5" s="5"/>
    </row>
    <row r="7" spans="1:8" ht="15" customHeight="1" x14ac:dyDescent="0.25">
      <c r="A7" s="271" t="s">
        <v>9</v>
      </c>
      <c r="B7" s="271"/>
      <c r="C7" s="271"/>
      <c r="D7" s="271"/>
      <c r="E7" s="271"/>
      <c r="F7" s="271"/>
    </row>
    <row r="8" spans="1:8" ht="15" customHeight="1" x14ac:dyDescent="0.25">
      <c r="A8" s="271" t="s">
        <v>12</v>
      </c>
      <c r="B8" s="271"/>
      <c r="C8" s="271"/>
      <c r="D8" s="271"/>
      <c r="E8" s="271"/>
      <c r="F8" s="271"/>
    </row>
    <row r="9" spans="1:8" ht="15" customHeight="1" x14ac:dyDescent="0.25">
      <c r="A9" s="268" t="s">
        <v>50</v>
      </c>
      <c r="B9" s="268"/>
      <c r="C9" s="268"/>
      <c r="D9" s="268"/>
      <c r="E9" s="268"/>
      <c r="F9" s="268"/>
    </row>
    <row r="10" spans="1:8" s="8" customFormat="1" ht="15" customHeight="1" x14ac:dyDescent="0.25">
      <c r="A10" s="7"/>
      <c r="B10" s="7"/>
      <c r="C10" s="7"/>
      <c r="D10" s="7"/>
      <c r="E10" s="7"/>
      <c r="F10" s="7"/>
    </row>
    <row r="11" spans="1:8" ht="15" customHeight="1" thickBot="1" x14ac:dyDescent="0.3">
      <c r="A11" s="45" t="s">
        <v>64</v>
      </c>
      <c r="B11" s="45"/>
      <c r="C11" s="45" t="s">
        <v>27</v>
      </c>
      <c r="D11" s="45" t="s">
        <v>28</v>
      </c>
      <c r="E11" s="45" t="s">
        <v>29</v>
      </c>
      <c r="F11" s="234" t="s">
        <v>71</v>
      </c>
    </row>
    <row r="13" spans="1:8" x14ac:dyDescent="0.25">
      <c r="A13" s="272" t="s">
        <v>87</v>
      </c>
      <c r="B13" s="117" t="s">
        <v>58</v>
      </c>
      <c r="C13" s="118">
        <f>+('I T'!E13-C15)+153</f>
        <v>403</v>
      </c>
      <c r="D13" s="118">
        <f>+(C13-D15)+24</f>
        <v>46</v>
      </c>
      <c r="E13" s="118">
        <f>+(D13-E15)+106</f>
        <v>119</v>
      </c>
      <c r="F13" s="119">
        <f>E13</f>
        <v>119</v>
      </c>
      <c r="H13" s="85">
        <f>78-106</f>
        <v>-28</v>
      </c>
    </row>
    <row r="14" spans="1:8" ht="15" customHeight="1" x14ac:dyDescent="0.25">
      <c r="A14" s="273"/>
      <c r="B14" s="120" t="s">
        <v>59</v>
      </c>
      <c r="C14" s="121">
        <v>1610</v>
      </c>
      <c r="D14" s="121">
        <v>1729</v>
      </c>
      <c r="E14" s="121">
        <v>1666</v>
      </c>
      <c r="F14" s="122">
        <f t="shared" ref="F14:F24" si="0">AVERAGE(C14:E14)</f>
        <v>1668.3333333333333</v>
      </c>
    </row>
    <row r="15" spans="1:8" ht="15" customHeight="1" x14ac:dyDescent="0.25">
      <c r="A15" s="274"/>
      <c r="B15" s="123" t="s">
        <v>60</v>
      </c>
      <c r="C15" s="124">
        <v>463</v>
      </c>
      <c r="D15" s="124">
        <v>381</v>
      </c>
      <c r="E15" s="124">
        <v>33</v>
      </c>
      <c r="F15" s="125">
        <f t="shared" si="0"/>
        <v>292.33333333333331</v>
      </c>
    </row>
    <row r="16" spans="1:8" x14ac:dyDescent="0.25">
      <c r="A16" s="275" t="s">
        <v>24</v>
      </c>
      <c r="B16" s="117" t="s">
        <v>58</v>
      </c>
      <c r="C16" s="118">
        <f>+('I T'!E16-C18)+178</f>
        <v>258</v>
      </c>
      <c r="D16" s="118">
        <f>+(C16-D18)+45</f>
        <v>61</v>
      </c>
      <c r="E16" s="118">
        <f>+(D16-E18)+85</f>
        <v>103</v>
      </c>
      <c r="F16" s="119">
        <f>E16</f>
        <v>103</v>
      </c>
    </row>
    <row r="17" spans="1:8" ht="15" customHeight="1" x14ac:dyDescent="0.25">
      <c r="A17" s="273"/>
      <c r="B17" s="120" t="s">
        <v>59</v>
      </c>
      <c r="C17" s="121">
        <v>1159</v>
      </c>
      <c r="D17" s="121">
        <v>1294</v>
      </c>
      <c r="E17" s="121">
        <v>1234</v>
      </c>
      <c r="F17" s="122">
        <f t="shared" si="0"/>
        <v>1229</v>
      </c>
    </row>
    <row r="18" spans="1:8" ht="15" customHeight="1" x14ac:dyDescent="0.25">
      <c r="A18" s="274"/>
      <c r="B18" s="123" t="s">
        <v>60</v>
      </c>
      <c r="C18" s="124">
        <v>74</v>
      </c>
      <c r="D18" s="124">
        <v>242</v>
      </c>
      <c r="E18" s="124">
        <v>43</v>
      </c>
      <c r="F18" s="125">
        <f t="shared" si="0"/>
        <v>119.66666666666667</v>
      </c>
    </row>
    <row r="19" spans="1:8" x14ac:dyDescent="0.25">
      <c r="A19" s="275" t="s">
        <v>103</v>
      </c>
      <c r="B19" s="117" t="s">
        <v>58</v>
      </c>
      <c r="C19" s="118">
        <f>+('I T'!E19-C21)+1539</f>
        <v>6717</v>
      </c>
      <c r="D19" s="118">
        <f>+(C19-D21)+72</f>
        <v>3130</v>
      </c>
      <c r="E19" s="118">
        <f>+(D19-E21)+68</f>
        <v>2654</v>
      </c>
      <c r="F19" s="119">
        <f>E19</f>
        <v>2654</v>
      </c>
      <c r="H19" s="85">
        <f>85-106</f>
        <v>-21</v>
      </c>
    </row>
    <row r="20" spans="1:8" ht="15" customHeight="1" x14ac:dyDescent="0.25">
      <c r="A20" s="273"/>
      <c r="B20" s="120" t="s">
        <v>59</v>
      </c>
      <c r="C20" s="121">
        <v>9044</v>
      </c>
      <c r="D20" s="121">
        <v>10744</v>
      </c>
      <c r="E20" s="121">
        <v>11096</v>
      </c>
      <c r="F20" s="122">
        <f t="shared" si="0"/>
        <v>10294.666666666666</v>
      </c>
    </row>
    <row r="21" spans="1:8" ht="15" customHeight="1" x14ac:dyDescent="0.25">
      <c r="A21" s="274"/>
      <c r="B21" s="123" t="s">
        <v>60</v>
      </c>
      <c r="C21" s="124">
        <v>1111</v>
      </c>
      <c r="D21" s="124">
        <v>3659</v>
      </c>
      <c r="E21" s="185">
        <v>544</v>
      </c>
      <c r="F21" s="125">
        <f t="shared" si="0"/>
        <v>1771.3333333333333</v>
      </c>
    </row>
    <row r="22" spans="1:8" ht="15" customHeight="1" x14ac:dyDescent="0.25">
      <c r="A22" s="275" t="s">
        <v>126</v>
      </c>
      <c r="B22" s="126" t="s">
        <v>58</v>
      </c>
      <c r="C22" s="118">
        <f>+('I T'!E22-C24)+13</f>
        <v>52</v>
      </c>
      <c r="D22" s="118">
        <f>+(C22-D24)</f>
        <v>52</v>
      </c>
      <c r="E22" s="118">
        <f>+(D22-E24)+1</f>
        <v>1</v>
      </c>
      <c r="F22" s="119">
        <f>E22</f>
        <v>1</v>
      </c>
    </row>
    <row r="23" spans="1:8" ht="15" customHeight="1" x14ac:dyDescent="0.25">
      <c r="A23" s="273"/>
      <c r="B23" s="128" t="s">
        <v>59</v>
      </c>
      <c r="C23" s="121">
        <v>693</v>
      </c>
      <c r="D23" s="121">
        <v>689</v>
      </c>
      <c r="E23" s="121">
        <v>672</v>
      </c>
      <c r="F23" s="129">
        <f t="shared" si="0"/>
        <v>684.66666666666663</v>
      </c>
    </row>
    <row r="24" spans="1:8" ht="15" customHeight="1" x14ac:dyDescent="0.25">
      <c r="A24" s="274"/>
      <c r="B24" s="130" t="s">
        <v>60</v>
      </c>
      <c r="C24" s="124">
        <v>163</v>
      </c>
      <c r="D24" s="124">
        <v>0</v>
      </c>
      <c r="E24" s="124">
        <v>52</v>
      </c>
      <c r="F24" s="131">
        <f t="shared" si="0"/>
        <v>71.666666666666671</v>
      </c>
    </row>
    <row r="25" spans="1:8" ht="15" customHeight="1" thickBot="1" x14ac:dyDescent="0.3">
      <c r="A25" s="10" t="s">
        <v>13</v>
      </c>
      <c r="B25" s="10" t="s">
        <v>51</v>
      </c>
      <c r="C25" s="58">
        <f>+C14+C15+C17+C18+C20+C21+C23+C24</f>
        <v>14317</v>
      </c>
      <c r="D25" s="58">
        <f>+D14+D15+D17+D18+D20+D21+D23+D24</f>
        <v>18738</v>
      </c>
      <c r="E25" s="58">
        <f>+E14+E15+E17+E18+E20+E21+E23+E24</f>
        <v>15340</v>
      </c>
      <c r="F25" s="60">
        <f>AVERAGE(C25:E25)</f>
        <v>16131.666666666666</v>
      </c>
    </row>
    <row r="26" spans="1:8" ht="15" customHeight="1" thickTop="1" x14ac:dyDescent="0.25">
      <c r="A26" s="46"/>
      <c r="B26" s="8"/>
      <c r="C26" s="8"/>
      <c r="D26" s="8"/>
      <c r="E26" s="8"/>
      <c r="F26" s="8"/>
    </row>
    <row r="27" spans="1:8" ht="15" customHeight="1" x14ac:dyDescent="0.25">
      <c r="A27" s="85" t="s">
        <v>72</v>
      </c>
    </row>
    <row r="30" spans="1:8" ht="15" customHeight="1" x14ac:dyDescent="0.25">
      <c r="A30" s="268" t="s">
        <v>14</v>
      </c>
      <c r="B30" s="268"/>
      <c r="C30" s="268"/>
      <c r="D30" s="268"/>
      <c r="E30" s="268"/>
      <c r="F30" s="268"/>
    </row>
    <row r="31" spans="1:8" ht="15" customHeight="1" x14ac:dyDescent="0.25">
      <c r="A31" s="271" t="s">
        <v>31</v>
      </c>
      <c r="B31" s="271"/>
      <c r="C31" s="271"/>
      <c r="D31" s="271"/>
      <c r="E31" s="271"/>
      <c r="F31" s="271"/>
    </row>
    <row r="32" spans="1:8" ht="15" customHeight="1" x14ac:dyDescent="0.25">
      <c r="A32" s="268" t="s">
        <v>52</v>
      </c>
      <c r="B32" s="268"/>
      <c r="C32" s="268"/>
      <c r="D32" s="268"/>
      <c r="E32" s="268"/>
      <c r="F32" s="268"/>
    </row>
    <row r="33" spans="1:8" s="8" customFormat="1" ht="15" customHeight="1" x14ac:dyDescent="0.25">
      <c r="A33" s="232"/>
      <c r="B33" s="232"/>
      <c r="C33" s="232"/>
      <c r="D33" s="232"/>
      <c r="E33" s="232"/>
      <c r="F33" s="232"/>
    </row>
    <row r="34" spans="1:8" ht="15" customHeight="1" thickBot="1" x14ac:dyDescent="0.3">
      <c r="A34" s="12" t="s">
        <v>64</v>
      </c>
      <c r="B34" s="12"/>
      <c r="C34" s="12" t="s">
        <v>27</v>
      </c>
      <c r="D34" s="12" t="s">
        <v>28</v>
      </c>
      <c r="E34" s="12" t="s">
        <v>29</v>
      </c>
      <c r="F34" s="12" t="s">
        <v>30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139</v>
      </c>
      <c r="B36" s="188" t="s">
        <v>56</v>
      </c>
      <c r="C36" s="189">
        <v>288552250</v>
      </c>
      <c r="D36" s="189">
        <v>309880025</v>
      </c>
      <c r="E36" s="189">
        <v>298588850</v>
      </c>
      <c r="F36" s="190">
        <f t="shared" ref="F36:F43" si="1">SUM(C36:E36)</f>
        <v>897021125</v>
      </c>
    </row>
    <row r="37" spans="1:8" ht="15" customHeight="1" x14ac:dyDescent="0.25">
      <c r="A37" s="191"/>
      <c r="B37" s="192" t="s">
        <v>55</v>
      </c>
      <c r="C37" s="193">
        <v>82085050</v>
      </c>
      <c r="D37" s="193">
        <v>68284725</v>
      </c>
      <c r="E37" s="193">
        <v>5914425</v>
      </c>
      <c r="F37" s="194">
        <f t="shared" si="1"/>
        <v>156284200</v>
      </c>
    </row>
    <row r="38" spans="1:8" ht="15" customHeight="1" x14ac:dyDescent="0.25">
      <c r="A38" s="132" t="s">
        <v>24</v>
      </c>
      <c r="B38" s="133" t="s">
        <v>56</v>
      </c>
      <c r="C38" s="134">
        <v>83088710</v>
      </c>
      <c r="D38" s="134">
        <v>92766860</v>
      </c>
      <c r="E38" s="134">
        <v>88465460</v>
      </c>
      <c r="F38" s="127">
        <f t="shared" si="1"/>
        <v>264321030</v>
      </c>
    </row>
    <row r="39" spans="1:8" ht="15" customHeight="1" x14ac:dyDescent="0.25">
      <c r="A39" s="135"/>
      <c r="B39" s="136" t="s">
        <v>55</v>
      </c>
      <c r="C39" s="137">
        <v>5305060</v>
      </c>
      <c r="D39" s="137">
        <v>17348980</v>
      </c>
      <c r="E39" s="137">
        <v>3082670</v>
      </c>
      <c r="F39" s="131">
        <f t="shared" si="1"/>
        <v>25736710</v>
      </c>
    </row>
    <row r="40" spans="1:8" ht="15" customHeight="1" x14ac:dyDescent="0.25">
      <c r="A40" s="195" t="s">
        <v>103</v>
      </c>
      <c r="B40" s="196" t="s">
        <v>56</v>
      </c>
      <c r="C40" s="197">
        <v>493024301</v>
      </c>
      <c r="D40" s="197">
        <v>584878585</v>
      </c>
      <c r="E40" s="197">
        <v>605284917</v>
      </c>
      <c r="F40" s="198">
        <f t="shared" si="1"/>
        <v>1683187803</v>
      </c>
      <c r="H40" s="203"/>
    </row>
    <row r="41" spans="1:8" ht="15" customHeight="1" x14ac:dyDescent="0.25">
      <c r="A41" s="199"/>
      <c r="B41" s="200" t="s">
        <v>55</v>
      </c>
      <c r="C41" s="201">
        <v>46609244</v>
      </c>
      <c r="D41" s="201">
        <v>224517210</v>
      </c>
      <c r="E41" s="201">
        <v>47724120</v>
      </c>
      <c r="F41" s="202">
        <f t="shared" si="1"/>
        <v>318850574</v>
      </c>
    </row>
    <row r="42" spans="1:8" ht="15" customHeight="1" x14ac:dyDescent="0.25">
      <c r="A42" s="138" t="s">
        <v>102</v>
      </c>
      <c r="B42" s="139" t="s">
        <v>56</v>
      </c>
      <c r="C42" s="134">
        <v>331064000</v>
      </c>
      <c r="D42" s="134">
        <v>333802000</v>
      </c>
      <c r="E42" s="134">
        <v>330800000</v>
      </c>
      <c r="F42" s="127">
        <f t="shared" si="1"/>
        <v>995666000</v>
      </c>
    </row>
    <row r="43" spans="1:8" ht="15" customHeight="1" x14ac:dyDescent="0.25">
      <c r="A43" s="140"/>
      <c r="B43" s="141" t="s">
        <v>55</v>
      </c>
      <c r="C43" s="137">
        <v>80022000</v>
      </c>
      <c r="D43" s="137">
        <v>0</v>
      </c>
      <c r="E43" s="137">
        <v>22600000</v>
      </c>
      <c r="F43" s="131">
        <f t="shared" si="1"/>
        <v>102622000</v>
      </c>
      <c r="H43" s="203"/>
    </row>
    <row r="44" spans="1:8" ht="15" customHeight="1" x14ac:dyDescent="0.25">
      <c r="A44" s="215"/>
      <c r="B44" s="216"/>
      <c r="C44" s="217"/>
      <c r="D44" s="217"/>
      <c r="E44" s="217"/>
      <c r="F44" s="217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1409750615</v>
      </c>
      <c r="D45" s="59">
        <f>SUM(D36:D43)</f>
        <v>1631478385</v>
      </c>
      <c r="E45" s="59">
        <f>SUM(E36:E43)</f>
        <v>1402460442</v>
      </c>
      <c r="F45" s="59">
        <f>SUM(F36:F43)</f>
        <v>4443689442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71" t="s">
        <v>15</v>
      </c>
      <c r="B51" s="271"/>
      <c r="C51" s="271"/>
      <c r="D51" s="271"/>
      <c r="E51" s="271"/>
    </row>
    <row r="52" spans="1:5" ht="15" customHeight="1" x14ac:dyDescent="0.25">
      <c r="A52" s="271" t="s">
        <v>32</v>
      </c>
      <c r="B52" s="271"/>
      <c r="C52" s="271"/>
      <c r="D52" s="271"/>
      <c r="E52" s="271"/>
    </row>
    <row r="53" spans="1:5" ht="15" customHeight="1" x14ac:dyDescent="0.25">
      <c r="A53" s="268" t="s">
        <v>52</v>
      </c>
      <c r="B53" s="268"/>
      <c r="C53" s="268"/>
      <c r="D53" s="268"/>
      <c r="E53" s="268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12" t="s">
        <v>27</v>
      </c>
      <c r="C55" s="12" t="s">
        <v>28</v>
      </c>
      <c r="D55" s="12" t="s">
        <v>29</v>
      </c>
      <c r="E55" s="12" t="s">
        <v>30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104</v>
      </c>
      <c r="B57" s="56">
        <f>SUM(C36:C37)</f>
        <v>370637300</v>
      </c>
      <c r="C57" s="56">
        <f>SUM(D36:D37)</f>
        <v>378164750</v>
      </c>
      <c r="D57" s="56">
        <f>SUM(E36:E37)</f>
        <v>304503275</v>
      </c>
      <c r="E57" s="56">
        <f t="shared" ref="E57:E60" si="2">SUM(B57:D57)</f>
        <v>1053305325</v>
      </c>
    </row>
    <row r="58" spans="1:5" ht="15" customHeight="1" x14ac:dyDescent="0.25">
      <c r="A58" s="85" t="s">
        <v>105</v>
      </c>
      <c r="B58" s="56">
        <f>SUM(C38:C39)</f>
        <v>88393770</v>
      </c>
      <c r="C58" s="56">
        <f>SUM(D38:D39)</f>
        <v>110115840</v>
      </c>
      <c r="D58" s="56">
        <f>SUM(E38:E39)</f>
        <v>91548130</v>
      </c>
      <c r="E58" s="56">
        <f t="shared" si="2"/>
        <v>290057740</v>
      </c>
    </row>
    <row r="59" spans="1:5" ht="15" customHeight="1" x14ac:dyDescent="0.25">
      <c r="A59" s="85" t="s">
        <v>106</v>
      </c>
      <c r="B59" s="56">
        <f>SUM(C40:C41)</f>
        <v>539633545</v>
      </c>
      <c r="C59" s="56">
        <f>SUM(D40:D41)</f>
        <v>809395795</v>
      </c>
      <c r="D59" s="56">
        <f>SUM(E40:E41)</f>
        <v>653009037</v>
      </c>
      <c r="E59" s="56">
        <f t="shared" si="2"/>
        <v>2002038377</v>
      </c>
    </row>
    <row r="60" spans="1:5" ht="15" customHeight="1" x14ac:dyDescent="0.25">
      <c r="A60" s="85" t="s">
        <v>107</v>
      </c>
      <c r="B60" s="56">
        <f>SUM(C42:C43)</f>
        <v>411086000</v>
      </c>
      <c r="C60" s="56">
        <f>SUM(D42:D43)</f>
        <v>333802000</v>
      </c>
      <c r="D60" s="56">
        <f>SUM(E42:E43)</f>
        <v>353400000</v>
      </c>
      <c r="E60" s="56">
        <f t="shared" si="2"/>
        <v>1098288000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1409750615</v>
      </c>
      <c r="C62" s="58">
        <f>SUM(C57:C61)</f>
        <v>1631478385</v>
      </c>
      <c r="D62" s="58">
        <f>SUM(D57:D61)</f>
        <v>1402460442</v>
      </c>
      <c r="E62" s="58">
        <f>SUM(E57:E61)</f>
        <v>4443689442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69" t="s">
        <v>44</v>
      </c>
      <c r="B66" s="269"/>
      <c r="C66" s="269"/>
      <c r="D66" s="269"/>
      <c r="E66" s="269"/>
      <c r="F66" s="90"/>
    </row>
    <row r="67" spans="1:9" ht="15" customHeight="1" x14ac:dyDescent="0.25">
      <c r="A67" s="269" t="s">
        <v>110</v>
      </c>
      <c r="B67" s="269"/>
      <c r="C67" s="269"/>
      <c r="D67" s="269"/>
      <c r="E67" s="269"/>
      <c r="F67" s="90"/>
    </row>
    <row r="68" spans="1:9" ht="15" customHeight="1" x14ac:dyDescent="0.25">
      <c r="A68" s="270" t="s">
        <v>52</v>
      </c>
      <c r="B68" s="270"/>
      <c r="C68" s="270"/>
      <c r="D68" s="270"/>
      <c r="E68" s="270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12" t="s">
        <v>27</v>
      </c>
      <c r="C70" s="12" t="s">
        <v>28</v>
      </c>
      <c r="D70" s="12" t="s">
        <v>29</v>
      </c>
      <c r="E70" s="12" t="s">
        <v>30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269762422.75999999</v>
      </c>
      <c r="C72" s="94">
        <f>B76</f>
        <v>234275872.75999999</v>
      </c>
      <c r="D72" s="94">
        <f>C76</f>
        <v>191261872.75999999</v>
      </c>
      <c r="E72" s="94">
        <f>B72</f>
        <v>269762422.75999999</v>
      </c>
      <c r="F72" s="90"/>
    </row>
    <row r="73" spans="1:9" ht="15" customHeight="1" x14ac:dyDescent="0.25">
      <c r="A73" s="90" t="s">
        <v>16</v>
      </c>
      <c r="B73" s="94">
        <f>+B146</f>
        <v>335150750</v>
      </c>
      <c r="C73" s="94">
        <f t="shared" ref="C73:D73" si="3">+C146</f>
        <v>335150750</v>
      </c>
      <c r="D73" s="94">
        <f t="shared" si="3"/>
        <v>335150750</v>
      </c>
      <c r="E73" s="94">
        <f>+SUM(B73:D73)</f>
        <v>1005452250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604913172.75999999</v>
      </c>
      <c r="C74" s="94">
        <f t="shared" ref="C74:D74" si="4">SUM(C72:C73)</f>
        <v>569426622.75999999</v>
      </c>
      <c r="D74" s="94">
        <f t="shared" si="4"/>
        <v>526412622.75999999</v>
      </c>
      <c r="E74" s="94">
        <f>+E72+E73</f>
        <v>1275214672.76</v>
      </c>
      <c r="F74" s="90"/>
    </row>
    <row r="75" spans="1:9" ht="15" customHeight="1" x14ac:dyDescent="0.25">
      <c r="A75" s="90" t="s">
        <v>18</v>
      </c>
      <c r="B75" s="95">
        <f>B57</f>
        <v>370637300</v>
      </c>
      <c r="C75" s="95">
        <f>C57</f>
        <v>378164750</v>
      </c>
      <c r="D75" s="95">
        <f>D57</f>
        <v>304503275</v>
      </c>
      <c r="E75" s="94">
        <f>+SUM(B75:D75)</f>
        <v>1053305325</v>
      </c>
      <c r="F75" s="96"/>
    </row>
    <row r="76" spans="1:9" ht="15" customHeight="1" x14ac:dyDescent="0.25">
      <c r="A76" s="97" t="s">
        <v>19</v>
      </c>
      <c r="B76" s="98">
        <f>B74-B75</f>
        <v>234275872.75999999</v>
      </c>
      <c r="C76" s="98">
        <f>C74-C75</f>
        <v>191261872.75999999</v>
      </c>
      <c r="D76" s="98">
        <f>D74-D75</f>
        <v>221909347.75999999</v>
      </c>
      <c r="E76" s="98">
        <f>+E74-E75</f>
        <v>221909347.75999999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69" t="s">
        <v>45</v>
      </c>
      <c r="B81" s="269"/>
      <c r="C81" s="269"/>
      <c r="D81" s="269"/>
      <c r="E81" s="269"/>
      <c r="F81" s="90"/>
    </row>
    <row r="82" spans="1:6" ht="15" customHeight="1" x14ac:dyDescent="0.25">
      <c r="A82" s="269" t="s">
        <v>108</v>
      </c>
      <c r="B82" s="269"/>
      <c r="C82" s="269"/>
      <c r="D82" s="269"/>
      <c r="E82" s="269"/>
      <c r="F82" s="90"/>
    </row>
    <row r="83" spans="1:6" ht="15" customHeight="1" x14ac:dyDescent="0.25">
      <c r="A83" s="270" t="s">
        <v>52</v>
      </c>
      <c r="B83" s="270"/>
      <c r="C83" s="270"/>
      <c r="D83" s="270"/>
      <c r="E83" s="270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12" t="s">
        <v>27</v>
      </c>
      <c r="C85" s="12" t="s">
        <v>28</v>
      </c>
      <c r="D85" s="12" t="s">
        <v>29</v>
      </c>
      <c r="E85" s="12" t="s">
        <v>30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35015227.389999986</v>
      </c>
      <c r="C87" s="94">
        <f>B91</f>
        <v>43689717.389999986</v>
      </c>
      <c r="D87" s="94">
        <f>C91</f>
        <v>30642137.389999986</v>
      </c>
      <c r="E87" s="94">
        <f>B87</f>
        <v>35015227.389999986</v>
      </c>
      <c r="F87" s="90"/>
    </row>
    <row r="88" spans="1:6" ht="15" customHeight="1" x14ac:dyDescent="0.25">
      <c r="A88" s="90" t="s">
        <v>16</v>
      </c>
      <c r="B88" s="94">
        <f>+B147</f>
        <v>97068260</v>
      </c>
      <c r="C88" s="94">
        <f t="shared" ref="C88:D88" si="5">+C147</f>
        <v>97068260</v>
      </c>
      <c r="D88" s="94">
        <f t="shared" si="5"/>
        <v>97068260</v>
      </c>
      <c r="E88" s="94">
        <f>+SUM(B88:D88)</f>
        <v>291204780</v>
      </c>
      <c r="F88" s="90"/>
    </row>
    <row r="89" spans="1:6" ht="15" customHeight="1" x14ac:dyDescent="0.25">
      <c r="A89" s="90" t="s">
        <v>17</v>
      </c>
      <c r="B89" s="94">
        <f>B87+B88</f>
        <v>132083487.38999999</v>
      </c>
      <c r="C89" s="94">
        <f t="shared" ref="C89:D89" si="6">C87+C88</f>
        <v>140757977.38999999</v>
      </c>
      <c r="D89" s="94">
        <f t="shared" si="6"/>
        <v>127710397.38999999</v>
      </c>
      <c r="E89" s="94">
        <f>+E87+E88</f>
        <v>326220007.38999999</v>
      </c>
      <c r="F89" s="90"/>
    </row>
    <row r="90" spans="1:6" ht="15" customHeight="1" x14ac:dyDescent="0.25">
      <c r="A90" s="90" t="s">
        <v>18</v>
      </c>
      <c r="B90" s="95">
        <f>+B58</f>
        <v>88393770</v>
      </c>
      <c r="C90" s="95">
        <f>+C58</f>
        <v>110115840</v>
      </c>
      <c r="D90" s="95">
        <f>+D58</f>
        <v>91548130</v>
      </c>
      <c r="E90" s="94">
        <f>+SUM(B90:D90)</f>
        <v>290057740</v>
      </c>
      <c r="F90" s="90"/>
    </row>
    <row r="91" spans="1:6" ht="15" customHeight="1" x14ac:dyDescent="0.25">
      <c r="A91" s="97" t="s">
        <v>19</v>
      </c>
      <c r="B91" s="98">
        <f>B89-B90</f>
        <v>43689717.389999986</v>
      </c>
      <c r="C91" s="98">
        <f>C89-C90</f>
        <v>30642137.389999986</v>
      </c>
      <c r="D91" s="98">
        <f>D89-D90</f>
        <v>36162267.389999986</v>
      </c>
      <c r="E91" s="98">
        <f>+E89-E90</f>
        <v>36162267.389999986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69" t="s">
        <v>109</v>
      </c>
      <c r="B98" s="269"/>
      <c r="C98" s="269"/>
      <c r="D98" s="269"/>
      <c r="E98" s="269"/>
      <c r="F98" s="90"/>
    </row>
    <row r="99" spans="1:10" ht="15" customHeight="1" x14ac:dyDescent="0.25">
      <c r="A99" s="269" t="s">
        <v>49</v>
      </c>
      <c r="B99" s="269"/>
      <c r="C99" s="269"/>
      <c r="D99" s="269"/>
      <c r="E99" s="269"/>
      <c r="F99" s="90"/>
      <c r="H99" s="43"/>
      <c r="J99" s="13"/>
    </row>
    <row r="100" spans="1:10" ht="15" customHeight="1" x14ac:dyDescent="0.25">
      <c r="A100" s="270" t="s">
        <v>52</v>
      </c>
      <c r="B100" s="270"/>
      <c r="C100" s="270"/>
      <c r="D100" s="270"/>
      <c r="E100" s="270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12" t="s">
        <v>27</v>
      </c>
      <c r="C102" s="12" t="s">
        <v>28</v>
      </c>
      <c r="D102" s="12" t="s">
        <v>29</v>
      </c>
      <c r="E102" s="12" t="s">
        <v>30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652849150.48000002</v>
      </c>
      <c r="C104" s="94">
        <f>B108</f>
        <v>742580582.81333351</v>
      </c>
      <c r="D104" s="94">
        <f>C108</f>
        <v>562549765.146667</v>
      </c>
      <c r="E104" s="94">
        <f>+B104</f>
        <v>652849150.48000002</v>
      </c>
      <c r="F104" s="90"/>
    </row>
    <row r="105" spans="1:10" ht="15" customHeight="1" x14ac:dyDescent="0.25">
      <c r="A105" s="108" t="s">
        <v>16</v>
      </c>
      <c r="B105" s="94">
        <f>+B148</f>
        <v>629364977.33333337</v>
      </c>
      <c r="C105" s="94">
        <f t="shared" ref="C105:D105" si="7">+C148</f>
        <v>629364977.33333337</v>
      </c>
      <c r="D105" s="94">
        <f t="shared" si="7"/>
        <v>629364977.33333337</v>
      </c>
      <c r="E105" s="94">
        <f>SUM(B105:D105)</f>
        <v>1888094932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1282214127.8133335</v>
      </c>
      <c r="C106" s="94">
        <f t="shared" ref="C106:D106" si="8">SUM(C104:C105)</f>
        <v>1371945560.146667</v>
      </c>
      <c r="D106" s="94">
        <f t="shared" si="8"/>
        <v>1191914742.4800005</v>
      </c>
      <c r="E106" s="94">
        <f>SUM(E104:E105)</f>
        <v>2540944082.48</v>
      </c>
      <c r="F106" s="90"/>
    </row>
    <row r="107" spans="1:10" ht="15" customHeight="1" x14ac:dyDescent="0.25">
      <c r="A107" s="90" t="s">
        <v>18</v>
      </c>
      <c r="B107" s="94">
        <f>+B59</f>
        <v>539633545</v>
      </c>
      <c r="C107" s="94">
        <f>+C59</f>
        <v>809395795</v>
      </c>
      <c r="D107" s="94">
        <f>+D59</f>
        <v>653009037</v>
      </c>
      <c r="E107" s="94">
        <f>+SUM(B107:D107)</f>
        <v>2002038377</v>
      </c>
      <c r="F107" s="96"/>
    </row>
    <row r="108" spans="1:10" ht="15" customHeight="1" x14ac:dyDescent="0.25">
      <c r="A108" s="97" t="s">
        <v>19</v>
      </c>
      <c r="B108" s="103">
        <f>B106-B107</f>
        <v>742580582.81333351</v>
      </c>
      <c r="C108" s="103">
        <f t="shared" ref="C108:D108" si="9">C106-C107</f>
        <v>562549765.146667</v>
      </c>
      <c r="D108" s="103">
        <f t="shared" si="9"/>
        <v>538905705.4800005</v>
      </c>
      <c r="E108" s="103">
        <f>+E106-E107</f>
        <v>538905705.48000002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69" t="s">
        <v>112</v>
      </c>
      <c r="B113" s="269"/>
      <c r="C113" s="269"/>
      <c r="D113" s="269"/>
      <c r="E113" s="269"/>
      <c r="F113" s="90"/>
    </row>
    <row r="114" spans="1:6" ht="15" customHeight="1" x14ac:dyDescent="0.25">
      <c r="A114" s="269" t="s">
        <v>111</v>
      </c>
      <c r="B114" s="269"/>
      <c r="C114" s="269"/>
      <c r="D114" s="269"/>
      <c r="E114" s="269"/>
      <c r="F114" s="90"/>
    </row>
    <row r="115" spans="1:6" ht="15" customHeight="1" x14ac:dyDescent="0.25">
      <c r="A115" s="270" t="s">
        <v>52</v>
      </c>
      <c r="B115" s="270"/>
      <c r="C115" s="270"/>
      <c r="D115" s="270"/>
      <c r="E115" s="270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12" t="s">
        <v>27</v>
      </c>
      <c r="C117" s="12" t="s">
        <v>28</v>
      </c>
      <c r="D117" s="12" t="s">
        <v>29</v>
      </c>
      <c r="E117" s="12" t="s">
        <v>30</v>
      </c>
      <c r="F117" s="237">
        <f>+E73+E88+E105+E120</f>
        <v>4314223840.8000002</v>
      </c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378878734.70000005</v>
      </c>
      <c r="C119" s="94">
        <f>B123</f>
        <v>381884522.25999999</v>
      </c>
      <c r="D119" s="94">
        <f>C123</f>
        <v>405772567.88</v>
      </c>
      <c r="E119" s="94">
        <f>+B119</f>
        <v>378878734.70000005</v>
      </c>
      <c r="F119" s="90"/>
    </row>
    <row r="120" spans="1:6" ht="15" customHeight="1" x14ac:dyDescent="0.25">
      <c r="A120" s="108" t="s">
        <v>16</v>
      </c>
      <c r="B120" s="94">
        <f>+B149</f>
        <v>414091787.56</v>
      </c>
      <c r="C120" s="94">
        <f t="shared" ref="C120:D120" si="10">+C149</f>
        <v>357690045.62</v>
      </c>
      <c r="D120" s="94">
        <f t="shared" si="10"/>
        <v>357690045.62</v>
      </c>
      <c r="E120" s="94">
        <f>SUM(B120:D120)</f>
        <v>1129471878.8000002</v>
      </c>
      <c r="F120" s="90"/>
    </row>
    <row r="121" spans="1:6" ht="15" customHeight="1" x14ac:dyDescent="0.25">
      <c r="A121" s="90" t="s">
        <v>17</v>
      </c>
      <c r="B121" s="94">
        <f>SUM(B119:B120)</f>
        <v>792970522.25999999</v>
      </c>
      <c r="C121" s="94">
        <f t="shared" ref="C121:D121" si="11">SUM(C119:C120)</f>
        <v>739574567.88</v>
      </c>
      <c r="D121" s="94">
        <f t="shared" si="11"/>
        <v>763462613.5</v>
      </c>
      <c r="E121" s="94">
        <f>SUM(E119:E120)</f>
        <v>1508350613.5000002</v>
      </c>
      <c r="F121" s="90"/>
    </row>
    <row r="122" spans="1:6" ht="15" customHeight="1" x14ac:dyDescent="0.25">
      <c r="A122" s="90" t="s">
        <v>18</v>
      </c>
      <c r="B122" s="94">
        <f>+B60</f>
        <v>411086000</v>
      </c>
      <c r="C122" s="94">
        <f>+C60</f>
        <v>333802000</v>
      </c>
      <c r="D122" s="94">
        <f>+D60</f>
        <v>353400000</v>
      </c>
      <c r="E122" s="94">
        <f>+SUM(B122:D122)</f>
        <v>1098288000</v>
      </c>
      <c r="F122" s="96"/>
    </row>
    <row r="123" spans="1:6" ht="15" customHeight="1" x14ac:dyDescent="0.25">
      <c r="A123" s="97" t="s">
        <v>19</v>
      </c>
      <c r="B123" s="103">
        <f>B121-B122</f>
        <v>381884522.25999999</v>
      </c>
      <c r="C123" s="103">
        <f>C121-C122</f>
        <v>405772567.88</v>
      </c>
      <c r="D123" s="103">
        <f>D121-D122</f>
        <v>410062613.5</v>
      </c>
      <c r="E123" s="103">
        <f>+E121-E122</f>
        <v>410062613.50000024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132</v>
      </c>
      <c r="B132" s="90"/>
      <c r="C132" s="90"/>
      <c r="D132" s="90"/>
      <c r="E132" s="90"/>
      <c r="F132" s="90"/>
    </row>
    <row r="133" spans="1:6" ht="15" customHeight="1" x14ac:dyDescent="0.25">
      <c r="A133" s="266" t="s">
        <v>131</v>
      </c>
      <c r="B133" s="267"/>
      <c r="C133" s="90"/>
      <c r="D133" s="90"/>
      <c r="E133" s="90"/>
      <c r="F133" s="90"/>
    </row>
    <row r="134" spans="1:6" ht="15" customHeight="1" x14ac:dyDescent="0.25">
      <c r="A134" s="105" t="s">
        <v>113</v>
      </c>
      <c r="B134" s="106">
        <f>+'I T'!E76</f>
        <v>269762422.75999999</v>
      </c>
      <c r="C134" s="230"/>
      <c r="D134" s="90"/>
      <c r="E134" s="90"/>
      <c r="F134" s="90"/>
    </row>
    <row r="135" spans="1:6" ht="15" customHeight="1" x14ac:dyDescent="0.25">
      <c r="A135" s="105" t="s">
        <v>114</v>
      </c>
      <c r="B135" s="106">
        <f>+'I T'!E91</f>
        <v>35015227.389999986</v>
      </c>
      <c r="C135" s="230"/>
      <c r="D135" s="90"/>
      <c r="E135" s="90"/>
      <c r="F135" s="90"/>
    </row>
    <row r="136" spans="1:6" ht="15" customHeight="1" x14ac:dyDescent="0.25">
      <c r="A136" s="105" t="s">
        <v>81</v>
      </c>
      <c r="B136" s="106">
        <f>+'I T'!E108</f>
        <v>652849150.48000002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106">
        <f>+'I T'!E123</f>
        <v>378878734.70000005</v>
      </c>
      <c r="C137" s="90"/>
      <c r="D137" s="90"/>
      <c r="E137" s="90"/>
      <c r="F137" s="90"/>
    </row>
    <row r="138" spans="1:6" ht="15" customHeight="1" x14ac:dyDescent="0.25">
      <c r="A138" s="105" t="s">
        <v>115</v>
      </c>
      <c r="B138" s="106">
        <v>0</v>
      </c>
      <c r="C138" s="90"/>
      <c r="D138" s="90"/>
      <c r="E138" s="90"/>
      <c r="F138" s="90"/>
    </row>
    <row r="139" spans="1:6" ht="15" customHeight="1" x14ac:dyDescent="0.25">
      <c r="A139" s="227" t="s">
        <v>99</v>
      </c>
      <c r="B139" s="228">
        <f>SUM(B134:B138)</f>
        <v>1336505535.3299999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31" customFormat="1" ht="15" customHeight="1" x14ac:dyDescent="0.25"/>
    <row r="144" spans="1:6" ht="15" customHeight="1" x14ac:dyDescent="0.25">
      <c r="B144" s="96" t="s">
        <v>133</v>
      </c>
    </row>
    <row r="145" spans="1:5" ht="15" customHeight="1" x14ac:dyDescent="0.25">
      <c r="A145" s="218" t="s">
        <v>117</v>
      </c>
      <c r="B145" s="218" t="s">
        <v>134</v>
      </c>
      <c r="C145" s="218" t="s">
        <v>135</v>
      </c>
      <c r="D145" s="218" t="s">
        <v>136</v>
      </c>
      <c r="E145" s="218" t="s">
        <v>137</v>
      </c>
    </row>
    <row r="146" spans="1:5" ht="15" customHeight="1" x14ac:dyDescent="0.25">
      <c r="A146" s="219" t="s">
        <v>119</v>
      </c>
      <c r="B146" s="223">
        <v>335150750</v>
      </c>
      <c r="C146" s="223">
        <v>335150750</v>
      </c>
      <c r="D146" s="223">
        <v>335150750</v>
      </c>
      <c r="E146" s="223">
        <f>+B146+C146+D146</f>
        <v>1005452250</v>
      </c>
    </row>
    <row r="147" spans="1:5" ht="15" customHeight="1" x14ac:dyDescent="0.25">
      <c r="A147" s="219" t="s">
        <v>120</v>
      </c>
      <c r="B147" s="223">
        <v>97068260</v>
      </c>
      <c r="C147" s="223">
        <v>97068260</v>
      </c>
      <c r="D147" s="223">
        <v>97068260</v>
      </c>
      <c r="E147" s="223">
        <f t="shared" ref="E147:E149" si="12">+B147+C147+D147</f>
        <v>291204780</v>
      </c>
    </row>
    <row r="148" spans="1:5" ht="15" customHeight="1" x14ac:dyDescent="0.25">
      <c r="A148" s="220" t="s">
        <v>116</v>
      </c>
      <c r="B148" s="224">
        <v>629364977.33333337</v>
      </c>
      <c r="C148" s="224">
        <v>629364977.33333337</v>
      </c>
      <c r="D148" s="224">
        <v>629364977.33333337</v>
      </c>
      <c r="E148" s="223">
        <f t="shared" si="12"/>
        <v>1888094932</v>
      </c>
    </row>
    <row r="149" spans="1:5" ht="15" customHeight="1" x14ac:dyDescent="0.25">
      <c r="A149" s="219" t="s">
        <v>83</v>
      </c>
      <c r="B149" s="236">
        <v>414091787.56</v>
      </c>
      <c r="C149" s="235">
        <v>357690045.62</v>
      </c>
      <c r="D149" s="235">
        <v>357690045.62</v>
      </c>
      <c r="E149" s="223">
        <f t="shared" si="12"/>
        <v>1129471878.8000002</v>
      </c>
    </row>
    <row r="150" spans="1:5" ht="15" customHeight="1" x14ac:dyDescent="0.25">
      <c r="A150" s="219"/>
      <c r="B150" s="223"/>
      <c r="C150" s="223"/>
      <c r="D150" s="223"/>
      <c r="E150" s="223"/>
    </row>
    <row r="151" spans="1:5" ht="15" customHeight="1" thickBot="1" x14ac:dyDescent="0.3">
      <c r="A151" s="221"/>
      <c r="B151" s="225"/>
      <c r="C151" s="225"/>
      <c r="D151" s="225"/>
      <c r="E151" s="225"/>
    </row>
    <row r="152" spans="1:5" ht="15" customHeight="1" thickBot="1" x14ac:dyDescent="0.3">
      <c r="A152" s="222"/>
      <c r="B152" s="226">
        <f>SUM(B146:B151)</f>
        <v>1475675774.8933334</v>
      </c>
      <c r="C152" s="226">
        <f t="shared" ref="C152:E152" si="13">SUM(C146:C151)</f>
        <v>1419274032.9533334</v>
      </c>
      <c r="D152" s="226">
        <f t="shared" si="13"/>
        <v>1419274032.9533334</v>
      </c>
      <c r="E152" s="226">
        <f t="shared" si="13"/>
        <v>4314223840.8000002</v>
      </c>
    </row>
    <row r="155" spans="1:5" ht="15" customHeight="1" x14ac:dyDescent="0.25">
      <c r="A155" s="218" t="s">
        <v>117</v>
      </c>
      <c r="B155" s="229" t="s">
        <v>125</v>
      </c>
    </row>
    <row r="156" spans="1:5" ht="15" customHeight="1" x14ac:dyDescent="0.25">
      <c r="A156" s="219" t="s">
        <v>119</v>
      </c>
      <c r="B156" s="219">
        <v>1870</v>
      </c>
    </row>
    <row r="157" spans="1:5" ht="15" customHeight="1" x14ac:dyDescent="0.25">
      <c r="A157" s="219" t="s">
        <v>120</v>
      </c>
      <c r="B157" s="219">
        <v>1354</v>
      </c>
    </row>
    <row r="158" spans="1:5" ht="15" customHeight="1" x14ac:dyDescent="0.25">
      <c r="A158" s="220" t="s">
        <v>116</v>
      </c>
      <c r="B158" s="220">
        <v>13573</v>
      </c>
    </row>
    <row r="159" spans="1:5" ht="15" customHeight="1" x14ac:dyDescent="0.25">
      <c r="A159" s="219" t="s">
        <v>83</v>
      </c>
      <c r="B159" s="219">
        <f>494+209</f>
        <v>703</v>
      </c>
    </row>
    <row r="160" spans="1:5" ht="15" customHeight="1" x14ac:dyDescent="0.25">
      <c r="A160" s="219"/>
      <c r="B160" s="219"/>
    </row>
    <row r="161" spans="1:8" ht="15" customHeight="1" thickBot="1" x14ac:dyDescent="0.3">
      <c r="A161" s="221"/>
      <c r="B161" s="221"/>
    </row>
    <row r="162" spans="1:8" ht="15" customHeight="1" thickBot="1" x14ac:dyDescent="0.3">
      <c r="A162" s="222" t="s">
        <v>130</v>
      </c>
      <c r="B162" s="222">
        <f>SUM(B156:B161)</f>
        <v>17500</v>
      </c>
    </row>
    <row r="163" spans="1:8" ht="15" customHeight="1" x14ac:dyDescent="0.25">
      <c r="H163" s="233"/>
    </row>
  </sheetData>
  <mergeCells count="27"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6:A18"/>
    <mergeCell ref="A1:F1"/>
    <mergeCell ref="A7:F7"/>
    <mergeCell ref="A8:F8"/>
    <mergeCell ref="A9:F9"/>
    <mergeCell ref="A13:A15"/>
  </mergeCells>
  <phoneticPr fontId="17" type="noConversion"/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16.28515625" style="85" bestFit="1" customWidth="1"/>
    <col min="7" max="7" width="15.42578125" style="85" customWidth="1"/>
    <col min="8" max="8" width="27.28515625" style="85" bestFit="1" customWidth="1"/>
    <col min="9" max="9" width="11.5703125" style="85"/>
    <col min="10" max="10" width="14.28515625" style="85" bestFit="1" customWidth="1"/>
    <col min="11" max="16384" width="11.5703125" style="85"/>
  </cols>
  <sheetData>
    <row r="1" spans="1:6" ht="15" customHeight="1" x14ac:dyDescent="0.25">
      <c r="A1" s="271" t="s">
        <v>20</v>
      </c>
      <c r="B1" s="271"/>
      <c r="C1" s="271"/>
      <c r="D1" s="271"/>
      <c r="E1" s="271"/>
      <c r="F1" s="271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140</v>
      </c>
      <c r="C5" s="5"/>
      <c r="D5" s="5"/>
      <c r="E5" s="5"/>
      <c r="F5" s="5"/>
    </row>
    <row r="7" spans="1:6" ht="15" customHeight="1" x14ac:dyDescent="0.25">
      <c r="A7" s="271" t="s">
        <v>9</v>
      </c>
      <c r="B7" s="271"/>
      <c r="C7" s="271"/>
      <c r="D7" s="271"/>
      <c r="E7" s="271"/>
      <c r="F7" s="271"/>
    </row>
    <row r="8" spans="1:6" ht="15" customHeight="1" x14ac:dyDescent="0.25">
      <c r="A8" s="271" t="s">
        <v>12</v>
      </c>
      <c r="B8" s="271"/>
      <c r="C8" s="271"/>
      <c r="D8" s="271"/>
      <c r="E8" s="271"/>
      <c r="F8" s="271"/>
    </row>
    <row r="9" spans="1:6" ht="15" customHeight="1" x14ac:dyDescent="0.25">
      <c r="A9" s="268" t="s">
        <v>50</v>
      </c>
      <c r="B9" s="268"/>
      <c r="C9" s="268"/>
      <c r="D9" s="268"/>
      <c r="E9" s="268"/>
      <c r="F9" s="268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5" t="s">
        <v>64</v>
      </c>
      <c r="B11" s="45"/>
      <c r="C11" s="45" t="s">
        <v>33</v>
      </c>
      <c r="D11" s="45" t="s">
        <v>34</v>
      </c>
      <c r="E11" s="45" t="s">
        <v>149</v>
      </c>
      <c r="F11" s="234" t="s">
        <v>141</v>
      </c>
    </row>
    <row r="13" spans="1:6" x14ac:dyDescent="0.25">
      <c r="A13" s="272" t="s">
        <v>87</v>
      </c>
      <c r="B13" s="117" t="s">
        <v>58</v>
      </c>
      <c r="C13" s="118">
        <f>+('II T'!E13-C15)+33-28</f>
        <v>74</v>
      </c>
      <c r="D13" s="118">
        <f>+(C13-D15)+87</f>
        <v>87</v>
      </c>
      <c r="E13" s="118">
        <f>+(D13-E15)+11</f>
        <v>22</v>
      </c>
      <c r="F13" s="119">
        <f>E13</f>
        <v>22</v>
      </c>
    </row>
    <row r="14" spans="1:6" ht="15" customHeight="1" x14ac:dyDescent="0.25">
      <c r="A14" s="273"/>
      <c r="B14" s="120" t="s">
        <v>59</v>
      </c>
      <c r="C14" s="121">
        <v>1690</v>
      </c>
      <c r="D14" s="121">
        <v>1634</v>
      </c>
      <c r="E14" s="121">
        <v>1691</v>
      </c>
      <c r="F14" s="122">
        <f t="shared" ref="F14:F24" si="0">AVERAGE(C14:E14)</f>
        <v>1671.6666666666667</v>
      </c>
    </row>
    <row r="15" spans="1:6" ht="15" customHeight="1" x14ac:dyDescent="0.25">
      <c r="A15" s="274"/>
      <c r="B15" s="123" t="s">
        <v>60</v>
      </c>
      <c r="C15" s="124">
        <v>50</v>
      </c>
      <c r="D15" s="124">
        <v>74</v>
      </c>
      <c r="E15" s="124">
        <v>76</v>
      </c>
      <c r="F15" s="125">
        <f t="shared" si="0"/>
        <v>66.666666666666671</v>
      </c>
    </row>
    <row r="16" spans="1:6" x14ac:dyDescent="0.25">
      <c r="A16" s="275" t="s">
        <v>24</v>
      </c>
      <c r="B16" s="117" t="s">
        <v>58</v>
      </c>
      <c r="C16" s="118">
        <f>+('II T'!E16-C18)+21+15</f>
        <v>15</v>
      </c>
      <c r="D16" s="118">
        <f>+(C16-D18)+15</f>
        <v>15</v>
      </c>
      <c r="E16" s="118">
        <f>+(D16-E18)+31</f>
        <v>31</v>
      </c>
      <c r="F16" s="119">
        <f>E16</f>
        <v>31</v>
      </c>
    </row>
    <row r="17" spans="1:6" ht="15" customHeight="1" x14ac:dyDescent="0.25">
      <c r="A17" s="273"/>
      <c r="B17" s="120" t="s">
        <v>59</v>
      </c>
      <c r="C17" s="121">
        <v>1322</v>
      </c>
      <c r="D17" s="121">
        <v>1321</v>
      </c>
      <c r="E17" s="121">
        <v>1256</v>
      </c>
      <c r="F17" s="122">
        <f t="shared" si="0"/>
        <v>1299.6666666666667</v>
      </c>
    </row>
    <row r="18" spans="1:6" ht="15" customHeight="1" x14ac:dyDescent="0.25">
      <c r="A18" s="274"/>
      <c r="B18" s="123" t="s">
        <v>60</v>
      </c>
      <c r="C18" s="124">
        <v>124</v>
      </c>
      <c r="D18" s="124">
        <v>15</v>
      </c>
      <c r="E18" s="124">
        <v>15</v>
      </c>
      <c r="F18" s="125">
        <f t="shared" si="0"/>
        <v>51.333333333333336</v>
      </c>
    </row>
    <row r="19" spans="1:6" x14ac:dyDescent="0.25">
      <c r="A19" s="275" t="s">
        <v>103</v>
      </c>
      <c r="B19" s="117" t="s">
        <v>58</v>
      </c>
      <c r="C19" s="118">
        <f>+('II T'!E19-C21)+569</f>
        <v>3004</v>
      </c>
      <c r="D19" s="118">
        <f>+(C19-D21)+230</f>
        <v>2665</v>
      </c>
      <c r="E19" s="118">
        <f>+(D19-E21)+986</f>
        <v>3422</v>
      </c>
      <c r="F19" s="119">
        <f>E19</f>
        <v>3422</v>
      </c>
    </row>
    <row r="20" spans="1:6" ht="15" customHeight="1" x14ac:dyDescent="0.25">
      <c r="A20" s="273"/>
      <c r="B20" s="120" t="s">
        <v>59</v>
      </c>
      <c r="C20" s="121">
        <v>10201</v>
      </c>
      <c r="D20" s="121">
        <v>10861</v>
      </c>
      <c r="E20" s="121">
        <v>9897</v>
      </c>
      <c r="F20" s="122">
        <f t="shared" si="0"/>
        <v>10319.666666666666</v>
      </c>
    </row>
    <row r="21" spans="1:6" ht="15" customHeight="1" x14ac:dyDescent="0.25">
      <c r="A21" s="274"/>
      <c r="B21" s="123" t="s">
        <v>60</v>
      </c>
      <c r="C21" s="124">
        <v>219</v>
      </c>
      <c r="D21" s="124">
        <v>569</v>
      </c>
      <c r="E21" s="185">
        <v>229</v>
      </c>
      <c r="F21" s="125">
        <f t="shared" si="0"/>
        <v>339</v>
      </c>
    </row>
    <row r="22" spans="1:6" ht="15" customHeight="1" x14ac:dyDescent="0.25">
      <c r="A22" s="275" t="s">
        <v>126</v>
      </c>
      <c r="B22" s="126" t="s">
        <v>58</v>
      </c>
      <c r="C22" s="118">
        <f>+('II T'!E22-C24)</f>
        <v>0</v>
      </c>
      <c r="D22" s="118">
        <f>+(C22-D24)</f>
        <v>0</v>
      </c>
      <c r="E22" s="118">
        <f>+(D22-E24)</f>
        <v>0</v>
      </c>
      <c r="F22" s="119">
        <f>E22</f>
        <v>0</v>
      </c>
    </row>
    <row r="23" spans="1:6" ht="15" customHeight="1" x14ac:dyDescent="0.25">
      <c r="A23" s="273"/>
      <c r="B23" s="128" t="s">
        <v>59</v>
      </c>
      <c r="C23" s="121">
        <v>693</v>
      </c>
      <c r="D23" s="121">
        <v>689</v>
      </c>
      <c r="E23" s="121">
        <v>687</v>
      </c>
      <c r="F23" s="129">
        <f t="shared" si="0"/>
        <v>689.66666666666663</v>
      </c>
    </row>
    <row r="24" spans="1:6" ht="15" customHeight="1" x14ac:dyDescent="0.25">
      <c r="A24" s="274"/>
      <c r="B24" s="130" t="s">
        <v>60</v>
      </c>
      <c r="C24" s="124">
        <v>1</v>
      </c>
      <c r="D24" s="124">
        <v>0</v>
      </c>
      <c r="E24" s="124">
        <v>0</v>
      </c>
      <c r="F24" s="131">
        <f t="shared" si="0"/>
        <v>0.33333333333333331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14300</v>
      </c>
      <c r="D25" s="58">
        <f>+D14+D15+D17+D18+D20+D21+D23+D24</f>
        <v>15163</v>
      </c>
      <c r="E25" s="58">
        <f>+E14+E15+E17+E18+E20+E21+E23+E24</f>
        <v>13851</v>
      </c>
      <c r="F25" s="60">
        <f>AVERAGE(C25:E25)</f>
        <v>14438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85" t="s">
        <v>72</v>
      </c>
    </row>
    <row r="30" spans="1:6" ht="15" customHeight="1" x14ac:dyDescent="0.25">
      <c r="A30" s="268" t="s">
        <v>14</v>
      </c>
      <c r="B30" s="268"/>
      <c r="C30" s="268"/>
      <c r="D30" s="268"/>
      <c r="E30" s="268"/>
      <c r="F30" s="268"/>
    </row>
    <row r="31" spans="1:6" ht="15" customHeight="1" x14ac:dyDescent="0.25">
      <c r="A31" s="271" t="s">
        <v>31</v>
      </c>
      <c r="B31" s="271"/>
      <c r="C31" s="271"/>
      <c r="D31" s="271"/>
      <c r="E31" s="271"/>
      <c r="F31" s="271"/>
    </row>
    <row r="32" spans="1:6" ht="15" customHeight="1" x14ac:dyDescent="0.25">
      <c r="A32" s="268" t="s">
        <v>52</v>
      </c>
      <c r="B32" s="268"/>
      <c r="C32" s="268"/>
      <c r="D32" s="268"/>
      <c r="E32" s="268"/>
      <c r="F32" s="268"/>
    </row>
    <row r="33" spans="1:8" s="8" customFormat="1" ht="15" customHeight="1" x14ac:dyDescent="0.25">
      <c r="A33" s="238"/>
      <c r="B33" s="238"/>
      <c r="C33" s="238"/>
      <c r="D33" s="238"/>
      <c r="E33" s="238"/>
      <c r="F33" s="238"/>
    </row>
    <row r="34" spans="1:8" ht="15" customHeight="1" thickBot="1" x14ac:dyDescent="0.3">
      <c r="A34" s="12" t="s">
        <v>64</v>
      </c>
      <c r="B34" s="12"/>
      <c r="C34" s="45" t="s">
        <v>33</v>
      </c>
      <c r="D34" s="45" t="s">
        <v>34</v>
      </c>
      <c r="E34" s="45" t="s">
        <v>149</v>
      </c>
      <c r="F34" s="259" t="s">
        <v>159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139</v>
      </c>
      <c r="B36" s="188" t="s">
        <v>56</v>
      </c>
      <c r="C36" s="189">
        <v>362763650</v>
      </c>
      <c r="D36" s="189">
        <v>292853650</v>
      </c>
      <c r="E36" s="189">
        <v>457202975</v>
      </c>
      <c r="F36" s="190">
        <f t="shared" ref="F36:F43" si="1">SUM(C36:E36)</f>
        <v>1112820275</v>
      </c>
    </row>
    <row r="37" spans="1:8" ht="15" customHeight="1" x14ac:dyDescent="0.25">
      <c r="A37" s="191"/>
      <c r="B37" s="192" t="s">
        <v>55</v>
      </c>
      <c r="C37" s="193">
        <v>8961250</v>
      </c>
      <c r="D37" s="193">
        <v>22149022.759999998</v>
      </c>
      <c r="E37" s="193">
        <v>17576700</v>
      </c>
      <c r="F37" s="194">
        <f t="shared" si="1"/>
        <v>48686972.759999998</v>
      </c>
    </row>
    <row r="38" spans="1:8" ht="15" customHeight="1" x14ac:dyDescent="0.25">
      <c r="A38" s="132" t="s">
        <v>24</v>
      </c>
      <c r="B38" s="133" t="s">
        <v>56</v>
      </c>
      <c r="C38" s="134">
        <v>110002967.39</v>
      </c>
      <c r="D38" s="134">
        <v>94702490</v>
      </c>
      <c r="E38" s="134">
        <v>90042640</v>
      </c>
      <c r="F38" s="127">
        <f t="shared" si="1"/>
        <v>294748097.38999999</v>
      </c>
    </row>
    <row r="39" spans="1:8" ht="15" customHeight="1" x14ac:dyDescent="0.25">
      <c r="A39" s="135"/>
      <c r="B39" s="136" t="s">
        <v>55</v>
      </c>
      <c r="C39" s="137">
        <v>8889560</v>
      </c>
      <c r="D39" s="137">
        <v>4588160</v>
      </c>
      <c r="E39" s="137">
        <v>1075350</v>
      </c>
      <c r="F39" s="131">
        <f t="shared" si="1"/>
        <v>14553070</v>
      </c>
    </row>
    <row r="40" spans="1:8" ht="15" customHeight="1" x14ac:dyDescent="0.25">
      <c r="A40" s="195" t="s">
        <v>103</v>
      </c>
      <c r="B40" s="196" t="s">
        <v>56</v>
      </c>
      <c r="C40" s="197">
        <v>657880960.48000002</v>
      </c>
      <c r="D40" s="197">
        <v>597141459</v>
      </c>
      <c r="E40" s="197">
        <v>745945172</v>
      </c>
      <c r="F40" s="198">
        <f t="shared" si="1"/>
        <v>2000967591.48</v>
      </c>
      <c r="H40" s="203"/>
    </row>
    <row r="41" spans="1:8" ht="15" customHeight="1" x14ac:dyDescent="0.25">
      <c r="A41" s="199"/>
      <c r="B41" s="200" t="s">
        <v>55</v>
      </c>
      <c r="C41" s="201">
        <v>12091668</v>
      </c>
      <c r="D41" s="201">
        <v>53160228</v>
      </c>
      <c r="E41" s="201">
        <v>83760006</v>
      </c>
      <c r="F41" s="202">
        <f t="shared" si="1"/>
        <v>149011902</v>
      </c>
    </row>
    <row r="42" spans="1:8" ht="15" customHeight="1" x14ac:dyDescent="0.25">
      <c r="A42" s="138" t="s">
        <v>102</v>
      </c>
      <c r="B42" s="139" t="s">
        <v>56</v>
      </c>
      <c r="C42" s="134">
        <v>341900000</v>
      </c>
      <c r="D42" s="134">
        <v>343550000</v>
      </c>
      <c r="E42" s="134">
        <v>446580000</v>
      </c>
      <c r="F42" s="127">
        <f t="shared" si="1"/>
        <v>1132030000</v>
      </c>
    </row>
    <row r="43" spans="1:8" ht="15" customHeight="1" x14ac:dyDescent="0.25">
      <c r="A43" s="140"/>
      <c r="B43" s="141" t="s">
        <v>55</v>
      </c>
      <c r="C43" s="137">
        <v>550000</v>
      </c>
      <c r="D43" s="137">
        <v>0</v>
      </c>
      <c r="E43" s="137">
        <v>0</v>
      </c>
      <c r="F43" s="131">
        <f t="shared" si="1"/>
        <v>550000</v>
      </c>
      <c r="H43" s="203"/>
    </row>
    <row r="44" spans="1:8" ht="15" customHeight="1" x14ac:dyDescent="0.25">
      <c r="A44" s="215"/>
      <c r="B44" s="216"/>
      <c r="C44" s="217"/>
      <c r="D44" s="217"/>
      <c r="E44" s="217"/>
      <c r="F44" s="217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1503040055.8699999</v>
      </c>
      <c r="D45" s="59">
        <f>SUM(D36:D43)</f>
        <v>1408145009.76</v>
      </c>
      <c r="E45" s="59">
        <f>SUM(E36:E43)</f>
        <v>1842182843</v>
      </c>
      <c r="F45" s="59">
        <f>SUM(F36:F43)</f>
        <v>4753367908.6300001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71" t="s">
        <v>15</v>
      </c>
      <c r="B51" s="271"/>
      <c r="C51" s="271"/>
      <c r="D51" s="271"/>
      <c r="E51" s="271"/>
    </row>
    <row r="52" spans="1:5" ht="15" customHeight="1" x14ac:dyDescent="0.25">
      <c r="A52" s="271" t="s">
        <v>32</v>
      </c>
      <c r="B52" s="271"/>
      <c r="C52" s="271"/>
      <c r="D52" s="271"/>
      <c r="E52" s="271"/>
    </row>
    <row r="53" spans="1:5" ht="15" customHeight="1" x14ac:dyDescent="0.25">
      <c r="A53" s="268" t="s">
        <v>52</v>
      </c>
      <c r="B53" s="268"/>
      <c r="C53" s="268"/>
      <c r="D53" s="268"/>
      <c r="E53" s="268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45" t="s">
        <v>33</v>
      </c>
      <c r="C55" s="45" t="s">
        <v>34</v>
      </c>
      <c r="D55" s="45" t="s">
        <v>149</v>
      </c>
      <c r="E55" s="12" t="s">
        <v>142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104</v>
      </c>
      <c r="B57" s="56">
        <f>SUM(C36:C37)</f>
        <v>371724900</v>
      </c>
      <c r="C57" s="56">
        <f>SUM(D36:D37)</f>
        <v>315002672.75999999</v>
      </c>
      <c r="D57" s="56">
        <f>SUM(E36:E37)</f>
        <v>474779675</v>
      </c>
      <c r="E57" s="56">
        <f t="shared" ref="E57:E60" si="2">SUM(B57:D57)</f>
        <v>1161507247.76</v>
      </c>
    </row>
    <row r="58" spans="1:5" ht="15" customHeight="1" x14ac:dyDescent="0.25">
      <c r="A58" s="85" t="s">
        <v>105</v>
      </c>
      <c r="B58" s="56">
        <f>SUM(C38:C39)</f>
        <v>118892527.39</v>
      </c>
      <c r="C58" s="56">
        <f>SUM(D38:D39)</f>
        <v>99290650</v>
      </c>
      <c r="D58" s="56">
        <f>SUM(E38:E39)</f>
        <v>91117990</v>
      </c>
      <c r="E58" s="56">
        <f t="shared" si="2"/>
        <v>309301167.38999999</v>
      </c>
    </row>
    <row r="59" spans="1:5" ht="15" customHeight="1" x14ac:dyDescent="0.25">
      <c r="A59" s="85" t="s">
        <v>106</v>
      </c>
      <c r="B59" s="56">
        <f>SUM(C40:C41)</f>
        <v>669972628.48000002</v>
      </c>
      <c r="C59" s="56">
        <f>SUM(D40:D41)</f>
        <v>650301687</v>
      </c>
      <c r="D59" s="56">
        <f>SUM(E40:E41)</f>
        <v>829705178</v>
      </c>
      <c r="E59" s="56">
        <f t="shared" si="2"/>
        <v>2149979493.48</v>
      </c>
    </row>
    <row r="60" spans="1:5" ht="15" customHeight="1" x14ac:dyDescent="0.25">
      <c r="A60" s="85" t="s">
        <v>107</v>
      </c>
      <c r="B60" s="56">
        <f>SUM(C42:C43)</f>
        <v>342450000</v>
      </c>
      <c r="C60" s="56">
        <f>SUM(D42:D43)</f>
        <v>343550000</v>
      </c>
      <c r="D60" s="56">
        <f>SUM(E42:E43)</f>
        <v>446580000</v>
      </c>
      <c r="E60" s="56">
        <f t="shared" si="2"/>
        <v>1132580000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1503040055.8699999</v>
      </c>
      <c r="C62" s="58">
        <f>SUM(C57:C61)</f>
        <v>1408145009.76</v>
      </c>
      <c r="D62" s="58">
        <f>SUM(D57:D61)</f>
        <v>1842182843</v>
      </c>
      <c r="E62" s="58">
        <f>SUM(E57:E61)</f>
        <v>4753367908.6300001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69" t="s">
        <v>44</v>
      </c>
      <c r="B66" s="269"/>
      <c r="C66" s="269"/>
      <c r="D66" s="269"/>
      <c r="E66" s="269"/>
      <c r="F66" s="90"/>
    </row>
    <row r="67" spans="1:9" ht="15" customHeight="1" x14ac:dyDescent="0.25">
      <c r="A67" s="269" t="s">
        <v>110</v>
      </c>
      <c r="B67" s="269"/>
      <c r="C67" s="269"/>
      <c r="D67" s="269"/>
      <c r="E67" s="269"/>
      <c r="F67" s="90"/>
    </row>
    <row r="68" spans="1:9" ht="15" customHeight="1" x14ac:dyDescent="0.25">
      <c r="A68" s="270" t="s">
        <v>52</v>
      </c>
      <c r="B68" s="270"/>
      <c r="C68" s="270"/>
      <c r="D68" s="270"/>
      <c r="E68" s="270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45" t="s">
        <v>33</v>
      </c>
      <c r="C70" s="45" t="s">
        <v>34</v>
      </c>
      <c r="D70" s="45" t="s">
        <v>149</v>
      </c>
      <c r="E70" s="12" t="s">
        <v>142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221909347.75999999</v>
      </c>
      <c r="C72" s="94">
        <f>B76</f>
        <v>185335197.75999999</v>
      </c>
      <c r="D72" s="94">
        <f>C76</f>
        <v>205483275</v>
      </c>
      <c r="E72" s="94">
        <f>B72</f>
        <v>221909347.75999999</v>
      </c>
      <c r="F72" s="90"/>
    </row>
    <row r="73" spans="1:9" ht="15" customHeight="1" x14ac:dyDescent="0.25">
      <c r="A73" s="90" t="s">
        <v>16</v>
      </c>
      <c r="B73" s="94">
        <f>+B146</f>
        <v>335150750</v>
      </c>
      <c r="C73" s="94">
        <f t="shared" ref="C73:D73" si="3">+C146</f>
        <v>335150750</v>
      </c>
      <c r="D73" s="94">
        <f t="shared" si="3"/>
        <v>335150750</v>
      </c>
      <c r="E73" s="94">
        <f>+SUM(B73:D73)</f>
        <v>1005452250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557060097.75999999</v>
      </c>
      <c r="C74" s="94">
        <f t="shared" ref="C74:D74" si="4">SUM(C72:C73)</f>
        <v>520485947.75999999</v>
      </c>
      <c r="D74" s="94">
        <f t="shared" si="4"/>
        <v>540634025</v>
      </c>
      <c r="E74" s="94">
        <f>+E72+E73</f>
        <v>1227361597.76</v>
      </c>
      <c r="F74" s="90"/>
    </row>
    <row r="75" spans="1:9" ht="15" customHeight="1" x14ac:dyDescent="0.25">
      <c r="A75" s="90" t="s">
        <v>18</v>
      </c>
      <c r="B75" s="95">
        <f>B57</f>
        <v>371724900</v>
      </c>
      <c r="C75" s="95">
        <f>C57</f>
        <v>315002672.75999999</v>
      </c>
      <c r="D75" s="95">
        <f>D57</f>
        <v>474779675</v>
      </c>
      <c r="E75" s="94">
        <f>+SUM(B75:D75)</f>
        <v>1161507247.76</v>
      </c>
      <c r="F75" s="96"/>
    </row>
    <row r="76" spans="1:9" ht="15" customHeight="1" x14ac:dyDescent="0.25">
      <c r="A76" s="97" t="s">
        <v>19</v>
      </c>
      <c r="B76" s="98">
        <f>B74-B75</f>
        <v>185335197.75999999</v>
      </c>
      <c r="C76" s="98">
        <f>C74-C75</f>
        <v>205483275</v>
      </c>
      <c r="D76" s="98">
        <f>D74-D75</f>
        <v>65854350</v>
      </c>
      <c r="E76" s="98">
        <f>+E74-E75</f>
        <v>65854350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69" t="s">
        <v>45</v>
      </c>
      <c r="B81" s="269"/>
      <c r="C81" s="269"/>
      <c r="D81" s="269"/>
      <c r="E81" s="269"/>
      <c r="F81" s="90"/>
    </row>
    <row r="82" spans="1:6" ht="15" customHeight="1" x14ac:dyDescent="0.25">
      <c r="A82" s="269" t="s">
        <v>108</v>
      </c>
      <c r="B82" s="269"/>
      <c r="C82" s="269"/>
      <c r="D82" s="269"/>
      <c r="E82" s="269"/>
      <c r="F82" s="90"/>
    </row>
    <row r="83" spans="1:6" ht="15" customHeight="1" x14ac:dyDescent="0.25">
      <c r="A83" s="270" t="s">
        <v>52</v>
      </c>
      <c r="B83" s="270"/>
      <c r="C83" s="270"/>
      <c r="D83" s="270"/>
      <c r="E83" s="270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45" t="s">
        <v>33</v>
      </c>
      <c r="C85" s="45" t="s">
        <v>34</v>
      </c>
      <c r="D85" s="45" t="s">
        <v>149</v>
      </c>
      <c r="E85" s="12" t="s">
        <v>142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36162267.389999986</v>
      </c>
      <c r="C87" s="94">
        <f>B91</f>
        <v>14337999.999999985</v>
      </c>
      <c r="D87" s="94">
        <f>C91</f>
        <v>12115609.999999985</v>
      </c>
      <c r="E87" s="94">
        <f>B87</f>
        <v>36162267.389999986</v>
      </c>
      <c r="F87" s="90"/>
    </row>
    <row r="88" spans="1:6" ht="15" customHeight="1" x14ac:dyDescent="0.25">
      <c r="A88" s="90" t="s">
        <v>16</v>
      </c>
      <c r="B88" s="94">
        <f>+B147</f>
        <v>97068260</v>
      </c>
      <c r="C88" s="94">
        <f t="shared" ref="C88:D88" si="5">+C147</f>
        <v>97068260</v>
      </c>
      <c r="D88" s="94">
        <f t="shared" si="5"/>
        <v>97068260</v>
      </c>
      <c r="E88" s="94">
        <f>+SUM(B88:D88)</f>
        <v>291204780</v>
      </c>
      <c r="F88" s="90"/>
    </row>
    <row r="89" spans="1:6" ht="15" customHeight="1" x14ac:dyDescent="0.25">
      <c r="A89" s="90" t="s">
        <v>17</v>
      </c>
      <c r="B89" s="94">
        <f>B87+B88</f>
        <v>133230527.38999999</v>
      </c>
      <c r="C89" s="94">
        <f t="shared" ref="C89:D89" si="6">C87+C88</f>
        <v>111406259.99999999</v>
      </c>
      <c r="D89" s="94">
        <f t="shared" si="6"/>
        <v>109183869.99999999</v>
      </c>
      <c r="E89" s="94">
        <f>+E87+E88</f>
        <v>327367047.38999999</v>
      </c>
      <c r="F89" s="90"/>
    </row>
    <row r="90" spans="1:6" ht="15" customHeight="1" x14ac:dyDescent="0.25">
      <c r="A90" s="90" t="s">
        <v>18</v>
      </c>
      <c r="B90" s="95">
        <f>+B58</f>
        <v>118892527.39</v>
      </c>
      <c r="C90" s="95">
        <f>+C58</f>
        <v>99290650</v>
      </c>
      <c r="D90" s="95">
        <f>+D58</f>
        <v>91117990</v>
      </c>
      <c r="E90" s="94">
        <f>+SUM(B90:D90)</f>
        <v>309301167.38999999</v>
      </c>
      <c r="F90" s="90"/>
    </row>
    <row r="91" spans="1:6" ht="15" customHeight="1" x14ac:dyDescent="0.25">
      <c r="A91" s="97" t="s">
        <v>19</v>
      </c>
      <c r="B91" s="98">
        <f>B89-B90</f>
        <v>14337999.999999985</v>
      </c>
      <c r="C91" s="98">
        <f>C89-C90</f>
        <v>12115609.999999985</v>
      </c>
      <c r="D91" s="98">
        <f>D89-D90</f>
        <v>18065879.999999985</v>
      </c>
      <c r="E91" s="98">
        <f>+E89-E90</f>
        <v>18065880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69" t="s">
        <v>109</v>
      </c>
      <c r="B98" s="269"/>
      <c r="C98" s="269"/>
      <c r="D98" s="269"/>
      <c r="E98" s="269"/>
      <c r="F98" s="90"/>
    </row>
    <row r="99" spans="1:10" ht="15" customHeight="1" x14ac:dyDescent="0.25">
      <c r="A99" s="269" t="s">
        <v>49</v>
      </c>
      <c r="B99" s="269"/>
      <c r="C99" s="269"/>
      <c r="D99" s="269"/>
      <c r="E99" s="269"/>
      <c r="F99" s="90"/>
      <c r="H99" s="43"/>
      <c r="J99" s="13"/>
    </row>
    <row r="100" spans="1:10" ht="15" customHeight="1" x14ac:dyDescent="0.25">
      <c r="A100" s="270" t="s">
        <v>52</v>
      </c>
      <c r="B100" s="270"/>
      <c r="C100" s="270"/>
      <c r="D100" s="270"/>
      <c r="E100" s="270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45" t="s">
        <v>33</v>
      </c>
      <c r="C102" s="45" t="s">
        <v>34</v>
      </c>
      <c r="D102" s="45" t="s">
        <v>149</v>
      </c>
      <c r="E102" s="12" t="s">
        <v>142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538905705.48000002</v>
      </c>
      <c r="C104" s="94">
        <f>B108</f>
        <v>498298054.33333349</v>
      </c>
      <c r="D104" s="94">
        <f>C108</f>
        <v>477361344.66666698</v>
      </c>
      <c r="E104" s="94">
        <f>+B104</f>
        <v>538905705.48000002</v>
      </c>
      <c r="F104" s="90"/>
    </row>
    <row r="105" spans="1:10" ht="15" customHeight="1" x14ac:dyDescent="0.25">
      <c r="A105" s="108" t="s">
        <v>16</v>
      </c>
      <c r="B105" s="94">
        <f>+B148</f>
        <v>629364977.33333337</v>
      </c>
      <c r="C105" s="94">
        <f t="shared" ref="C105:D105" si="7">+C148</f>
        <v>629364977.33333337</v>
      </c>
      <c r="D105" s="94">
        <f t="shared" si="7"/>
        <v>629364977.33333337</v>
      </c>
      <c r="E105" s="94">
        <f>SUM(B105:D105)</f>
        <v>1888094932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1168270682.8133335</v>
      </c>
      <c r="C106" s="94">
        <f t="shared" ref="C106:D106" si="8">SUM(C104:C105)</f>
        <v>1127663031.666667</v>
      </c>
      <c r="D106" s="94">
        <f t="shared" si="8"/>
        <v>1106726322.0000005</v>
      </c>
      <c r="E106" s="94">
        <f>SUM(E104:E105)</f>
        <v>2427000637.48</v>
      </c>
      <c r="F106" s="90"/>
    </row>
    <row r="107" spans="1:10" ht="15" customHeight="1" x14ac:dyDescent="0.25">
      <c r="A107" s="90" t="s">
        <v>18</v>
      </c>
      <c r="B107" s="94">
        <f>+B59</f>
        <v>669972628.48000002</v>
      </c>
      <c r="C107" s="94">
        <f>+C59</f>
        <v>650301687</v>
      </c>
      <c r="D107" s="94">
        <f>+D59</f>
        <v>829705178</v>
      </c>
      <c r="E107" s="94">
        <f>+SUM(B107:D107)</f>
        <v>2149979493.48</v>
      </c>
      <c r="F107" s="96"/>
    </row>
    <row r="108" spans="1:10" ht="15" customHeight="1" x14ac:dyDescent="0.25">
      <c r="A108" s="97" t="s">
        <v>19</v>
      </c>
      <c r="B108" s="103">
        <f>B106-B107</f>
        <v>498298054.33333349</v>
      </c>
      <c r="C108" s="103">
        <f t="shared" ref="C108:D108" si="9">C106-C107</f>
        <v>477361344.66666698</v>
      </c>
      <c r="D108" s="103">
        <f t="shared" si="9"/>
        <v>277021144.00000048</v>
      </c>
      <c r="E108" s="103">
        <f>+E106-E107</f>
        <v>277021144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69" t="s">
        <v>112</v>
      </c>
      <c r="B113" s="269"/>
      <c r="C113" s="269"/>
      <c r="D113" s="269"/>
      <c r="E113" s="269"/>
      <c r="F113" s="90"/>
    </row>
    <row r="114" spans="1:6" ht="15" customHeight="1" x14ac:dyDescent="0.25">
      <c r="A114" s="269" t="s">
        <v>111</v>
      </c>
      <c r="B114" s="269"/>
      <c r="C114" s="269"/>
      <c r="D114" s="269"/>
      <c r="E114" s="269"/>
      <c r="F114" s="90"/>
    </row>
    <row r="115" spans="1:6" ht="15" customHeight="1" x14ac:dyDescent="0.25">
      <c r="A115" s="270" t="s">
        <v>52</v>
      </c>
      <c r="B115" s="270"/>
      <c r="C115" s="270"/>
      <c r="D115" s="270"/>
      <c r="E115" s="270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45" t="s">
        <v>33</v>
      </c>
      <c r="C117" s="45" t="s">
        <v>34</v>
      </c>
      <c r="D117" s="45" t="s">
        <v>149</v>
      </c>
      <c r="E117" s="12" t="s">
        <v>142</v>
      </c>
      <c r="F117" s="237">
        <f>+E73+E88+E105+E120</f>
        <v>3991058213.8800001</v>
      </c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410062613.50000024</v>
      </c>
      <c r="C119" s="94">
        <f>B123</f>
        <v>486762865.38000023</v>
      </c>
      <c r="D119" s="94">
        <f>C123</f>
        <v>530368865.38000023</v>
      </c>
      <c r="E119" s="94">
        <f>+B119</f>
        <v>410062613.50000024</v>
      </c>
      <c r="F119" s="90"/>
    </row>
    <row r="120" spans="1:6" ht="15" customHeight="1" x14ac:dyDescent="0.25">
      <c r="A120" s="108" t="s">
        <v>16</v>
      </c>
      <c r="B120" s="94">
        <f>+B149</f>
        <v>419150251.88</v>
      </c>
      <c r="C120" s="94">
        <f t="shared" ref="C120:D120" si="10">+C149</f>
        <v>387156000</v>
      </c>
      <c r="D120" s="94">
        <f t="shared" si="10"/>
        <v>0</v>
      </c>
      <c r="E120" s="94">
        <f>SUM(B120:D120)</f>
        <v>806306251.88</v>
      </c>
      <c r="F120" s="90"/>
    </row>
    <row r="121" spans="1:6" ht="15" customHeight="1" x14ac:dyDescent="0.25">
      <c r="A121" s="90" t="s">
        <v>17</v>
      </c>
      <c r="B121" s="94">
        <f>SUM(B119:B120)</f>
        <v>829212865.38000023</v>
      </c>
      <c r="C121" s="94">
        <f t="shared" ref="C121:D121" si="11">SUM(C119:C120)</f>
        <v>873918865.38000023</v>
      </c>
      <c r="D121" s="94">
        <f t="shared" si="11"/>
        <v>530368865.38000023</v>
      </c>
      <c r="E121" s="94">
        <f>SUM(E119:E120)</f>
        <v>1216368865.3800001</v>
      </c>
      <c r="F121" s="90"/>
    </row>
    <row r="122" spans="1:6" ht="15" customHeight="1" x14ac:dyDescent="0.25">
      <c r="A122" s="90" t="s">
        <v>18</v>
      </c>
      <c r="B122" s="94">
        <f>+B60</f>
        <v>342450000</v>
      </c>
      <c r="C122" s="94">
        <f>+C60</f>
        <v>343550000</v>
      </c>
      <c r="D122" s="94">
        <f>+D60</f>
        <v>446580000</v>
      </c>
      <c r="E122" s="94">
        <f>+SUM(B122:D122)</f>
        <v>1132580000</v>
      </c>
      <c r="F122" s="96"/>
    </row>
    <row r="123" spans="1:6" ht="15" customHeight="1" x14ac:dyDescent="0.25">
      <c r="A123" s="97" t="s">
        <v>19</v>
      </c>
      <c r="B123" s="103">
        <f>B121-B122</f>
        <v>486762865.38000023</v>
      </c>
      <c r="C123" s="103">
        <f>C121-C122</f>
        <v>530368865.38000023</v>
      </c>
      <c r="D123" s="103">
        <f>D121-D122</f>
        <v>83788865.380000234</v>
      </c>
      <c r="E123" s="103">
        <f>+E121-E122</f>
        <v>83788865.380000114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145</v>
      </c>
      <c r="B132" s="90"/>
      <c r="C132" s="90"/>
      <c r="D132" s="90"/>
      <c r="E132" s="90"/>
      <c r="F132" s="90"/>
    </row>
    <row r="133" spans="1:6" ht="15" customHeight="1" x14ac:dyDescent="0.25">
      <c r="A133" s="266" t="s">
        <v>144</v>
      </c>
      <c r="B133" s="267"/>
      <c r="C133" s="90"/>
      <c r="D133" s="90"/>
      <c r="E133" s="90"/>
      <c r="F133" s="90"/>
    </row>
    <row r="134" spans="1:6" ht="15" customHeight="1" x14ac:dyDescent="0.25">
      <c r="A134" s="105" t="s">
        <v>113</v>
      </c>
      <c r="B134" s="106">
        <f>+'II T'!E76</f>
        <v>221909347.75999999</v>
      </c>
      <c r="C134" s="230"/>
      <c r="D134" s="90"/>
      <c r="E134" s="90"/>
      <c r="F134" s="90"/>
    </row>
    <row r="135" spans="1:6" ht="15" customHeight="1" x14ac:dyDescent="0.25">
      <c r="A135" s="105" t="s">
        <v>114</v>
      </c>
      <c r="B135" s="106">
        <f>+'II T'!E91</f>
        <v>36162267.389999986</v>
      </c>
      <c r="C135" s="230"/>
      <c r="D135" s="90"/>
      <c r="E135" s="90"/>
      <c r="F135" s="90"/>
    </row>
    <row r="136" spans="1:6" ht="15" customHeight="1" x14ac:dyDescent="0.25">
      <c r="A136" s="105" t="s">
        <v>81</v>
      </c>
      <c r="B136" s="106">
        <f>+'II T'!E108</f>
        <v>538905705.48000002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106">
        <f>+'II T'!E123</f>
        <v>410062613.50000024</v>
      </c>
      <c r="C137" s="90"/>
      <c r="D137" s="90"/>
      <c r="E137" s="90"/>
      <c r="F137" s="90"/>
    </row>
    <row r="138" spans="1:6" ht="15" customHeight="1" x14ac:dyDescent="0.25">
      <c r="A138" s="105" t="s">
        <v>115</v>
      </c>
      <c r="B138" s="106">
        <v>0</v>
      </c>
      <c r="C138" s="90"/>
      <c r="D138" s="90"/>
      <c r="E138" s="90"/>
      <c r="F138" s="90"/>
    </row>
    <row r="139" spans="1:6" ht="15" customHeight="1" x14ac:dyDescent="0.25">
      <c r="A139" s="227" t="s">
        <v>150</v>
      </c>
      <c r="B139" s="228">
        <f>SUM(B134:B138)</f>
        <v>1207039934.1300001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31" customFormat="1" ht="15" customHeight="1" x14ac:dyDescent="0.25"/>
    <row r="144" spans="1:6" ht="15" customHeight="1" x14ac:dyDescent="0.25">
      <c r="B144" s="96" t="s">
        <v>143</v>
      </c>
    </row>
    <row r="145" spans="1:5" ht="15" customHeight="1" x14ac:dyDescent="0.25">
      <c r="A145" s="218" t="s">
        <v>117</v>
      </c>
      <c r="B145" s="218" t="s">
        <v>146</v>
      </c>
      <c r="C145" s="218" t="s">
        <v>147</v>
      </c>
      <c r="D145" s="218" t="s">
        <v>148</v>
      </c>
      <c r="E145" s="218" t="s">
        <v>142</v>
      </c>
    </row>
    <row r="146" spans="1:5" ht="15" customHeight="1" x14ac:dyDescent="0.25">
      <c r="A146" s="219" t="s">
        <v>119</v>
      </c>
      <c r="B146" s="223">
        <v>335150750</v>
      </c>
      <c r="C146" s="223">
        <v>335150750</v>
      </c>
      <c r="D146" s="223">
        <v>335150750</v>
      </c>
      <c r="E146" s="223">
        <f>+B146+C146+D146</f>
        <v>1005452250</v>
      </c>
    </row>
    <row r="147" spans="1:5" ht="15" customHeight="1" x14ac:dyDescent="0.25">
      <c r="A147" s="219" t="s">
        <v>120</v>
      </c>
      <c r="B147" s="223">
        <v>97068260</v>
      </c>
      <c r="C147" s="223">
        <v>97068260</v>
      </c>
      <c r="D147" s="223">
        <v>97068260</v>
      </c>
      <c r="E147" s="223">
        <f t="shared" ref="E147:E149" si="12">+B147+C147+D147</f>
        <v>291204780</v>
      </c>
    </row>
    <row r="148" spans="1:5" ht="15" customHeight="1" x14ac:dyDescent="0.25">
      <c r="A148" s="220" t="s">
        <v>116</v>
      </c>
      <c r="B148" s="224">
        <v>629364977.33333337</v>
      </c>
      <c r="C148" s="224">
        <v>629364977.33333337</v>
      </c>
      <c r="D148" s="224">
        <v>629364977.33333337</v>
      </c>
      <c r="E148" s="223">
        <f t="shared" si="12"/>
        <v>1888094932</v>
      </c>
    </row>
    <row r="149" spans="1:5" ht="15" customHeight="1" x14ac:dyDescent="0.25">
      <c r="A149" s="219" t="s">
        <v>83</v>
      </c>
      <c r="B149" s="236">
        <v>419150251.88</v>
      </c>
      <c r="C149" s="235">
        <v>387156000</v>
      </c>
      <c r="D149" s="235"/>
      <c r="E149" s="223">
        <f t="shared" si="12"/>
        <v>806306251.88</v>
      </c>
    </row>
    <row r="150" spans="1:5" ht="15" customHeight="1" x14ac:dyDescent="0.25">
      <c r="A150" s="219"/>
      <c r="B150" s="223"/>
      <c r="C150" s="223"/>
      <c r="D150" s="223"/>
      <c r="E150" s="223"/>
    </row>
    <row r="151" spans="1:5" ht="15" customHeight="1" thickBot="1" x14ac:dyDescent="0.3">
      <c r="A151" s="221"/>
      <c r="B151" s="225"/>
      <c r="C151" s="225"/>
      <c r="D151" s="225"/>
      <c r="E151" s="225"/>
    </row>
    <row r="152" spans="1:5" ht="15" customHeight="1" thickBot="1" x14ac:dyDescent="0.3">
      <c r="A152" s="222"/>
      <c r="B152" s="226">
        <f>SUM(B146:B151)</f>
        <v>1480734239.2133334</v>
      </c>
      <c r="C152" s="226">
        <f t="shared" ref="C152:E152" si="13">SUM(C146:C151)</f>
        <v>1448739987.3333335</v>
      </c>
      <c r="D152" s="226">
        <f t="shared" si="13"/>
        <v>1061583987.3333334</v>
      </c>
      <c r="E152" s="226">
        <f t="shared" si="13"/>
        <v>3991058213.8800001</v>
      </c>
    </row>
    <row r="155" spans="1:5" ht="15" customHeight="1" x14ac:dyDescent="0.25">
      <c r="A155" s="218" t="s">
        <v>117</v>
      </c>
      <c r="B155" s="229" t="s">
        <v>125</v>
      </c>
    </row>
    <row r="156" spans="1:5" ht="15" customHeight="1" x14ac:dyDescent="0.25">
      <c r="A156" s="219" t="s">
        <v>119</v>
      </c>
      <c r="B156" s="219">
        <v>1870</v>
      </c>
    </row>
    <row r="157" spans="1:5" ht="15" customHeight="1" x14ac:dyDescent="0.25">
      <c r="A157" s="219" t="s">
        <v>120</v>
      </c>
      <c r="B157" s="219">
        <v>1354</v>
      </c>
    </row>
    <row r="158" spans="1:5" ht="15" customHeight="1" x14ac:dyDescent="0.25">
      <c r="A158" s="220" t="s">
        <v>116</v>
      </c>
      <c r="B158" s="220">
        <v>13573</v>
      </c>
    </row>
    <row r="159" spans="1:5" ht="15" customHeight="1" x14ac:dyDescent="0.25">
      <c r="A159" s="219" t="s">
        <v>83</v>
      </c>
      <c r="B159" s="219">
        <f>494+209</f>
        <v>703</v>
      </c>
    </row>
    <row r="160" spans="1:5" ht="15" customHeight="1" x14ac:dyDescent="0.25">
      <c r="A160" s="219"/>
      <c r="B160" s="219"/>
    </row>
    <row r="161" spans="1:8" ht="15" customHeight="1" thickBot="1" x14ac:dyDescent="0.3">
      <c r="A161" s="221"/>
      <c r="B161" s="221"/>
    </row>
    <row r="162" spans="1:8" ht="15" customHeight="1" thickBot="1" x14ac:dyDescent="0.3">
      <c r="A162" s="222" t="s">
        <v>130</v>
      </c>
      <c r="B162" s="222">
        <f>SUM(B156:B161)</f>
        <v>17500</v>
      </c>
    </row>
    <row r="163" spans="1:8" ht="15" customHeight="1" x14ac:dyDescent="0.25">
      <c r="H163" s="233"/>
    </row>
  </sheetData>
  <mergeCells count="27">
    <mergeCell ref="A16:A18"/>
    <mergeCell ref="A1:F1"/>
    <mergeCell ref="A7:F7"/>
    <mergeCell ref="A8:F8"/>
    <mergeCell ref="A9:F9"/>
    <mergeCell ref="A13:A15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</mergeCells>
  <phoneticPr fontId="17" type="noConversion"/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16.7109375" style="85" bestFit="1" customWidth="1"/>
    <col min="7" max="7" width="15.42578125" style="85" customWidth="1"/>
    <col min="8" max="8" width="27.28515625" style="85" bestFit="1" customWidth="1"/>
    <col min="9" max="9" width="11.5703125" style="85"/>
    <col min="10" max="10" width="14.28515625" style="85" bestFit="1" customWidth="1"/>
    <col min="11" max="16384" width="11.5703125" style="85"/>
  </cols>
  <sheetData>
    <row r="1" spans="1:6" ht="15" customHeight="1" x14ac:dyDescent="0.25">
      <c r="A1" s="271" t="s">
        <v>20</v>
      </c>
      <c r="B1" s="271"/>
      <c r="C1" s="271"/>
      <c r="D1" s="271"/>
      <c r="E1" s="271"/>
      <c r="F1" s="271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151</v>
      </c>
      <c r="C5" s="5"/>
      <c r="D5" s="5"/>
      <c r="E5" s="5"/>
      <c r="F5" s="5"/>
    </row>
    <row r="7" spans="1:6" ht="15" customHeight="1" x14ac:dyDescent="0.25">
      <c r="A7" s="271" t="s">
        <v>9</v>
      </c>
      <c r="B7" s="271"/>
      <c r="C7" s="271"/>
      <c r="D7" s="271"/>
      <c r="E7" s="271"/>
      <c r="F7" s="271"/>
    </row>
    <row r="8" spans="1:6" ht="15" customHeight="1" x14ac:dyDescent="0.25">
      <c r="A8" s="271" t="s">
        <v>12</v>
      </c>
      <c r="B8" s="271"/>
      <c r="C8" s="271"/>
      <c r="D8" s="271"/>
      <c r="E8" s="271"/>
      <c r="F8" s="271"/>
    </row>
    <row r="9" spans="1:6" ht="15" customHeight="1" x14ac:dyDescent="0.25">
      <c r="A9" s="268" t="s">
        <v>50</v>
      </c>
      <c r="B9" s="268"/>
      <c r="C9" s="268"/>
      <c r="D9" s="268"/>
      <c r="E9" s="268"/>
      <c r="F9" s="268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5" t="s">
        <v>64</v>
      </c>
      <c r="B11" s="45"/>
      <c r="C11" s="234" t="s">
        <v>36</v>
      </c>
      <c r="D11" s="234" t="s">
        <v>37</v>
      </c>
      <c r="E11" s="234" t="s">
        <v>38</v>
      </c>
      <c r="F11" s="234" t="s">
        <v>152</v>
      </c>
    </row>
    <row r="13" spans="1:6" x14ac:dyDescent="0.25">
      <c r="A13" s="272" t="s">
        <v>87</v>
      </c>
      <c r="B13" s="117" t="s">
        <v>58</v>
      </c>
      <c r="C13" s="118">
        <f>+('III T'!E13-C15)+38</f>
        <v>60</v>
      </c>
      <c r="D13" s="118">
        <f>+(C13-D15)+30</f>
        <v>63</v>
      </c>
      <c r="E13" s="118">
        <f>+(D13-E15)+9</f>
        <v>51</v>
      </c>
      <c r="F13" s="119">
        <f>E13</f>
        <v>51</v>
      </c>
    </row>
    <row r="14" spans="1:6" ht="15" customHeight="1" x14ac:dyDescent="0.25">
      <c r="A14" s="273"/>
      <c r="B14" s="120" t="s">
        <v>59</v>
      </c>
      <c r="C14" s="121">
        <v>1658</v>
      </c>
      <c r="D14" s="121">
        <v>2790</v>
      </c>
      <c r="E14" s="121">
        <v>2383</v>
      </c>
      <c r="F14" s="122">
        <f t="shared" ref="F14:F24" si="0">AVERAGE(C14:E14)</f>
        <v>2277</v>
      </c>
    </row>
    <row r="15" spans="1:6" ht="15" customHeight="1" x14ac:dyDescent="0.25">
      <c r="A15" s="274"/>
      <c r="B15" s="123" t="s">
        <v>60</v>
      </c>
      <c r="C15" s="124">
        <v>0</v>
      </c>
      <c r="D15" s="124">
        <v>27</v>
      </c>
      <c r="E15" s="124">
        <v>21</v>
      </c>
      <c r="F15" s="125">
        <f t="shared" si="0"/>
        <v>16</v>
      </c>
    </row>
    <row r="16" spans="1:6" x14ac:dyDescent="0.25">
      <c r="A16" s="275" t="s">
        <v>24</v>
      </c>
      <c r="B16" s="117" t="s">
        <v>58</v>
      </c>
      <c r="C16" s="118">
        <f>+('III T'!E16-C18)+57</f>
        <v>88</v>
      </c>
      <c r="D16" s="118">
        <f>+(C16-D18)+33</f>
        <v>33</v>
      </c>
      <c r="E16" s="118">
        <f>+(D16-E18)+12</f>
        <v>24</v>
      </c>
      <c r="F16" s="119">
        <f>E16</f>
        <v>24</v>
      </c>
    </row>
    <row r="17" spans="1:6" ht="15" customHeight="1" x14ac:dyDescent="0.25">
      <c r="A17" s="273"/>
      <c r="B17" s="120" t="s">
        <v>59</v>
      </c>
      <c r="C17" s="121">
        <v>1276</v>
      </c>
      <c r="D17" s="121">
        <v>1296</v>
      </c>
      <c r="E17" s="121">
        <v>1316</v>
      </c>
      <c r="F17" s="122">
        <f t="shared" si="0"/>
        <v>1296</v>
      </c>
    </row>
    <row r="18" spans="1:6" ht="15" customHeight="1" x14ac:dyDescent="0.25">
      <c r="A18" s="274"/>
      <c r="B18" s="123" t="s">
        <v>60</v>
      </c>
      <c r="C18" s="124">
        <v>0</v>
      </c>
      <c r="D18" s="124">
        <v>88</v>
      </c>
      <c r="E18" s="124">
        <v>21</v>
      </c>
      <c r="F18" s="125">
        <f t="shared" si="0"/>
        <v>36.333333333333336</v>
      </c>
    </row>
    <row r="19" spans="1:6" x14ac:dyDescent="0.25">
      <c r="A19" s="275" t="s">
        <v>103</v>
      </c>
      <c r="B19" s="117" t="s">
        <v>58</v>
      </c>
      <c r="C19" s="118">
        <f>+('III T'!E19-C21)+625</f>
        <v>3063</v>
      </c>
      <c r="D19" s="118">
        <f>+(C19-D21)</f>
        <v>2438</v>
      </c>
      <c r="E19" s="118">
        <f>+(D19-E21)</f>
        <v>2438</v>
      </c>
      <c r="F19" s="119">
        <f>E19</f>
        <v>2438</v>
      </c>
    </row>
    <row r="20" spans="1:6" ht="15" customHeight="1" x14ac:dyDescent="0.25">
      <c r="A20" s="273"/>
      <c r="B20" s="120" t="s">
        <v>59</v>
      </c>
      <c r="C20" s="121">
        <v>10631</v>
      </c>
      <c r="D20" s="121">
        <v>11127</v>
      </c>
      <c r="E20" s="121">
        <v>11416</v>
      </c>
      <c r="F20" s="122">
        <f t="shared" si="0"/>
        <v>11058</v>
      </c>
    </row>
    <row r="21" spans="1:6" ht="15" customHeight="1" x14ac:dyDescent="0.25">
      <c r="A21" s="274"/>
      <c r="B21" s="123" t="s">
        <v>60</v>
      </c>
      <c r="C21" s="124">
        <v>984</v>
      </c>
      <c r="D21" s="124">
        <v>625</v>
      </c>
      <c r="E21" s="185">
        <v>0</v>
      </c>
      <c r="F21" s="125">
        <f t="shared" si="0"/>
        <v>536.33333333333337</v>
      </c>
    </row>
    <row r="22" spans="1:6" ht="15" customHeight="1" x14ac:dyDescent="0.25">
      <c r="A22" s="275" t="s">
        <v>126</v>
      </c>
      <c r="B22" s="126" t="s">
        <v>58</v>
      </c>
      <c r="C22" s="118">
        <f>+('III T'!E22-C24)</f>
        <v>0</v>
      </c>
      <c r="D22" s="118">
        <f>+(C22-D24)</f>
        <v>0</v>
      </c>
      <c r="E22" s="118">
        <f>+(D22-E24)</f>
        <v>0</v>
      </c>
      <c r="F22" s="119">
        <f>E22</f>
        <v>0</v>
      </c>
    </row>
    <row r="23" spans="1:6" ht="15" customHeight="1" x14ac:dyDescent="0.25">
      <c r="A23" s="273"/>
      <c r="B23" s="128" t="s">
        <v>59</v>
      </c>
      <c r="C23" s="121">
        <v>674</v>
      </c>
      <c r="D23" s="121">
        <v>667</v>
      </c>
      <c r="E23" s="121">
        <v>795</v>
      </c>
      <c r="F23" s="129">
        <f t="shared" si="0"/>
        <v>712</v>
      </c>
    </row>
    <row r="24" spans="1:6" ht="15" customHeight="1" x14ac:dyDescent="0.25">
      <c r="A24" s="274"/>
      <c r="B24" s="130" t="s">
        <v>60</v>
      </c>
      <c r="C24" s="124">
        <v>0</v>
      </c>
      <c r="D24" s="124">
        <v>0</v>
      </c>
      <c r="E24" s="124">
        <v>0</v>
      </c>
      <c r="F24" s="131">
        <f t="shared" si="0"/>
        <v>0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15223</v>
      </c>
      <c r="D25" s="58">
        <f>+D14+D15+D17+D18+D20+D21+D23+D24</f>
        <v>16620</v>
      </c>
      <c r="E25" s="58">
        <f>+E14+E15+E17+E18+E20+E21+E23+E24</f>
        <v>15952</v>
      </c>
      <c r="F25" s="60">
        <f>AVERAGE(C25:E25)</f>
        <v>15931.666666666666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85" t="s">
        <v>72</v>
      </c>
    </row>
    <row r="30" spans="1:6" ht="15" customHeight="1" x14ac:dyDescent="0.25">
      <c r="A30" s="268" t="s">
        <v>14</v>
      </c>
      <c r="B30" s="268"/>
      <c r="C30" s="268"/>
      <c r="D30" s="268"/>
      <c r="E30" s="268"/>
      <c r="F30" s="268"/>
    </row>
    <row r="31" spans="1:6" ht="15" customHeight="1" x14ac:dyDescent="0.25">
      <c r="A31" s="271" t="s">
        <v>31</v>
      </c>
      <c r="B31" s="271"/>
      <c r="C31" s="271"/>
      <c r="D31" s="271"/>
      <c r="E31" s="271"/>
      <c r="F31" s="271"/>
    </row>
    <row r="32" spans="1:6" ht="15" customHeight="1" x14ac:dyDescent="0.25">
      <c r="A32" s="268" t="s">
        <v>52</v>
      </c>
      <c r="B32" s="268"/>
      <c r="C32" s="268"/>
      <c r="D32" s="268"/>
      <c r="E32" s="268"/>
      <c r="F32" s="268"/>
    </row>
    <row r="33" spans="1:8" s="8" customFormat="1" ht="15" customHeight="1" x14ac:dyDescent="0.25">
      <c r="A33" s="239"/>
      <c r="B33" s="239"/>
      <c r="C33" s="239"/>
      <c r="D33" s="239"/>
      <c r="E33" s="239"/>
      <c r="F33" s="239"/>
    </row>
    <row r="34" spans="1:8" ht="15" customHeight="1" thickBot="1" x14ac:dyDescent="0.3">
      <c r="A34" s="12" t="s">
        <v>64</v>
      </c>
      <c r="B34" s="12"/>
      <c r="C34" s="234" t="s">
        <v>36</v>
      </c>
      <c r="D34" s="234" t="s">
        <v>37</v>
      </c>
      <c r="E34" s="234" t="s">
        <v>38</v>
      </c>
      <c r="F34" s="234" t="s">
        <v>152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139</v>
      </c>
      <c r="B36" s="188" t="s">
        <v>56</v>
      </c>
      <c r="C36" s="241">
        <v>297155050</v>
      </c>
      <c r="D36" s="241">
        <v>328519425</v>
      </c>
      <c r="E36" s="241">
        <v>520415325</v>
      </c>
      <c r="F36" s="242">
        <f t="shared" ref="F36:F43" si="1">SUM(C36:E36)</f>
        <v>1146089800</v>
      </c>
    </row>
    <row r="37" spans="1:8" ht="15" customHeight="1" x14ac:dyDescent="0.25">
      <c r="A37" s="191"/>
      <c r="B37" s="192" t="s">
        <v>55</v>
      </c>
      <c r="C37" s="243">
        <v>17051675</v>
      </c>
      <c r="D37" s="243">
        <v>66517775</v>
      </c>
      <c r="E37" s="243">
        <v>6820325</v>
      </c>
      <c r="F37" s="244">
        <f t="shared" si="1"/>
        <v>90389775</v>
      </c>
    </row>
    <row r="38" spans="1:8" ht="15" customHeight="1" x14ac:dyDescent="0.25">
      <c r="A38" s="132" t="s">
        <v>24</v>
      </c>
      <c r="B38" s="133" t="s">
        <v>56</v>
      </c>
      <c r="C38" s="245">
        <v>91476440</v>
      </c>
      <c r="D38" s="245">
        <v>92910240</v>
      </c>
      <c r="E38" s="245">
        <v>92408410</v>
      </c>
      <c r="F38" s="246">
        <f t="shared" si="1"/>
        <v>276795090</v>
      </c>
    </row>
    <row r="39" spans="1:8" ht="15" customHeight="1" x14ac:dyDescent="0.25">
      <c r="A39" s="135"/>
      <c r="B39" s="136" t="s">
        <v>55</v>
      </c>
      <c r="C39" s="247">
        <v>3010980</v>
      </c>
      <c r="D39" s="247">
        <v>6308720</v>
      </c>
      <c r="E39" s="247">
        <v>1362110</v>
      </c>
      <c r="F39" s="248">
        <f t="shared" si="1"/>
        <v>10681810</v>
      </c>
    </row>
    <row r="40" spans="1:8" ht="15" customHeight="1" x14ac:dyDescent="0.25">
      <c r="A40" s="195" t="s">
        <v>103</v>
      </c>
      <c r="B40" s="196" t="s">
        <v>56</v>
      </c>
      <c r="C40" s="249">
        <v>632789707.39999998</v>
      </c>
      <c r="D40" s="249">
        <v>660657695.39999998</v>
      </c>
      <c r="E40" s="249">
        <v>669372535.39999998</v>
      </c>
      <c r="F40" s="250">
        <f t="shared" si="1"/>
        <v>1962819938.1999998</v>
      </c>
      <c r="H40" s="203"/>
    </row>
    <row r="41" spans="1:8" ht="15" customHeight="1" x14ac:dyDescent="0.25">
      <c r="A41" s="199"/>
      <c r="B41" s="200" t="s">
        <v>55</v>
      </c>
      <c r="C41" s="251">
        <v>103089428</v>
      </c>
      <c r="D41" s="251">
        <v>45082828</v>
      </c>
      <c r="E41" s="251">
        <v>0</v>
      </c>
      <c r="F41" s="252">
        <f t="shared" si="1"/>
        <v>148172256</v>
      </c>
    </row>
    <row r="42" spans="1:8" ht="15" customHeight="1" x14ac:dyDescent="0.25">
      <c r="A42" s="138" t="s">
        <v>102</v>
      </c>
      <c r="B42" s="139" t="s">
        <v>56</v>
      </c>
      <c r="C42" s="245">
        <v>81950000</v>
      </c>
      <c r="D42" s="245">
        <v>0</v>
      </c>
      <c r="E42" s="245">
        <v>1393290000</v>
      </c>
      <c r="F42" s="246">
        <f t="shared" si="1"/>
        <v>1475240000</v>
      </c>
    </row>
    <row r="43" spans="1:8" ht="15" customHeight="1" x14ac:dyDescent="0.25">
      <c r="A43" s="140"/>
      <c r="B43" s="141" t="s">
        <v>55</v>
      </c>
      <c r="C43" s="247">
        <v>0</v>
      </c>
      <c r="D43" s="247">
        <v>0</v>
      </c>
      <c r="E43" s="247">
        <v>0</v>
      </c>
      <c r="F43" s="248">
        <f t="shared" si="1"/>
        <v>0</v>
      </c>
      <c r="H43" s="203"/>
    </row>
    <row r="44" spans="1:8" ht="15" customHeight="1" x14ac:dyDescent="0.25">
      <c r="A44" s="215"/>
      <c r="B44" s="216"/>
      <c r="C44" s="253"/>
      <c r="D44" s="253"/>
      <c r="E44" s="253"/>
      <c r="F44" s="253"/>
      <c r="H44" s="203"/>
    </row>
    <row r="45" spans="1:8" ht="15" customHeight="1" thickBot="1" x14ac:dyDescent="0.3">
      <c r="A45" s="10" t="s">
        <v>13</v>
      </c>
      <c r="B45" s="10"/>
      <c r="C45" s="254">
        <f>SUM(C36:C43)</f>
        <v>1226523280.4000001</v>
      </c>
      <c r="D45" s="254">
        <f>SUM(D36:D43)</f>
        <v>1199996683.4000001</v>
      </c>
      <c r="E45" s="254">
        <f>SUM(E36:E43)</f>
        <v>2683668705.4000001</v>
      </c>
      <c r="F45" s="254">
        <f>SUM(F36:F43)</f>
        <v>5110188669.1999998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71" t="s">
        <v>15</v>
      </c>
      <c r="B51" s="271"/>
      <c r="C51" s="271"/>
      <c r="D51" s="271"/>
      <c r="E51" s="271"/>
    </row>
    <row r="52" spans="1:5" ht="15" customHeight="1" x14ac:dyDescent="0.25">
      <c r="A52" s="271" t="s">
        <v>32</v>
      </c>
      <c r="B52" s="271"/>
      <c r="C52" s="271"/>
      <c r="D52" s="271"/>
      <c r="E52" s="271"/>
    </row>
    <row r="53" spans="1:5" ht="15" customHeight="1" x14ac:dyDescent="0.25">
      <c r="A53" s="268" t="s">
        <v>52</v>
      </c>
      <c r="B53" s="268"/>
      <c r="C53" s="268"/>
      <c r="D53" s="268"/>
      <c r="E53" s="268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234" t="s">
        <v>36</v>
      </c>
      <c r="C55" s="234" t="s">
        <v>37</v>
      </c>
      <c r="D55" s="234" t="s">
        <v>38</v>
      </c>
      <c r="E55" s="234" t="s">
        <v>153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104</v>
      </c>
      <c r="B57" s="56">
        <f>SUM(C36:C37)</f>
        <v>314206725</v>
      </c>
      <c r="C57" s="56">
        <f>SUM(D36:D37)</f>
        <v>395037200</v>
      </c>
      <c r="D57" s="56">
        <f>SUM(E36:E37)</f>
        <v>527235650</v>
      </c>
      <c r="E57" s="56">
        <f t="shared" ref="E57:E60" si="2">SUM(B57:D57)</f>
        <v>1236479575</v>
      </c>
    </row>
    <row r="58" spans="1:5" ht="15" customHeight="1" x14ac:dyDescent="0.25">
      <c r="A58" s="85" t="s">
        <v>105</v>
      </c>
      <c r="B58" s="56">
        <f>SUM(C38:C39)</f>
        <v>94487420</v>
      </c>
      <c r="C58" s="56">
        <f>SUM(D38:D39)</f>
        <v>99218960</v>
      </c>
      <c r="D58" s="56">
        <f>SUM(E38:E39)</f>
        <v>93770520</v>
      </c>
      <c r="E58" s="56">
        <f t="shared" si="2"/>
        <v>287476900</v>
      </c>
    </row>
    <row r="59" spans="1:5" ht="15" customHeight="1" x14ac:dyDescent="0.25">
      <c r="A59" s="85" t="s">
        <v>106</v>
      </c>
      <c r="B59" s="56">
        <f>SUM(C40:C41)</f>
        <v>735879135.39999998</v>
      </c>
      <c r="C59" s="56">
        <f>SUM(D40:D41)</f>
        <v>705740523.39999998</v>
      </c>
      <c r="D59" s="56">
        <f>SUM(E40:E41)</f>
        <v>669372535.39999998</v>
      </c>
      <c r="E59" s="56">
        <f t="shared" si="2"/>
        <v>2110992194.1999998</v>
      </c>
    </row>
    <row r="60" spans="1:5" ht="15" customHeight="1" x14ac:dyDescent="0.25">
      <c r="A60" s="85" t="s">
        <v>107</v>
      </c>
      <c r="B60" s="56">
        <f>SUM(C42:C43)</f>
        <v>81950000</v>
      </c>
      <c r="C60" s="56">
        <f>SUM(D42:D43)</f>
        <v>0</v>
      </c>
      <c r="D60" s="56">
        <f>SUM(E42:E43)</f>
        <v>1393290000</v>
      </c>
      <c r="E60" s="56">
        <f t="shared" si="2"/>
        <v>1475240000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1226523280.4000001</v>
      </c>
      <c r="C62" s="58">
        <f>SUM(C57:C61)</f>
        <v>1199996683.4000001</v>
      </c>
      <c r="D62" s="58">
        <f>SUM(D57:D61)</f>
        <v>2683668705.4000001</v>
      </c>
      <c r="E62" s="58">
        <f>SUM(E57:E61)</f>
        <v>5110188669.1999998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69" t="s">
        <v>44</v>
      </c>
      <c r="B66" s="269"/>
      <c r="C66" s="269"/>
      <c r="D66" s="269"/>
      <c r="E66" s="269"/>
      <c r="F66" s="90"/>
    </row>
    <row r="67" spans="1:9" ht="15" customHeight="1" x14ac:dyDescent="0.25">
      <c r="A67" s="269" t="s">
        <v>110</v>
      </c>
      <c r="B67" s="269"/>
      <c r="C67" s="269"/>
      <c r="D67" s="269"/>
      <c r="E67" s="269"/>
      <c r="F67" s="90"/>
    </row>
    <row r="68" spans="1:9" ht="15" customHeight="1" x14ac:dyDescent="0.25">
      <c r="A68" s="270" t="s">
        <v>52</v>
      </c>
      <c r="B68" s="270"/>
      <c r="C68" s="270"/>
      <c r="D68" s="270"/>
      <c r="E68" s="270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234" t="s">
        <v>36</v>
      </c>
      <c r="C70" s="234" t="s">
        <v>37</v>
      </c>
      <c r="D70" s="234" t="s">
        <v>38</v>
      </c>
      <c r="E70" s="234" t="s">
        <v>153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65854350</v>
      </c>
      <c r="C72" s="94">
        <f>B76</f>
        <v>176052425</v>
      </c>
      <c r="D72" s="94">
        <f>C76</f>
        <v>116165975</v>
      </c>
      <c r="E72" s="94">
        <f>B72</f>
        <v>65854350</v>
      </c>
      <c r="F72" s="90"/>
    </row>
    <row r="73" spans="1:9" ht="15" customHeight="1" x14ac:dyDescent="0.25">
      <c r="A73" s="90" t="s">
        <v>16</v>
      </c>
      <c r="B73" s="94">
        <f>+B146</f>
        <v>424404800</v>
      </c>
      <c r="C73" s="94">
        <f t="shared" ref="C73:D73" si="3">+C146</f>
        <v>335150750</v>
      </c>
      <c r="D73" s="94">
        <f t="shared" si="3"/>
        <v>490484750</v>
      </c>
      <c r="E73" s="94">
        <f>+SUM(B73:D73)</f>
        <v>1250040300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490259150</v>
      </c>
      <c r="C74" s="94">
        <f t="shared" ref="C74:D74" si="4">SUM(C72:C73)</f>
        <v>511203175</v>
      </c>
      <c r="D74" s="94">
        <f t="shared" si="4"/>
        <v>606650725</v>
      </c>
      <c r="E74" s="94">
        <f>+E72+E73</f>
        <v>1315894650</v>
      </c>
      <c r="F74" s="90"/>
    </row>
    <row r="75" spans="1:9" ht="15" customHeight="1" x14ac:dyDescent="0.25">
      <c r="A75" s="90" t="s">
        <v>18</v>
      </c>
      <c r="B75" s="95">
        <f>B57</f>
        <v>314206725</v>
      </c>
      <c r="C75" s="95">
        <f>C57</f>
        <v>395037200</v>
      </c>
      <c r="D75" s="95">
        <f>D57</f>
        <v>527235650</v>
      </c>
      <c r="E75" s="94">
        <f>+SUM(B75:D75)</f>
        <v>1236479575</v>
      </c>
      <c r="F75" s="96"/>
    </row>
    <row r="76" spans="1:9" ht="15" customHeight="1" x14ac:dyDescent="0.25">
      <c r="A76" s="97" t="s">
        <v>19</v>
      </c>
      <c r="B76" s="98">
        <f>B74-B75</f>
        <v>176052425</v>
      </c>
      <c r="C76" s="98">
        <f>C74-C75</f>
        <v>116165975</v>
      </c>
      <c r="D76" s="98">
        <f>D74-D75</f>
        <v>79415075</v>
      </c>
      <c r="E76" s="98">
        <f>+E74-E75</f>
        <v>79415075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69" t="s">
        <v>45</v>
      </c>
      <c r="B81" s="269"/>
      <c r="C81" s="269"/>
      <c r="D81" s="269"/>
      <c r="E81" s="269"/>
      <c r="F81" s="90"/>
    </row>
    <row r="82" spans="1:6" ht="15" customHeight="1" x14ac:dyDescent="0.25">
      <c r="A82" s="269" t="s">
        <v>108</v>
      </c>
      <c r="B82" s="269"/>
      <c r="C82" s="269"/>
      <c r="D82" s="269"/>
      <c r="E82" s="269"/>
      <c r="F82" s="90"/>
    </row>
    <row r="83" spans="1:6" ht="15" customHeight="1" x14ac:dyDescent="0.25">
      <c r="A83" s="270" t="s">
        <v>52</v>
      </c>
      <c r="B83" s="270"/>
      <c r="C83" s="270"/>
      <c r="D83" s="270"/>
      <c r="E83" s="270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234" t="s">
        <v>36</v>
      </c>
      <c r="C85" s="234" t="s">
        <v>37</v>
      </c>
      <c r="D85" s="234" t="s">
        <v>38</v>
      </c>
      <c r="E85" s="234" t="s">
        <v>153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18065880</v>
      </c>
      <c r="C87" s="94">
        <f>B91</f>
        <v>8459420</v>
      </c>
      <c r="D87" s="94">
        <f>C91</f>
        <v>6308720</v>
      </c>
      <c r="E87" s="94">
        <f>B87</f>
        <v>18065880</v>
      </c>
      <c r="F87" s="90"/>
    </row>
    <row r="88" spans="1:6" ht="15" customHeight="1" x14ac:dyDescent="0.25">
      <c r="A88" s="90" t="s">
        <v>16</v>
      </c>
      <c r="B88" s="94">
        <f>+B147</f>
        <v>84880960</v>
      </c>
      <c r="C88" s="94">
        <f t="shared" ref="C88:D88" si="5">+C147</f>
        <v>97068260</v>
      </c>
      <c r="D88" s="94">
        <f t="shared" si="5"/>
        <v>97068260</v>
      </c>
      <c r="E88" s="94">
        <f>+SUM(B88:D88)</f>
        <v>279017480</v>
      </c>
      <c r="F88" s="90"/>
    </row>
    <row r="89" spans="1:6" ht="15" customHeight="1" x14ac:dyDescent="0.25">
      <c r="A89" s="90" t="s">
        <v>17</v>
      </c>
      <c r="B89" s="94">
        <f>B87+B88</f>
        <v>102946840</v>
      </c>
      <c r="C89" s="94">
        <f t="shared" ref="C89:D89" si="6">C87+C88</f>
        <v>105527680</v>
      </c>
      <c r="D89" s="94">
        <f t="shared" si="6"/>
        <v>103376980</v>
      </c>
      <c r="E89" s="94">
        <f>+E87+E88</f>
        <v>297083360</v>
      </c>
      <c r="F89" s="90"/>
    </row>
    <row r="90" spans="1:6" ht="15" customHeight="1" x14ac:dyDescent="0.25">
      <c r="A90" s="90" t="s">
        <v>18</v>
      </c>
      <c r="B90" s="95">
        <f>+B58</f>
        <v>94487420</v>
      </c>
      <c r="C90" s="95">
        <f>+C58</f>
        <v>99218960</v>
      </c>
      <c r="D90" s="95">
        <f>+D58</f>
        <v>93770520</v>
      </c>
      <c r="E90" s="94">
        <f>+SUM(B90:D90)</f>
        <v>287476900</v>
      </c>
      <c r="F90" s="90"/>
    </row>
    <row r="91" spans="1:6" ht="15" customHeight="1" x14ac:dyDescent="0.25">
      <c r="A91" s="97" t="s">
        <v>19</v>
      </c>
      <c r="B91" s="98">
        <f>B89-B90</f>
        <v>8459420</v>
      </c>
      <c r="C91" s="98">
        <f>C89-C90</f>
        <v>6308720</v>
      </c>
      <c r="D91" s="98">
        <f>D89-D90</f>
        <v>9606460</v>
      </c>
      <c r="E91" s="98">
        <f>+E89-E90</f>
        <v>9606460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69" t="s">
        <v>109</v>
      </c>
      <c r="B98" s="269"/>
      <c r="C98" s="269"/>
      <c r="D98" s="269"/>
      <c r="E98" s="269"/>
      <c r="F98" s="90"/>
    </row>
    <row r="99" spans="1:10" ht="15" customHeight="1" x14ac:dyDescent="0.25">
      <c r="A99" s="269" t="s">
        <v>49</v>
      </c>
      <c r="B99" s="269"/>
      <c r="C99" s="269"/>
      <c r="D99" s="269"/>
      <c r="E99" s="269"/>
      <c r="F99" s="90"/>
      <c r="H99" s="43"/>
      <c r="J99" s="13"/>
    </row>
    <row r="100" spans="1:10" ht="15" customHeight="1" x14ac:dyDescent="0.25">
      <c r="A100" s="270" t="s">
        <v>52</v>
      </c>
      <c r="B100" s="270"/>
      <c r="C100" s="270"/>
      <c r="D100" s="270"/>
      <c r="E100" s="270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234" t="s">
        <v>36</v>
      </c>
      <c r="C102" s="234" t="s">
        <v>37</v>
      </c>
      <c r="D102" s="234" t="s">
        <v>38</v>
      </c>
      <c r="E102" s="234" t="s">
        <v>153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277021144</v>
      </c>
      <c r="C104" s="94">
        <f>B108</f>
        <v>145436152.97000003</v>
      </c>
      <c r="D104" s="94">
        <f>C108</f>
        <v>121056523.94000006</v>
      </c>
      <c r="E104" s="94">
        <f>+B104</f>
        <v>277021144</v>
      </c>
      <c r="F104" s="90"/>
    </row>
    <row r="105" spans="1:10" ht="15" customHeight="1" x14ac:dyDescent="0.25">
      <c r="A105" s="108" t="s">
        <v>16</v>
      </c>
      <c r="B105" s="94">
        <f>+B148</f>
        <v>604294144.37</v>
      </c>
      <c r="C105" s="94">
        <f t="shared" ref="C105:D105" si="7">+C148</f>
        <v>681360894.37</v>
      </c>
      <c r="D105" s="94">
        <f t="shared" si="7"/>
        <v>620466657.86000001</v>
      </c>
      <c r="E105" s="94">
        <f>SUM(B105:D105)</f>
        <v>1906121696.5999999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881315288.37</v>
      </c>
      <c r="C106" s="94">
        <f t="shared" ref="C106:D106" si="8">SUM(C104:C105)</f>
        <v>826797047.34000003</v>
      </c>
      <c r="D106" s="94">
        <f t="shared" si="8"/>
        <v>741523181.80000007</v>
      </c>
      <c r="E106" s="94">
        <f>SUM(E104:E105)</f>
        <v>2183142840.5999999</v>
      </c>
      <c r="F106" s="90"/>
    </row>
    <row r="107" spans="1:10" ht="15" customHeight="1" x14ac:dyDescent="0.25">
      <c r="A107" s="90" t="s">
        <v>18</v>
      </c>
      <c r="B107" s="94">
        <f>+B59</f>
        <v>735879135.39999998</v>
      </c>
      <c r="C107" s="94">
        <f>+C59</f>
        <v>705740523.39999998</v>
      </c>
      <c r="D107" s="94">
        <f>+D59</f>
        <v>669372535.39999998</v>
      </c>
      <c r="E107" s="94">
        <f>+SUM(B107:D107)</f>
        <v>2110992194.1999998</v>
      </c>
      <c r="F107" s="96"/>
    </row>
    <row r="108" spans="1:10" ht="15" customHeight="1" x14ac:dyDescent="0.25">
      <c r="A108" s="97" t="s">
        <v>19</v>
      </c>
      <c r="B108" s="103">
        <f>B106-B107</f>
        <v>145436152.97000003</v>
      </c>
      <c r="C108" s="103">
        <f t="shared" ref="C108:D108" si="9">C106-C107</f>
        <v>121056523.94000006</v>
      </c>
      <c r="D108" s="103">
        <f t="shared" si="9"/>
        <v>72150646.400000095</v>
      </c>
      <c r="E108" s="103">
        <f>+E106-E107</f>
        <v>72150646.400000095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69" t="s">
        <v>112</v>
      </c>
      <c r="B113" s="269"/>
      <c r="C113" s="269"/>
      <c r="D113" s="269"/>
      <c r="E113" s="269"/>
      <c r="F113" s="90"/>
    </row>
    <row r="114" spans="1:6" ht="15" customHeight="1" x14ac:dyDescent="0.25">
      <c r="A114" s="269" t="s">
        <v>111</v>
      </c>
      <c r="B114" s="269"/>
      <c r="C114" s="269"/>
      <c r="D114" s="269"/>
      <c r="E114" s="269"/>
      <c r="F114" s="90"/>
    </row>
    <row r="115" spans="1:6" ht="15" customHeight="1" x14ac:dyDescent="0.25">
      <c r="A115" s="270" t="s">
        <v>52</v>
      </c>
      <c r="B115" s="270"/>
      <c r="C115" s="270"/>
      <c r="D115" s="270"/>
      <c r="E115" s="270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234" t="s">
        <v>36</v>
      </c>
      <c r="C117" s="234" t="s">
        <v>37</v>
      </c>
      <c r="D117" s="234" t="s">
        <v>38</v>
      </c>
      <c r="E117" s="234" t="s">
        <v>153</v>
      </c>
      <c r="F117" s="237"/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83788865.380000114</v>
      </c>
      <c r="C119" s="94">
        <f>B123</f>
        <v>1838865.3800001144</v>
      </c>
      <c r="D119" s="94">
        <f>C123</f>
        <v>1838865.3800001144</v>
      </c>
      <c r="E119" s="94">
        <f>+B119</f>
        <v>83788865.380000114</v>
      </c>
      <c r="F119" s="90"/>
    </row>
    <row r="120" spans="1:6" ht="15" customHeight="1" x14ac:dyDescent="0.25">
      <c r="A120" s="108" t="s">
        <v>16</v>
      </c>
      <c r="B120" s="94">
        <f>+B149</f>
        <v>0</v>
      </c>
      <c r="C120" s="94">
        <f t="shared" ref="C120:D120" si="10">+C149</f>
        <v>0</v>
      </c>
      <c r="D120" s="94">
        <f t="shared" si="10"/>
        <v>1393290000</v>
      </c>
      <c r="E120" s="94">
        <f>SUM(B120:D120)</f>
        <v>1393290000</v>
      </c>
      <c r="F120" s="90"/>
    </row>
    <row r="121" spans="1:6" ht="15" customHeight="1" x14ac:dyDescent="0.25">
      <c r="A121" s="90" t="s">
        <v>17</v>
      </c>
      <c r="B121" s="94">
        <f>SUM(B119:B120)</f>
        <v>83788865.380000114</v>
      </c>
      <c r="C121" s="94">
        <f t="shared" ref="C121:D121" si="11">SUM(C119:C120)</f>
        <v>1838865.3800001144</v>
      </c>
      <c r="D121" s="94">
        <f t="shared" si="11"/>
        <v>1395128865.3800001</v>
      </c>
      <c r="E121" s="94">
        <f>SUM(E119:E120)</f>
        <v>1477078865.3800001</v>
      </c>
      <c r="F121" s="90"/>
    </row>
    <row r="122" spans="1:6" ht="15" customHeight="1" x14ac:dyDescent="0.25">
      <c r="A122" s="90" t="s">
        <v>18</v>
      </c>
      <c r="B122" s="94">
        <f>+B60</f>
        <v>81950000</v>
      </c>
      <c r="C122" s="94">
        <f>+C60</f>
        <v>0</v>
      </c>
      <c r="D122" s="94">
        <f>+D60</f>
        <v>1393290000</v>
      </c>
      <c r="E122" s="94">
        <f>+SUM(B122:D122)</f>
        <v>1475240000</v>
      </c>
      <c r="F122" s="96"/>
    </row>
    <row r="123" spans="1:6" ht="15" customHeight="1" x14ac:dyDescent="0.25">
      <c r="A123" s="97" t="s">
        <v>19</v>
      </c>
      <c r="B123" s="103">
        <f>B121-B122</f>
        <v>1838865.3800001144</v>
      </c>
      <c r="C123" s="103">
        <f>C121-C122</f>
        <v>1838865.3800001144</v>
      </c>
      <c r="D123" s="103">
        <f>D121-D122</f>
        <v>1838865.3800001144</v>
      </c>
      <c r="E123" s="103">
        <f>+E121-E122</f>
        <v>1838865.3800001144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156</v>
      </c>
      <c r="B132" s="90"/>
      <c r="C132" s="90"/>
      <c r="D132" s="90"/>
      <c r="E132" s="90"/>
      <c r="F132" s="90"/>
    </row>
    <row r="133" spans="1:6" ht="15" customHeight="1" x14ac:dyDescent="0.25">
      <c r="A133" s="266" t="s">
        <v>158</v>
      </c>
      <c r="B133" s="267"/>
      <c r="C133" s="90"/>
      <c r="D133" s="258" t="s">
        <v>157</v>
      </c>
      <c r="E133" s="90"/>
      <c r="F133" s="90"/>
    </row>
    <row r="134" spans="1:6" ht="15" customHeight="1" x14ac:dyDescent="0.25">
      <c r="A134" s="105" t="s">
        <v>113</v>
      </c>
      <c r="B134" s="106">
        <f>+'III T'!E76</f>
        <v>65854350</v>
      </c>
      <c r="C134" s="230"/>
      <c r="D134" s="256">
        <f>+E76</f>
        <v>79415075</v>
      </c>
      <c r="E134" s="255"/>
      <c r="F134" s="90"/>
    </row>
    <row r="135" spans="1:6" ht="15" customHeight="1" x14ac:dyDescent="0.25">
      <c r="A135" s="105" t="s">
        <v>114</v>
      </c>
      <c r="B135" s="106">
        <f>+'III T'!E91</f>
        <v>18065880</v>
      </c>
      <c r="C135" s="230"/>
      <c r="D135" s="256">
        <f>+E91</f>
        <v>9606460</v>
      </c>
      <c r="E135" s="255"/>
      <c r="F135" s="90"/>
    </row>
    <row r="136" spans="1:6" ht="15" customHeight="1" x14ac:dyDescent="0.25">
      <c r="A136" s="105" t="s">
        <v>81</v>
      </c>
      <c r="B136" s="106">
        <f>+'III T'!E108</f>
        <v>277021144</v>
      </c>
      <c r="C136" s="90"/>
      <c r="D136" s="256">
        <f>+E108</f>
        <v>72150646.400000095</v>
      </c>
      <c r="E136" s="90"/>
      <c r="F136" s="90"/>
    </row>
    <row r="137" spans="1:6" ht="15" customHeight="1" x14ac:dyDescent="0.25">
      <c r="A137" s="105" t="s">
        <v>82</v>
      </c>
      <c r="B137" s="106">
        <f>+'III T'!E123</f>
        <v>83788865.380000114</v>
      </c>
      <c r="C137" s="90"/>
      <c r="D137" s="256">
        <f>+E123</f>
        <v>1838865.3800001144</v>
      </c>
      <c r="E137" s="90"/>
      <c r="F137" s="90"/>
    </row>
    <row r="138" spans="1:6" ht="15" customHeight="1" x14ac:dyDescent="0.25">
      <c r="A138" s="105" t="s">
        <v>115</v>
      </c>
      <c r="B138" s="106">
        <v>0</v>
      </c>
      <c r="C138" s="90"/>
      <c r="D138" s="256"/>
      <c r="E138" s="90"/>
      <c r="F138" s="90"/>
    </row>
    <row r="139" spans="1:6" ht="15" customHeight="1" thickBot="1" x14ac:dyDescent="0.3">
      <c r="A139" s="227" t="s">
        <v>154</v>
      </c>
      <c r="B139" s="228">
        <f>SUM(B134:B138)</f>
        <v>444730239.38000011</v>
      </c>
      <c r="C139" s="90"/>
      <c r="D139" s="257">
        <f>SUM(D134:D138)</f>
        <v>163011046.78000021</v>
      </c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31" customFormat="1" ht="15" customHeight="1" x14ac:dyDescent="0.25"/>
    <row r="144" spans="1:6" ht="15" customHeight="1" x14ac:dyDescent="0.25">
      <c r="B144" s="96" t="s">
        <v>155</v>
      </c>
    </row>
    <row r="145" spans="1:5" ht="15" customHeight="1" x14ac:dyDescent="0.25">
      <c r="A145" s="218" t="s">
        <v>117</v>
      </c>
      <c r="B145" s="218" t="s">
        <v>36</v>
      </c>
      <c r="C145" s="218" t="s">
        <v>37</v>
      </c>
      <c r="D145" s="218" t="s">
        <v>38</v>
      </c>
      <c r="E145" s="218" t="s">
        <v>153</v>
      </c>
    </row>
    <row r="146" spans="1:5" ht="15" customHeight="1" x14ac:dyDescent="0.25">
      <c r="A146" s="219" t="s">
        <v>119</v>
      </c>
      <c r="B146" s="223">
        <f>335150750+89254050</f>
        <v>424404800</v>
      </c>
      <c r="C146" s="223">
        <v>335150750</v>
      </c>
      <c r="D146" s="223">
        <f>490484750</f>
        <v>490484750</v>
      </c>
      <c r="E146" s="223">
        <f>+B146+C146+D146</f>
        <v>1250040300</v>
      </c>
    </row>
    <row r="147" spans="1:5" ht="15" customHeight="1" x14ac:dyDescent="0.25">
      <c r="A147" s="219" t="s">
        <v>120</v>
      </c>
      <c r="B147" s="223">
        <f>97068260-12187300</f>
        <v>84880960</v>
      </c>
      <c r="C147" s="223">
        <v>97068260</v>
      </c>
      <c r="D147" s="223">
        <v>97068260</v>
      </c>
      <c r="E147" s="223">
        <f t="shared" ref="E147:E149" si="12">+B147+C147+D147</f>
        <v>279017480</v>
      </c>
    </row>
    <row r="148" spans="1:5" ht="15" customHeight="1" x14ac:dyDescent="0.25">
      <c r="A148" s="220" t="s">
        <v>116</v>
      </c>
      <c r="B148" s="224">
        <f>681360894.37-77066750</f>
        <v>604294144.37</v>
      </c>
      <c r="C148" s="224">
        <v>681360894.37</v>
      </c>
      <c r="D148" s="224">
        <f>620466657.86</f>
        <v>620466657.86000001</v>
      </c>
      <c r="E148" s="223">
        <f t="shared" si="12"/>
        <v>1906121696.5999999</v>
      </c>
    </row>
    <row r="149" spans="1:5" ht="15" customHeight="1" x14ac:dyDescent="0.25">
      <c r="A149" s="219" t="s">
        <v>83</v>
      </c>
      <c r="B149" s="236">
        <v>0</v>
      </c>
      <c r="C149" s="235">
        <v>0</v>
      </c>
      <c r="D149" s="235">
        <v>1393290000</v>
      </c>
      <c r="E149" s="223">
        <f t="shared" si="12"/>
        <v>1393290000</v>
      </c>
    </row>
    <row r="150" spans="1:5" ht="15" customHeight="1" x14ac:dyDescent="0.25">
      <c r="A150" s="219"/>
      <c r="B150" s="223"/>
      <c r="C150" s="223"/>
      <c r="D150" s="223"/>
      <c r="E150" s="223"/>
    </row>
    <row r="151" spans="1:5" ht="15" customHeight="1" thickBot="1" x14ac:dyDescent="0.3">
      <c r="A151" s="221"/>
      <c r="B151" s="225"/>
      <c r="C151" s="225"/>
      <c r="D151" s="225"/>
      <c r="E151" s="225"/>
    </row>
    <row r="152" spans="1:5" ht="15" customHeight="1" thickBot="1" x14ac:dyDescent="0.3">
      <c r="A152" s="222"/>
      <c r="B152" s="226">
        <f>SUM(B146:B151)</f>
        <v>1113579904.3699999</v>
      </c>
      <c r="C152" s="226">
        <f t="shared" ref="C152:E152" si="13">SUM(C146:C151)</f>
        <v>1113579904.3699999</v>
      </c>
      <c r="D152" s="226">
        <f t="shared" si="13"/>
        <v>2601309667.8600001</v>
      </c>
      <c r="E152" s="226">
        <f t="shared" si="13"/>
        <v>4828469476.6000004</v>
      </c>
    </row>
    <row r="155" spans="1:5" ht="15" customHeight="1" x14ac:dyDescent="0.25">
      <c r="A155" s="218" t="s">
        <v>117</v>
      </c>
      <c r="B155" s="229" t="s">
        <v>125</v>
      </c>
    </row>
    <row r="156" spans="1:5" ht="15" customHeight="1" x14ac:dyDescent="0.25">
      <c r="A156" s="219" t="s">
        <v>119</v>
      </c>
      <c r="B156" s="219">
        <v>1870</v>
      </c>
    </row>
    <row r="157" spans="1:5" ht="15" customHeight="1" x14ac:dyDescent="0.25">
      <c r="A157" s="219" t="s">
        <v>120</v>
      </c>
      <c r="B157" s="219">
        <v>1354</v>
      </c>
    </row>
    <row r="158" spans="1:5" ht="15" customHeight="1" x14ac:dyDescent="0.25">
      <c r="A158" s="220" t="s">
        <v>116</v>
      </c>
      <c r="B158" s="220">
        <v>13573</v>
      </c>
    </row>
    <row r="159" spans="1:5" ht="15" customHeight="1" x14ac:dyDescent="0.25">
      <c r="A159" s="219" t="s">
        <v>83</v>
      </c>
      <c r="B159" s="219">
        <f>494+209</f>
        <v>703</v>
      </c>
    </row>
    <row r="160" spans="1:5" ht="15" customHeight="1" x14ac:dyDescent="0.25">
      <c r="A160" s="219"/>
      <c r="B160" s="219"/>
    </row>
    <row r="161" spans="1:8" ht="15" customHeight="1" thickBot="1" x14ac:dyDescent="0.3">
      <c r="A161" s="221"/>
      <c r="B161" s="221"/>
    </row>
    <row r="162" spans="1:8" ht="15" customHeight="1" thickBot="1" x14ac:dyDescent="0.3">
      <c r="A162" s="222" t="s">
        <v>130</v>
      </c>
      <c r="B162" s="222">
        <f>SUM(B156:B161)</f>
        <v>17500</v>
      </c>
    </row>
    <row r="163" spans="1:8" ht="15" customHeight="1" x14ac:dyDescent="0.25">
      <c r="H163" s="233"/>
    </row>
  </sheetData>
  <mergeCells count="27"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6:A18"/>
    <mergeCell ref="A1:F1"/>
    <mergeCell ref="A7:F7"/>
    <mergeCell ref="A8:F8"/>
    <mergeCell ref="A9:F9"/>
    <mergeCell ref="A13:A15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5.5703125" style="21" customWidth="1"/>
    <col min="2" max="2" width="23.28515625" style="15" customWidth="1"/>
    <col min="3" max="3" width="18.5703125" style="15" customWidth="1"/>
    <col min="4" max="4" width="16.85546875" style="15" bestFit="1" customWidth="1"/>
    <col min="5" max="5" width="17.42578125" style="15" customWidth="1"/>
    <col min="6" max="6" width="11.5703125" style="15"/>
    <col min="7" max="7" width="15.140625" style="15" bestFit="1" customWidth="1"/>
    <col min="8" max="8" width="13.5703125" style="15" bestFit="1" customWidth="1"/>
    <col min="9" max="9" width="14.28515625" style="15" bestFit="1" customWidth="1"/>
    <col min="10" max="16384" width="11.5703125" style="15"/>
  </cols>
  <sheetData>
    <row r="1" spans="1:6" ht="15" customHeight="1" x14ac:dyDescent="0.25">
      <c r="A1" s="277" t="s">
        <v>20</v>
      </c>
      <c r="B1" s="277"/>
      <c r="C1" s="277"/>
      <c r="D1" s="277"/>
      <c r="E1" s="277"/>
    </row>
    <row r="2" spans="1:6" ht="15" customHeight="1" x14ac:dyDescent="0.25">
      <c r="A2" s="3" t="s">
        <v>0</v>
      </c>
      <c r="B2" s="4" t="s">
        <v>22</v>
      </c>
      <c r="C2" s="16"/>
      <c r="D2" s="16"/>
    </row>
    <row r="3" spans="1:6" ht="15" customHeight="1" x14ac:dyDescent="0.25">
      <c r="A3" s="3" t="s">
        <v>1</v>
      </c>
      <c r="B3" s="4" t="s">
        <v>21</v>
      </c>
      <c r="C3" s="16"/>
      <c r="D3" s="16"/>
    </row>
    <row r="4" spans="1:6" ht="15" customHeight="1" x14ac:dyDescent="0.25">
      <c r="A4" s="3" t="s">
        <v>11</v>
      </c>
      <c r="B4" s="16" t="s">
        <v>61</v>
      </c>
      <c r="C4" s="16"/>
      <c r="D4" s="16"/>
    </row>
    <row r="5" spans="1:6" ht="15" customHeight="1" x14ac:dyDescent="0.25">
      <c r="A5" s="3" t="s">
        <v>53</v>
      </c>
      <c r="B5" s="17" t="s">
        <v>160</v>
      </c>
      <c r="C5" s="16"/>
      <c r="D5" s="16"/>
    </row>
    <row r="6" spans="1:6" ht="15" customHeight="1" x14ac:dyDescent="0.25"/>
    <row r="7" spans="1:6" ht="15" customHeight="1" x14ac:dyDescent="0.25">
      <c r="A7" s="277" t="s">
        <v>9</v>
      </c>
      <c r="B7" s="277"/>
      <c r="C7" s="277"/>
      <c r="D7" s="277"/>
      <c r="E7" s="277"/>
    </row>
    <row r="8" spans="1:6" ht="15" customHeight="1" x14ac:dyDescent="0.25">
      <c r="A8" s="277" t="s">
        <v>12</v>
      </c>
      <c r="B8" s="277"/>
      <c r="C8" s="277"/>
      <c r="D8" s="277"/>
      <c r="E8" s="277"/>
    </row>
    <row r="9" spans="1:6" ht="15" customHeight="1" x14ac:dyDescent="0.25">
      <c r="A9" s="280" t="s">
        <v>50</v>
      </c>
      <c r="B9" s="280"/>
      <c r="C9" s="280"/>
      <c r="D9" s="280"/>
      <c r="E9" s="280"/>
    </row>
    <row r="10" spans="1:6" ht="15" customHeight="1" x14ac:dyDescent="0.25">
      <c r="A10" s="276"/>
      <c r="B10" s="276"/>
      <c r="C10" s="276"/>
      <c r="D10" s="276"/>
      <c r="E10" s="276"/>
    </row>
    <row r="11" spans="1:6" ht="15" customHeight="1" thickBot="1" x14ac:dyDescent="0.3">
      <c r="A11" s="40" t="s">
        <v>64</v>
      </c>
      <c r="B11" s="33"/>
      <c r="C11" s="33" t="s">
        <v>6</v>
      </c>
      <c r="D11" s="33" t="s">
        <v>30</v>
      </c>
      <c r="E11" s="45" t="s">
        <v>68</v>
      </c>
      <c r="F11" s="37"/>
    </row>
    <row r="12" spans="1:6" ht="15" customHeight="1" x14ac:dyDescent="0.25">
      <c r="F12" s="28"/>
    </row>
    <row r="13" spans="1:6" ht="15" customHeight="1" x14ac:dyDescent="0.25">
      <c r="A13" s="278" t="s">
        <v>23</v>
      </c>
      <c r="B13" s="151" t="s">
        <v>58</v>
      </c>
      <c r="C13" s="152">
        <f>+'I T'!F13</f>
        <v>713</v>
      </c>
      <c r="D13" s="152">
        <f>+'II T'!F13</f>
        <v>119</v>
      </c>
      <c r="E13" s="153">
        <f>D13</f>
        <v>119</v>
      </c>
      <c r="F13" s="53"/>
    </row>
    <row r="14" spans="1:6" ht="15" customHeight="1" x14ac:dyDescent="0.25">
      <c r="A14" s="278"/>
      <c r="B14" s="151" t="s">
        <v>59</v>
      </c>
      <c r="C14" s="152">
        <f>+'I T'!F14</f>
        <v>954.66666666666663</v>
      </c>
      <c r="D14" s="152">
        <f>+'II T'!F14</f>
        <v>1668.3333333333333</v>
      </c>
      <c r="E14" s="153">
        <f t="shared" ref="E14:E27" si="0">+(C14+D14)/2</f>
        <v>1311.5</v>
      </c>
      <c r="F14" s="28"/>
    </row>
    <row r="15" spans="1:6" ht="15" customHeight="1" x14ac:dyDescent="0.25">
      <c r="A15" s="278"/>
      <c r="B15" s="151" t="s">
        <v>60</v>
      </c>
      <c r="C15" s="152">
        <f>+'I T'!F15</f>
        <v>596.66666666666663</v>
      </c>
      <c r="D15" s="152">
        <f>+'II T'!F15</f>
        <v>292.33333333333331</v>
      </c>
      <c r="E15" s="153">
        <f t="shared" si="0"/>
        <v>444.5</v>
      </c>
      <c r="F15" s="28"/>
    </row>
    <row r="16" spans="1:6" ht="15" customHeight="1" x14ac:dyDescent="0.25">
      <c r="A16" s="279" t="s">
        <v>24</v>
      </c>
      <c r="B16" s="158" t="s">
        <v>58</v>
      </c>
      <c r="C16" s="159">
        <f>+'I T'!F16</f>
        <v>154</v>
      </c>
      <c r="D16" s="159">
        <f>+'II T'!F16</f>
        <v>103</v>
      </c>
      <c r="E16" s="160">
        <f>D16</f>
        <v>103</v>
      </c>
      <c r="F16" s="53"/>
    </row>
    <row r="17" spans="1:6" ht="15" customHeight="1" x14ac:dyDescent="0.25">
      <c r="A17" s="279"/>
      <c r="B17" s="158" t="s">
        <v>59</v>
      </c>
      <c r="C17" s="159">
        <f>+'I T'!F17</f>
        <v>1049</v>
      </c>
      <c r="D17" s="159">
        <f>+'II T'!F17</f>
        <v>1229</v>
      </c>
      <c r="E17" s="160">
        <f t="shared" si="0"/>
        <v>1139</v>
      </c>
      <c r="F17" s="28"/>
    </row>
    <row r="18" spans="1:6" ht="15" customHeight="1" x14ac:dyDescent="0.25">
      <c r="A18" s="279"/>
      <c r="B18" s="158" t="s">
        <v>60</v>
      </c>
      <c r="C18" s="159">
        <f>+'I T'!F18</f>
        <v>243.33333333333334</v>
      </c>
      <c r="D18" s="159">
        <f>+'II T'!F18</f>
        <v>119.66666666666667</v>
      </c>
      <c r="E18" s="160">
        <f t="shared" si="0"/>
        <v>181.5</v>
      </c>
      <c r="F18" s="28"/>
    </row>
    <row r="19" spans="1:6" ht="15" customHeight="1" x14ac:dyDescent="0.25">
      <c r="A19" s="281" t="s">
        <v>25</v>
      </c>
      <c r="B19" s="151" t="s">
        <v>58</v>
      </c>
      <c r="C19" s="152">
        <f>+'I T'!F19</f>
        <v>6289</v>
      </c>
      <c r="D19" s="152">
        <f>+'II T'!F19</f>
        <v>2654</v>
      </c>
      <c r="E19" s="153">
        <f>D19</f>
        <v>2654</v>
      </c>
      <c r="F19" s="53"/>
    </row>
    <row r="20" spans="1:6" ht="15" customHeight="1" x14ac:dyDescent="0.25">
      <c r="A20" s="281"/>
      <c r="B20" s="151" t="s">
        <v>59</v>
      </c>
      <c r="C20" s="152">
        <f>+'I T'!F20</f>
        <v>5842.666666666667</v>
      </c>
      <c r="D20" s="152">
        <f>+'II T'!F20</f>
        <v>10294.666666666666</v>
      </c>
      <c r="E20" s="152">
        <f t="shared" si="0"/>
        <v>8068.6666666666661</v>
      </c>
      <c r="F20" s="28"/>
    </row>
    <row r="21" spans="1:6" ht="15" customHeight="1" x14ac:dyDescent="0.25">
      <c r="A21" s="281"/>
      <c r="B21" s="151" t="s">
        <v>60</v>
      </c>
      <c r="C21" s="152">
        <f>+'I T'!F21</f>
        <v>2689</v>
      </c>
      <c r="D21" s="152">
        <f>+'II T'!F21</f>
        <v>1771.3333333333333</v>
      </c>
      <c r="E21" s="152">
        <f t="shared" si="0"/>
        <v>2230.1666666666665</v>
      </c>
      <c r="F21" s="28"/>
    </row>
    <row r="22" spans="1:6" ht="15" customHeight="1" x14ac:dyDescent="0.25">
      <c r="A22" s="154" t="s">
        <v>75</v>
      </c>
      <c r="B22" s="155" t="s">
        <v>58</v>
      </c>
      <c r="C22" s="156">
        <f>+'I T'!F22</f>
        <v>202</v>
      </c>
      <c r="D22" s="156">
        <f>+'II T'!F22</f>
        <v>1</v>
      </c>
      <c r="E22" s="156">
        <f>D22</f>
        <v>1</v>
      </c>
      <c r="F22" s="28"/>
    </row>
    <row r="23" spans="1:6" ht="15" customHeight="1" x14ac:dyDescent="0.25">
      <c r="A23" s="157"/>
      <c r="B23" s="155" t="s">
        <v>59</v>
      </c>
      <c r="C23" s="156">
        <f>+'I T'!F23</f>
        <v>206.66666666666666</v>
      </c>
      <c r="D23" s="156">
        <f>+'II T'!F23</f>
        <v>684.66666666666663</v>
      </c>
      <c r="E23" s="156">
        <f t="shared" si="0"/>
        <v>445.66666666666663</v>
      </c>
      <c r="F23" s="28"/>
    </row>
    <row r="24" spans="1:6" ht="15" customHeight="1" x14ac:dyDescent="0.25">
      <c r="A24" s="157"/>
      <c r="B24" s="155" t="s">
        <v>60</v>
      </c>
      <c r="C24" s="156">
        <f>+'I T'!F24</f>
        <v>424.33333333333331</v>
      </c>
      <c r="D24" s="156">
        <f>+'II T'!F24</f>
        <v>71.666666666666671</v>
      </c>
      <c r="E24" s="156">
        <f t="shared" si="0"/>
        <v>248</v>
      </c>
      <c r="F24" s="28"/>
    </row>
    <row r="25" spans="1:6" ht="15" customHeight="1" x14ac:dyDescent="0.25">
      <c r="A25" s="69"/>
      <c r="B25" s="8"/>
      <c r="F25" s="28"/>
    </row>
    <row r="26" spans="1:6" ht="15" customHeight="1" x14ac:dyDescent="0.25">
      <c r="A26" s="23"/>
      <c r="F26" s="28"/>
    </row>
    <row r="27" spans="1:6" ht="15" customHeight="1" thickBot="1" x14ac:dyDescent="0.3">
      <c r="A27" s="24" t="s">
        <v>13</v>
      </c>
      <c r="B27" s="25"/>
      <c r="C27" s="25">
        <f>+C14+C15+C17+C18+C20+C21+C23+C24</f>
        <v>12006.333333333334</v>
      </c>
      <c r="D27" s="25">
        <f>+D14+D15+D17+D18+D20+D21+D23+D24</f>
        <v>16131.666666666666</v>
      </c>
      <c r="E27" s="25">
        <f t="shared" si="0"/>
        <v>14069</v>
      </c>
      <c r="F27" s="28"/>
    </row>
    <row r="28" spans="1:6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6" ht="15" customHeight="1" x14ac:dyDescent="0.25">
      <c r="A29" s="52" t="s">
        <v>72</v>
      </c>
    </row>
    <row r="30" spans="1:6" ht="15" customHeight="1" x14ac:dyDescent="0.25">
      <c r="A30" s="1"/>
    </row>
    <row r="31" spans="1:6" ht="15" customHeight="1" x14ac:dyDescent="0.25"/>
    <row r="32" spans="1:6" ht="15" customHeight="1" x14ac:dyDescent="0.25">
      <c r="A32" s="280" t="s">
        <v>14</v>
      </c>
      <c r="B32" s="280"/>
      <c r="C32" s="280"/>
      <c r="D32" s="280"/>
      <c r="E32" s="280"/>
    </row>
    <row r="33" spans="1:5" ht="15" customHeight="1" x14ac:dyDescent="0.25">
      <c r="A33" s="277" t="s">
        <v>31</v>
      </c>
      <c r="B33" s="277"/>
      <c r="C33" s="277"/>
      <c r="D33" s="277"/>
      <c r="E33" s="277"/>
    </row>
    <row r="34" spans="1:5" ht="15" customHeight="1" x14ac:dyDescent="0.25">
      <c r="A34" s="280" t="s">
        <v>52</v>
      </c>
      <c r="B34" s="280"/>
      <c r="C34" s="280"/>
      <c r="D34" s="280"/>
      <c r="E34" s="280"/>
    </row>
    <row r="35" spans="1:5" ht="15" customHeight="1" x14ac:dyDescent="0.25">
      <c r="A35" s="276"/>
      <c r="B35" s="276"/>
      <c r="C35" s="276"/>
      <c r="D35" s="276"/>
    </row>
    <row r="36" spans="1:5" ht="15" customHeight="1" thickBot="1" x14ac:dyDescent="0.3">
      <c r="A36" s="40" t="s">
        <v>64</v>
      </c>
      <c r="B36" s="19"/>
      <c r="C36" s="19" t="s">
        <v>6</v>
      </c>
      <c r="D36" s="19" t="s">
        <v>30</v>
      </c>
      <c r="E36" s="19" t="s">
        <v>41</v>
      </c>
    </row>
    <row r="37" spans="1:5" ht="15" customHeight="1" x14ac:dyDescent="0.25"/>
    <row r="38" spans="1:5" ht="15" customHeight="1" x14ac:dyDescent="0.25">
      <c r="A38" s="23" t="s">
        <v>23</v>
      </c>
      <c r="B38" s="15" t="s">
        <v>56</v>
      </c>
      <c r="C38" s="15">
        <f>+'I T'!F36</f>
        <v>513121175</v>
      </c>
      <c r="D38" s="86">
        <f>+'II T'!F36</f>
        <v>897021125</v>
      </c>
      <c r="E38" s="15">
        <f t="shared" ref="E38:E43" si="1">+C38+D38</f>
        <v>1410142300</v>
      </c>
    </row>
    <row r="39" spans="1:5" ht="15" customHeight="1" x14ac:dyDescent="0.25">
      <c r="A39" s="23"/>
      <c r="B39" s="15" t="s">
        <v>55</v>
      </c>
      <c r="C39" s="15">
        <f>+'I T'!F37</f>
        <v>319916625</v>
      </c>
      <c r="D39" s="86">
        <f>+'II T'!F37</f>
        <v>156284200</v>
      </c>
      <c r="E39" s="15">
        <f t="shared" si="1"/>
        <v>476200825</v>
      </c>
    </row>
    <row r="40" spans="1:5" ht="15" customHeight="1" x14ac:dyDescent="0.25">
      <c r="A40" s="23" t="s">
        <v>24</v>
      </c>
      <c r="B40" s="15" t="s">
        <v>56</v>
      </c>
      <c r="C40" s="15">
        <f>+'I T'!F38</f>
        <v>223887870</v>
      </c>
      <c r="D40" s="86">
        <f>+'II T'!F38</f>
        <v>264321030</v>
      </c>
      <c r="E40" s="15">
        <f t="shared" si="1"/>
        <v>488208900</v>
      </c>
    </row>
    <row r="41" spans="1:5" ht="15" customHeight="1" x14ac:dyDescent="0.25">
      <c r="A41" s="23"/>
      <c r="B41" s="15" t="s">
        <v>55</v>
      </c>
      <c r="C41" s="15">
        <f>+'I T'!F39</f>
        <v>51043280</v>
      </c>
      <c r="D41" s="86">
        <f>+'II T'!F39</f>
        <v>25736710</v>
      </c>
      <c r="E41" s="15">
        <f t="shared" si="1"/>
        <v>76779990</v>
      </c>
    </row>
    <row r="42" spans="1:5" ht="15" customHeight="1" x14ac:dyDescent="0.25">
      <c r="A42" s="23" t="s">
        <v>25</v>
      </c>
      <c r="B42" s="15" t="s">
        <v>56</v>
      </c>
      <c r="C42" s="15">
        <f>+'I T'!F40</f>
        <v>971804604</v>
      </c>
      <c r="D42" s="86">
        <f>+'II T'!F40</f>
        <v>1683187803</v>
      </c>
      <c r="E42" s="15">
        <f t="shared" si="1"/>
        <v>2654992407</v>
      </c>
    </row>
    <row r="43" spans="1:5" ht="15" customHeight="1" x14ac:dyDescent="0.25">
      <c r="A43" s="23"/>
      <c r="B43" s="15" t="s">
        <v>55</v>
      </c>
      <c r="C43" s="15">
        <f>+'I T'!F41</f>
        <v>519195741</v>
      </c>
      <c r="D43" s="86">
        <f>+'II T'!F41</f>
        <v>318850574</v>
      </c>
      <c r="E43" s="15">
        <f t="shared" si="1"/>
        <v>838046315</v>
      </c>
    </row>
    <row r="44" spans="1:5" ht="15" customHeight="1" x14ac:dyDescent="0.25">
      <c r="A44" s="70" t="s">
        <v>75</v>
      </c>
      <c r="B44" s="49" t="s">
        <v>56</v>
      </c>
      <c r="C44" s="74">
        <f>+'I T'!F42</f>
        <v>294540000</v>
      </c>
      <c r="D44" s="74">
        <f>+'II T'!F42</f>
        <v>995666000</v>
      </c>
      <c r="E44" s="74">
        <f>+C44+D44</f>
        <v>1290206000</v>
      </c>
    </row>
    <row r="45" spans="1:5" ht="15" customHeight="1" x14ac:dyDescent="0.25">
      <c r="A45" s="70"/>
      <c r="B45" s="49" t="s">
        <v>55</v>
      </c>
      <c r="C45" s="74">
        <f>+'I T'!F43</f>
        <v>614322000</v>
      </c>
      <c r="D45" s="74">
        <f>+'II T'!F43</f>
        <v>102622000</v>
      </c>
      <c r="E45" s="74">
        <f>+C45+D45</f>
        <v>716944000</v>
      </c>
    </row>
    <row r="46" spans="1:5" ht="15" customHeight="1" thickBot="1" x14ac:dyDescent="0.3">
      <c r="A46" s="24" t="s">
        <v>13</v>
      </c>
      <c r="B46" s="25"/>
      <c r="C46" s="25">
        <f>SUM(C38:C45)</f>
        <v>3507831295</v>
      </c>
      <c r="D46" s="25">
        <f>SUM(D38:D45)</f>
        <v>4443689442</v>
      </c>
      <c r="E46" s="25">
        <f>SUM(E38:E45)</f>
        <v>7951520737</v>
      </c>
    </row>
    <row r="47" spans="1:5" ht="15" customHeight="1" thickTop="1" x14ac:dyDescent="0.25">
      <c r="A47" s="27" t="s">
        <v>42</v>
      </c>
      <c r="E47" s="28"/>
    </row>
    <row r="48" spans="1:5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1" spans="1:5" ht="15" customHeight="1" x14ac:dyDescent="0.25"/>
    <row r="52" spans="1:5" ht="15" customHeight="1" x14ac:dyDescent="0.25">
      <c r="A52" s="277" t="s">
        <v>15</v>
      </c>
      <c r="B52" s="277"/>
      <c r="C52" s="277"/>
      <c r="D52" s="277"/>
    </row>
    <row r="53" spans="1:5" ht="15" customHeight="1" x14ac:dyDescent="0.25">
      <c r="A53" s="277" t="s">
        <v>32</v>
      </c>
      <c r="B53" s="277"/>
      <c r="C53" s="277"/>
      <c r="D53" s="277"/>
    </row>
    <row r="54" spans="1:5" ht="15" customHeight="1" x14ac:dyDescent="0.25">
      <c r="A54" s="280" t="s">
        <v>52</v>
      </c>
      <c r="B54" s="280"/>
      <c r="C54" s="280"/>
      <c r="D54" s="280"/>
    </row>
    <row r="55" spans="1:5" ht="15" customHeight="1" x14ac:dyDescent="0.25">
      <c r="A55" s="276"/>
      <c r="B55" s="276"/>
      <c r="C55" s="276"/>
      <c r="D55" s="276"/>
    </row>
    <row r="56" spans="1:5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41</v>
      </c>
      <c r="E56" s="37"/>
    </row>
    <row r="57" spans="1:5" ht="15" customHeight="1" x14ac:dyDescent="0.25">
      <c r="E57" s="28"/>
    </row>
    <row r="58" spans="1:5" ht="15" customHeight="1" x14ac:dyDescent="0.25">
      <c r="A58" s="112" t="s">
        <v>161</v>
      </c>
      <c r="B58" s="15">
        <f>+'I T'!E57</f>
        <v>833037800</v>
      </c>
      <c r="C58" s="86">
        <f>+'II T'!E57</f>
        <v>1053305325</v>
      </c>
      <c r="D58" s="15">
        <f>+B58+C58</f>
        <v>1886343125</v>
      </c>
      <c r="E58" s="28"/>
    </row>
    <row r="59" spans="1:5" s="86" customFormat="1" ht="15" customHeight="1" x14ac:dyDescent="0.25">
      <c r="A59" s="112" t="s">
        <v>162</v>
      </c>
      <c r="B59" s="86">
        <f>+'I T'!E58</f>
        <v>274931150</v>
      </c>
      <c r="C59" s="86">
        <f>+'II T'!E58</f>
        <v>290057740</v>
      </c>
      <c r="D59" s="86">
        <f>+B59+C59</f>
        <v>564988890</v>
      </c>
      <c r="E59" s="28"/>
    </row>
    <row r="60" spans="1:5" ht="15" customHeight="1" x14ac:dyDescent="0.25">
      <c r="A60" s="21" t="s">
        <v>43</v>
      </c>
      <c r="B60" s="15">
        <f>+'I T'!E59</f>
        <v>1491000345</v>
      </c>
      <c r="C60" s="86">
        <f>+'II T'!E59</f>
        <v>2002038377</v>
      </c>
      <c r="D60" s="15">
        <f>+B60+C60</f>
        <v>3493038722</v>
      </c>
      <c r="E60" s="28"/>
    </row>
    <row r="61" spans="1:5" ht="15" customHeight="1" x14ac:dyDescent="0.25">
      <c r="A61" s="82" t="s">
        <v>76</v>
      </c>
      <c r="B61" s="15">
        <f>+'I T'!E60</f>
        <v>908862000</v>
      </c>
      <c r="C61" s="86">
        <f>+'II T'!E60</f>
        <v>1098288000</v>
      </c>
      <c r="D61" s="15">
        <f>+B61+C61</f>
        <v>2007150000</v>
      </c>
      <c r="E61" s="28"/>
    </row>
    <row r="62" spans="1:5" ht="15" customHeight="1" x14ac:dyDescent="0.25">
      <c r="E62" s="28"/>
    </row>
    <row r="63" spans="1:5" ht="15" customHeight="1" x14ac:dyDescent="0.25">
      <c r="E63" s="28"/>
    </row>
    <row r="64" spans="1:5" ht="15" customHeight="1" thickBot="1" x14ac:dyDescent="0.3">
      <c r="A64" s="24" t="s">
        <v>13</v>
      </c>
      <c r="B64" s="25">
        <f>SUM(B58:B63)</f>
        <v>3507831295</v>
      </c>
      <c r="C64" s="25">
        <f>SUM(C58:C63)</f>
        <v>4443689442</v>
      </c>
      <c r="D64" s="25">
        <f>SUM(D58:D63)</f>
        <v>7951520737</v>
      </c>
      <c r="E64" s="28"/>
    </row>
    <row r="65" spans="1:5" ht="15" customHeight="1" thickTop="1" x14ac:dyDescent="0.25">
      <c r="A65" s="52" t="s">
        <v>72</v>
      </c>
    </row>
    <row r="66" spans="1:5" ht="15" customHeight="1" x14ac:dyDescent="0.25">
      <c r="A66" s="1"/>
    </row>
    <row r="67" spans="1:5" ht="15" customHeight="1" x14ac:dyDescent="0.25"/>
    <row r="68" spans="1:5" ht="15" customHeight="1" x14ac:dyDescent="0.25">
      <c r="A68" s="277" t="s">
        <v>44</v>
      </c>
      <c r="B68" s="277"/>
      <c r="C68" s="277"/>
      <c r="D68" s="277"/>
    </row>
    <row r="69" spans="1:5" ht="15" customHeight="1" x14ac:dyDescent="0.25">
      <c r="A69" s="271" t="s">
        <v>110</v>
      </c>
      <c r="B69" s="271"/>
      <c r="C69" s="271"/>
      <c r="D69" s="271"/>
      <c r="E69" s="271"/>
    </row>
    <row r="70" spans="1:5" ht="15" customHeight="1" x14ac:dyDescent="0.25">
      <c r="A70" s="280" t="s">
        <v>52</v>
      </c>
      <c r="B70" s="280"/>
      <c r="C70" s="280"/>
      <c r="D70" s="280"/>
    </row>
    <row r="71" spans="1:5" ht="15" customHeight="1" x14ac:dyDescent="0.25">
      <c r="A71" s="276"/>
      <c r="B71" s="276"/>
      <c r="C71" s="276"/>
      <c r="D71" s="276"/>
    </row>
    <row r="72" spans="1:5" ht="15" customHeight="1" thickBot="1" x14ac:dyDescent="0.3">
      <c r="A72" s="32" t="s">
        <v>10</v>
      </c>
      <c r="B72" s="33" t="s">
        <v>6</v>
      </c>
      <c r="C72" s="33" t="s">
        <v>30</v>
      </c>
      <c r="D72" s="33" t="s">
        <v>41</v>
      </c>
      <c r="E72" s="37"/>
    </row>
    <row r="73" spans="1:5" ht="15" customHeight="1" x14ac:dyDescent="0.25">
      <c r="E73" s="28"/>
    </row>
    <row r="74" spans="1:5" ht="15" customHeight="1" x14ac:dyDescent="0.25">
      <c r="A74" s="15" t="s">
        <v>62</v>
      </c>
      <c r="B74" s="15">
        <f>+'I T'!E72</f>
        <v>97347972.760000005</v>
      </c>
      <c r="C74" s="86">
        <f>+'II T'!E72</f>
        <v>269762422.75999999</v>
      </c>
      <c r="D74" s="15">
        <f>B74</f>
        <v>97347972.760000005</v>
      </c>
      <c r="E74" s="28"/>
    </row>
    <row r="75" spans="1:5" ht="15" customHeight="1" x14ac:dyDescent="0.25">
      <c r="A75" s="15" t="s">
        <v>16</v>
      </c>
      <c r="B75" s="15">
        <f>+'I T'!E73</f>
        <v>1005452250</v>
      </c>
      <c r="C75" s="86">
        <f>+'II T'!E73</f>
        <v>1005452250</v>
      </c>
      <c r="D75" s="15">
        <f>+B75+C75</f>
        <v>2010904500</v>
      </c>
      <c r="E75" s="28"/>
    </row>
    <row r="76" spans="1:5" ht="15" customHeight="1" x14ac:dyDescent="0.25">
      <c r="A76" s="15" t="s">
        <v>17</v>
      </c>
      <c r="B76" s="15">
        <f>+'I T'!E74</f>
        <v>1102800222.76</v>
      </c>
      <c r="C76" s="86">
        <f>+'II T'!E74</f>
        <v>1275214672.76</v>
      </c>
      <c r="D76" s="15">
        <f>+D74+D75</f>
        <v>2108252472.76</v>
      </c>
      <c r="E76" s="28"/>
    </row>
    <row r="77" spans="1:5" ht="15" customHeight="1" x14ac:dyDescent="0.25">
      <c r="A77" s="15" t="s">
        <v>18</v>
      </c>
      <c r="B77" s="15">
        <f>+'I T'!E75</f>
        <v>833037800</v>
      </c>
      <c r="C77" s="86">
        <f>+'II T'!E75</f>
        <v>1053305325</v>
      </c>
      <c r="D77" s="15">
        <f>+B77+C77</f>
        <v>1886343125</v>
      </c>
      <c r="E77" s="28"/>
    </row>
    <row r="78" spans="1:5" ht="15" customHeight="1" x14ac:dyDescent="0.25">
      <c r="A78" s="28" t="s">
        <v>19</v>
      </c>
      <c r="B78" s="28">
        <f>+'I T'!E76</f>
        <v>269762422.75999999</v>
      </c>
      <c r="C78" s="28">
        <f>+'II T'!E76</f>
        <v>221909347.75999999</v>
      </c>
      <c r="D78" s="28">
        <f>+D76-D77</f>
        <v>221909347.75999999</v>
      </c>
      <c r="E78" s="28"/>
    </row>
    <row r="79" spans="1:5" ht="15" customHeight="1" thickBot="1" x14ac:dyDescent="0.3">
      <c r="A79" s="25"/>
      <c r="B79" s="25"/>
      <c r="C79" s="25"/>
      <c r="D79" s="25"/>
      <c r="E79" s="28"/>
    </row>
    <row r="80" spans="1:5" ht="15" customHeight="1" thickTop="1" x14ac:dyDescent="0.25">
      <c r="A80" s="52" t="s">
        <v>72</v>
      </c>
    </row>
    <row r="81" spans="1:5" ht="15" customHeight="1" x14ac:dyDescent="0.25">
      <c r="A81" s="1"/>
    </row>
    <row r="82" spans="1:5" s="86" customFormat="1" ht="15" customHeight="1" x14ac:dyDescent="0.25">
      <c r="A82" s="85"/>
    </row>
    <row r="83" spans="1:5" s="86" customFormat="1" ht="15" customHeight="1" x14ac:dyDescent="0.25">
      <c r="A83" s="277" t="s">
        <v>45</v>
      </c>
      <c r="B83" s="277"/>
      <c r="C83" s="277"/>
      <c r="D83" s="277"/>
    </row>
    <row r="84" spans="1:5" s="86" customFormat="1" ht="15" customHeight="1" x14ac:dyDescent="0.25">
      <c r="A84" s="271" t="s">
        <v>108</v>
      </c>
      <c r="B84" s="271"/>
      <c r="C84" s="271"/>
      <c r="D84" s="271"/>
      <c r="E84" s="271"/>
    </row>
    <row r="85" spans="1:5" s="86" customFormat="1" ht="15" customHeight="1" x14ac:dyDescent="0.25">
      <c r="A85" s="280" t="s">
        <v>52</v>
      </c>
      <c r="B85" s="280"/>
      <c r="C85" s="280"/>
      <c r="D85" s="280"/>
    </row>
    <row r="86" spans="1:5" s="86" customFormat="1" ht="15" customHeight="1" x14ac:dyDescent="0.25">
      <c r="A86" s="276"/>
      <c r="B86" s="276"/>
      <c r="C86" s="276"/>
      <c r="D86" s="276"/>
    </row>
    <row r="87" spans="1:5" s="86" customFormat="1" ht="15" customHeight="1" thickBot="1" x14ac:dyDescent="0.3">
      <c r="A87" s="32" t="s">
        <v>10</v>
      </c>
      <c r="B87" s="33" t="s">
        <v>6</v>
      </c>
      <c r="C87" s="33" t="s">
        <v>30</v>
      </c>
      <c r="D87" s="33" t="s">
        <v>41</v>
      </c>
      <c r="E87" s="37"/>
    </row>
    <row r="88" spans="1:5" s="86" customFormat="1" ht="15" customHeight="1" x14ac:dyDescent="0.25">
      <c r="A88" s="87"/>
      <c r="E88" s="28"/>
    </row>
    <row r="89" spans="1:5" s="86" customFormat="1" ht="15" customHeight="1" x14ac:dyDescent="0.25">
      <c r="A89" s="86" t="s">
        <v>62</v>
      </c>
      <c r="B89" s="86">
        <f>+'I T'!E87</f>
        <v>18741597.390000001</v>
      </c>
      <c r="C89" s="86">
        <f>+'II T'!E87</f>
        <v>35015227.389999986</v>
      </c>
      <c r="D89" s="86">
        <f>B89</f>
        <v>18741597.390000001</v>
      </c>
      <c r="E89" s="28"/>
    </row>
    <row r="90" spans="1:5" s="86" customFormat="1" ht="15" customHeight="1" x14ac:dyDescent="0.25">
      <c r="A90" s="86" t="s">
        <v>16</v>
      </c>
      <c r="B90" s="86">
        <f>+'I T'!E88</f>
        <v>291204780</v>
      </c>
      <c r="C90" s="86">
        <f>+'II T'!E88</f>
        <v>291204780</v>
      </c>
      <c r="D90" s="86">
        <f>+B90+C90</f>
        <v>582409560</v>
      </c>
      <c r="E90" s="28"/>
    </row>
    <row r="91" spans="1:5" s="86" customFormat="1" ht="15" customHeight="1" x14ac:dyDescent="0.25">
      <c r="A91" s="86" t="s">
        <v>17</v>
      </c>
      <c r="B91" s="86">
        <f>+'I T'!E89</f>
        <v>309946377.38999999</v>
      </c>
      <c r="C91" s="86">
        <f>+'II T'!E89</f>
        <v>326220007.38999999</v>
      </c>
      <c r="D91" s="86">
        <f>+D89+D90</f>
        <v>601151157.38999999</v>
      </c>
      <c r="E91" s="28"/>
    </row>
    <row r="92" spans="1:5" s="86" customFormat="1" ht="15" customHeight="1" x14ac:dyDescent="0.25">
      <c r="A92" s="210" t="s">
        <v>18</v>
      </c>
      <c r="B92" s="210">
        <f>+'I T'!E90</f>
        <v>274931150</v>
      </c>
      <c r="C92" s="210">
        <f>+'II T'!E90</f>
        <v>290057740</v>
      </c>
      <c r="D92" s="210">
        <f>+B92+C92</f>
        <v>564988890</v>
      </c>
      <c r="E92" s="28"/>
    </row>
    <row r="93" spans="1:5" s="86" customFormat="1" ht="15" customHeight="1" x14ac:dyDescent="0.25">
      <c r="A93" s="28" t="s">
        <v>19</v>
      </c>
      <c r="B93" s="28">
        <f>+'I T'!E91</f>
        <v>35015227.389999986</v>
      </c>
      <c r="C93" s="28">
        <f>+'II T'!E91</f>
        <v>36162267.389999986</v>
      </c>
      <c r="D93" s="28">
        <f>+D91-D92</f>
        <v>36162267.389999986</v>
      </c>
      <c r="E93" s="28"/>
    </row>
    <row r="94" spans="1:5" s="86" customFormat="1" ht="15" customHeight="1" thickBot="1" x14ac:dyDescent="0.3">
      <c r="A94" s="25"/>
      <c r="B94" s="25"/>
      <c r="C94" s="25"/>
      <c r="D94" s="25"/>
      <c r="E94" s="28"/>
    </row>
    <row r="95" spans="1:5" s="86" customFormat="1" ht="15" customHeight="1" thickTop="1" x14ac:dyDescent="0.25">
      <c r="A95" s="85" t="s">
        <v>72</v>
      </c>
    </row>
    <row r="96" spans="1:5" ht="15" customHeight="1" x14ac:dyDescent="0.25">
      <c r="A96" s="15"/>
      <c r="E96" s="16"/>
    </row>
    <row r="97" spans="1:5" ht="15" customHeight="1" x14ac:dyDescent="0.25">
      <c r="A97" s="277" t="s">
        <v>109</v>
      </c>
      <c r="B97" s="277"/>
      <c r="C97" s="277"/>
      <c r="D97" s="277"/>
      <c r="E97" s="16"/>
    </row>
    <row r="98" spans="1:5" x14ac:dyDescent="0.25">
      <c r="A98" s="277" t="s">
        <v>48</v>
      </c>
      <c r="B98" s="277"/>
      <c r="C98" s="277"/>
      <c r="D98" s="277"/>
      <c r="E98" s="16"/>
    </row>
    <row r="99" spans="1:5" x14ac:dyDescent="0.25">
      <c r="A99" s="280" t="s">
        <v>52</v>
      </c>
      <c r="B99" s="280"/>
      <c r="C99" s="280"/>
      <c r="D99" s="280"/>
      <c r="E99" s="16"/>
    </row>
    <row r="100" spans="1:5" x14ac:dyDescent="0.25">
      <c r="A100" s="276"/>
      <c r="B100" s="276"/>
      <c r="C100" s="276"/>
      <c r="D100" s="276"/>
    </row>
    <row r="101" spans="1:5" ht="15.75" thickBot="1" x14ac:dyDescent="0.3">
      <c r="A101" s="32" t="s">
        <v>10</v>
      </c>
      <c r="B101" s="33" t="s">
        <v>6</v>
      </c>
      <c r="C101" s="33" t="s">
        <v>30</v>
      </c>
      <c r="D101" s="33" t="s">
        <v>41</v>
      </c>
    </row>
    <row r="103" spans="1:5" x14ac:dyDescent="0.25">
      <c r="A103" s="15" t="s">
        <v>62</v>
      </c>
      <c r="B103" s="15">
        <f>+'I T'!E104</f>
        <v>255754563.47999999</v>
      </c>
      <c r="C103" s="86">
        <f>+'II T'!E104</f>
        <v>652849150.48000002</v>
      </c>
      <c r="D103" s="15">
        <f>B103</f>
        <v>255754563.47999999</v>
      </c>
    </row>
    <row r="104" spans="1:5" x14ac:dyDescent="0.25">
      <c r="A104" s="15" t="s">
        <v>16</v>
      </c>
      <c r="B104" s="86">
        <f>+'I T'!E105</f>
        <v>1888094932</v>
      </c>
      <c r="C104" s="86">
        <f>+'II T'!E105</f>
        <v>1888094932</v>
      </c>
      <c r="D104" s="15">
        <f>+B104+C104</f>
        <v>3776189864</v>
      </c>
    </row>
    <row r="105" spans="1:5" x14ac:dyDescent="0.25">
      <c r="A105" s="15" t="s">
        <v>17</v>
      </c>
      <c r="B105" s="86">
        <f>+'I T'!E106</f>
        <v>2143849495.48</v>
      </c>
      <c r="C105" s="86">
        <f>+'II T'!E106</f>
        <v>2540944082.48</v>
      </c>
      <c r="D105" s="15">
        <f>SUM(D103:D104)</f>
        <v>4031944427.48</v>
      </c>
      <c r="E105" s="86"/>
    </row>
    <row r="106" spans="1:5" x14ac:dyDescent="0.25">
      <c r="A106" s="15" t="s">
        <v>18</v>
      </c>
      <c r="B106" s="86">
        <f>+'I T'!E107</f>
        <v>1491000345</v>
      </c>
      <c r="C106" s="86">
        <f>+'II T'!E107</f>
        <v>2002038377</v>
      </c>
      <c r="D106" s="15">
        <f>SUM(B106:C106)</f>
        <v>3493038722</v>
      </c>
      <c r="E106" s="86"/>
    </row>
    <row r="107" spans="1:5" x14ac:dyDescent="0.25">
      <c r="A107" s="28" t="s">
        <v>19</v>
      </c>
      <c r="B107" s="86">
        <f>+'I T'!E108</f>
        <v>652849150.48000002</v>
      </c>
      <c r="C107" s="86">
        <f>+'II T'!E108</f>
        <v>538905705.48000002</v>
      </c>
      <c r="D107" s="28">
        <f>+D105-D106</f>
        <v>538905705.48000002</v>
      </c>
    </row>
    <row r="108" spans="1:5" ht="15.75" thickBot="1" x14ac:dyDescent="0.3">
      <c r="A108" s="25"/>
      <c r="B108" s="25"/>
      <c r="C108" s="25"/>
      <c r="D108" s="25"/>
    </row>
    <row r="109" spans="1:5" ht="15.75" thickTop="1" x14ac:dyDescent="0.25">
      <c r="A109" s="52" t="s">
        <v>72</v>
      </c>
    </row>
    <row r="110" spans="1:5" s="86" customFormat="1" x14ac:dyDescent="0.25">
      <c r="A110" s="85"/>
    </row>
    <row r="111" spans="1:5" s="86" customFormat="1" x14ac:dyDescent="0.25">
      <c r="A111" s="85"/>
    </row>
    <row r="112" spans="1:5" s="86" customFormat="1" x14ac:dyDescent="0.25">
      <c r="A112" s="277" t="s">
        <v>112</v>
      </c>
      <c r="B112" s="277"/>
      <c r="C112" s="277"/>
      <c r="D112" s="277"/>
    </row>
    <row r="113" spans="1:5" s="86" customFormat="1" x14ac:dyDescent="0.25">
      <c r="A113" s="277" t="s">
        <v>111</v>
      </c>
      <c r="B113" s="277"/>
      <c r="C113" s="277"/>
      <c r="D113" s="277"/>
      <c r="E113" s="16"/>
    </row>
    <row r="114" spans="1:5" s="86" customFormat="1" x14ac:dyDescent="0.25">
      <c r="A114" s="280" t="s">
        <v>52</v>
      </c>
      <c r="B114" s="280"/>
      <c r="C114" s="280"/>
      <c r="D114" s="280"/>
      <c r="E114" s="16"/>
    </row>
    <row r="115" spans="1:5" s="86" customFormat="1" x14ac:dyDescent="0.25">
      <c r="A115" s="276"/>
      <c r="B115" s="276"/>
      <c r="C115" s="276"/>
      <c r="D115" s="276"/>
    </row>
    <row r="116" spans="1:5" s="86" customFormat="1" ht="15.75" thickBot="1" x14ac:dyDescent="0.3">
      <c r="A116" s="32" t="s">
        <v>10</v>
      </c>
      <c r="B116" s="33" t="s">
        <v>6</v>
      </c>
      <c r="C116" s="33" t="s">
        <v>30</v>
      </c>
      <c r="D116" s="33" t="s">
        <v>41</v>
      </c>
    </row>
    <row r="117" spans="1:5" s="86" customFormat="1" x14ac:dyDescent="0.25">
      <c r="A117" s="87"/>
    </row>
    <row r="118" spans="1:5" s="86" customFormat="1" x14ac:dyDescent="0.25">
      <c r="A118" s="86" t="s">
        <v>62</v>
      </c>
      <c r="B118" s="86">
        <f>+'I T'!E119</f>
        <v>126272734.7</v>
      </c>
      <c r="C118" s="86">
        <f>+'II T'!E119</f>
        <v>378878734.70000005</v>
      </c>
      <c r="D118" s="86">
        <f>B118</f>
        <v>126272734.7</v>
      </c>
    </row>
    <row r="119" spans="1:5" s="86" customFormat="1" x14ac:dyDescent="0.25">
      <c r="A119" s="86" t="s">
        <v>16</v>
      </c>
      <c r="B119" s="86">
        <f>+'I T'!E120</f>
        <v>1161468000</v>
      </c>
      <c r="C119" s="86">
        <f>+'II T'!E120</f>
        <v>1129471878.8000002</v>
      </c>
      <c r="D119" s="86">
        <f>+B119+C119</f>
        <v>2290939878.8000002</v>
      </c>
    </row>
    <row r="120" spans="1:5" s="86" customFormat="1" x14ac:dyDescent="0.25">
      <c r="A120" s="86" t="s">
        <v>17</v>
      </c>
      <c r="B120" s="86">
        <f>+'I T'!E121</f>
        <v>1287740734.7</v>
      </c>
      <c r="C120" s="86">
        <f>+'II T'!E121</f>
        <v>1508350613.5000002</v>
      </c>
      <c r="D120" s="86">
        <f>SUM(D118:D119)</f>
        <v>2417212613.5</v>
      </c>
    </row>
    <row r="121" spans="1:5" s="86" customFormat="1" x14ac:dyDescent="0.25">
      <c r="A121" s="86" t="s">
        <v>18</v>
      </c>
      <c r="B121" s="86">
        <f>+'I T'!E122</f>
        <v>908862000</v>
      </c>
      <c r="C121" s="86">
        <f>+'II T'!E122</f>
        <v>1098288000</v>
      </c>
      <c r="D121" s="86">
        <f>SUM(B121:C121)</f>
        <v>2007150000</v>
      </c>
    </row>
    <row r="122" spans="1:5" s="86" customFormat="1" x14ac:dyDescent="0.25">
      <c r="A122" s="28" t="s">
        <v>19</v>
      </c>
      <c r="B122" s="86">
        <f>+'I T'!E123</f>
        <v>378878734.70000005</v>
      </c>
      <c r="C122" s="86">
        <f>+'II T'!E123</f>
        <v>410062613.50000024</v>
      </c>
      <c r="D122" s="28">
        <f>+D120-D121</f>
        <v>410062613.5</v>
      </c>
    </row>
    <row r="123" spans="1:5" s="86" customFormat="1" ht="15.75" thickBot="1" x14ac:dyDescent="0.3">
      <c r="A123" s="25"/>
      <c r="B123" s="25"/>
      <c r="C123" s="25"/>
      <c r="D123" s="25"/>
    </row>
    <row r="124" spans="1:5" s="86" customFormat="1" ht="15.75" thickTop="1" x14ac:dyDescent="0.25">
      <c r="A124" s="85" t="s">
        <v>72</v>
      </c>
    </row>
    <row r="125" spans="1:5" x14ac:dyDescent="0.25">
      <c r="A125" s="39"/>
    </row>
    <row r="126" spans="1:5" x14ac:dyDescent="0.25">
      <c r="A126" s="39"/>
    </row>
    <row r="127" spans="1:5" x14ac:dyDescent="0.25">
      <c r="A127" s="112" t="s">
        <v>163</v>
      </c>
    </row>
  </sheetData>
  <mergeCells count="32">
    <mergeCell ref="A35:D35"/>
    <mergeCell ref="A52:D52"/>
    <mergeCell ref="A53:D53"/>
    <mergeCell ref="A55:D55"/>
    <mergeCell ref="A99:D99"/>
    <mergeCell ref="A68:D68"/>
    <mergeCell ref="A71:D71"/>
    <mergeCell ref="A97:D97"/>
    <mergeCell ref="A70:D70"/>
    <mergeCell ref="A69:E69"/>
    <mergeCell ref="A84:E84"/>
    <mergeCell ref="A113:D113"/>
    <mergeCell ref="A114:D114"/>
    <mergeCell ref="A85:D85"/>
    <mergeCell ref="A86:D86"/>
    <mergeCell ref="A100:D100"/>
    <mergeCell ref="A115:D115"/>
    <mergeCell ref="A112:D112"/>
    <mergeCell ref="A1:E1"/>
    <mergeCell ref="A13:A15"/>
    <mergeCell ref="A16:A18"/>
    <mergeCell ref="A32:E32"/>
    <mergeCell ref="A33:E33"/>
    <mergeCell ref="A34:E34"/>
    <mergeCell ref="A9:E9"/>
    <mergeCell ref="A98:D98"/>
    <mergeCell ref="A7:E7"/>
    <mergeCell ref="A8:E8"/>
    <mergeCell ref="A10:E10"/>
    <mergeCell ref="A54:D54"/>
    <mergeCell ref="A19:A21"/>
    <mergeCell ref="A83:D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7.5703125" style="21" customWidth="1"/>
    <col min="2" max="2" width="24.85546875" style="15" customWidth="1"/>
    <col min="3" max="3" width="25" style="15" customWidth="1"/>
    <col min="4" max="4" width="21.140625" style="15" customWidth="1"/>
    <col min="5" max="5" width="16.85546875" style="15" bestFit="1" customWidth="1"/>
    <col min="6" max="6" width="17.5703125" style="15" bestFit="1" customWidth="1"/>
    <col min="7" max="7" width="17.140625" style="15" customWidth="1"/>
    <col min="8" max="8" width="16" style="15" bestFit="1" customWidth="1"/>
    <col min="9" max="9" width="11.5703125" style="15"/>
    <col min="10" max="10" width="14.28515625" style="15" customWidth="1"/>
    <col min="11" max="16384" width="11.5703125" style="15"/>
  </cols>
  <sheetData>
    <row r="1" spans="1:7" ht="15" customHeight="1" x14ac:dyDescent="0.25">
      <c r="A1" s="277" t="s">
        <v>20</v>
      </c>
      <c r="B1" s="277"/>
      <c r="C1" s="277"/>
      <c r="D1" s="277"/>
      <c r="E1" s="277"/>
    </row>
    <row r="2" spans="1:7" ht="15" customHeight="1" x14ac:dyDescent="0.25">
      <c r="A2" s="3" t="s">
        <v>0</v>
      </c>
      <c r="B2" s="38" t="s">
        <v>22</v>
      </c>
      <c r="C2" s="17"/>
      <c r="D2" s="17"/>
      <c r="E2" s="23"/>
    </row>
    <row r="3" spans="1:7" ht="15" customHeight="1" x14ac:dyDescent="0.25">
      <c r="A3" s="3" t="s">
        <v>1</v>
      </c>
      <c r="B3" s="38" t="s">
        <v>21</v>
      </c>
      <c r="C3" s="38"/>
      <c r="D3" s="38"/>
      <c r="E3" s="23"/>
    </row>
    <row r="4" spans="1:7" ht="15" customHeight="1" x14ac:dyDescent="0.25">
      <c r="A4" s="3" t="s">
        <v>11</v>
      </c>
      <c r="B4" s="17" t="s">
        <v>61</v>
      </c>
      <c r="C4" s="17"/>
      <c r="D4" s="17"/>
      <c r="E4" s="23"/>
    </row>
    <row r="5" spans="1:7" ht="15" customHeight="1" x14ac:dyDescent="0.25">
      <c r="A5" s="3" t="s">
        <v>2</v>
      </c>
      <c r="B5" s="44">
        <v>2020</v>
      </c>
      <c r="C5" s="17"/>
      <c r="D5" s="17"/>
      <c r="E5" s="23"/>
    </row>
    <row r="6" spans="1:7" ht="15" customHeight="1" x14ac:dyDescent="0.25"/>
    <row r="7" spans="1:7" ht="15" customHeight="1" x14ac:dyDescent="0.25">
      <c r="A7" s="277" t="s">
        <v>9</v>
      </c>
      <c r="B7" s="277"/>
      <c r="C7" s="277"/>
      <c r="D7" s="277"/>
      <c r="E7" s="277"/>
      <c r="F7" s="277"/>
      <c r="G7" s="277"/>
    </row>
    <row r="8" spans="1:7" ht="15" customHeight="1" x14ac:dyDescent="0.25">
      <c r="A8" s="277" t="s">
        <v>12</v>
      </c>
      <c r="B8" s="277"/>
      <c r="C8" s="277"/>
      <c r="D8" s="277"/>
      <c r="E8" s="277"/>
      <c r="F8" s="277"/>
      <c r="G8" s="277"/>
    </row>
    <row r="9" spans="1:7" ht="15" customHeight="1" x14ac:dyDescent="0.25">
      <c r="A9" s="280" t="s">
        <v>50</v>
      </c>
      <c r="B9" s="280"/>
      <c r="C9" s="280"/>
      <c r="D9" s="280"/>
      <c r="E9" s="280"/>
      <c r="F9" s="280"/>
      <c r="G9" s="280"/>
    </row>
    <row r="10" spans="1:7" ht="15" customHeight="1" x14ac:dyDescent="0.25">
      <c r="A10" s="276"/>
      <c r="B10" s="276"/>
      <c r="C10" s="276"/>
      <c r="D10" s="276"/>
      <c r="E10" s="276"/>
      <c r="F10" s="276"/>
      <c r="G10" s="276"/>
    </row>
    <row r="11" spans="1:7" ht="15" customHeight="1" thickBot="1" x14ac:dyDescent="0.3">
      <c r="A11" s="40" t="s">
        <v>64</v>
      </c>
      <c r="B11" s="33"/>
      <c r="C11" s="33" t="s">
        <v>6</v>
      </c>
      <c r="D11" s="33" t="s">
        <v>30</v>
      </c>
      <c r="E11" s="33" t="s">
        <v>35</v>
      </c>
      <c r="F11" s="33" t="s">
        <v>39</v>
      </c>
      <c r="G11" s="47" t="s">
        <v>67</v>
      </c>
    </row>
    <row r="12" spans="1:7" ht="15" customHeight="1" x14ac:dyDescent="0.25">
      <c r="F12" s="28"/>
    </row>
    <row r="13" spans="1:7" ht="15" customHeight="1" x14ac:dyDescent="0.25">
      <c r="A13" s="285" t="s">
        <v>23</v>
      </c>
      <c r="B13" s="8" t="s">
        <v>58</v>
      </c>
      <c r="C13" s="15">
        <f>+'I T'!F13</f>
        <v>713</v>
      </c>
      <c r="D13" s="86">
        <f>+'II T'!F13</f>
        <v>119</v>
      </c>
      <c r="E13" s="86">
        <f>+'III T'!F13</f>
        <v>22</v>
      </c>
      <c r="F13" s="86">
        <f>+'IV T'!F13</f>
        <v>51</v>
      </c>
      <c r="G13" s="55">
        <f>F13</f>
        <v>51</v>
      </c>
    </row>
    <row r="14" spans="1:7" ht="15" customHeight="1" x14ac:dyDescent="0.25">
      <c r="A14" s="285"/>
      <c r="B14" s="8" t="s">
        <v>59</v>
      </c>
      <c r="C14" s="15">
        <f>+'I T'!F14</f>
        <v>954.66666666666663</v>
      </c>
      <c r="D14" s="86">
        <f>+'II T'!F14</f>
        <v>1668.3333333333333</v>
      </c>
      <c r="E14" s="86">
        <f>+'III T'!F14</f>
        <v>1671.6666666666667</v>
      </c>
      <c r="F14" s="86">
        <f>+'IV T'!F14</f>
        <v>2277</v>
      </c>
      <c r="G14" s="55">
        <f t="shared" ref="G14:G27" si="0">+(+C14+D14+E14+F14)/4</f>
        <v>1642.9166666666667</v>
      </c>
    </row>
    <row r="15" spans="1:7" ht="15" customHeight="1" x14ac:dyDescent="0.25">
      <c r="A15" s="285"/>
      <c r="B15" s="8" t="s">
        <v>60</v>
      </c>
      <c r="C15" s="15">
        <f>+'I T'!F15</f>
        <v>596.66666666666663</v>
      </c>
      <c r="D15" s="86">
        <f>+'II T'!F15</f>
        <v>292.33333333333331</v>
      </c>
      <c r="E15" s="86">
        <f>+'III T'!F15</f>
        <v>66.666666666666671</v>
      </c>
      <c r="F15" s="86">
        <f>+'IV T'!F15</f>
        <v>16</v>
      </c>
      <c r="G15" s="55">
        <f t="shared" si="0"/>
        <v>242.91666666666666</v>
      </c>
    </row>
    <row r="16" spans="1:7" ht="15" customHeight="1" x14ac:dyDescent="0.25">
      <c r="A16" s="285" t="s">
        <v>24</v>
      </c>
      <c r="B16" s="8" t="s">
        <v>58</v>
      </c>
      <c r="C16" s="15">
        <f>+'I T'!F16</f>
        <v>154</v>
      </c>
      <c r="D16" s="86">
        <f>+'II T'!F16</f>
        <v>103</v>
      </c>
      <c r="E16" s="86">
        <f>+'III T'!F16</f>
        <v>31</v>
      </c>
      <c r="F16" s="86">
        <f>+'IV T'!F16</f>
        <v>24</v>
      </c>
      <c r="G16" s="55">
        <f>F16</f>
        <v>24</v>
      </c>
    </row>
    <row r="17" spans="1:7" ht="15" customHeight="1" x14ac:dyDescent="0.25">
      <c r="A17" s="285"/>
      <c r="B17" s="8" t="s">
        <v>59</v>
      </c>
      <c r="C17" s="15">
        <f>+'I T'!F17</f>
        <v>1049</v>
      </c>
      <c r="D17" s="86">
        <f>+'II T'!F17</f>
        <v>1229</v>
      </c>
      <c r="E17" s="86">
        <f>+'III T'!F17</f>
        <v>1299.6666666666667</v>
      </c>
      <c r="F17" s="86">
        <f>+'IV T'!F17</f>
        <v>1296</v>
      </c>
      <c r="G17" s="55">
        <f t="shared" si="0"/>
        <v>1218.4166666666667</v>
      </c>
    </row>
    <row r="18" spans="1:7" ht="15" customHeight="1" x14ac:dyDescent="0.25">
      <c r="A18" s="285"/>
      <c r="B18" s="8" t="s">
        <v>60</v>
      </c>
      <c r="C18" s="15">
        <f>+'I T'!F18</f>
        <v>243.33333333333334</v>
      </c>
      <c r="D18" s="86">
        <f>+'II T'!F18</f>
        <v>119.66666666666667</v>
      </c>
      <c r="E18" s="86">
        <f>+'III T'!F18</f>
        <v>51.333333333333336</v>
      </c>
      <c r="F18" s="86">
        <f>+'IV T'!F18</f>
        <v>36.333333333333336</v>
      </c>
      <c r="G18" s="55">
        <f t="shared" si="0"/>
        <v>112.66666666666666</v>
      </c>
    </row>
    <row r="19" spans="1:7" ht="15" customHeight="1" x14ac:dyDescent="0.25">
      <c r="A19" s="286" t="s">
        <v>25</v>
      </c>
      <c r="B19" s="8" t="s">
        <v>58</v>
      </c>
      <c r="C19" s="15">
        <f>+'I T'!F19</f>
        <v>6289</v>
      </c>
      <c r="D19" s="86">
        <f>+'II T'!F19</f>
        <v>2654</v>
      </c>
      <c r="E19" s="86">
        <f>+'III T'!F19</f>
        <v>3422</v>
      </c>
      <c r="F19" s="86">
        <f>+'IV T'!F19</f>
        <v>2438</v>
      </c>
      <c r="G19" s="55">
        <f>F19</f>
        <v>2438</v>
      </c>
    </row>
    <row r="20" spans="1:7" ht="15" customHeight="1" x14ac:dyDescent="0.25">
      <c r="A20" s="286"/>
      <c r="B20" s="8" t="s">
        <v>59</v>
      </c>
      <c r="C20" s="15">
        <f>+'I T'!F20</f>
        <v>5842.666666666667</v>
      </c>
      <c r="D20" s="86">
        <f>+'II T'!F20</f>
        <v>10294.666666666666</v>
      </c>
      <c r="E20" s="86">
        <f>+'III T'!F20</f>
        <v>10319.666666666666</v>
      </c>
      <c r="F20" s="86">
        <f>+'IV T'!F20</f>
        <v>11058</v>
      </c>
      <c r="G20" s="15">
        <f t="shared" si="0"/>
        <v>9378.75</v>
      </c>
    </row>
    <row r="21" spans="1:7" ht="15" customHeight="1" x14ac:dyDescent="0.25">
      <c r="A21" s="286"/>
      <c r="B21" s="8" t="s">
        <v>60</v>
      </c>
      <c r="C21" s="15">
        <f>+'I T'!F21</f>
        <v>2689</v>
      </c>
      <c r="D21" s="86">
        <f>+'II T'!F21</f>
        <v>1771.3333333333333</v>
      </c>
      <c r="E21" s="86">
        <f>+'III T'!F21</f>
        <v>339</v>
      </c>
      <c r="F21" s="86">
        <f>+'IV T'!F21</f>
        <v>536.33333333333337</v>
      </c>
      <c r="G21" s="15">
        <f t="shared" si="0"/>
        <v>1333.9166666666665</v>
      </c>
    </row>
    <row r="22" spans="1:7" ht="15" customHeight="1" x14ac:dyDescent="0.25">
      <c r="A22" s="73" t="s">
        <v>75</v>
      </c>
      <c r="B22" s="71" t="s">
        <v>58</v>
      </c>
      <c r="C22" s="74">
        <f>+'I T'!F22</f>
        <v>202</v>
      </c>
      <c r="D22" s="74">
        <f>+'II T'!F22</f>
        <v>1</v>
      </c>
      <c r="E22" s="74">
        <f>+'III T'!F22</f>
        <v>0</v>
      </c>
      <c r="F22" s="74">
        <f>+'IV T'!F22</f>
        <v>0</v>
      </c>
      <c r="G22" s="74">
        <f>F22</f>
        <v>0</v>
      </c>
    </row>
    <row r="23" spans="1:7" ht="15" customHeight="1" x14ac:dyDescent="0.25">
      <c r="A23" s="72"/>
      <c r="B23" s="71" t="s">
        <v>59</v>
      </c>
      <c r="C23" s="74">
        <f>+'I T'!F23</f>
        <v>206.66666666666666</v>
      </c>
      <c r="D23" s="74">
        <f>+'II T'!F23</f>
        <v>684.66666666666663</v>
      </c>
      <c r="E23" s="74">
        <f>+'III T'!F23</f>
        <v>689.66666666666663</v>
      </c>
      <c r="F23" s="74">
        <f>+'IV T'!F23</f>
        <v>712</v>
      </c>
      <c r="G23" s="74">
        <f>+(+C23+D23+E23+F23)</f>
        <v>2293</v>
      </c>
    </row>
    <row r="24" spans="1:7" ht="15" customHeight="1" x14ac:dyDescent="0.25">
      <c r="A24" s="72"/>
      <c r="B24" s="71" t="s">
        <v>60</v>
      </c>
      <c r="C24" s="74">
        <f>+'I T'!F24</f>
        <v>424.33333333333331</v>
      </c>
      <c r="D24" s="74">
        <f>+'II T'!F24</f>
        <v>71.666666666666671</v>
      </c>
      <c r="E24" s="74">
        <f>+'III T'!F24</f>
        <v>0.33333333333333331</v>
      </c>
      <c r="F24" s="74">
        <f>+'IV T'!F24</f>
        <v>0</v>
      </c>
      <c r="G24" s="74">
        <f>+(+C24+D24+E24+F24)</f>
        <v>496.33333333333331</v>
      </c>
    </row>
    <row r="25" spans="1:7" ht="15" customHeight="1" x14ac:dyDescent="0.25">
      <c r="A25" s="69"/>
      <c r="B25" s="8"/>
      <c r="F25" s="28"/>
    </row>
    <row r="26" spans="1:7" ht="15" customHeight="1" x14ac:dyDescent="0.25">
      <c r="A26" s="23"/>
      <c r="F26" s="28"/>
      <c r="G26" s="15">
        <f>+(+C26+D26+E26+F26)/4</f>
        <v>0</v>
      </c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12006.333333333334</v>
      </c>
      <c r="D27" s="25">
        <f>+D14+D15+D17+D18+D20+D21+D23+D24</f>
        <v>16131.666666666666</v>
      </c>
      <c r="E27" s="25">
        <f>+E14+E15+E17+E18+E20+E21+E23+E24</f>
        <v>14438</v>
      </c>
      <c r="F27" s="25">
        <f>+F14+F15+F17+F18+F20+F21+F23+F24</f>
        <v>15931.666666666668</v>
      </c>
      <c r="G27" s="25">
        <f t="shared" si="0"/>
        <v>14626.916666666668</v>
      </c>
    </row>
    <row r="28" spans="1:7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7" ht="15" customHeight="1" x14ac:dyDescent="0.25">
      <c r="A29" s="52" t="s">
        <v>72</v>
      </c>
    </row>
    <row r="30" spans="1:7" ht="15" customHeight="1" x14ac:dyDescent="0.25">
      <c r="A30" s="1"/>
    </row>
    <row r="31" spans="1:7" ht="15" customHeight="1" x14ac:dyDescent="0.25">
      <c r="A31" s="1"/>
    </row>
    <row r="32" spans="1:7" ht="15" customHeight="1" x14ac:dyDescent="0.25">
      <c r="A32" s="280" t="s">
        <v>14</v>
      </c>
      <c r="B32" s="280"/>
      <c r="C32" s="280"/>
      <c r="D32" s="280"/>
      <c r="E32" s="280"/>
      <c r="F32" s="280"/>
    </row>
    <row r="33" spans="1:7" ht="15" customHeight="1" x14ac:dyDescent="0.25">
      <c r="A33" s="277" t="s">
        <v>31</v>
      </c>
      <c r="B33" s="277"/>
      <c r="C33" s="277"/>
      <c r="D33" s="277"/>
      <c r="E33" s="277"/>
      <c r="F33" s="277"/>
    </row>
    <row r="34" spans="1:7" ht="15" customHeight="1" x14ac:dyDescent="0.25">
      <c r="A34" s="280" t="s">
        <v>52</v>
      </c>
      <c r="B34" s="280"/>
      <c r="C34" s="280"/>
      <c r="D34" s="280"/>
      <c r="E34" s="280"/>
      <c r="F34" s="280"/>
      <c r="G34" s="280"/>
    </row>
    <row r="35" spans="1:7" ht="15" customHeight="1" x14ac:dyDescent="0.25">
      <c r="A35" s="276"/>
      <c r="B35" s="276"/>
      <c r="C35" s="276"/>
      <c r="D35" s="276"/>
      <c r="E35" s="276"/>
      <c r="F35" s="276"/>
    </row>
    <row r="36" spans="1:7" ht="15" customHeight="1" thickBot="1" x14ac:dyDescent="0.3">
      <c r="A36" s="40" t="s">
        <v>64</v>
      </c>
      <c r="B36" s="19"/>
      <c r="C36" s="19" t="s">
        <v>6</v>
      </c>
      <c r="D36" s="19" t="s">
        <v>30</v>
      </c>
      <c r="E36" s="19" t="s">
        <v>35</v>
      </c>
      <c r="F36" s="19" t="s">
        <v>39</v>
      </c>
      <c r="G36" s="19" t="s">
        <v>40</v>
      </c>
    </row>
    <row r="37" spans="1:7" ht="15" customHeight="1" x14ac:dyDescent="0.25"/>
    <row r="38" spans="1:7" ht="15" customHeight="1" x14ac:dyDescent="0.25">
      <c r="A38" s="260" t="s">
        <v>138</v>
      </c>
      <c r="B38" s="15" t="s">
        <v>56</v>
      </c>
      <c r="C38" s="15">
        <f>+'I T'!F36</f>
        <v>513121175</v>
      </c>
      <c r="D38" s="86">
        <f>+'II T'!F36</f>
        <v>897021125</v>
      </c>
      <c r="E38" s="86">
        <f>+'III T'!F36</f>
        <v>1112820275</v>
      </c>
      <c r="F38" s="86">
        <f>+'IV T'!F36</f>
        <v>1146089800</v>
      </c>
      <c r="G38" s="15">
        <f t="shared" ref="G38:G45" si="1">SUM(C38:F38)</f>
        <v>3669052375</v>
      </c>
    </row>
    <row r="39" spans="1:7" ht="15" customHeight="1" x14ac:dyDescent="0.25">
      <c r="A39" s="23"/>
      <c r="B39" s="15" t="s">
        <v>55</v>
      </c>
      <c r="C39" s="15">
        <f>+'I T'!F37</f>
        <v>319916625</v>
      </c>
      <c r="D39" s="86">
        <f>+'II T'!F37</f>
        <v>156284200</v>
      </c>
      <c r="E39" s="86">
        <f>+'III T'!F37</f>
        <v>48686972.759999998</v>
      </c>
      <c r="F39" s="86">
        <f>+'IV T'!F37</f>
        <v>90389775</v>
      </c>
      <c r="G39" s="15">
        <f t="shared" si="1"/>
        <v>615277572.75999999</v>
      </c>
    </row>
    <row r="40" spans="1:7" ht="15" customHeight="1" x14ac:dyDescent="0.25">
      <c r="A40" s="23" t="s">
        <v>24</v>
      </c>
      <c r="B40" s="15" t="s">
        <v>56</v>
      </c>
      <c r="C40" s="15">
        <f>+'I T'!F38</f>
        <v>223887870</v>
      </c>
      <c r="D40" s="86">
        <f>+'II T'!F38</f>
        <v>264321030</v>
      </c>
      <c r="E40" s="86">
        <f>+'III T'!F38</f>
        <v>294748097.38999999</v>
      </c>
      <c r="F40" s="86">
        <f>+'IV T'!F38</f>
        <v>276795090</v>
      </c>
      <c r="G40" s="15">
        <f t="shared" si="1"/>
        <v>1059752087.39</v>
      </c>
    </row>
    <row r="41" spans="1:7" ht="15" customHeight="1" x14ac:dyDescent="0.25">
      <c r="A41" s="23"/>
      <c r="B41" s="15" t="s">
        <v>55</v>
      </c>
      <c r="C41" s="15">
        <f>+'I T'!F39</f>
        <v>51043280</v>
      </c>
      <c r="D41" s="86">
        <f>+'II T'!F39</f>
        <v>25736710</v>
      </c>
      <c r="E41" s="86">
        <f>+'III T'!F39</f>
        <v>14553070</v>
      </c>
      <c r="F41" s="86">
        <f>+'IV T'!F39</f>
        <v>10681810</v>
      </c>
      <c r="G41" s="15">
        <f t="shared" si="1"/>
        <v>102014870</v>
      </c>
    </row>
    <row r="42" spans="1:7" ht="15" customHeight="1" x14ac:dyDescent="0.25">
      <c r="A42" s="287" t="s">
        <v>25</v>
      </c>
      <c r="B42" s="15" t="s">
        <v>56</v>
      </c>
      <c r="C42" s="15">
        <f>+'I T'!F40</f>
        <v>971804604</v>
      </c>
      <c r="D42" s="86">
        <f>+'II T'!F40</f>
        <v>1683187803</v>
      </c>
      <c r="E42" s="86">
        <f>+'III T'!F40</f>
        <v>2000967591.48</v>
      </c>
      <c r="F42" s="86">
        <f>+'IV T'!F40</f>
        <v>1962819938.1999998</v>
      </c>
      <c r="G42" s="15">
        <f t="shared" si="1"/>
        <v>6618779936.6799994</v>
      </c>
    </row>
    <row r="43" spans="1:7" ht="15" customHeight="1" x14ac:dyDescent="0.25">
      <c r="A43" s="287"/>
      <c r="B43" s="15" t="s">
        <v>55</v>
      </c>
      <c r="C43" s="15">
        <f>+'I T'!F41</f>
        <v>519195741</v>
      </c>
      <c r="D43" s="86">
        <f>+'II T'!F41</f>
        <v>318850574</v>
      </c>
      <c r="E43" s="86">
        <f>+'III T'!F41</f>
        <v>149011902</v>
      </c>
      <c r="F43" s="86">
        <f>+'IV T'!F41</f>
        <v>148172256</v>
      </c>
      <c r="G43" s="15">
        <f t="shared" si="1"/>
        <v>1135230473</v>
      </c>
    </row>
    <row r="44" spans="1:7" ht="15" customHeight="1" x14ac:dyDescent="0.25">
      <c r="A44" s="70" t="s">
        <v>75</v>
      </c>
      <c r="B44" s="49" t="s">
        <v>56</v>
      </c>
      <c r="C44" s="15">
        <f>+'I T'!F42</f>
        <v>294540000</v>
      </c>
      <c r="D44" s="86">
        <f>+'II T'!F42</f>
        <v>995666000</v>
      </c>
      <c r="E44" s="86">
        <f>+'III T'!F42</f>
        <v>1132030000</v>
      </c>
      <c r="F44" s="86">
        <f>+'IV T'!F42</f>
        <v>1475240000</v>
      </c>
      <c r="G44" s="15">
        <f t="shared" si="1"/>
        <v>3897476000</v>
      </c>
    </row>
    <row r="45" spans="1:7" ht="15" customHeight="1" x14ac:dyDescent="0.25">
      <c r="A45" s="70"/>
      <c r="B45" s="49" t="s">
        <v>55</v>
      </c>
      <c r="C45" s="15">
        <f>+'I T'!F43</f>
        <v>614322000</v>
      </c>
      <c r="D45" s="86">
        <f>+'II T'!F43</f>
        <v>102622000</v>
      </c>
      <c r="E45" s="86">
        <f>+'III T'!F43</f>
        <v>550000</v>
      </c>
      <c r="F45" s="86">
        <f>+'IV T'!F43</f>
        <v>0</v>
      </c>
      <c r="G45" s="15">
        <f t="shared" si="1"/>
        <v>717494000</v>
      </c>
    </row>
    <row r="46" spans="1:7" ht="15" customHeight="1" thickBot="1" x14ac:dyDescent="0.3">
      <c r="A46" s="24" t="s">
        <v>13</v>
      </c>
      <c r="B46" s="25"/>
      <c r="C46" s="25">
        <f>SUM(C38:C45)</f>
        <v>3507831295</v>
      </c>
      <c r="D46" s="25">
        <f>SUM(D38:D45)</f>
        <v>4443689442</v>
      </c>
      <c r="E46" s="25">
        <f>SUM(E38:E45)</f>
        <v>4753367908.6300001</v>
      </c>
      <c r="F46" s="25">
        <f>SUM(F38:F45)</f>
        <v>5110188669.1999998</v>
      </c>
      <c r="G46" s="25">
        <f>SUM(G38:G45)</f>
        <v>17815077314.830002</v>
      </c>
    </row>
    <row r="47" spans="1:7" ht="15" customHeight="1" thickTop="1" x14ac:dyDescent="0.25">
      <c r="A47" s="27" t="s">
        <v>42</v>
      </c>
    </row>
    <row r="48" spans="1:7" ht="15" customHeight="1" x14ac:dyDescent="0.25">
      <c r="A48" s="52" t="s">
        <v>72</v>
      </c>
    </row>
    <row r="49" spans="1:7" ht="15" customHeight="1" x14ac:dyDescent="0.25">
      <c r="A49" s="1"/>
    </row>
    <row r="50" spans="1:7" ht="15" customHeight="1" x14ac:dyDescent="0.25">
      <c r="A50" s="1"/>
    </row>
    <row r="51" spans="1:7" ht="15" customHeight="1" x14ac:dyDescent="0.25"/>
    <row r="52" spans="1:7" ht="15" customHeight="1" x14ac:dyDescent="0.25">
      <c r="A52" s="280" t="s">
        <v>15</v>
      </c>
      <c r="B52" s="280"/>
      <c r="C52" s="280"/>
      <c r="D52" s="280"/>
      <c r="E52" s="280"/>
      <c r="F52" s="280"/>
    </row>
    <row r="53" spans="1:7" ht="15" customHeight="1" x14ac:dyDescent="0.25">
      <c r="A53" s="277" t="s">
        <v>46</v>
      </c>
      <c r="B53" s="277"/>
      <c r="C53" s="277"/>
      <c r="D53" s="277"/>
      <c r="E53" s="277"/>
      <c r="F53" s="277"/>
    </row>
    <row r="54" spans="1:7" ht="15" customHeight="1" x14ac:dyDescent="0.25">
      <c r="A54" s="280" t="s">
        <v>52</v>
      </c>
      <c r="B54" s="280"/>
      <c r="C54" s="280"/>
      <c r="D54" s="280"/>
      <c r="E54" s="280"/>
      <c r="F54" s="280"/>
      <c r="G54" s="35"/>
    </row>
    <row r="55" spans="1:7" ht="15" customHeight="1" x14ac:dyDescent="0.25">
      <c r="A55" s="276"/>
      <c r="B55" s="276"/>
      <c r="C55" s="276"/>
      <c r="D55" s="276"/>
      <c r="E55" s="276"/>
      <c r="F55" s="276"/>
      <c r="G55" s="28"/>
    </row>
    <row r="56" spans="1:7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35</v>
      </c>
      <c r="E56" s="33" t="s">
        <v>39</v>
      </c>
      <c r="F56" s="33" t="s">
        <v>40</v>
      </c>
    </row>
    <row r="57" spans="1:7" ht="15" customHeight="1" x14ac:dyDescent="0.25"/>
    <row r="58" spans="1:7" ht="15" customHeight="1" x14ac:dyDescent="0.25">
      <c r="A58" s="112" t="s">
        <v>164</v>
      </c>
      <c r="B58" s="15">
        <f>+'I T'!E57</f>
        <v>833037800</v>
      </c>
      <c r="C58" s="86">
        <f>+'II T'!E57</f>
        <v>1053305325</v>
      </c>
      <c r="D58" s="15">
        <f>+'III T'!E57</f>
        <v>1161507247.76</v>
      </c>
      <c r="E58" s="15">
        <f>+'IV T'!E57</f>
        <v>1236479575</v>
      </c>
      <c r="F58" s="15">
        <f>SUM(B58:E58)</f>
        <v>4284329947.7600002</v>
      </c>
    </row>
    <row r="59" spans="1:7" s="86" customFormat="1" ht="15" customHeight="1" x14ac:dyDescent="0.25">
      <c r="A59" s="112" t="s">
        <v>165</v>
      </c>
      <c r="B59" s="86">
        <f>+'I T'!E58</f>
        <v>274931150</v>
      </c>
      <c r="C59" s="86">
        <f>+'II T'!E58</f>
        <v>290057740</v>
      </c>
      <c r="D59" s="86">
        <f>+'III T'!E58</f>
        <v>309301167.38999999</v>
      </c>
      <c r="E59" s="86">
        <f>+'IV T'!E58</f>
        <v>287476900</v>
      </c>
      <c r="F59" s="86">
        <f>SUM(B59:E59)</f>
        <v>1161766957.3899999</v>
      </c>
    </row>
    <row r="60" spans="1:7" ht="15" customHeight="1" x14ac:dyDescent="0.25">
      <c r="A60" s="21" t="s">
        <v>43</v>
      </c>
      <c r="B60" s="15">
        <f>+'I T'!E59</f>
        <v>1491000345</v>
      </c>
      <c r="C60" s="86">
        <f>+'II T'!E59</f>
        <v>2002038377</v>
      </c>
      <c r="D60" s="86">
        <f>+'III T'!E59</f>
        <v>2149979493.48</v>
      </c>
      <c r="E60" s="86">
        <f>+'IV T'!E59</f>
        <v>2110992194.1999998</v>
      </c>
      <c r="F60" s="15">
        <f>SUM(B60:E60)</f>
        <v>7754010409.6799994</v>
      </c>
    </row>
    <row r="61" spans="1:7" ht="15" customHeight="1" x14ac:dyDescent="0.25">
      <c r="A61" s="87" t="s">
        <v>83</v>
      </c>
      <c r="B61" s="15">
        <f>+'I T'!E60</f>
        <v>908862000</v>
      </c>
      <c r="C61" s="86">
        <f>+'II T'!E60</f>
        <v>1098288000</v>
      </c>
      <c r="D61" s="86">
        <f>+'III T'!E60</f>
        <v>1132580000</v>
      </c>
      <c r="E61" s="86">
        <f>+'IV T'!E60</f>
        <v>1475240000</v>
      </c>
      <c r="F61" s="15">
        <f>SUM(B61:E61)</f>
        <v>4614970000</v>
      </c>
    </row>
    <row r="62" spans="1:7" ht="15" customHeight="1" x14ac:dyDescent="0.25"/>
    <row r="63" spans="1:7" ht="15" customHeight="1" x14ac:dyDescent="0.25"/>
    <row r="64" spans="1:7" ht="15" customHeight="1" thickBot="1" x14ac:dyDescent="0.3">
      <c r="A64" s="24" t="s">
        <v>13</v>
      </c>
      <c r="B64" s="25">
        <f>SUM(B58:B63)</f>
        <v>3507831295</v>
      </c>
      <c r="C64" s="25">
        <f>SUM(C58:C63)</f>
        <v>4443689442</v>
      </c>
      <c r="D64" s="25">
        <f>SUM(D58:D63)</f>
        <v>4753367908.6300001</v>
      </c>
      <c r="E64" s="25">
        <f>SUM(E58:E63)</f>
        <v>5110188669.1999998</v>
      </c>
      <c r="F64" s="25">
        <f>SUM(F58:F63)</f>
        <v>17815077314.829998</v>
      </c>
    </row>
    <row r="65" spans="1:8" ht="15" customHeight="1" thickTop="1" x14ac:dyDescent="0.25">
      <c r="A65" s="52" t="s">
        <v>72</v>
      </c>
    </row>
    <row r="66" spans="1:8" ht="15" customHeight="1" x14ac:dyDescent="0.25">
      <c r="A66" s="1"/>
    </row>
    <row r="67" spans="1:8" ht="15" customHeight="1" x14ac:dyDescent="0.25"/>
    <row r="68" spans="1:8" ht="15" customHeight="1" x14ac:dyDescent="0.25">
      <c r="A68" s="277" t="s">
        <v>44</v>
      </c>
      <c r="B68" s="277"/>
      <c r="C68" s="277"/>
      <c r="D68" s="277"/>
      <c r="E68" s="277"/>
      <c r="F68" s="277"/>
    </row>
    <row r="69" spans="1:8" ht="15" customHeight="1" x14ac:dyDescent="0.25">
      <c r="A69" s="271" t="s">
        <v>110</v>
      </c>
      <c r="B69" s="271"/>
      <c r="C69" s="271"/>
      <c r="D69" s="271"/>
      <c r="E69" s="271"/>
      <c r="F69" s="271"/>
    </row>
    <row r="70" spans="1:8" ht="15" customHeight="1" x14ac:dyDescent="0.25">
      <c r="A70" s="280" t="s">
        <v>52</v>
      </c>
      <c r="B70" s="280"/>
      <c r="C70" s="280"/>
      <c r="D70" s="280"/>
      <c r="E70" s="280"/>
      <c r="F70" s="280"/>
    </row>
    <row r="71" spans="1:8" ht="15" customHeight="1" x14ac:dyDescent="0.25">
      <c r="A71" s="36"/>
      <c r="B71" s="36"/>
      <c r="C71" s="36"/>
      <c r="D71" s="36"/>
      <c r="E71" s="36"/>
      <c r="F71" s="36"/>
      <c r="G71" s="107"/>
    </row>
    <row r="72" spans="1:8" ht="15" customHeight="1" thickBot="1" x14ac:dyDescent="0.3">
      <c r="A72" s="32" t="s">
        <v>10</v>
      </c>
      <c r="B72" s="33" t="s">
        <v>6</v>
      </c>
      <c r="C72" s="33" t="s">
        <v>30</v>
      </c>
      <c r="D72" s="33" t="s">
        <v>35</v>
      </c>
      <c r="E72" s="33" t="s">
        <v>39</v>
      </c>
      <c r="F72" s="33" t="s">
        <v>40</v>
      </c>
      <c r="G72" s="33" t="s">
        <v>40</v>
      </c>
    </row>
    <row r="73" spans="1:8" ht="15" customHeight="1" x14ac:dyDescent="0.25"/>
    <row r="74" spans="1:8" ht="15" customHeight="1" x14ac:dyDescent="0.25">
      <c r="A74" s="15" t="s">
        <v>62</v>
      </c>
      <c r="B74" s="15">
        <f>+'I T'!E72</f>
        <v>97347972.760000005</v>
      </c>
      <c r="C74" s="86">
        <f>+'II T'!E72</f>
        <v>269762422.75999999</v>
      </c>
      <c r="D74" s="15">
        <f>+'III T'!E72</f>
        <v>221909347.75999999</v>
      </c>
      <c r="E74" s="15">
        <f>+'IV T'!E72</f>
        <v>65854350</v>
      </c>
      <c r="F74" s="87">
        <f>B74</f>
        <v>97347972.760000005</v>
      </c>
    </row>
    <row r="75" spans="1:8" ht="15" customHeight="1" x14ac:dyDescent="0.25">
      <c r="A75" s="15" t="s">
        <v>16</v>
      </c>
      <c r="B75" s="15">
        <f>+'I T'!E73</f>
        <v>1005452250</v>
      </c>
      <c r="C75" s="86">
        <f>+'II T'!E73</f>
        <v>1005452250</v>
      </c>
      <c r="D75" s="86">
        <f>+'III T'!E73</f>
        <v>1005452250</v>
      </c>
      <c r="E75" s="86">
        <f>+'IV T'!E73</f>
        <v>1250040300</v>
      </c>
      <c r="F75" s="89">
        <f>SUM(B75:E75)</f>
        <v>4266397050</v>
      </c>
      <c r="H75" s="15">
        <f>+F75</f>
        <v>4266397050</v>
      </c>
    </row>
    <row r="76" spans="1:8" ht="15" customHeight="1" x14ac:dyDescent="0.25">
      <c r="A76" s="15" t="s">
        <v>17</v>
      </c>
      <c r="B76" s="15">
        <f>+'I T'!E74</f>
        <v>1102800222.76</v>
      </c>
      <c r="C76" s="86">
        <f>+'II T'!E74</f>
        <v>1275214672.76</v>
      </c>
      <c r="D76" s="86">
        <f>+'III T'!E74</f>
        <v>1227361597.76</v>
      </c>
      <c r="E76" s="86">
        <f>+'IV T'!E74</f>
        <v>1315894650</v>
      </c>
      <c r="F76" s="15">
        <f>SUM(F74:F75)</f>
        <v>4363745022.7600002</v>
      </c>
      <c r="H76" s="15">
        <f>+F90</f>
        <v>1152631820</v>
      </c>
    </row>
    <row r="77" spans="1:8" ht="15" customHeight="1" x14ac:dyDescent="0.25">
      <c r="A77" s="15" t="s">
        <v>18</v>
      </c>
      <c r="B77" s="15">
        <f>+'I T'!E75</f>
        <v>833037800</v>
      </c>
      <c r="C77" s="86">
        <f>+'II T'!E75</f>
        <v>1053305325</v>
      </c>
      <c r="D77" s="86">
        <f>+'III T'!E75</f>
        <v>1161507247.76</v>
      </c>
      <c r="E77" s="86">
        <f>+'IV T'!E75</f>
        <v>1236479575</v>
      </c>
      <c r="F77" s="15">
        <f>SUM(B77:E77)</f>
        <v>4284329947.7600002</v>
      </c>
      <c r="H77" s="15">
        <f>+F105</f>
        <v>7570406492.6000004</v>
      </c>
    </row>
    <row r="78" spans="1:8" ht="15" customHeight="1" x14ac:dyDescent="0.25">
      <c r="A78" s="28" t="s">
        <v>19</v>
      </c>
      <c r="B78" s="28">
        <f>+'I T'!E76</f>
        <v>269762422.75999999</v>
      </c>
      <c r="C78" s="86">
        <f>+'II T'!E76</f>
        <v>221909347.75999999</v>
      </c>
      <c r="D78" s="86">
        <f>+'III T'!E76</f>
        <v>65854350</v>
      </c>
      <c r="E78" s="86">
        <f>+'IV T'!E76</f>
        <v>79415075</v>
      </c>
      <c r="F78" s="262">
        <f>+F76-F77</f>
        <v>79415075</v>
      </c>
      <c r="G78" s="110"/>
      <c r="H78" s="210">
        <f>+F119</f>
        <v>4490536130.6800003</v>
      </c>
    </row>
    <row r="79" spans="1:8" ht="15" customHeight="1" thickBot="1" x14ac:dyDescent="0.3">
      <c r="A79" s="25"/>
      <c r="B79" s="25"/>
      <c r="C79" s="25"/>
      <c r="D79" s="25"/>
      <c r="E79" s="25"/>
      <c r="F79" s="25"/>
      <c r="H79" s="210">
        <f>SUM(H75:H78)</f>
        <v>17479971493.279999</v>
      </c>
    </row>
    <row r="80" spans="1:8" ht="15" customHeight="1" thickTop="1" x14ac:dyDescent="0.25">
      <c r="A80" s="52" t="s">
        <v>72</v>
      </c>
    </row>
    <row r="81" spans="1:11" ht="15" customHeight="1" x14ac:dyDescent="0.25">
      <c r="A81" s="1"/>
      <c r="H81" s="213">
        <v>17479971493.269562</v>
      </c>
    </row>
    <row r="82" spans="1:11" s="86" customFormat="1" ht="15" customHeight="1" x14ac:dyDescent="0.25">
      <c r="A82" s="85"/>
      <c r="H82" s="89">
        <f>+H79-H81</f>
        <v>1.043701171875E-2</v>
      </c>
    </row>
    <row r="83" spans="1:11" s="86" customFormat="1" ht="15" customHeight="1" x14ac:dyDescent="0.25">
      <c r="A83" s="277" t="s">
        <v>45</v>
      </c>
      <c r="B83" s="277"/>
      <c r="C83" s="277"/>
      <c r="D83" s="277"/>
      <c r="E83" s="277"/>
      <c r="F83" s="277"/>
      <c r="H83" s="86">
        <f>+B145</f>
        <v>61383192.859999999</v>
      </c>
    </row>
    <row r="84" spans="1:11" s="86" customFormat="1" ht="15" customHeight="1" x14ac:dyDescent="0.25">
      <c r="A84" s="271" t="s">
        <v>108</v>
      </c>
      <c r="B84" s="271"/>
      <c r="C84" s="271"/>
      <c r="D84" s="271"/>
      <c r="E84" s="271"/>
      <c r="F84" s="271"/>
      <c r="H84" s="89">
        <f>+H83-H82</f>
        <v>61383192.849562988</v>
      </c>
    </row>
    <row r="85" spans="1:11" s="86" customFormat="1" ht="15" customHeight="1" x14ac:dyDescent="0.25">
      <c r="A85" s="280" t="s">
        <v>52</v>
      </c>
      <c r="B85" s="280"/>
      <c r="C85" s="280"/>
      <c r="D85" s="280"/>
      <c r="E85" s="280"/>
      <c r="F85" s="280"/>
    </row>
    <row r="86" spans="1:11" s="86" customFormat="1" ht="15" customHeight="1" x14ac:dyDescent="0.25">
      <c r="A86" s="240"/>
      <c r="B86" s="240"/>
      <c r="C86" s="240"/>
      <c r="D86" s="240"/>
      <c r="E86" s="240"/>
      <c r="F86" s="240"/>
      <c r="G86" s="240"/>
    </row>
    <row r="87" spans="1:11" s="86" customFormat="1" ht="15" customHeight="1" thickBot="1" x14ac:dyDescent="0.3">
      <c r="A87" s="32" t="s">
        <v>10</v>
      </c>
      <c r="B87" s="33" t="s">
        <v>6</v>
      </c>
      <c r="C87" s="33" t="s">
        <v>30</v>
      </c>
      <c r="D87" s="33" t="s">
        <v>35</v>
      </c>
      <c r="E87" s="33" t="s">
        <v>39</v>
      </c>
      <c r="F87" s="33" t="s">
        <v>40</v>
      </c>
      <c r="G87" s="33" t="s">
        <v>40</v>
      </c>
    </row>
    <row r="88" spans="1:11" s="86" customFormat="1" ht="15" customHeight="1" x14ac:dyDescent="0.25">
      <c r="A88" s="87"/>
      <c r="J88" s="86">
        <v>-335105821.56043887</v>
      </c>
    </row>
    <row r="89" spans="1:11" s="86" customFormat="1" ht="15" customHeight="1" x14ac:dyDescent="0.25">
      <c r="A89" s="86" t="s">
        <v>62</v>
      </c>
      <c r="B89" s="86">
        <f>+'I T'!E87</f>
        <v>18741597.390000001</v>
      </c>
      <c r="C89" s="86">
        <f>+'II T'!E87</f>
        <v>35015227.389999986</v>
      </c>
      <c r="D89" s="86">
        <f>+'III T'!E87</f>
        <v>36162267.389999986</v>
      </c>
      <c r="E89" s="86">
        <f>+'IV T'!E87</f>
        <v>18065880</v>
      </c>
      <c r="F89" s="87">
        <f>B89</f>
        <v>18741597.390000001</v>
      </c>
      <c r="J89" s="86">
        <f>+H83</f>
        <v>61383192.859999999</v>
      </c>
      <c r="K89" s="113" t="s">
        <v>171</v>
      </c>
    </row>
    <row r="90" spans="1:11" s="86" customFormat="1" ht="15" customHeight="1" x14ac:dyDescent="0.25">
      <c r="A90" s="86" t="s">
        <v>16</v>
      </c>
      <c r="B90" s="86">
        <f>+'I T'!E88</f>
        <v>291204780</v>
      </c>
      <c r="C90" s="86">
        <f>+'II T'!E88</f>
        <v>291204780</v>
      </c>
      <c r="D90" s="86">
        <f>+'III T'!E88</f>
        <v>291204780</v>
      </c>
      <c r="E90" s="86">
        <f>+'IV T'!E88</f>
        <v>279017480</v>
      </c>
      <c r="F90" s="89">
        <f>SUM(B90:E90)</f>
        <v>1152631820</v>
      </c>
      <c r="J90" s="86">
        <v>498116868.32999998</v>
      </c>
      <c r="K90" s="113" t="s">
        <v>170</v>
      </c>
    </row>
    <row r="91" spans="1:11" s="86" customFormat="1" ht="15" customHeight="1" x14ac:dyDescent="0.25">
      <c r="A91" s="86" t="s">
        <v>17</v>
      </c>
      <c r="B91" s="86">
        <f>+'I T'!E89</f>
        <v>309946377.38999999</v>
      </c>
      <c r="C91" s="86">
        <f>+'II T'!E89</f>
        <v>326220007.38999999</v>
      </c>
      <c r="D91" s="86">
        <f>+'III T'!E89</f>
        <v>327367047.38999999</v>
      </c>
      <c r="E91" s="86">
        <f>+'IV T'!E89</f>
        <v>297083360</v>
      </c>
      <c r="F91" s="86">
        <f>SUM(F89:F90)</f>
        <v>1171373417.3900001</v>
      </c>
      <c r="J91" s="86">
        <f>SUM(J88:J90)</f>
        <v>224394239.62956113</v>
      </c>
    </row>
    <row r="92" spans="1:11" s="86" customFormat="1" ht="15" customHeight="1" x14ac:dyDescent="0.25">
      <c r="A92" s="86" t="s">
        <v>18</v>
      </c>
      <c r="B92" s="86">
        <f>+'I T'!E90</f>
        <v>274931150</v>
      </c>
      <c r="C92" s="86">
        <f>+'II T'!E90</f>
        <v>290057740</v>
      </c>
      <c r="D92" s="86">
        <f>+'III T'!E90</f>
        <v>309301167.38999999</v>
      </c>
      <c r="E92" s="86">
        <f>+'IV T'!E90</f>
        <v>287476900</v>
      </c>
      <c r="F92" s="86">
        <f>SUM(B92:E92)</f>
        <v>1161766957.3899999</v>
      </c>
    </row>
    <row r="93" spans="1:11" s="86" customFormat="1" ht="15" customHeight="1" x14ac:dyDescent="0.25">
      <c r="A93" s="28" t="s">
        <v>19</v>
      </c>
      <c r="B93" s="28">
        <f>+'I T'!E91</f>
        <v>35015227.389999986</v>
      </c>
      <c r="C93" s="86">
        <f>+'II T'!E91</f>
        <v>36162267.389999986</v>
      </c>
      <c r="D93" s="86">
        <f>+'III T'!E91</f>
        <v>18065880</v>
      </c>
      <c r="E93" s="86">
        <f>+'IV T'!E91</f>
        <v>9606460</v>
      </c>
      <c r="F93" s="262">
        <f>+F91-F92</f>
        <v>9606460.0000002384</v>
      </c>
      <c r="G93" s="110"/>
    </row>
    <row r="94" spans="1:11" s="86" customFormat="1" ht="15" customHeight="1" thickBot="1" x14ac:dyDescent="0.3">
      <c r="A94" s="25"/>
      <c r="B94" s="25"/>
      <c r="C94" s="25"/>
      <c r="D94" s="25"/>
      <c r="E94" s="25"/>
      <c r="F94" s="25"/>
    </row>
    <row r="95" spans="1:11" s="86" customFormat="1" ht="15" customHeight="1" thickTop="1" x14ac:dyDescent="0.25">
      <c r="A95" s="85" t="s">
        <v>72</v>
      </c>
    </row>
    <row r="96" spans="1:11" s="86" customFormat="1" ht="15" customHeight="1" x14ac:dyDescent="0.25">
      <c r="A96" s="85"/>
    </row>
    <row r="97" spans="1:7" s="86" customFormat="1" ht="15" customHeight="1" x14ac:dyDescent="0.25"/>
    <row r="98" spans="1:7" s="86" customFormat="1" x14ac:dyDescent="0.25">
      <c r="A98" s="277" t="s">
        <v>109</v>
      </c>
      <c r="B98" s="277"/>
      <c r="C98" s="277"/>
      <c r="D98" s="277"/>
      <c r="E98" s="277"/>
      <c r="F98" s="277"/>
    </row>
    <row r="99" spans="1:7" s="86" customFormat="1" x14ac:dyDescent="0.25">
      <c r="A99" s="277" t="s">
        <v>48</v>
      </c>
      <c r="B99" s="277"/>
      <c r="C99" s="277"/>
      <c r="D99" s="277"/>
      <c r="E99" s="277"/>
      <c r="F99" s="277"/>
    </row>
    <row r="100" spans="1:7" s="86" customFormat="1" x14ac:dyDescent="0.25">
      <c r="A100" s="280" t="s">
        <v>52</v>
      </c>
      <c r="B100" s="280"/>
      <c r="C100" s="280"/>
      <c r="D100" s="280"/>
      <c r="E100" s="280"/>
      <c r="F100" s="280"/>
      <c r="G100" s="16"/>
    </row>
    <row r="101" spans="1:7" s="86" customFormat="1" x14ac:dyDescent="0.25">
      <c r="A101" s="276"/>
      <c r="B101" s="276"/>
      <c r="C101" s="276"/>
      <c r="D101" s="276"/>
      <c r="E101" s="276"/>
      <c r="F101" s="276"/>
    </row>
    <row r="102" spans="1:7" ht="15.75" thickBot="1" x14ac:dyDescent="0.3">
      <c r="A102" s="32" t="s">
        <v>10</v>
      </c>
      <c r="B102" s="33" t="s">
        <v>6</v>
      </c>
      <c r="C102" s="33" t="s">
        <v>30</v>
      </c>
      <c r="D102" s="33" t="s">
        <v>35</v>
      </c>
      <c r="E102" s="33" t="s">
        <v>39</v>
      </c>
      <c r="F102" s="33" t="s">
        <v>40</v>
      </c>
    </row>
    <row r="104" spans="1:7" x14ac:dyDescent="0.25">
      <c r="A104" s="15" t="s">
        <v>62</v>
      </c>
      <c r="B104" s="15">
        <f>+'I T'!E104</f>
        <v>255754563.47999999</v>
      </c>
      <c r="C104" s="86">
        <f>+'II T'!E104</f>
        <v>652849150.48000002</v>
      </c>
      <c r="D104" s="86">
        <f>+'III T'!E104</f>
        <v>538905705.48000002</v>
      </c>
      <c r="E104" s="86">
        <f>+'IV T'!E104</f>
        <v>277021144</v>
      </c>
      <c r="F104" s="152">
        <f>+B104</f>
        <v>255754563.47999999</v>
      </c>
    </row>
    <row r="105" spans="1:7" x14ac:dyDescent="0.25">
      <c r="A105" s="15" t="s">
        <v>93</v>
      </c>
      <c r="B105" s="15">
        <f>+'I T'!E105</f>
        <v>1888094932</v>
      </c>
      <c r="C105" s="86">
        <f>+'II T'!E105</f>
        <v>1888094932</v>
      </c>
      <c r="D105" s="86">
        <f>+'III T'!E105</f>
        <v>1888094932</v>
      </c>
      <c r="E105" s="86">
        <f>+'IV T'!E105</f>
        <v>1906121696.5999999</v>
      </c>
      <c r="F105" s="15">
        <f>+SUM(B105:E105)</f>
        <v>7570406492.6000004</v>
      </c>
    </row>
    <row r="106" spans="1:7" x14ac:dyDescent="0.25">
      <c r="A106" s="15" t="s">
        <v>17</v>
      </c>
      <c r="B106" s="15">
        <f>+'I T'!E106</f>
        <v>2143849495.48</v>
      </c>
      <c r="C106" s="86">
        <f>+'II T'!E106</f>
        <v>2540944082.48</v>
      </c>
      <c r="D106" s="86">
        <f>+'III T'!E106</f>
        <v>2427000637.48</v>
      </c>
      <c r="E106" s="86">
        <f>+'IV T'!E106</f>
        <v>2183142840.5999999</v>
      </c>
      <c r="F106" s="15">
        <f>SUM(F104:F105)</f>
        <v>7826161056.0799999</v>
      </c>
    </row>
    <row r="107" spans="1:7" x14ac:dyDescent="0.25">
      <c r="A107" s="15" t="s">
        <v>18</v>
      </c>
      <c r="B107" s="15">
        <f>+'I T'!E107</f>
        <v>1491000345</v>
      </c>
      <c r="C107" s="86">
        <f>+'II T'!E107</f>
        <v>2002038377</v>
      </c>
      <c r="D107" s="86">
        <f>+'III T'!E107</f>
        <v>2149979493.48</v>
      </c>
      <c r="E107" s="86">
        <f>+'IV T'!E107</f>
        <v>2110992194.1999998</v>
      </c>
      <c r="F107" s="15">
        <f>+SUM(B107:E107)</f>
        <v>7754010409.6799994</v>
      </c>
      <c r="G107" s="86"/>
    </row>
    <row r="108" spans="1:7" x14ac:dyDescent="0.25">
      <c r="A108" s="28" t="s">
        <v>19</v>
      </c>
      <c r="B108" s="28">
        <f>+'I T'!E108</f>
        <v>652849150.48000002</v>
      </c>
      <c r="C108" s="86">
        <f>+'II T'!E108</f>
        <v>538905705.48000002</v>
      </c>
      <c r="D108" s="86">
        <f>+'III T'!E108</f>
        <v>277021144</v>
      </c>
      <c r="E108" s="86">
        <f>+'IV T'!E108</f>
        <v>72150646.400000095</v>
      </c>
      <c r="F108" s="205">
        <f>+F106-F107</f>
        <v>72150646.400000572</v>
      </c>
      <c r="G108" s="86"/>
    </row>
    <row r="109" spans="1:7" ht="15.75" thickBot="1" x14ac:dyDescent="0.3">
      <c r="A109" s="25"/>
      <c r="B109" s="25"/>
      <c r="C109" s="25"/>
      <c r="D109" s="25"/>
      <c r="E109" s="25"/>
      <c r="F109" s="25"/>
      <c r="G109" s="86"/>
    </row>
    <row r="110" spans="1:7" ht="15.75" thickTop="1" x14ac:dyDescent="0.25">
      <c r="A110" s="15"/>
      <c r="G110" s="86"/>
    </row>
    <row r="111" spans="1:7" s="86" customFormat="1" x14ac:dyDescent="0.25"/>
    <row r="112" spans="1:7" s="86" customFormat="1" x14ac:dyDescent="0.25">
      <c r="A112" s="277" t="s">
        <v>112</v>
      </c>
      <c r="B112" s="277"/>
      <c r="C112" s="277"/>
      <c r="D112" s="277"/>
      <c r="E112" s="277"/>
      <c r="F112" s="277"/>
    </row>
    <row r="113" spans="1:7" s="86" customFormat="1" x14ac:dyDescent="0.25">
      <c r="A113" s="277" t="s">
        <v>111</v>
      </c>
      <c r="B113" s="277"/>
      <c r="C113" s="277"/>
      <c r="D113" s="277"/>
      <c r="E113" s="277"/>
      <c r="F113" s="277"/>
    </row>
    <row r="114" spans="1:7" s="86" customFormat="1" x14ac:dyDescent="0.25">
      <c r="A114" s="280" t="s">
        <v>52</v>
      </c>
      <c r="B114" s="280"/>
      <c r="C114" s="280"/>
      <c r="D114" s="280"/>
      <c r="E114" s="280"/>
      <c r="F114" s="280"/>
      <c r="G114" s="16"/>
    </row>
    <row r="115" spans="1:7" s="86" customFormat="1" x14ac:dyDescent="0.25">
      <c r="A115" s="276"/>
      <c r="B115" s="276"/>
      <c r="C115" s="276"/>
      <c r="D115" s="276"/>
      <c r="E115" s="276"/>
      <c r="F115" s="276"/>
    </row>
    <row r="116" spans="1:7" s="86" customFormat="1" ht="15.75" thickBot="1" x14ac:dyDescent="0.3">
      <c r="A116" s="32" t="s">
        <v>10</v>
      </c>
      <c r="B116" s="33" t="s">
        <v>6</v>
      </c>
      <c r="C116" s="33" t="s">
        <v>30</v>
      </c>
      <c r="D116" s="33" t="s">
        <v>35</v>
      </c>
      <c r="E116" s="33" t="s">
        <v>39</v>
      </c>
      <c r="F116" s="33" t="s">
        <v>40</v>
      </c>
    </row>
    <row r="117" spans="1:7" s="86" customFormat="1" x14ac:dyDescent="0.25">
      <c r="A117" s="87"/>
    </row>
    <row r="118" spans="1:7" s="86" customFormat="1" x14ac:dyDescent="0.25">
      <c r="A118" s="86" t="s">
        <v>62</v>
      </c>
      <c r="B118" s="86">
        <f>+'I T'!E119</f>
        <v>126272734.7</v>
      </c>
      <c r="C118" s="86">
        <f>+'II T'!E119</f>
        <v>378878734.70000005</v>
      </c>
      <c r="D118" s="86">
        <f>+'III T'!E119</f>
        <v>410062613.50000024</v>
      </c>
      <c r="E118" s="86">
        <f>+'IV T'!E119</f>
        <v>83788865.380000114</v>
      </c>
      <c r="F118" s="152">
        <f>+B118</f>
        <v>126272734.7</v>
      </c>
    </row>
    <row r="119" spans="1:7" s="86" customFormat="1" x14ac:dyDescent="0.25">
      <c r="A119" s="86" t="s">
        <v>93</v>
      </c>
      <c r="B119" s="86">
        <f>+'I T'!E120</f>
        <v>1161468000</v>
      </c>
      <c r="C119" s="86">
        <f>+'II T'!E120</f>
        <v>1129471878.8000002</v>
      </c>
      <c r="D119" s="86">
        <f>+'III T'!E120</f>
        <v>806306251.88</v>
      </c>
      <c r="E119" s="86">
        <f>+'IV T'!E120</f>
        <v>1393290000</v>
      </c>
      <c r="F119" s="86">
        <f>+SUM(B119:E119)</f>
        <v>4490536130.6800003</v>
      </c>
    </row>
    <row r="120" spans="1:7" s="86" customFormat="1" x14ac:dyDescent="0.25">
      <c r="A120" s="86" t="s">
        <v>17</v>
      </c>
      <c r="B120" s="86">
        <f>+'I T'!E121</f>
        <v>1287740734.7</v>
      </c>
      <c r="C120" s="86">
        <f>+'II T'!E121</f>
        <v>1508350613.5000002</v>
      </c>
      <c r="D120" s="86">
        <f>+'III T'!E121</f>
        <v>1216368865.3800001</v>
      </c>
      <c r="E120" s="86">
        <f>+'IV T'!E121</f>
        <v>1477078865.3800001</v>
      </c>
      <c r="F120" s="86">
        <f>SUM(F118:F119)</f>
        <v>4616808865.3800001</v>
      </c>
    </row>
    <row r="121" spans="1:7" s="86" customFormat="1" x14ac:dyDescent="0.25">
      <c r="A121" s="86" t="s">
        <v>18</v>
      </c>
      <c r="B121" s="86">
        <f>+'I T'!E122</f>
        <v>908862000</v>
      </c>
      <c r="C121" s="86">
        <f>+'II T'!E122</f>
        <v>1098288000</v>
      </c>
      <c r="D121" s="86">
        <f>+'III T'!E122</f>
        <v>1132580000</v>
      </c>
      <c r="E121" s="86">
        <f>+'IV T'!E122</f>
        <v>1475240000</v>
      </c>
      <c r="F121" s="86">
        <f>+SUM(B121:E121)</f>
        <v>4614970000</v>
      </c>
    </row>
    <row r="122" spans="1:7" s="86" customFormat="1" x14ac:dyDescent="0.25">
      <c r="A122" s="28" t="s">
        <v>19</v>
      </c>
      <c r="B122" s="86">
        <f>+'I T'!E123</f>
        <v>378878734.70000005</v>
      </c>
      <c r="C122" s="86">
        <f>+'II T'!E123</f>
        <v>410062613.50000024</v>
      </c>
      <c r="D122" s="86">
        <f>+'III T'!E123</f>
        <v>83788865.380000114</v>
      </c>
      <c r="E122" s="86">
        <f>+'IV T'!E123</f>
        <v>1838865.3800001144</v>
      </c>
      <c r="F122" s="205">
        <f>+F120-F121</f>
        <v>1838865.3800001144</v>
      </c>
    </row>
    <row r="123" spans="1:7" s="86" customFormat="1" ht="15.75" thickBot="1" x14ac:dyDescent="0.3">
      <c r="A123" s="25"/>
      <c r="B123" s="25"/>
      <c r="C123" s="25"/>
      <c r="D123" s="25"/>
      <c r="E123" s="25"/>
      <c r="F123" s="25"/>
    </row>
    <row r="124" spans="1:7" ht="15.75" thickTop="1" x14ac:dyDescent="0.25">
      <c r="A124" s="52" t="s">
        <v>72</v>
      </c>
      <c r="B124" s="86"/>
      <c r="C124" s="86"/>
      <c r="D124" s="86"/>
      <c r="E124" s="86"/>
      <c r="F124" s="86"/>
      <c r="G124" s="86"/>
    </row>
    <row r="125" spans="1:7" x14ac:dyDescent="0.25">
      <c r="A125" s="15"/>
      <c r="F125" s="86"/>
      <c r="G125" s="86"/>
    </row>
    <row r="126" spans="1:7" s="86" customFormat="1" x14ac:dyDescent="0.25"/>
    <row r="127" spans="1:7" x14ac:dyDescent="0.25">
      <c r="C127" s="86"/>
      <c r="D127" s="86"/>
    </row>
    <row r="128" spans="1:7" x14ac:dyDescent="0.25">
      <c r="A128" s="112" t="s">
        <v>166</v>
      </c>
      <c r="C128" s="89"/>
      <c r="D128" s="89"/>
    </row>
    <row r="129" spans="1:6" x14ac:dyDescent="0.25">
      <c r="A129" s="116" t="s">
        <v>85</v>
      </c>
      <c r="B129" s="116" t="s">
        <v>86</v>
      </c>
      <c r="C129" s="89"/>
      <c r="D129" s="89"/>
      <c r="E129" s="86"/>
      <c r="F129" s="86"/>
    </row>
    <row r="130" spans="1:6" x14ac:dyDescent="0.25">
      <c r="A130" s="261" t="s">
        <v>168</v>
      </c>
      <c r="B130" s="206">
        <f>+F78</f>
        <v>79415075</v>
      </c>
      <c r="C130" s="89"/>
      <c r="D130" s="89"/>
      <c r="E130" s="86"/>
      <c r="F130" s="86"/>
    </row>
    <row r="131" spans="1:6" s="86" customFormat="1" x14ac:dyDescent="0.25">
      <c r="A131" s="261" t="s">
        <v>167</v>
      </c>
      <c r="B131" s="206">
        <f>+F93</f>
        <v>9606460.0000002384</v>
      </c>
      <c r="C131" s="89"/>
      <c r="D131" s="89"/>
    </row>
    <row r="132" spans="1:6" x14ac:dyDescent="0.25">
      <c r="A132" s="261" t="s">
        <v>169</v>
      </c>
      <c r="B132" s="206">
        <f>+F108</f>
        <v>72150646.400000572</v>
      </c>
      <c r="C132" s="89"/>
      <c r="D132" s="89"/>
      <c r="E132" s="86"/>
      <c r="F132" s="86"/>
    </row>
    <row r="133" spans="1:6" ht="15.75" thickBot="1" x14ac:dyDescent="0.3">
      <c r="A133" s="114" t="s">
        <v>84</v>
      </c>
      <c r="B133" s="207">
        <f>+F122</f>
        <v>1838865.3800001144</v>
      </c>
      <c r="C133" s="89"/>
      <c r="D133" s="89"/>
      <c r="E133" s="86"/>
      <c r="F133" s="86"/>
    </row>
    <row r="134" spans="1:6" ht="15.75" thickBot="1" x14ac:dyDescent="0.3">
      <c r="A134" s="186" t="s">
        <v>13</v>
      </c>
      <c r="B134" s="208">
        <f>SUM(B130:B133)</f>
        <v>163011046.78000093</v>
      </c>
      <c r="C134" s="89"/>
      <c r="D134" s="89"/>
      <c r="E134" s="86"/>
      <c r="F134" s="86"/>
    </row>
    <row r="135" spans="1:6" x14ac:dyDescent="0.25">
      <c r="A135" s="87"/>
      <c r="B135" s="86"/>
      <c r="C135" s="89"/>
      <c r="D135" s="89"/>
      <c r="E135" s="86"/>
      <c r="F135" s="86"/>
    </row>
    <row r="136" spans="1:6" ht="45" customHeight="1" x14ac:dyDescent="0.25">
      <c r="A136" s="283" t="s">
        <v>177</v>
      </c>
      <c r="B136" s="284"/>
      <c r="C136" s="89"/>
      <c r="D136" s="89"/>
      <c r="E136" s="86"/>
      <c r="F136" s="86"/>
    </row>
    <row r="137" spans="1:6" x14ac:dyDescent="0.25">
      <c r="A137" s="87"/>
      <c r="B137" s="86"/>
      <c r="C137" s="89"/>
      <c r="D137" s="89"/>
      <c r="E137" s="86"/>
      <c r="F137" s="86"/>
    </row>
    <row r="138" spans="1:6" s="86" customFormat="1" ht="45" customHeight="1" x14ac:dyDescent="0.25">
      <c r="A138" s="282" t="s">
        <v>179</v>
      </c>
      <c r="B138" s="282"/>
    </row>
    <row r="139" spans="1:6" x14ac:dyDescent="0.25">
      <c r="A139" s="87"/>
      <c r="B139" s="86"/>
      <c r="E139" s="86"/>
      <c r="F139" s="86"/>
    </row>
    <row r="140" spans="1:6" x14ac:dyDescent="0.25">
      <c r="A140" s="41" t="s">
        <v>172</v>
      </c>
      <c r="E140" s="86"/>
      <c r="F140" s="86"/>
    </row>
    <row r="141" spans="1:6" x14ac:dyDescent="0.25">
      <c r="A141" s="263" t="s">
        <v>173</v>
      </c>
      <c r="B141" s="89">
        <v>60000000</v>
      </c>
      <c r="E141" s="86"/>
      <c r="F141" s="86"/>
    </row>
    <row r="142" spans="1:6" x14ac:dyDescent="0.25">
      <c r="A142" s="263" t="s">
        <v>174</v>
      </c>
      <c r="B142" s="28">
        <v>1300000</v>
      </c>
      <c r="E142" s="86"/>
      <c r="F142" s="86"/>
    </row>
    <row r="143" spans="1:6" x14ac:dyDescent="0.25">
      <c r="A143" s="113" t="s">
        <v>175</v>
      </c>
      <c r="B143" s="264">
        <v>1333.82</v>
      </c>
      <c r="D143" s="89"/>
      <c r="E143" s="86"/>
      <c r="F143" s="86"/>
    </row>
    <row r="144" spans="1:6" x14ac:dyDescent="0.25">
      <c r="A144" s="263" t="s">
        <v>176</v>
      </c>
      <c r="B144" s="211">
        <v>81859.039999999994</v>
      </c>
      <c r="D144" s="89"/>
      <c r="E144" s="86"/>
      <c r="F144" s="86"/>
    </row>
    <row r="145" spans="1:3" x14ac:dyDescent="0.25">
      <c r="A145" s="41" t="s">
        <v>178</v>
      </c>
      <c r="B145" s="265">
        <f>SUM(B141:B144)</f>
        <v>61383192.859999999</v>
      </c>
      <c r="C145" s="89"/>
    </row>
  </sheetData>
  <mergeCells count="33">
    <mergeCell ref="A101:F101"/>
    <mergeCell ref="A35:F35"/>
    <mergeCell ref="A52:F52"/>
    <mergeCell ref="A53:F53"/>
    <mergeCell ref="A55:F55"/>
    <mergeCell ref="A68:F68"/>
    <mergeCell ref="A69:F69"/>
    <mergeCell ref="A100:F100"/>
    <mergeCell ref="A42:A43"/>
    <mergeCell ref="A98:F98"/>
    <mergeCell ref="A99:F99"/>
    <mergeCell ref="A84:F84"/>
    <mergeCell ref="A85:F85"/>
    <mergeCell ref="A83:F83"/>
    <mergeCell ref="A34:G34"/>
    <mergeCell ref="A54:F54"/>
    <mergeCell ref="A70:F70"/>
    <mergeCell ref="A32:F32"/>
    <mergeCell ref="A33:F33"/>
    <mergeCell ref="A13:A15"/>
    <mergeCell ref="A16:A18"/>
    <mergeCell ref="A19:A21"/>
    <mergeCell ref="A9:G9"/>
    <mergeCell ref="A1:E1"/>
    <mergeCell ref="A7:G7"/>
    <mergeCell ref="A8:G8"/>
    <mergeCell ref="A10:G10"/>
    <mergeCell ref="A138:B138"/>
    <mergeCell ref="A112:F112"/>
    <mergeCell ref="A113:F113"/>
    <mergeCell ref="A114:F114"/>
    <mergeCell ref="A115:F115"/>
    <mergeCell ref="A136:B136"/>
  </mergeCells>
  <pageMargins left="0.70866141732283472" right="0.70866141732283472" top="0.74803149606299213" bottom="0.74803149606299213" header="0.31496062992125984" footer="0.31496062992125984"/>
  <pageSetup scale="3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selection activeCell="F13" sqref="F1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5" style="15" customWidth="1"/>
    <col min="3" max="3" width="16.5703125" style="15" customWidth="1"/>
    <col min="4" max="4" width="20.5703125" style="15" customWidth="1"/>
    <col min="5" max="5" width="16.85546875" style="15" bestFit="1" customWidth="1"/>
    <col min="6" max="6" width="25.28515625" style="15" customWidth="1"/>
    <col min="7" max="7" width="7.42578125" style="15" customWidth="1"/>
    <col min="8" max="8" width="15.140625" style="15" bestFit="1" customWidth="1"/>
    <col min="9" max="9" width="13.7109375" style="15" bestFit="1" customWidth="1"/>
    <col min="10" max="13" width="19.28515625" style="15" customWidth="1"/>
    <col min="14" max="16384" width="11.5703125" style="15"/>
  </cols>
  <sheetData>
    <row r="1" spans="1:10" ht="15" customHeight="1" x14ac:dyDescent="0.25">
      <c r="A1" s="277" t="s">
        <v>20</v>
      </c>
      <c r="B1" s="277"/>
      <c r="C1" s="277"/>
      <c r="D1" s="277"/>
      <c r="E1" s="277"/>
      <c r="F1" s="277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128</v>
      </c>
      <c r="C5" s="16"/>
      <c r="D5" s="16"/>
      <c r="E5" s="16"/>
      <c r="F5" s="16"/>
    </row>
    <row r="7" spans="1:10" ht="15" customHeight="1" x14ac:dyDescent="0.25">
      <c r="A7" s="277" t="s">
        <v>9</v>
      </c>
      <c r="B7" s="277"/>
      <c r="C7" s="277"/>
      <c r="D7" s="277"/>
      <c r="E7" s="277"/>
      <c r="F7" s="277"/>
    </row>
    <row r="8" spans="1:10" ht="15" customHeight="1" x14ac:dyDescent="0.25">
      <c r="A8" s="277" t="s">
        <v>12</v>
      </c>
      <c r="B8" s="277"/>
      <c r="C8" s="277"/>
      <c r="D8" s="277"/>
      <c r="E8" s="277"/>
      <c r="F8" s="277"/>
    </row>
    <row r="9" spans="1:10" ht="15" customHeight="1" x14ac:dyDescent="0.25">
      <c r="A9" s="280" t="s">
        <v>50</v>
      </c>
      <c r="B9" s="280"/>
      <c r="C9" s="280"/>
      <c r="D9" s="280"/>
      <c r="E9" s="280"/>
      <c r="F9" s="280"/>
    </row>
    <row r="10" spans="1:10" s="28" customFormat="1" ht="15" customHeight="1" x14ac:dyDescent="0.25">
      <c r="A10" s="280"/>
      <c r="B10" s="280"/>
      <c r="C10" s="280"/>
      <c r="D10" s="280"/>
      <c r="E10" s="280"/>
      <c r="F10" s="280"/>
    </row>
    <row r="11" spans="1:10" ht="15" customHeight="1" thickBot="1" x14ac:dyDescent="0.3">
      <c r="A11" s="12" t="s">
        <v>64</v>
      </c>
      <c r="B11" s="19"/>
      <c r="C11" s="20" t="s">
        <v>27</v>
      </c>
      <c r="D11" s="20" t="s">
        <v>28</v>
      </c>
      <c r="E11" s="20" t="s">
        <v>29</v>
      </c>
      <c r="F11" s="20" t="s">
        <v>71</v>
      </c>
    </row>
    <row r="12" spans="1:10" x14ac:dyDescent="0.25">
      <c r="C12" s="22"/>
      <c r="D12" s="22"/>
      <c r="E12" s="22"/>
      <c r="F12" s="22"/>
    </row>
    <row r="13" spans="1:10" x14ac:dyDescent="0.25">
      <c r="A13" s="288" t="s">
        <v>138</v>
      </c>
      <c r="B13" s="142" t="s">
        <v>58</v>
      </c>
      <c r="C13" s="143">
        <f>+('I T'!E13-'2 T no usar'!C15)+82</f>
        <v>337</v>
      </c>
      <c r="D13" s="143">
        <f>+(C13-D15)+344</f>
        <v>633</v>
      </c>
      <c r="E13" s="143">
        <f>+(D13-E15)+187</f>
        <v>607</v>
      </c>
      <c r="F13" s="143">
        <f>E13</f>
        <v>607</v>
      </c>
      <c r="H13" s="51"/>
      <c r="I13" s="51"/>
      <c r="J13" s="51"/>
    </row>
    <row r="14" spans="1:10" ht="15" customHeight="1" x14ac:dyDescent="0.25">
      <c r="A14" s="288"/>
      <c r="B14" s="142" t="s">
        <v>59</v>
      </c>
      <c r="C14" s="144">
        <v>1610</v>
      </c>
      <c r="D14" s="144">
        <v>1248</v>
      </c>
      <c r="E14" s="144">
        <v>1442</v>
      </c>
      <c r="F14" s="144">
        <f>AVERAGE(C14:E14)</f>
        <v>1433.3333333333333</v>
      </c>
      <c r="H14" s="51"/>
      <c r="I14" s="51"/>
      <c r="J14" s="51"/>
    </row>
    <row r="15" spans="1:10" ht="15" customHeight="1" x14ac:dyDescent="0.25">
      <c r="A15" s="288"/>
      <c r="B15" s="142" t="s">
        <v>60</v>
      </c>
      <c r="C15" s="144">
        <v>458</v>
      </c>
      <c r="D15" s="144">
        <v>48</v>
      </c>
      <c r="E15" s="144">
        <v>213</v>
      </c>
      <c r="F15" s="144">
        <f>AVERAGE(C15:E15)</f>
        <v>239.66666666666666</v>
      </c>
      <c r="H15" s="51"/>
      <c r="I15" s="51"/>
      <c r="J15" s="51"/>
    </row>
    <row r="16" spans="1:10" x14ac:dyDescent="0.25">
      <c r="A16" s="285" t="s">
        <v>24</v>
      </c>
      <c r="B16" s="8" t="s">
        <v>58</v>
      </c>
      <c r="C16" s="63">
        <f>+('I T'!E16-'2 T no usar'!C18)+69</f>
        <v>17</v>
      </c>
      <c r="D16" s="63">
        <f>+(C16-D18)+208</f>
        <v>187</v>
      </c>
      <c r="E16" s="63">
        <f>+(D16-E18)+126</f>
        <v>75</v>
      </c>
      <c r="F16" s="63">
        <f>E16</f>
        <v>75</v>
      </c>
      <c r="H16" s="51"/>
      <c r="I16" s="51"/>
      <c r="J16" s="51"/>
    </row>
    <row r="17" spans="1:10" ht="15" customHeight="1" x14ac:dyDescent="0.25">
      <c r="A17" s="285"/>
      <c r="B17" s="8" t="s">
        <v>59</v>
      </c>
      <c r="C17" s="62">
        <v>1109</v>
      </c>
      <c r="D17" s="62">
        <v>926</v>
      </c>
      <c r="E17" s="62">
        <v>957</v>
      </c>
      <c r="F17" s="62">
        <f>AVERAGE(C17:E17)</f>
        <v>997.33333333333337</v>
      </c>
      <c r="H17" s="51"/>
      <c r="I17" s="51"/>
      <c r="J17" s="51"/>
    </row>
    <row r="18" spans="1:10" ht="15" customHeight="1" x14ac:dyDescent="0.25">
      <c r="A18" s="285"/>
      <c r="B18" s="8" t="s">
        <v>60</v>
      </c>
      <c r="C18" s="62">
        <v>206</v>
      </c>
      <c r="D18" s="62">
        <v>38</v>
      </c>
      <c r="E18" s="62">
        <v>238</v>
      </c>
      <c r="F18" s="62">
        <f>AVERAGE(C18:E18)</f>
        <v>160.66666666666666</v>
      </c>
      <c r="H18" s="51"/>
      <c r="I18" s="51"/>
      <c r="J18" s="51"/>
    </row>
    <row r="19" spans="1:10" x14ac:dyDescent="0.25">
      <c r="A19" s="289" t="s">
        <v>25</v>
      </c>
      <c r="B19" s="142" t="s">
        <v>58</v>
      </c>
      <c r="C19" s="143">
        <f>+('I T'!E19-'2 T no usar'!C21)+413</f>
        <v>5296</v>
      </c>
      <c r="D19" s="143">
        <f>+(C19-D21)+943</f>
        <v>6169</v>
      </c>
      <c r="E19" s="143">
        <f>+(D19-E21)+774</f>
        <v>6635</v>
      </c>
      <c r="F19" s="143">
        <f>E19</f>
        <v>6635</v>
      </c>
      <c r="H19" s="51"/>
      <c r="I19" s="51"/>
      <c r="J19" s="51"/>
    </row>
    <row r="20" spans="1:10" ht="15" customHeight="1" x14ac:dyDescent="0.25">
      <c r="A20" s="289"/>
      <c r="B20" s="142" t="s">
        <v>59</v>
      </c>
      <c r="C20" s="144">
        <v>10558</v>
      </c>
      <c r="D20" s="144">
        <v>10081</v>
      </c>
      <c r="E20" s="144">
        <v>10342</v>
      </c>
      <c r="F20" s="144">
        <f>AVERAGE(C20:E20)</f>
        <v>10327</v>
      </c>
      <c r="H20" s="51"/>
      <c r="I20" s="51"/>
      <c r="J20" s="51"/>
    </row>
    <row r="21" spans="1:10" ht="15" customHeight="1" x14ac:dyDescent="0.25">
      <c r="A21" s="289"/>
      <c r="B21" s="142" t="s">
        <v>60</v>
      </c>
      <c r="C21" s="144">
        <v>1406</v>
      </c>
      <c r="D21" s="144">
        <v>70</v>
      </c>
      <c r="E21" s="144">
        <v>308</v>
      </c>
      <c r="F21" s="144">
        <f>AVERAGE(C21:E21)</f>
        <v>594.66666666666663</v>
      </c>
      <c r="H21" s="51"/>
      <c r="I21" s="51"/>
      <c r="J21" s="51"/>
    </row>
    <row r="22" spans="1:10" ht="15" customHeight="1" x14ac:dyDescent="0.25">
      <c r="A22" s="73" t="s">
        <v>75</v>
      </c>
      <c r="B22" s="71" t="s">
        <v>58</v>
      </c>
      <c r="C22" s="63">
        <f>+('I T'!E22-'2 T no usar'!C24)+355</f>
        <v>515</v>
      </c>
      <c r="D22" s="63">
        <f>+(C22-D24)+365</f>
        <v>880</v>
      </c>
      <c r="E22" s="63">
        <f>+(D22-E24)+334</f>
        <v>1213</v>
      </c>
      <c r="F22" s="63">
        <f>E22</f>
        <v>1213</v>
      </c>
      <c r="H22" s="68"/>
      <c r="I22" s="68"/>
      <c r="J22" s="68"/>
    </row>
    <row r="23" spans="1:10" ht="15" customHeight="1" x14ac:dyDescent="0.25">
      <c r="A23" s="72"/>
      <c r="B23" s="71" t="s">
        <v>59</v>
      </c>
      <c r="C23" s="62">
        <v>262</v>
      </c>
      <c r="D23" s="62">
        <v>252</v>
      </c>
      <c r="E23" s="62">
        <v>283</v>
      </c>
      <c r="F23" s="62">
        <f>AVERAGE(C23:E23)</f>
        <v>265.66666666666669</v>
      </c>
      <c r="H23" s="68"/>
      <c r="I23" s="68"/>
      <c r="J23" s="68"/>
    </row>
    <row r="24" spans="1:10" ht="15" customHeight="1" x14ac:dyDescent="0.25">
      <c r="A24" s="72"/>
      <c r="B24" s="71" t="s">
        <v>60</v>
      </c>
      <c r="C24" s="62">
        <v>42</v>
      </c>
      <c r="D24" s="62">
        <v>0</v>
      </c>
      <c r="E24" s="62">
        <v>1</v>
      </c>
      <c r="F24" s="62">
        <f>AVERAGE(C24:E24)</f>
        <v>14.333333333333334</v>
      </c>
      <c r="H24" s="68"/>
      <c r="I24" s="68"/>
      <c r="J24" s="68"/>
    </row>
    <row r="25" spans="1:10" ht="15" customHeight="1" x14ac:dyDescent="0.25">
      <c r="A25" s="69"/>
      <c r="B25" s="8"/>
      <c r="C25" s="62"/>
      <c r="D25" s="62"/>
      <c r="E25" s="62"/>
      <c r="F25" s="62"/>
      <c r="H25" s="68"/>
      <c r="I25" s="68"/>
      <c r="J25" s="68"/>
    </row>
    <row r="26" spans="1:10" ht="15" customHeight="1" x14ac:dyDescent="0.25">
      <c r="C26" s="61"/>
      <c r="D26" s="61"/>
      <c r="E26" s="61"/>
      <c r="F26" s="61"/>
    </row>
    <row r="27" spans="1:10" ht="15" customHeight="1" thickBot="1" x14ac:dyDescent="0.3">
      <c r="A27" s="24" t="s">
        <v>13</v>
      </c>
      <c r="B27" s="25" t="s">
        <v>51</v>
      </c>
      <c r="C27" s="64">
        <f>+C14+C15+C17+C18+C20+C23+C24+C21</f>
        <v>15651</v>
      </c>
      <c r="D27" s="64">
        <f>+D14+D15+D17+D18+D20+D23+D24+D21</f>
        <v>12663</v>
      </c>
      <c r="E27" s="64">
        <f>+E14+E15+E17+E18+E20+E23+E24+E21</f>
        <v>13784</v>
      </c>
      <c r="F27" s="64">
        <f>AVERAGE(C27:E27)</f>
        <v>14032.666666666666</v>
      </c>
    </row>
    <row r="28" spans="1:10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10" ht="15" customHeight="1" x14ac:dyDescent="0.25">
      <c r="A29" s="52" t="s">
        <v>72</v>
      </c>
    </row>
    <row r="30" spans="1:10" ht="15" customHeight="1" x14ac:dyDescent="0.25">
      <c r="A30" s="1"/>
    </row>
    <row r="32" spans="1:10" ht="15" customHeight="1" x14ac:dyDescent="0.25">
      <c r="A32" s="280" t="s">
        <v>14</v>
      </c>
      <c r="B32" s="280"/>
      <c r="C32" s="280"/>
      <c r="D32" s="280"/>
      <c r="E32" s="280"/>
      <c r="F32" s="280"/>
    </row>
    <row r="33" spans="1:12" ht="15" customHeight="1" x14ac:dyDescent="0.25">
      <c r="A33" s="277" t="s">
        <v>31</v>
      </c>
      <c r="B33" s="277"/>
      <c r="C33" s="277"/>
      <c r="D33" s="277"/>
      <c r="E33" s="277"/>
      <c r="F33" s="277"/>
    </row>
    <row r="34" spans="1:12" ht="15" customHeight="1" x14ac:dyDescent="0.25">
      <c r="A34" s="280" t="s">
        <v>52</v>
      </c>
      <c r="B34" s="280"/>
      <c r="C34" s="280"/>
      <c r="D34" s="280"/>
      <c r="E34" s="280"/>
      <c r="F34" s="280"/>
    </row>
    <row r="35" spans="1:12" ht="15" customHeight="1" x14ac:dyDescent="0.25">
      <c r="A35" s="276"/>
      <c r="B35" s="276"/>
      <c r="C35" s="276"/>
      <c r="D35" s="276"/>
      <c r="E35" s="276"/>
    </row>
    <row r="36" spans="1:12" ht="15" customHeight="1" thickBot="1" x14ac:dyDescent="0.3">
      <c r="A36" s="40" t="s">
        <v>64</v>
      </c>
      <c r="B36" s="19"/>
      <c r="C36" s="20" t="s">
        <v>27</v>
      </c>
      <c r="D36" s="20" t="s">
        <v>28</v>
      </c>
      <c r="E36" s="20" t="s">
        <v>29</v>
      </c>
      <c r="F36" s="20" t="s">
        <v>30</v>
      </c>
    </row>
    <row r="37" spans="1:12" ht="15" customHeight="1" x14ac:dyDescent="0.25">
      <c r="C37" s="29"/>
      <c r="D37" s="29"/>
      <c r="E37" s="29"/>
      <c r="F37" s="29"/>
      <c r="J37" s="113"/>
      <c r="L37" s="86"/>
    </row>
    <row r="38" spans="1:12" ht="15" customHeight="1" x14ac:dyDescent="0.25">
      <c r="A38" s="145" t="s">
        <v>23</v>
      </c>
      <c r="B38" s="146" t="s">
        <v>56</v>
      </c>
      <c r="C38" s="147">
        <v>305658556</v>
      </c>
      <c r="D38" s="147">
        <v>252866241</v>
      </c>
      <c r="E38" s="147">
        <v>253403112</v>
      </c>
      <c r="F38" s="147">
        <f t="shared" ref="F38:F45" si="0">SUM(C38:E38)</f>
        <v>811927909</v>
      </c>
      <c r="J38" s="113"/>
    </row>
    <row r="39" spans="1:12" ht="15" customHeight="1" x14ac:dyDescent="0.25">
      <c r="A39" s="145"/>
      <c r="B39" s="146" t="s">
        <v>55</v>
      </c>
      <c r="C39" s="147">
        <v>104331931</v>
      </c>
      <c r="D39" s="147">
        <v>10200549</v>
      </c>
      <c r="E39" s="147">
        <v>39728454</v>
      </c>
      <c r="F39" s="147">
        <f t="shared" si="0"/>
        <v>154260934</v>
      </c>
    </row>
    <row r="40" spans="1:12" ht="15" customHeight="1" x14ac:dyDescent="0.25">
      <c r="A40" s="23" t="s">
        <v>24</v>
      </c>
      <c r="B40" s="15" t="s">
        <v>56</v>
      </c>
      <c r="C40" s="66">
        <v>88833262</v>
      </c>
      <c r="D40" s="148">
        <v>73872624</v>
      </c>
      <c r="E40" s="66">
        <v>68503974</v>
      </c>
      <c r="F40" s="65">
        <f t="shared" si="0"/>
        <v>231209860</v>
      </c>
    </row>
    <row r="41" spans="1:12" ht="15" customHeight="1" x14ac:dyDescent="0.25">
      <c r="A41" s="23"/>
      <c r="B41" s="15" t="s">
        <v>55</v>
      </c>
      <c r="C41" s="66">
        <v>15032220</v>
      </c>
      <c r="D41" s="66">
        <v>2934862</v>
      </c>
      <c r="E41" s="66">
        <v>17967082</v>
      </c>
      <c r="F41" s="65">
        <f t="shared" si="0"/>
        <v>35934164</v>
      </c>
    </row>
    <row r="42" spans="1:12" ht="15" customHeight="1" x14ac:dyDescent="0.25">
      <c r="A42" s="145" t="s">
        <v>25</v>
      </c>
      <c r="B42" s="146" t="s">
        <v>56</v>
      </c>
      <c r="C42" s="147">
        <v>582258227</v>
      </c>
      <c r="D42" s="147">
        <v>552645712</v>
      </c>
      <c r="E42" s="147">
        <v>624780920.97000003</v>
      </c>
      <c r="F42" s="147">
        <f t="shared" si="0"/>
        <v>1759684859.97</v>
      </c>
    </row>
    <row r="43" spans="1:12" ht="15" customHeight="1" x14ac:dyDescent="0.25">
      <c r="A43" s="145"/>
      <c r="B43" s="146" t="s">
        <v>55</v>
      </c>
      <c r="C43" s="147">
        <v>46506195</v>
      </c>
      <c r="D43" s="147">
        <v>5616417</v>
      </c>
      <c r="E43" s="147">
        <v>13450358</v>
      </c>
      <c r="F43" s="147">
        <f t="shared" si="0"/>
        <v>65572970</v>
      </c>
    </row>
    <row r="44" spans="1:12" ht="15" customHeight="1" x14ac:dyDescent="0.25">
      <c r="A44" s="70" t="s">
        <v>75</v>
      </c>
      <c r="B44" s="49" t="s">
        <v>56</v>
      </c>
      <c r="C44" s="66">
        <v>113750000</v>
      </c>
      <c r="D44" s="66">
        <v>109900000</v>
      </c>
      <c r="E44" s="66">
        <v>115100000</v>
      </c>
      <c r="F44" s="65">
        <f t="shared" si="0"/>
        <v>338750000</v>
      </c>
    </row>
    <row r="45" spans="1:12" ht="15" customHeight="1" x14ac:dyDescent="0.25">
      <c r="A45" s="70"/>
      <c r="B45" s="49" t="s">
        <v>55</v>
      </c>
      <c r="C45" s="65">
        <v>21200000</v>
      </c>
      <c r="D45" s="65">
        <v>0</v>
      </c>
      <c r="E45" s="65">
        <v>550000</v>
      </c>
      <c r="F45" s="65">
        <f t="shared" si="0"/>
        <v>21750000</v>
      </c>
    </row>
    <row r="46" spans="1:12" ht="15" customHeight="1" thickBot="1" x14ac:dyDescent="0.3">
      <c r="A46" s="24" t="s">
        <v>13</v>
      </c>
      <c r="B46" s="25"/>
      <c r="C46" s="67">
        <f>SUM(C38:C45)</f>
        <v>1277570391</v>
      </c>
      <c r="D46" s="67">
        <f>SUM(D38:D45)</f>
        <v>1008036405</v>
      </c>
      <c r="E46" s="67">
        <f>SUM(E38:E45)</f>
        <v>1133483900.97</v>
      </c>
      <c r="F46" s="67">
        <f>SUM(F38:F45)</f>
        <v>3419090696.9700003</v>
      </c>
    </row>
    <row r="47" spans="1:12" ht="15" customHeight="1" thickTop="1" x14ac:dyDescent="0.25">
      <c r="A47" s="27" t="s">
        <v>42</v>
      </c>
    </row>
    <row r="48" spans="1:12" ht="15" customHeight="1" x14ac:dyDescent="0.25">
      <c r="A48" s="52" t="s">
        <v>72</v>
      </c>
    </row>
    <row r="49" spans="1:5" ht="15" customHeight="1" x14ac:dyDescent="0.25">
      <c r="A49" s="30"/>
    </row>
    <row r="50" spans="1:5" ht="15" customHeight="1" x14ac:dyDescent="0.25">
      <c r="A50" s="30"/>
    </row>
    <row r="51" spans="1:5" ht="15" customHeight="1" x14ac:dyDescent="0.25">
      <c r="A51" s="30"/>
    </row>
    <row r="52" spans="1:5" ht="15" customHeight="1" x14ac:dyDescent="0.25">
      <c r="A52" s="277" t="s">
        <v>15</v>
      </c>
      <c r="B52" s="277"/>
      <c r="C52" s="277"/>
      <c r="D52" s="277"/>
      <c r="E52" s="277"/>
    </row>
    <row r="53" spans="1:5" ht="15" customHeight="1" x14ac:dyDescent="0.25">
      <c r="A53" s="277" t="s">
        <v>32</v>
      </c>
      <c r="B53" s="277"/>
      <c r="C53" s="277"/>
      <c r="D53" s="277"/>
      <c r="E53" s="277"/>
    </row>
    <row r="54" spans="1:5" ht="15" customHeight="1" x14ac:dyDescent="0.25">
      <c r="A54" s="276" t="s">
        <v>52</v>
      </c>
      <c r="B54" s="276"/>
      <c r="C54" s="276"/>
      <c r="D54" s="276"/>
      <c r="E54" s="276"/>
    </row>
    <row r="55" spans="1:5" ht="15" customHeight="1" x14ac:dyDescent="0.25">
      <c r="A55" s="276"/>
      <c r="B55" s="276"/>
      <c r="C55" s="276"/>
      <c r="D55" s="276"/>
      <c r="E55" s="276"/>
    </row>
    <row r="56" spans="1:5" ht="15" customHeight="1" thickBot="1" x14ac:dyDescent="0.3">
      <c r="A56" s="18" t="s">
        <v>10</v>
      </c>
      <c r="B56" s="20" t="s">
        <v>27</v>
      </c>
      <c r="C56" s="20" t="s">
        <v>28</v>
      </c>
      <c r="D56" s="20" t="s">
        <v>29</v>
      </c>
      <c r="E56" s="20" t="s">
        <v>30</v>
      </c>
    </row>
    <row r="57" spans="1:5" ht="15" customHeight="1" x14ac:dyDescent="0.25">
      <c r="B57" s="22"/>
      <c r="C57" s="22"/>
      <c r="D57" s="22"/>
      <c r="E57" s="22"/>
    </row>
    <row r="58" spans="1:5" ht="15" customHeight="1" x14ac:dyDescent="0.25">
      <c r="A58" s="21" t="s">
        <v>26</v>
      </c>
      <c r="B58" s="62">
        <f>SUM(C38:C41)</f>
        <v>513855969</v>
      </c>
      <c r="C58" s="62">
        <f t="shared" ref="C58:D58" si="1">SUM(D38:D41)</f>
        <v>339874276</v>
      </c>
      <c r="D58" s="62">
        <f t="shared" si="1"/>
        <v>379602622</v>
      </c>
      <c r="E58" s="22">
        <f>SUM(B58:D58)</f>
        <v>1233332867</v>
      </c>
    </row>
    <row r="59" spans="1:5" ht="15" customHeight="1" x14ac:dyDescent="0.25">
      <c r="A59" s="21" t="s">
        <v>43</v>
      </c>
      <c r="B59" s="62">
        <f>SUM(C42:C43)</f>
        <v>628764422</v>
      </c>
      <c r="C59" s="62">
        <f t="shared" ref="C59:D59" si="2">SUM(D42:D43)</f>
        <v>558262129</v>
      </c>
      <c r="D59" s="62">
        <f t="shared" si="2"/>
        <v>638231278.97000003</v>
      </c>
      <c r="E59" s="88">
        <f t="shared" ref="E59:E61" si="3">SUM(B59:D59)</f>
        <v>1825257829.97</v>
      </c>
    </row>
    <row r="60" spans="1:5" ht="15" customHeight="1" x14ac:dyDescent="0.25">
      <c r="A60" s="80" t="s">
        <v>76</v>
      </c>
      <c r="B60" s="75">
        <f>SUM(C44:C45)</f>
        <v>134950000</v>
      </c>
      <c r="C60" s="75">
        <f t="shared" ref="C60:D60" si="4">SUM(D44:D45)</f>
        <v>109900000</v>
      </c>
      <c r="D60" s="75">
        <f t="shared" si="4"/>
        <v>115650000</v>
      </c>
      <c r="E60" s="88">
        <f t="shared" si="3"/>
        <v>360500000</v>
      </c>
    </row>
    <row r="61" spans="1:5" ht="15" customHeight="1" x14ac:dyDescent="0.25">
      <c r="A61" s="21" t="s">
        <v>7</v>
      </c>
      <c r="B61" s="61"/>
      <c r="C61" s="61"/>
      <c r="D61" s="61"/>
      <c r="E61" s="88">
        <f t="shared" si="3"/>
        <v>0</v>
      </c>
    </row>
    <row r="62" spans="1:5" ht="15" customHeight="1" x14ac:dyDescent="0.25">
      <c r="A62" s="21" t="s">
        <v>8</v>
      </c>
      <c r="B62" s="61"/>
      <c r="C62" s="61"/>
      <c r="D62" s="61"/>
      <c r="E62" s="22">
        <f>SUM(B62:D62)</f>
        <v>0</v>
      </c>
    </row>
    <row r="63" spans="1:5" ht="15" customHeight="1" thickBot="1" x14ac:dyDescent="0.3">
      <c r="A63" s="24" t="s">
        <v>13</v>
      </c>
      <c r="B63" s="64">
        <f>SUM(B58:B62)</f>
        <v>1277570391</v>
      </c>
      <c r="C63" s="64">
        <f>SUM(C58:C62)</f>
        <v>1008036405</v>
      </c>
      <c r="D63" s="64">
        <f>SUM(D58:D62)</f>
        <v>1133483900.97</v>
      </c>
      <c r="E63" s="26">
        <f>SUM(E58:E62)</f>
        <v>3419090696.9700003</v>
      </c>
    </row>
    <row r="64" spans="1:5" ht="15" customHeight="1" thickTop="1" x14ac:dyDescent="0.25">
      <c r="A64" s="52" t="s">
        <v>72</v>
      </c>
    </row>
    <row r="65" spans="1:13" ht="15" customHeight="1" x14ac:dyDescent="0.25">
      <c r="A65" s="1"/>
    </row>
    <row r="67" spans="1:13" ht="15" customHeight="1" x14ac:dyDescent="0.25">
      <c r="A67" s="277" t="s">
        <v>44</v>
      </c>
      <c r="B67" s="277"/>
      <c r="C67" s="277"/>
      <c r="D67" s="277"/>
      <c r="E67" s="277"/>
    </row>
    <row r="68" spans="1:13" ht="15" customHeight="1" x14ac:dyDescent="0.25">
      <c r="A68" s="271" t="s">
        <v>78</v>
      </c>
      <c r="B68" s="271"/>
      <c r="C68" s="271"/>
      <c r="D68" s="271"/>
      <c r="E68" s="271"/>
    </row>
    <row r="69" spans="1:13" ht="15" customHeight="1" x14ac:dyDescent="0.25">
      <c r="A69" s="280" t="s">
        <v>52</v>
      </c>
      <c r="B69" s="280"/>
      <c r="C69" s="280"/>
      <c r="D69" s="280"/>
      <c r="E69" s="280"/>
    </row>
    <row r="70" spans="1:13" ht="15" customHeight="1" x14ac:dyDescent="0.25">
      <c r="A70" s="276"/>
      <c r="B70" s="276"/>
      <c r="C70" s="276"/>
      <c r="D70" s="276"/>
      <c r="E70" s="276"/>
    </row>
    <row r="71" spans="1:13" ht="15" customHeight="1" thickBot="1" x14ac:dyDescent="0.3">
      <c r="A71" s="32" t="s">
        <v>10</v>
      </c>
      <c r="B71" s="34" t="s">
        <v>27</v>
      </c>
      <c r="C71" s="34" t="s">
        <v>28</v>
      </c>
      <c r="D71" s="34" t="s">
        <v>29</v>
      </c>
      <c r="E71" s="34" t="s">
        <v>30</v>
      </c>
    </row>
    <row r="72" spans="1:13" ht="15" customHeight="1" x14ac:dyDescent="0.25">
      <c r="B72" s="22"/>
      <c r="C72" s="22"/>
      <c r="D72" s="22"/>
      <c r="E72" s="22"/>
      <c r="I72" s="86"/>
      <c r="J72" s="86"/>
      <c r="K72" s="86"/>
      <c r="L72" s="86"/>
      <c r="M72" s="86"/>
    </row>
    <row r="73" spans="1:13" ht="15" customHeight="1" x14ac:dyDescent="0.25">
      <c r="A73" s="15" t="s">
        <v>62</v>
      </c>
      <c r="B73" s="61">
        <f>'I T'!E76</f>
        <v>269762422.75999999</v>
      </c>
      <c r="C73" s="61">
        <f>B77</f>
        <v>178208120.75999999</v>
      </c>
      <c r="D73" s="61">
        <f>C77</f>
        <v>260635511.75999999</v>
      </c>
      <c r="E73" s="61">
        <f>B73</f>
        <v>269762422.75999999</v>
      </c>
      <c r="I73" s="86"/>
      <c r="J73" s="86"/>
      <c r="K73" s="86"/>
      <c r="L73" s="86"/>
      <c r="M73" s="86"/>
    </row>
    <row r="74" spans="1:13" ht="15" customHeight="1" x14ac:dyDescent="0.25">
      <c r="A74" s="15" t="s">
        <v>16</v>
      </c>
      <c r="B74" s="115">
        <v>422301667</v>
      </c>
      <c r="C74" s="115">
        <v>422301667</v>
      </c>
      <c r="D74" s="115">
        <v>422301667</v>
      </c>
      <c r="E74" s="83">
        <f>SUM(B74:D74)</f>
        <v>1266905001</v>
      </c>
      <c r="G74" s="42"/>
      <c r="H74" s="42"/>
      <c r="I74" s="86"/>
      <c r="J74" s="86"/>
      <c r="K74" s="86"/>
      <c r="L74" s="86"/>
      <c r="M74" s="86"/>
    </row>
    <row r="75" spans="1:13" ht="15" customHeight="1" x14ac:dyDescent="0.25">
      <c r="A75" s="15" t="s">
        <v>17</v>
      </c>
      <c r="B75" s="61">
        <f>+B73+B74</f>
        <v>692064089.75999999</v>
      </c>
      <c r="C75" s="61">
        <f>+C73+C74</f>
        <v>600509787.75999999</v>
      </c>
      <c r="D75" s="61">
        <f>+D73+D74</f>
        <v>682937178.75999999</v>
      </c>
      <c r="E75" s="61">
        <f>+E73+E74</f>
        <v>1536667423.76</v>
      </c>
      <c r="G75" s="39"/>
      <c r="H75" s="39"/>
      <c r="I75" s="86"/>
      <c r="J75" s="86"/>
      <c r="K75" s="86"/>
      <c r="L75" s="86"/>
      <c r="M75" s="86"/>
    </row>
    <row r="76" spans="1:13" ht="15" customHeight="1" x14ac:dyDescent="0.25">
      <c r="A76" s="15" t="s">
        <v>18</v>
      </c>
      <c r="B76" s="76">
        <f>B58</f>
        <v>513855969</v>
      </c>
      <c r="C76" s="76">
        <f>C58</f>
        <v>339874276</v>
      </c>
      <c r="D76" s="76">
        <f>D58</f>
        <v>379602622</v>
      </c>
      <c r="E76" s="62">
        <f>SUM(B76:D76)</f>
        <v>1233332867</v>
      </c>
      <c r="F76" s="31"/>
      <c r="G76" s="39"/>
      <c r="H76" s="39"/>
      <c r="I76" s="86"/>
      <c r="J76" s="86"/>
      <c r="K76" s="86"/>
      <c r="L76" s="86"/>
      <c r="M76" s="86"/>
    </row>
    <row r="77" spans="1:13" ht="15" customHeight="1" x14ac:dyDescent="0.25">
      <c r="A77" s="28" t="s">
        <v>19</v>
      </c>
      <c r="B77" s="77">
        <f>+B75-B76</f>
        <v>178208120.75999999</v>
      </c>
      <c r="C77" s="77">
        <f>+C75-C76</f>
        <v>260635511.75999999</v>
      </c>
      <c r="D77" s="77">
        <f>+D75-D76</f>
        <v>303334556.75999999</v>
      </c>
      <c r="E77" s="77">
        <f>+E75-E76</f>
        <v>303334556.75999999</v>
      </c>
      <c r="G77" s="39"/>
      <c r="H77" s="39"/>
      <c r="I77" s="86"/>
      <c r="J77" s="86"/>
      <c r="K77" s="86"/>
      <c r="L77" s="86"/>
      <c r="M77" s="86"/>
    </row>
    <row r="78" spans="1:13" ht="15" customHeight="1" thickBot="1" x14ac:dyDescent="0.3">
      <c r="A78" s="25"/>
      <c r="B78" s="26"/>
      <c r="C78" s="26"/>
      <c r="D78" s="26"/>
      <c r="E78" s="26"/>
      <c r="G78" s="39"/>
      <c r="H78" s="39"/>
      <c r="I78" s="86"/>
      <c r="J78" s="86"/>
      <c r="K78" s="86"/>
      <c r="L78" s="86"/>
      <c r="M78" s="86"/>
    </row>
    <row r="79" spans="1:13" ht="15" customHeight="1" thickTop="1" x14ac:dyDescent="0.25">
      <c r="A79" s="52" t="s">
        <v>72</v>
      </c>
      <c r="G79" s="39"/>
      <c r="H79" s="39"/>
      <c r="I79" s="39"/>
    </row>
    <row r="80" spans="1:13" ht="15" customHeight="1" x14ac:dyDescent="0.25">
      <c r="A80" s="1"/>
      <c r="G80" s="39"/>
      <c r="H80" s="39"/>
      <c r="I80" s="39"/>
    </row>
    <row r="81" spans="1:9" ht="15" customHeight="1" x14ac:dyDescent="0.25">
      <c r="A81" s="15"/>
      <c r="G81" s="39"/>
      <c r="H81" s="39"/>
      <c r="I81" s="39"/>
    </row>
    <row r="82" spans="1:9" ht="15" customHeight="1" x14ac:dyDescent="0.25">
      <c r="A82" s="277" t="s">
        <v>45</v>
      </c>
      <c r="B82" s="277"/>
      <c r="C82" s="277"/>
      <c r="D82" s="277"/>
      <c r="E82" s="277"/>
      <c r="F82" s="16" t="s">
        <v>54</v>
      </c>
      <c r="G82" s="39"/>
      <c r="H82" s="39"/>
      <c r="I82" s="30"/>
    </row>
    <row r="83" spans="1:9" ht="15" customHeight="1" x14ac:dyDescent="0.25">
      <c r="A83" s="277" t="s">
        <v>49</v>
      </c>
      <c r="B83" s="277"/>
      <c r="C83" s="277"/>
      <c r="D83" s="277"/>
      <c r="E83" s="277"/>
      <c r="F83" s="41">
        <f>E74+E89+E90</f>
        <v>3949716900</v>
      </c>
      <c r="G83" s="39"/>
      <c r="H83" s="43"/>
      <c r="I83" s="112" t="s">
        <v>89</v>
      </c>
    </row>
    <row r="84" spans="1:9" ht="15" customHeight="1" x14ac:dyDescent="0.25">
      <c r="A84" s="280" t="s">
        <v>52</v>
      </c>
      <c r="B84" s="280"/>
      <c r="C84" s="280"/>
      <c r="D84" s="280"/>
      <c r="E84" s="280"/>
      <c r="F84" s="41"/>
      <c r="G84" s="39"/>
      <c r="H84" s="39"/>
      <c r="I84" s="39"/>
    </row>
    <row r="85" spans="1:9" ht="15" customHeight="1" x14ac:dyDescent="0.25">
      <c r="A85" s="276"/>
      <c r="B85" s="276"/>
      <c r="C85" s="276"/>
      <c r="D85" s="276"/>
      <c r="E85" s="276"/>
      <c r="G85" s="39"/>
      <c r="H85" s="39"/>
      <c r="I85" s="39"/>
    </row>
    <row r="86" spans="1:9" ht="15" customHeight="1" thickBot="1" x14ac:dyDescent="0.3">
      <c r="A86" s="32" t="s">
        <v>10</v>
      </c>
      <c r="B86" s="34" t="s">
        <v>27</v>
      </c>
      <c r="C86" s="34" t="s">
        <v>28</v>
      </c>
      <c r="D86" s="34" t="s">
        <v>29</v>
      </c>
      <c r="E86" s="34" t="s">
        <v>30</v>
      </c>
      <c r="G86" s="39"/>
      <c r="H86" s="39"/>
      <c r="I86" s="39"/>
    </row>
    <row r="87" spans="1:9" ht="15" customHeight="1" x14ac:dyDescent="0.25">
      <c r="B87" s="22"/>
      <c r="C87" s="22"/>
      <c r="D87" s="22"/>
      <c r="E87" s="22"/>
      <c r="G87" s="39"/>
      <c r="H87" s="39"/>
      <c r="I87" s="39"/>
    </row>
    <row r="88" spans="1:9" ht="15" customHeight="1" x14ac:dyDescent="0.25">
      <c r="A88" s="15" t="s">
        <v>62</v>
      </c>
      <c r="B88" s="61">
        <f>'I T'!E108</f>
        <v>652849150.48000002</v>
      </c>
      <c r="C88" s="61">
        <f>B93</f>
        <v>783405361.48000002</v>
      </c>
      <c r="D88" s="61">
        <f>C93</f>
        <v>1009513865.48</v>
      </c>
      <c r="E88" s="61">
        <f>+B88</f>
        <v>652849150.48000002</v>
      </c>
      <c r="G88" s="39"/>
      <c r="H88" s="39"/>
      <c r="I88" s="87"/>
    </row>
    <row r="89" spans="1:9" ht="15" customHeight="1" x14ac:dyDescent="0.25">
      <c r="A89" s="15" t="s">
        <v>16</v>
      </c>
      <c r="B89" s="109">
        <v>630820633</v>
      </c>
      <c r="C89" s="109">
        <v>630820633</v>
      </c>
      <c r="D89" s="109">
        <v>630820633</v>
      </c>
      <c r="E89" s="61">
        <f>SUM(B89:D89)</f>
        <v>1892461899</v>
      </c>
      <c r="G89" s="42"/>
      <c r="H89" s="42"/>
      <c r="I89" s="42"/>
    </row>
    <row r="90" spans="1:9" s="79" customFormat="1" ht="15" customHeight="1" x14ac:dyDescent="0.25">
      <c r="A90" s="82" t="s">
        <v>77</v>
      </c>
      <c r="B90" s="109">
        <v>263450000</v>
      </c>
      <c r="C90" s="109">
        <v>263450000</v>
      </c>
      <c r="D90" s="109">
        <v>263450000</v>
      </c>
      <c r="E90" s="81">
        <f>SUM(B90:D90)</f>
        <v>790350000</v>
      </c>
      <c r="G90" s="42"/>
      <c r="H90" s="42"/>
      <c r="I90" s="42"/>
    </row>
    <row r="91" spans="1:9" ht="15" customHeight="1" x14ac:dyDescent="0.25">
      <c r="A91" s="15" t="s">
        <v>17</v>
      </c>
      <c r="B91" s="61">
        <f>SUM(B88:B90)</f>
        <v>1547119783.48</v>
      </c>
      <c r="C91" s="61">
        <f>SUM(C88:C90)</f>
        <v>1677675994.48</v>
      </c>
      <c r="D91" s="61">
        <f>SUM(D88:D90)</f>
        <v>1903784498.48</v>
      </c>
      <c r="E91" s="61">
        <f>SUM(E88:E90)</f>
        <v>3335661049.48</v>
      </c>
    </row>
    <row r="92" spans="1:9" ht="15" customHeight="1" x14ac:dyDescent="0.25">
      <c r="A92" s="15" t="s">
        <v>18</v>
      </c>
      <c r="B92" s="76">
        <f>B59+B60</f>
        <v>763714422</v>
      </c>
      <c r="C92" s="76">
        <f>C59+C60</f>
        <v>668162129</v>
      </c>
      <c r="D92" s="76">
        <f>D59+D60</f>
        <v>753881278.97000003</v>
      </c>
      <c r="E92" s="62">
        <f>SUM(B92:D92)</f>
        <v>2185757829.9700003</v>
      </c>
      <c r="F92" s="31"/>
    </row>
    <row r="93" spans="1:9" ht="15" customHeight="1" x14ac:dyDescent="0.25">
      <c r="A93" s="28" t="s">
        <v>19</v>
      </c>
      <c r="B93" s="77">
        <f>+B91-B92</f>
        <v>783405361.48000002</v>
      </c>
      <c r="C93" s="77">
        <f>+C91-C92</f>
        <v>1009513865.48</v>
      </c>
      <c r="D93" s="77">
        <f>+D91-D92</f>
        <v>1149903219.51</v>
      </c>
      <c r="E93" s="77">
        <f>+E91-E92</f>
        <v>1149903219.5099998</v>
      </c>
    </row>
    <row r="94" spans="1:9" ht="15" customHeight="1" thickBot="1" x14ac:dyDescent="0.3">
      <c r="A94" s="25"/>
      <c r="B94" s="26"/>
      <c r="C94" s="26"/>
      <c r="D94" s="26"/>
      <c r="E94" s="26"/>
    </row>
    <row r="95" spans="1:9" ht="15" customHeight="1" thickTop="1" x14ac:dyDescent="0.25">
      <c r="A95" s="52" t="s">
        <v>72</v>
      </c>
    </row>
    <row r="96" spans="1:9" ht="36.75" customHeight="1" x14ac:dyDescent="0.25">
      <c r="A96" s="82" t="s">
        <v>79</v>
      </c>
    </row>
    <row r="98" spans="1:3" ht="15" customHeight="1" x14ac:dyDescent="0.25">
      <c r="A98" s="39"/>
    </row>
    <row r="99" spans="1:3" ht="15" customHeight="1" x14ac:dyDescent="0.25">
      <c r="A99" s="87" t="s">
        <v>80</v>
      </c>
      <c r="B99" s="86"/>
      <c r="C99" s="113"/>
    </row>
    <row r="100" spans="1:3" ht="15" customHeight="1" x14ac:dyDescent="0.25">
      <c r="A100" s="87"/>
    </row>
  </sheetData>
  <mergeCells count="24">
    <mergeCell ref="A85:E85"/>
    <mergeCell ref="A69:E69"/>
    <mergeCell ref="A84:E84"/>
    <mergeCell ref="A55:E55"/>
    <mergeCell ref="A1:F1"/>
    <mergeCell ref="A7:F7"/>
    <mergeCell ref="A8:F8"/>
    <mergeCell ref="A10:F10"/>
    <mergeCell ref="A35:E35"/>
    <mergeCell ref="A52:E52"/>
    <mergeCell ref="A53:E53"/>
    <mergeCell ref="A9:F9"/>
    <mergeCell ref="A32:F32"/>
    <mergeCell ref="A67:E67"/>
    <mergeCell ref="A68:E68"/>
    <mergeCell ref="A70:E70"/>
    <mergeCell ref="A13:A15"/>
    <mergeCell ref="A16:A18"/>
    <mergeCell ref="A19:A21"/>
    <mergeCell ref="A82:E82"/>
    <mergeCell ref="A83:E83"/>
    <mergeCell ref="A33:F33"/>
    <mergeCell ref="A34:F34"/>
    <mergeCell ref="A54:E54"/>
  </mergeCells>
  <printOptions horizontalCentered="1" verticalCentered="1"/>
  <pageMargins left="0.70866141732283472" right="1.18" top="0.3" bottom="0.2" header="0.31496062992125984" footer="0.31496062992125984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7"/>
  <sheetViews>
    <sheetView zoomScale="90" zoomScaleNormal="90" workbookViewId="0">
      <selection activeCell="F83" sqref="F8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6.5703125" style="15" customWidth="1"/>
    <col min="3" max="3" width="16" style="15" bestFit="1" customWidth="1"/>
    <col min="4" max="4" width="19.140625" style="15" customWidth="1"/>
    <col min="5" max="5" width="17" style="15" bestFit="1" customWidth="1"/>
    <col min="6" max="6" width="21.42578125" style="15" customWidth="1"/>
    <col min="7" max="7" width="19.5703125" style="15" customWidth="1"/>
    <col min="8" max="8" width="17.7109375" style="15" bestFit="1" customWidth="1"/>
    <col min="9" max="10" width="16" style="15" bestFit="1" customWidth="1"/>
    <col min="11" max="11" width="17.5703125" style="15" bestFit="1" customWidth="1"/>
    <col min="12" max="12" width="5.140625" style="15" bestFit="1" customWidth="1"/>
    <col min="13" max="16384" width="11.5703125" style="15"/>
  </cols>
  <sheetData>
    <row r="1" spans="1:10" ht="15" customHeight="1" x14ac:dyDescent="0.25">
      <c r="A1" s="277" t="s">
        <v>20</v>
      </c>
      <c r="B1" s="277"/>
      <c r="C1" s="277"/>
      <c r="D1" s="277"/>
      <c r="E1" s="277"/>
      <c r="F1" s="277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90</v>
      </c>
      <c r="C5" s="16"/>
      <c r="D5" s="16"/>
      <c r="E5" s="16"/>
      <c r="F5" s="16"/>
    </row>
    <row r="7" spans="1:10" ht="15" customHeight="1" x14ac:dyDescent="0.25">
      <c r="A7" s="277" t="s">
        <v>9</v>
      </c>
      <c r="B7" s="277"/>
      <c r="C7" s="277"/>
      <c r="D7" s="277"/>
      <c r="E7" s="277"/>
      <c r="F7" s="277"/>
    </row>
    <row r="8" spans="1:10" ht="15" customHeight="1" x14ac:dyDescent="0.25">
      <c r="A8" s="277" t="s">
        <v>12</v>
      </c>
      <c r="B8" s="277"/>
      <c r="C8" s="277"/>
      <c r="D8" s="277"/>
      <c r="E8" s="277"/>
      <c r="F8" s="277"/>
    </row>
    <row r="9" spans="1:10" ht="15" customHeight="1" x14ac:dyDescent="0.25">
      <c r="A9" s="280" t="s">
        <v>50</v>
      </c>
      <c r="B9" s="280"/>
      <c r="C9" s="280"/>
      <c r="D9" s="280"/>
      <c r="E9" s="280"/>
      <c r="F9" s="280"/>
    </row>
    <row r="10" spans="1:10" ht="15" customHeight="1" x14ac:dyDescent="0.25">
      <c r="A10" s="276"/>
      <c r="B10" s="276"/>
      <c r="C10" s="276"/>
      <c r="D10" s="276"/>
      <c r="E10" s="276"/>
      <c r="F10" s="276"/>
      <c r="H10" s="86"/>
    </row>
    <row r="11" spans="1:10" ht="15" customHeight="1" thickBot="1" x14ac:dyDescent="0.3">
      <c r="A11" s="40" t="s">
        <v>64</v>
      </c>
      <c r="B11" s="33"/>
      <c r="C11" s="33" t="s">
        <v>33</v>
      </c>
      <c r="D11" s="33" t="s">
        <v>34</v>
      </c>
      <c r="E11" s="33" t="s">
        <v>57</v>
      </c>
      <c r="F11" s="45" t="s">
        <v>70</v>
      </c>
      <c r="H11" s="86"/>
    </row>
    <row r="12" spans="1:10" ht="15" customHeight="1" x14ac:dyDescent="0.25">
      <c r="H12" s="86"/>
    </row>
    <row r="13" spans="1:10" x14ac:dyDescent="0.25">
      <c r="A13" s="291" t="s">
        <v>23</v>
      </c>
      <c r="B13" s="149" t="s">
        <v>58</v>
      </c>
      <c r="C13" s="150">
        <f>+('2 T no usar'!E13-'3 T'!C15)+181</f>
        <v>647</v>
      </c>
      <c r="D13" s="150">
        <f>+(C13-D15)+243</f>
        <v>836</v>
      </c>
      <c r="E13" s="150">
        <f>+(D13-E15)+193</f>
        <v>901</v>
      </c>
      <c r="F13" s="150">
        <f>E13</f>
        <v>901</v>
      </c>
      <c r="H13" s="86"/>
      <c r="I13" s="87"/>
      <c r="J13" s="51"/>
    </row>
    <row r="14" spans="1:10" ht="15" customHeight="1" x14ac:dyDescent="0.25">
      <c r="A14" s="291"/>
      <c r="B14" s="149" t="s">
        <v>59</v>
      </c>
      <c r="C14" s="150">
        <v>1538</v>
      </c>
      <c r="D14" s="150">
        <v>1461</v>
      </c>
      <c r="E14" s="150">
        <v>1533</v>
      </c>
      <c r="F14" s="150">
        <f>AVERAGE(C14:E14)</f>
        <v>1510.6666666666667</v>
      </c>
      <c r="H14" s="86"/>
      <c r="I14" s="51"/>
      <c r="J14" s="51"/>
    </row>
    <row r="15" spans="1:10" ht="15" customHeight="1" x14ac:dyDescent="0.25">
      <c r="A15" s="291"/>
      <c r="B15" s="149" t="s">
        <v>60</v>
      </c>
      <c r="C15" s="161">
        <v>141</v>
      </c>
      <c r="D15" s="150">
        <v>54</v>
      </c>
      <c r="E15" s="161">
        <v>128</v>
      </c>
      <c r="F15" s="150">
        <f>AVERAGE(C15:E15)</f>
        <v>107.66666666666667</v>
      </c>
      <c r="G15" s="86"/>
      <c r="H15" s="86"/>
      <c r="J15" s="51"/>
    </row>
    <row r="16" spans="1:10" x14ac:dyDescent="0.25">
      <c r="A16" s="279" t="s">
        <v>24</v>
      </c>
      <c r="B16" s="158" t="s">
        <v>58</v>
      </c>
      <c r="C16" s="159">
        <f>+('2 T no usar'!E16-'3 T'!C18)+32</f>
        <v>12</v>
      </c>
      <c r="D16" s="159">
        <f>+(C16-D18)+38</f>
        <v>-19</v>
      </c>
      <c r="E16" s="159">
        <f>+(D16-E18)+62</f>
        <v>5</v>
      </c>
      <c r="F16" s="159">
        <f>E16</f>
        <v>5</v>
      </c>
      <c r="H16" s="86"/>
      <c r="I16" s="87"/>
      <c r="J16" s="51"/>
    </row>
    <row r="17" spans="1:10" ht="15" customHeight="1" x14ac:dyDescent="0.25">
      <c r="A17" s="279"/>
      <c r="B17" s="158" t="s">
        <v>59</v>
      </c>
      <c r="C17" s="159">
        <v>1181</v>
      </c>
      <c r="D17" s="159">
        <v>1167</v>
      </c>
      <c r="E17" s="159">
        <v>1207</v>
      </c>
      <c r="F17" s="159">
        <f>AVERAGE(C17:E17)</f>
        <v>1185</v>
      </c>
      <c r="H17" s="86"/>
      <c r="I17" s="51"/>
      <c r="J17" s="51"/>
    </row>
    <row r="18" spans="1:10" ht="15" customHeight="1" x14ac:dyDescent="0.25">
      <c r="A18" s="279"/>
      <c r="B18" s="158" t="s">
        <v>60</v>
      </c>
      <c r="C18" s="159">
        <v>95</v>
      </c>
      <c r="D18" s="159">
        <v>69</v>
      </c>
      <c r="E18" s="159">
        <v>38</v>
      </c>
      <c r="F18" s="159">
        <f>AVERAGE(C18:E18)</f>
        <v>67.333333333333329</v>
      </c>
      <c r="G18" s="86"/>
      <c r="H18" s="86"/>
      <c r="J18" s="51"/>
    </row>
    <row r="19" spans="1:10" x14ac:dyDescent="0.25">
      <c r="A19" s="290" t="s">
        <v>25</v>
      </c>
      <c r="B19" s="149" t="s">
        <v>58</v>
      </c>
      <c r="C19" s="150">
        <f>+('2 T no usar'!E19-'3 T'!C21)+398</f>
        <v>6561</v>
      </c>
      <c r="D19" s="150">
        <f>+(C19-D21)+838</f>
        <v>6610</v>
      </c>
      <c r="E19" s="150">
        <f>+(D19-E21)+1559</f>
        <v>7705</v>
      </c>
      <c r="F19" s="150">
        <f>+E19</f>
        <v>7705</v>
      </c>
      <c r="H19" s="86"/>
      <c r="I19" s="87"/>
      <c r="J19" s="51"/>
    </row>
    <row r="20" spans="1:10" ht="15" customHeight="1" x14ac:dyDescent="0.25">
      <c r="A20" s="290"/>
      <c r="B20" s="149" t="s">
        <v>59</v>
      </c>
      <c r="C20" s="150">
        <v>10236</v>
      </c>
      <c r="D20" s="150">
        <v>9844</v>
      </c>
      <c r="E20" s="150">
        <v>9292</v>
      </c>
      <c r="F20" s="150">
        <f>AVERAGE(C20:E20)</f>
        <v>9790.6666666666661</v>
      </c>
      <c r="H20" s="86"/>
      <c r="I20" s="51"/>
      <c r="J20" s="51"/>
    </row>
    <row r="21" spans="1:10" ht="15" customHeight="1" x14ac:dyDescent="0.25">
      <c r="A21" s="290"/>
      <c r="B21" s="149" t="s">
        <v>60</v>
      </c>
      <c r="C21" s="150">
        <v>472</v>
      </c>
      <c r="D21" s="150">
        <v>789</v>
      </c>
      <c r="E21" s="150">
        <v>464</v>
      </c>
      <c r="F21" s="150">
        <f>AVERAGE(C21:E21)</f>
        <v>575</v>
      </c>
      <c r="G21" s="86"/>
      <c r="H21" s="86"/>
      <c r="I21" s="51"/>
      <c r="J21" s="51"/>
    </row>
    <row r="22" spans="1:10" ht="15" customHeight="1" x14ac:dyDescent="0.25">
      <c r="A22" s="154" t="s">
        <v>75</v>
      </c>
      <c r="B22" s="155" t="s">
        <v>58</v>
      </c>
      <c r="C22" s="150">
        <f>+('2 T no usar'!E22-'3 T'!C24)+325</f>
        <v>1520</v>
      </c>
      <c r="D22" s="150">
        <f>+(C22-D24)+0</f>
        <v>273</v>
      </c>
      <c r="E22" s="150">
        <f>+(D22-E24)+23</f>
        <v>-172</v>
      </c>
      <c r="F22" s="156">
        <f>E22</f>
        <v>-172</v>
      </c>
      <c r="H22" s="86"/>
      <c r="I22" s="87"/>
      <c r="J22" s="68"/>
    </row>
    <row r="23" spans="1:10" ht="15" customHeight="1" x14ac:dyDescent="0.25">
      <c r="A23" s="157"/>
      <c r="B23" s="155" t="s">
        <v>59</v>
      </c>
      <c r="C23" s="156">
        <v>292</v>
      </c>
      <c r="D23" s="156">
        <v>588</v>
      </c>
      <c r="E23" s="156">
        <v>655</v>
      </c>
      <c r="F23" s="156">
        <f>AVERAGE(C23:E23)</f>
        <v>511.66666666666669</v>
      </c>
      <c r="H23" s="86"/>
      <c r="I23" s="68"/>
      <c r="J23" s="68"/>
    </row>
    <row r="24" spans="1:10" ht="15" customHeight="1" x14ac:dyDescent="0.25">
      <c r="A24" s="157"/>
      <c r="B24" s="155" t="s">
        <v>60</v>
      </c>
      <c r="C24" s="156">
        <v>18</v>
      </c>
      <c r="D24" s="156">
        <v>1247</v>
      </c>
      <c r="E24" s="156">
        <v>468</v>
      </c>
      <c r="F24" s="156">
        <f>AVERAGE(C24:E24)</f>
        <v>577.66666666666663</v>
      </c>
      <c r="G24" s="86"/>
      <c r="H24" s="86"/>
      <c r="I24" s="68"/>
      <c r="J24" s="68"/>
    </row>
    <row r="25" spans="1:10" ht="15" customHeight="1" x14ac:dyDescent="0.25">
      <c r="A25" s="69"/>
      <c r="B25" s="8"/>
      <c r="H25" s="86"/>
      <c r="I25" s="68"/>
      <c r="J25" s="68"/>
    </row>
    <row r="26" spans="1:10" ht="15" customHeight="1" x14ac:dyDescent="0.25">
      <c r="H26" s="86"/>
      <c r="I26" s="51"/>
      <c r="J26" s="51"/>
    </row>
    <row r="27" spans="1:10" ht="15" customHeight="1" thickBot="1" x14ac:dyDescent="0.3">
      <c r="A27" s="24" t="s">
        <v>13</v>
      </c>
      <c r="B27" s="25" t="s">
        <v>51</v>
      </c>
      <c r="C27" s="25">
        <f>+C14+C15+C17+C18+C20+C21+C23+C24</f>
        <v>13973</v>
      </c>
      <c r="D27" s="25">
        <f>+D14+D15+D17+D18+D20+D21+D23+D24</f>
        <v>15219</v>
      </c>
      <c r="E27" s="25">
        <f>+E14+E15+E17+E18+E20+E21+E23+E24</f>
        <v>13785</v>
      </c>
      <c r="F27" s="25">
        <f>AVERAGE(C27:E27)</f>
        <v>14325.666666666666</v>
      </c>
    </row>
    <row r="28" spans="1:10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10" ht="15" customHeight="1" x14ac:dyDescent="0.25">
      <c r="A29" s="52" t="s">
        <v>72</v>
      </c>
    </row>
    <row r="30" spans="1:10" ht="15" customHeight="1" x14ac:dyDescent="0.25">
      <c r="A30" s="1"/>
      <c r="C30" s="89"/>
      <c r="D30" s="89"/>
      <c r="E30" s="89"/>
    </row>
    <row r="32" spans="1:10" ht="15" customHeight="1" x14ac:dyDescent="0.25">
      <c r="A32" s="280" t="s">
        <v>14</v>
      </c>
      <c r="B32" s="280"/>
      <c r="C32" s="280"/>
      <c r="D32" s="280"/>
      <c r="E32" s="280"/>
      <c r="F32" s="280"/>
    </row>
    <row r="33" spans="1:6" ht="15" customHeight="1" x14ac:dyDescent="0.25">
      <c r="A33" s="277" t="s">
        <v>31</v>
      </c>
      <c r="B33" s="277"/>
      <c r="C33" s="277"/>
      <c r="D33" s="277"/>
      <c r="E33" s="277"/>
      <c r="F33" s="277"/>
    </row>
    <row r="34" spans="1:6" ht="15" customHeight="1" x14ac:dyDescent="0.25">
      <c r="A34" s="280" t="s">
        <v>52</v>
      </c>
      <c r="B34" s="280"/>
      <c r="C34" s="280"/>
      <c r="D34" s="280"/>
      <c r="E34" s="280"/>
      <c r="F34" s="280"/>
    </row>
    <row r="35" spans="1:6" ht="15" customHeight="1" x14ac:dyDescent="0.25">
      <c r="A35" s="276"/>
      <c r="B35" s="276"/>
      <c r="C35" s="276"/>
      <c r="D35" s="276"/>
      <c r="E35" s="276"/>
    </row>
    <row r="36" spans="1:6" ht="15" customHeight="1" thickBot="1" x14ac:dyDescent="0.3">
      <c r="A36" s="40" t="s">
        <v>64</v>
      </c>
      <c r="B36" s="19"/>
      <c r="C36" s="19" t="s">
        <v>33</v>
      </c>
      <c r="D36" s="19" t="s">
        <v>34</v>
      </c>
      <c r="E36" s="19" t="s">
        <v>57</v>
      </c>
      <c r="F36" s="19" t="s">
        <v>35</v>
      </c>
    </row>
    <row r="38" spans="1:6" ht="15" customHeight="1" x14ac:dyDescent="0.25">
      <c r="A38" s="176" t="s">
        <v>23</v>
      </c>
      <c r="B38" s="177" t="s">
        <v>56</v>
      </c>
      <c r="C38" s="179">
        <v>269151328</v>
      </c>
      <c r="D38" s="179">
        <v>256266424</v>
      </c>
      <c r="E38" s="179">
        <v>268614457</v>
      </c>
      <c r="F38" s="177">
        <f t="shared" ref="F38:F45" si="0">SUM(C38:E38)</f>
        <v>794032209</v>
      </c>
    </row>
    <row r="39" spans="1:6" ht="15" customHeight="1" x14ac:dyDescent="0.25">
      <c r="A39" s="176"/>
      <c r="B39" s="177" t="s">
        <v>55</v>
      </c>
      <c r="C39" s="179">
        <v>25232937</v>
      </c>
      <c r="D39" s="179">
        <v>9663678</v>
      </c>
      <c r="E39" s="179">
        <v>22190668</v>
      </c>
      <c r="F39" s="177">
        <f t="shared" si="0"/>
        <v>57087283</v>
      </c>
    </row>
    <row r="40" spans="1:6" ht="15" customHeight="1" x14ac:dyDescent="0.25">
      <c r="A40" s="145" t="s">
        <v>24</v>
      </c>
      <c r="B40" s="146" t="s">
        <v>56</v>
      </c>
      <c r="C40" s="180">
        <v>84323596</v>
      </c>
      <c r="D40" s="180">
        <v>83393030</v>
      </c>
      <c r="E40" s="180">
        <v>85898400</v>
      </c>
      <c r="F40" s="146">
        <f t="shared" si="0"/>
        <v>253615026</v>
      </c>
    </row>
    <row r="41" spans="1:6" ht="15" customHeight="1" x14ac:dyDescent="0.25">
      <c r="A41" s="145"/>
      <c r="B41" s="146" t="s">
        <v>55</v>
      </c>
      <c r="C41" s="180">
        <v>6800290</v>
      </c>
      <c r="D41" s="180">
        <v>4294920</v>
      </c>
      <c r="E41" s="180">
        <v>2362206</v>
      </c>
      <c r="F41" s="146">
        <f t="shared" si="0"/>
        <v>13457416</v>
      </c>
    </row>
    <row r="42" spans="1:6" ht="15" customHeight="1" x14ac:dyDescent="0.25">
      <c r="A42" s="176" t="s">
        <v>25</v>
      </c>
      <c r="B42" s="177" t="s">
        <v>56</v>
      </c>
      <c r="C42" s="178">
        <v>585171730</v>
      </c>
      <c r="D42" s="178">
        <v>538676922</v>
      </c>
      <c r="E42" s="178">
        <v>518832649</v>
      </c>
      <c r="F42" s="177">
        <f t="shared" si="0"/>
        <v>1642681301</v>
      </c>
    </row>
    <row r="43" spans="1:6" ht="15" customHeight="1" x14ac:dyDescent="0.25">
      <c r="A43" s="176"/>
      <c r="B43" s="177" t="s">
        <v>55</v>
      </c>
      <c r="C43" s="178">
        <v>21332588</v>
      </c>
      <c r="D43" s="178">
        <v>33446574</v>
      </c>
      <c r="E43" s="178">
        <v>36249233</v>
      </c>
      <c r="F43" s="177">
        <f t="shared" si="0"/>
        <v>91028395</v>
      </c>
    </row>
    <row r="44" spans="1:6" ht="15" customHeight="1" x14ac:dyDescent="0.25">
      <c r="A44" s="174" t="s">
        <v>75</v>
      </c>
      <c r="B44" s="173" t="s">
        <v>56</v>
      </c>
      <c r="C44" s="173">
        <v>118400000</v>
      </c>
      <c r="D44" s="173">
        <v>237500000</v>
      </c>
      <c r="E44" s="173">
        <v>232400000</v>
      </c>
      <c r="F44" s="171">
        <f t="shared" si="0"/>
        <v>588300000</v>
      </c>
    </row>
    <row r="45" spans="1:6" ht="15" customHeight="1" x14ac:dyDescent="0.25">
      <c r="A45" s="174"/>
      <c r="B45" s="173" t="s">
        <v>55</v>
      </c>
      <c r="C45" s="175">
        <v>6600000</v>
      </c>
      <c r="D45" s="171">
        <v>457500000</v>
      </c>
      <c r="E45" s="171">
        <v>180400000</v>
      </c>
      <c r="F45" s="171">
        <f t="shared" si="0"/>
        <v>644500000</v>
      </c>
    </row>
    <row r="46" spans="1:6" ht="15" customHeight="1" thickBot="1" x14ac:dyDescent="0.3">
      <c r="A46" s="24" t="s">
        <v>13</v>
      </c>
      <c r="B46" s="25"/>
      <c r="C46" s="78">
        <f>SUM(C38:C45)</f>
        <v>1117012469</v>
      </c>
      <c r="D46" s="78">
        <f>SUM(D38:D45)</f>
        <v>1620741548</v>
      </c>
      <c r="E46" s="78">
        <f>SUM(E38:E45)</f>
        <v>1346947613</v>
      </c>
      <c r="F46" s="78">
        <f>SUM(F38:F45)</f>
        <v>4084701630</v>
      </c>
    </row>
    <row r="47" spans="1:6" ht="15" customHeight="1" thickTop="1" x14ac:dyDescent="0.25">
      <c r="A47" s="27" t="s">
        <v>42</v>
      </c>
    </row>
    <row r="48" spans="1:6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77" t="s">
        <v>15</v>
      </c>
      <c r="B52" s="277"/>
      <c r="C52" s="277"/>
      <c r="D52" s="277"/>
      <c r="E52" s="277"/>
    </row>
    <row r="53" spans="1:5" ht="15" customHeight="1" x14ac:dyDescent="0.25">
      <c r="A53" s="277" t="s">
        <v>32</v>
      </c>
      <c r="B53" s="277"/>
      <c r="C53" s="277"/>
      <c r="D53" s="277"/>
      <c r="E53" s="277"/>
    </row>
    <row r="54" spans="1:5" ht="15" customHeight="1" x14ac:dyDescent="0.25">
      <c r="A54" s="280" t="s">
        <v>52</v>
      </c>
      <c r="B54" s="280"/>
      <c r="C54" s="280"/>
      <c r="D54" s="280"/>
      <c r="E54" s="280"/>
    </row>
    <row r="55" spans="1:5" ht="15" customHeight="1" x14ac:dyDescent="0.25">
      <c r="A55" s="276"/>
      <c r="B55" s="276"/>
      <c r="C55" s="276"/>
      <c r="D55" s="276"/>
      <c r="E55" s="276"/>
    </row>
    <row r="56" spans="1:5" ht="15" customHeight="1" thickBot="1" x14ac:dyDescent="0.3">
      <c r="A56" s="32" t="s">
        <v>10</v>
      </c>
      <c r="B56" s="33" t="s">
        <v>33</v>
      </c>
      <c r="C56" s="33" t="s">
        <v>34</v>
      </c>
      <c r="D56" s="33" t="s">
        <v>57</v>
      </c>
      <c r="E56" s="33" t="s">
        <v>35</v>
      </c>
    </row>
    <row r="58" spans="1:5" ht="15" customHeight="1" x14ac:dyDescent="0.25">
      <c r="A58" s="21" t="s">
        <v>26</v>
      </c>
      <c r="B58" s="15">
        <f>SUM(C38:C41)</f>
        <v>385508151</v>
      </c>
      <c r="C58" s="86">
        <f t="shared" ref="C58:D58" si="1">SUM(D38:D41)</f>
        <v>353618052</v>
      </c>
      <c r="D58" s="86">
        <f t="shared" si="1"/>
        <v>379065731</v>
      </c>
      <c r="E58" s="15">
        <f>SUM(B58:D58)</f>
        <v>1118191934</v>
      </c>
    </row>
    <row r="59" spans="1:5" ht="15" customHeight="1" x14ac:dyDescent="0.25">
      <c r="A59" s="21" t="s">
        <v>43</v>
      </c>
      <c r="B59" s="15">
        <f>SUM(C42:C43)</f>
        <v>606504318</v>
      </c>
      <c r="C59" s="86">
        <f t="shared" ref="C59:D59" si="2">SUM(D42:D43)</f>
        <v>572123496</v>
      </c>
      <c r="D59" s="86">
        <f t="shared" si="2"/>
        <v>555081882</v>
      </c>
      <c r="E59" s="15">
        <f>SUM(B59:D59)</f>
        <v>1733709696</v>
      </c>
    </row>
    <row r="60" spans="1:5" ht="15" customHeight="1" x14ac:dyDescent="0.25">
      <c r="A60" s="82" t="s">
        <v>76</v>
      </c>
      <c r="B60" s="74">
        <f>SUM(C44:C45)</f>
        <v>125000000</v>
      </c>
      <c r="C60" s="74">
        <f t="shared" ref="C60:D60" si="3">SUM(D44:D45)</f>
        <v>695000000</v>
      </c>
      <c r="D60" s="74">
        <f t="shared" si="3"/>
        <v>412800000</v>
      </c>
      <c r="E60" s="74">
        <f>SUM(B60:D60)</f>
        <v>1232800000</v>
      </c>
    </row>
    <row r="61" spans="1:5" ht="15" customHeight="1" x14ac:dyDescent="0.25">
      <c r="A61" s="21" t="s">
        <v>7</v>
      </c>
      <c r="E61" s="15">
        <f>SUM(B61:D61)</f>
        <v>0</v>
      </c>
    </row>
    <row r="62" spans="1:5" ht="15" customHeight="1" x14ac:dyDescent="0.25">
      <c r="A62" s="21" t="s">
        <v>8</v>
      </c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1117012469</v>
      </c>
      <c r="C63" s="25">
        <f>SUM(C58:C62)</f>
        <v>1620741548</v>
      </c>
      <c r="D63" s="25">
        <f>SUM(D58:D62)</f>
        <v>1346947613</v>
      </c>
      <c r="E63" s="25">
        <f>SUM(E58:E62)</f>
        <v>4084701630</v>
      </c>
    </row>
    <row r="64" spans="1:5" ht="15" customHeight="1" thickTop="1" x14ac:dyDescent="0.25">
      <c r="A64" s="52" t="s">
        <v>72</v>
      </c>
    </row>
    <row r="65" spans="1:9" ht="15" customHeight="1" x14ac:dyDescent="0.25">
      <c r="A65" s="1"/>
    </row>
    <row r="67" spans="1:9" ht="15" customHeight="1" x14ac:dyDescent="0.25">
      <c r="A67" s="277" t="s">
        <v>44</v>
      </c>
      <c r="B67" s="277"/>
      <c r="C67" s="277"/>
      <c r="D67" s="277"/>
      <c r="E67" s="277"/>
    </row>
    <row r="68" spans="1:9" ht="15" customHeight="1" x14ac:dyDescent="0.25">
      <c r="A68" s="271" t="s">
        <v>78</v>
      </c>
      <c r="B68" s="271"/>
      <c r="C68" s="271"/>
      <c r="D68" s="271"/>
      <c r="E68" s="271"/>
      <c r="G68" s="86"/>
    </row>
    <row r="69" spans="1:9" ht="15" customHeight="1" x14ac:dyDescent="0.25">
      <c r="A69" s="280" t="s">
        <v>52</v>
      </c>
      <c r="B69" s="280"/>
      <c r="C69" s="280"/>
      <c r="D69" s="280"/>
      <c r="E69" s="280"/>
      <c r="G69" s="86"/>
    </row>
    <row r="70" spans="1:9" ht="15" customHeight="1" x14ac:dyDescent="0.25">
      <c r="A70" s="276"/>
      <c r="B70" s="276"/>
      <c r="C70" s="276"/>
      <c r="D70" s="276"/>
      <c r="E70" s="276"/>
      <c r="G70" s="86"/>
    </row>
    <row r="71" spans="1:9" ht="15" customHeight="1" thickBot="1" x14ac:dyDescent="0.3">
      <c r="A71" s="32" t="s">
        <v>10</v>
      </c>
      <c r="B71" s="33" t="s">
        <v>33</v>
      </c>
      <c r="C71" s="33" t="s">
        <v>34</v>
      </c>
      <c r="D71" s="33" t="s">
        <v>57</v>
      </c>
      <c r="E71" s="33" t="s">
        <v>35</v>
      </c>
      <c r="G71" s="86"/>
    </row>
    <row r="72" spans="1:9" ht="15" customHeight="1" x14ac:dyDescent="0.25">
      <c r="G72" s="86"/>
    </row>
    <row r="73" spans="1:9" ht="15" customHeight="1" x14ac:dyDescent="0.25">
      <c r="A73" s="15" t="s">
        <v>62</v>
      </c>
      <c r="B73" s="15">
        <f>'2 T no usar'!E77</f>
        <v>303334556.75999999</v>
      </c>
      <c r="C73" s="15">
        <f>B77</f>
        <v>340128072.75999999</v>
      </c>
      <c r="D73" s="15">
        <f>C77</f>
        <v>408811687.75999999</v>
      </c>
      <c r="E73" s="15">
        <f>B73</f>
        <v>303334556.75999999</v>
      </c>
      <c r="G73" s="86"/>
    </row>
    <row r="74" spans="1:9" ht="15" customHeight="1" x14ac:dyDescent="0.25">
      <c r="A74" s="15" t="s">
        <v>16</v>
      </c>
      <c r="B74" s="115">
        <v>422301667</v>
      </c>
      <c r="C74" s="115">
        <v>422301667</v>
      </c>
      <c r="D74" s="115">
        <v>422301667</v>
      </c>
      <c r="E74" s="15">
        <f>SUM(B74:D74)</f>
        <v>1266905001</v>
      </c>
      <c r="G74" s="86"/>
      <c r="H74" s="42"/>
      <c r="I74" s="42"/>
    </row>
    <row r="75" spans="1:9" ht="15" customHeight="1" x14ac:dyDescent="0.25">
      <c r="A75" s="15" t="s">
        <v>17</v>
      </c>
      <c r="B75" s="15">
        <f>+B73+B74</f>
        <v>725636223.75999999</v>
      </c>
      <c r="C75" s="15">
        <f>+C73+C74</f>
        <v>762429739.75999999</v>
      </c>
      <c r="D75" s="15">
        <f>+D73+D74</f>
        <v>831113354.75999999</v>
      </c>
      <c r="E75" s="15">
        <f>+E73+E74</f>
        <v>1570239557.76</v>
      </c>
      <c r="G75" s="86"/>
      <c r="H75" s="39"/>
      <c r="I75" s="39"/>
    </row>
    <row r="76" spans="1:9" ht="15" customHeight="1" x14ac:dyDescent="0.25">
      <c r="A76" s="15" t="s">
        <v>18</v>
      </c>
      <c r="B76" s="54">
        <f>B58</f>
        <v>385508151</v>
      </c>
      <c r="C76" s="54">
        <f>C58</f>
        <v>353618052</v>
      </c>
      <c r="D76" s="54">
        <f>D58</f>
        <v>379065731</v>
      </c>
      <c r="E76" s="21">
        <f>SUM(B76:D76)</f>
        <v>1118191934</v>
      </c>
      <c r="F76" s="31"/>
      <c r="G76" s="86"/>
      <c r="H76" s="39"/>
      <c r="I76" s="39"/>
    </row>
    <row r="77" spans="1:9" ht="15" customHeight="1" x14ac:dyDescent="0.25">
      <c r="A77" s="28" t="s">
        <v>19</v>
      </c>
      <c r="B77" s="28">
        <f>+B75-B76</f>
        <v>340128072.75999999</v>
      </c>
      <c r="C77" s="28">
        <f>+C75-C76</f>
        <v>408811687.75999999</v>
      </c>
      <c r="D77" s="28">
        <f>+D75-D76</f>
        <v>452047623.75999999</v>
      </c>
      <c r="E77" s="28">
        <f>+E75-E76</f>
        <v>452047623.75999999</v>
      </c>
      <c r="G77" s="86"/>
      <c r="H77" s="39"/>
      <c r="I77" s="39"/>
    </row>
    <row r="78" spans="1:9" ht="15" customHeight="1" thickBot="1" x14ac:dyDescent="0.3">
      <c r="A78" s="25"/>
      <c r="B78" s="25"/>
      <c r="C78" s="25"/>
      <c r="D78" s="25"/>
      <c r="E78" s="25"/>
      <c r="G78" s="86"/>
      <c r="H78" s="39"/>
      <c r="I78" s="39"/>
    </row>
    <row r="79" spans="1:9" ht="15" customHeight="1" thickTop="1" x14ac:dyDescent="0.25">
      <c r="A79" s="52" t="s">
        <v>72</v>
      </c>
      <c r="G79" s="86"/>
      <c r="H79" s="39"/>
      <c r="I79" s="39"/>
    </row>
    <row r="80" spans="1:9" ht="15" customHeight="1" x14ac:dyDescent="0.25">
      <c r="A80" s="1"/>
      <c r="G80" s="86"/>
      <c r="H80" s="39"/>
      <c r="I80" s="39"/>
    </row>
    <row r="81" spans="1:13" ht="15" customHeight="1" x14ac:dyDescent="0.25">
      <c r="A81" s="15"/>
      <c r="G81" s="86"/>
      <c r="H81" s="39"/>
      <c r="I81" s="39"/>
    </row>
    <row r="82" spans="1:13" ht="15" customHeight="1" x14ac:dyDescent="0.25">
      <c r="A82" s="277" t="s">
        <v>45</v>
      </c>
      <c r="B82" s="277"/>
      <c r="C82" s="277"/>
      <c r="D82" s="277"/>
      <c r="E82" s="277"/>
      <c r="F82" s="16" t="s">
        <v>54</v>
      </c>
      <c r="G82" s="39"/>
      <c r="H82" s="39"/>
      <c r="I82" s="39"/>
    </row>
    <row r="83" spans="1:13" ht="15" customHeight="1" x14ac:dyDescent="0.25">
      <c r="A83" s="277" t="s">
        <v>49</v>
      </c>
      <c r="B83" s="277"/>
      <c r="C83" s="277"/>
      <c r="D83" s="277"/>
      <c r="E83" s="277"/>
      <c r="F83" s="41"/>
      <c r="G83" s="39"/>
      <c r="H83" s="39"/>
      <c r="I83" s="30"/>
    </row>
    <row r="84" spans="1:13" ht="15" customHeight="1" x14ac:dyDescent="0.25">
      <c r="A84" s="280" t="s">
        <v>52</v>
      </c>
      <c r="B84" s="280"/>
      <c r="C84" s="280"/>
      <c r="D84" s="280"/>
      <c r="E84" s="280"/>
      <c r="F84" s="16"/>
      <c r="G84" s="39"/>
      <c r="H84" s="39"/>
      <c r="I84" s="39"/>
    </row>
    <row r="85" spans="1:13" ht="15" customHeight="1" x14ac:dyDescent="0.25">
      <c r="A85" s="276"/>
      <c r="B85" s="276"/>
      <c r="C85" s="276"/>
      <c r="D85" s="276"/>
      <c r="E85" s="276"/>
      <c r="G85" s="39"/>
      <c r="H85" s="39"/>
      <c r="I85" s="39"/>
    </row>
    <row r="86" spans="1:13" ht="15" customHeight="1" thickBot="1" x14ac:dyDescent="0.3">
      <c r="A86" s="32" t="s">
        <v>10</v>
      </c>
      <c r="B86" s="33" t="s">
        <v>33</v>
      </c>
      <c r="C86" s="33" t="s">
        <v>34</v>
      </c>
      <c r="D86" s="33" t="s">
        <v>57</v>
      </c>
      <c r="E86" s="33" t="s">
        <v>35</v>
      </c>
      <c r="G86" s="39"/>
      <c r="H86" s="39"/>
      <c r="I86" s="39"/>
    </row>
    <row r="87" spans="1:13" ht="15" customHeight="1" x14ac:dyDescent="0.25">
      <c r="G87" s="39"/>
      <c r="H87" s="39"/>
      <c r="I87" s="39"/>
    </row>
    <row r="88" spans="1:13" ht="15" customHeight="1" x14ac:dyDescent="0.25">
      <c r="A88" s="15" t="s">
        <v>62</v>
      </c>
      <c r="B88" s="15">
        <f>'2 T no usar'!E93</f>
        <v>1149903219.5099998</v>
      </c>
      <c r="C88" s="15">
        <f>B93</f>
        <v>1312669534.5099998</v>
      </c>
      <c r="D88" s="15">
        <f>C93</f>
        <v>939816671.50999975</v>
      </c>
      <c r="E88" s="15">
        <f>+B88</f>
        <v>1149903219.5099998</v>
      </c>
      <c r="G88" s="39"/>
      <c r="H88" s="111"/>
      <c r="I88" s="39"/>
    </row>
    <row r="89" spans="1:13" ht="15" customHeight="1" x14ac:dyDescent="0.25">
      <c r="A89" s="15" t="s">
        <v>16</v>
      </c>
      <c r="B89" s="109">
        <v>630820633</v>
      </c>
      <c r="C89" s="109">
        <v>630820633</v>
      </c>
      <c r="D89" s="109">
        <v>630820633</v>
      </c>
      <c r="E89" s="15">
        <f>SUM(B89:D89)</f>
        <v>1892461899</v>
      </c>
      <c r="G89" s="42"/>
      <c r="H89" s="181"/>
      <c r="I89" s="181"/>
      <c r="J89" s="89"/>
      <c r="K89" s="89"/>
      <c r="L89" s="89"/>
      <c r="M89" s="89"/>
    </row>
    <row r="90" spans="1:13" s="79" customFormat="1" ht="15" customHeight="1" x14ac:dyDescent="0.25">
      <c r="A90" s="82" t="s">
        <v>77</v>
      </c>
      <c r="B90" s="109">
        <v>263450000</v>
      </c>
      <c r="C90" s="109">
        <v>263450000</v>
      </c>
      <c r="D90" s="109">
        <v>263450000</v>
      </c>
      <c r="E90" s="84">
        <f>SUM(B90:D90)</f>
        <v>790350000</v>
      </c>
      <c r="G90" s="42"/>
      <c r="H90" s="181"/>
      <c r="I90" s="181"/>
      <c r="J90" s="89"/>
      <c r="K90" s="89"/>
      <c r="L90" s="89"/>
      <c r="M90" s="89"/>
    </row>
    <row r="91" spans="1:13" ht="15" customHeight="1" x14ac:dyDescent="0.25">
      <c r="A91" s="15" t="s">
        <v>17</v>
      </c>
      <c r="B91" s="15">
        <f>SUM(B88:B90)</f>
        <v>2044173852.5099998</v>
      </c>
      <c r="C91" s="86">
        <f>SUM(C88:C90)</f>
        <v>2206940167.5099998</v>
      </c>
      <c r="D91" s="86">
        <f>SUM(D88:D90)</f>
        <v>1834087304.5099998</v>
      </c>
      <c r="E91" s="15">
        <f>SUM(E88:E90)</f>
        <v>3832715118.5099998</v>
      </c>
      <c r="F91" s="110"/>
      <c r="H91" s="89"/>
      <c r="I91" s="89"/>
      <c r="J91" s="89"/>
      <c r="K91" s="89"/>
      <c r="L91" s="89"/>
      <c r="M91" s="89"/>
    </row>
    <row r="92" spans="1:13" ht="15" customHeight="1" x14ac:dyDescent="0.25">
      <c r="A92" s="15" t="s">
        <v>18</v>
      </c>
      <c r="B92" s="54">
        <f>B59+B60</f>
        <v>731504318</v>
      </c>
      <c r="C92" s="54">
        <f>C59+C60</f>
        <v>1267123496</v>
      </c>
      <c r="D92" s="54">
        <f>D59+D60</f>
        <v>967881882</v>
      </c>
      <c r="E92" s="15">
        <f>SUM(B92:D92)</f>
        <v>2966509696</v>
      </c>
      <c r="F92" s="31"/>
      <c r="H92" s="89"/>
      <c r="I92" s="89"/>
      <c r="J92" s="89"/>
      <c r="K92" s="89"/>
      <c r="L92" s="89"/>
      <c r="M92" s="89"/>
    </row>
    <row r="93" spans="1:13" ht="15" customHeight="1" x14ac:dyDescent="0.25">
      <c r="A93" s="28" t="s">
        <v>19</v>
      </c>
      <c r="B93" s="28">
        <f>+B91-B92</f>
        <v>1312669534.5099998</v>
      </c>
      <c r="C93" s="28">
        <f>+C91-C92</f>
        <v>939816671.50999975</v>
      </c>
      <c r="D93" s="28">
        <f>+D91-D92</f>
        <v>866205422.50999975</v>
      </c>
      <c r="E93" s="28">
        <f>+E91-E92</f>
        <v>866205422.50999975</v>
      </c>
      <c r="H93" s="89"/>
      <c r="I93" s="89"/>
      <c r="J93" s="89"/>
      <c r="K93" s="89"/>
      <c r="L93" s="89"/>
      <c r="M93" s="89"/>
    </row>
    <row r="94" spans="1:13" ht="15" customHeight="1" thickBot="1" x14ac:dyDescent="0.3">
      <c r="A94" s="25"/>
      <c r="B94" s="25"/>
      <c r="C94" s="25"/>
      <c r="D94" s="25"/>
      <c r="E94" s="25"/>
    </row>
    <row r="95" spans="1:13" ht="15" customHeight="1" thickTop="1" x14ac:dyDescent="0.25">
      <c r="A95" s="52" t="s">
        <v>72</v>
      </c>
      <c r="G95" s="110"/>
    </row>
    <row r="96" spans="1:13" ht="38.25" customHeight="1" x14ac:dyDescent="0.25">
      <c r="A96" s="85" t="s">
        <v>79</v>
      </c>
    </row>
    <row r="97" spans="1:7" ht="15" customHeight="1" x14ac:dyDescent="0.25">
      <c r="G97" s="110"/>
    </row>
    <row r="98" spans="1:7" ht="15" customHeight="1" x14ac:dyDescent="0.25">
      <c r="A98" s="68"/>
      <c r="C98" s="86"/>
      <c r="D98" s="113"/>
      <c r="G98" s="110"/>
    </row>
    <row r="99" spans="1:7" ht="15" customHeight="1" x14ac:dyDescent="0.25">
      <c r="A99" s="112" t="s">
        <v>91</v>
      </c>
      <c r="C99" s="86"/>
      <c r="D99" s="113"/>
    </row>
    <row r="100" spans="1:7" ht="15" customHeight="1" x14ac:dyDescent="0.25">
      <c r="A100" s="39"/>
      <c r="C100" s="86"/>
      <c r="D100" s="113"/>
    </row>
    <row r="101" spans="1:7" ht="15" customHeight="1" x14ac:dyDescent="0.25">
      <c r="B101" s="86"/>
      <c r="C101" s="86"/>
      <c r="D101" s="113"/>
      <c r="E101" s="86"/>
      <c r="F101" s="86"/>
    </row>
    <row r="102" spans="1:7" ht="15" customHeight="1" x14ac:dyDescent="0.25">
      <c r="B102" s="86"/>
      <c r="C102" s="86"/>
      <c r="D102" s="113"/>
      <c r="E102" s="86"/>
      <c r="F102" s="86"/>
    </row>
    <row r="103" spans="1:7" ht="15" customHeight="1" x14ac:dyDescent="0.25">
      <c r="B103" s="86"/>
      <c r="C103" s="86"/>
      <c r="D103" s="113"/>
      <c r="E103" s="86"/>
      <c r="F103" s="86"/>
    </row>
    <row r="104" spans="1:7" ht="15" customHeight="1" x14ac:dyDescent="0.25">
      <c r="B104" s="86"/>
      <c r="C104" s="86"/>
      <c r="D104" s="113"/>
      <c r="E104" s="86"/>
      <c r="F104" s="86"/>
    </row>
    <row r="105" spans="1:7" ht="15" customHeight="1" x14ac:dyDescent="0.25">
      <c r="B105" s="86"/>
      <c r="C105" s="86"/>
      <c r="D105" s="113"/>
      <c r="E105" s="86"/>
      <c r="F105" s="86"/>
    </row>
    <row r="106" spans="1:7" ht="15" customHeight="1" x14ac:dyDescent="0.25">
      <c r="B106" s="86"/>
      <c r="C106" s="86"/>
      <c r="D106" s="113"/>
      <c r="E106" s="86"/>
      <c r="F106" s="86"/>
    </row>
    <row r="107" spans="1:7" ht="15" customHeight="1" x14ac:dyDescent="0.25">
      <c r="B107" s="86"/>
      <c r="C107" s="86"/>
      <c r="D107" s="113"/>
      <c r="E107" s="86"/>
      <c r="F107" s="86"/>
    </row>
  </sheetData>
  <mergeCells count="24">
    <mergeCell ref="A67:E67"/>
    <mergeCell ref="A68:E68"/>
    <mergeCell ref="A1:F1"/>
    <mergeCell ref="A85:E85"/>
    <mergeCell ref="A54:E54"/>
    <mergeCell ref="A69:E69"/>
    <mergeCell ref="A84:E84"/>
    <mergeCell ref="A13:A15"/>
    <mergeCell ref="A10:F10"/>
    <mergeCell ref="A52:E52"/>
    <mergeCell ref="A53:E53"/>
    <mergeCell ref="A55:E55"/>
    <mergeCell ref="A35:E35"/>
    <mergeCell ref="A82:E82"/>
    <mergeCell ref="A83:E83"/>
    <mergeCell ref="A70:E70"/>
    <mergeCell ref="A33:F33"/>
    <mergeCell ref="A16:A18"/>
    <mergeCell ref="A7:F7"/>
    <mergeCell ref="A34:F34"/>
    <mergeCell ref="A8:F8"/>
    <mergeCell ref="A9:F9"/>
    <mergeCell ref="A32:F32"/>
    <mergeCell ref="A19:A21"/>
  </mergeCells>
  <printOptions horizontalCentered="1" verticalCentered="1"/>
  <pageMargins left="0.70866141732283472" right="1.18" top="0.3" bottom="0.2" header="0.31496062992125984" footer="0.31496062992125984"/>
  <pageSetup scale="4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M109"/>
  <sheetViews>
    <sheetView zoomScale="85" zoomScaleNormal="85" workbookViewId="0">
      <selection activeCell="F83" sqref="F8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4.42578125" style="15" customWidth="1"/>
    <col min="3" max="3" width="15.42578125" style="15" bestFit="1" customWidth="1"/>
    <col min="4" max="5" width="16.85546875" style="15" bestFit="1" customWidth="1"/>
    <col min="6" max="6" width="16.140625" style="15" customWidth="1"/>
    <col min="7" max="7" width="16.85546875" style="15" bestFit="1" customWidth="1"/>
    <col min="8" max="8" width="18.140625" style="15" customWidth="1"/>
    <col min="9" max="9" width="17.5703125" style="15" customWidth="1"/>
    <col min="10" max="10" width="15.28515625" style="15" customWidth="1"/>
    <col min="11" max="11" width="12.5703125" style="15" bestFit="1" customWidth="1"/>
    <col min="12" max="12" width="15.140625" style="15" bestFit="1" customWidth="1"/>
    <col min="13" max="16384" width="11.5703125" style="15"/>
  </cols>
  <sheetData>
    <row r="1" spans="1:8" ht="15" customHeight="1" x14ac:dyDescent="0.25">
      <c r="A1" s="277" t="s">
        <v>20</v>
      </c>
      <c r="B1" s="277"/>
      <c r="C1" s="277"/>
      <c r="D1" s="277"/>
      <c r="E1" s="277"/>
      <c r="F1" s="277"/>
    </row>
    <row r="2" spans="1:8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8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8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8" ht="15" customHeight="1" x14ac:dyDescent="0.25">
      <c r="A5" s="3" t="s">
        <v>47</v>
      </c>
      <c r="B5" s="17" t="s">
        <v>94</v>
      </c>
      <c r="C5" s="16"/>
      <c r="D5" s="16"/>
      <c r="E5" s="16"/>
      <c r="F5" s="16"/>
    </row>
    <row r="7" spans="1:8" ht="15" customHeight="1" x14ac:dyDescent="0.25">
      <c r="A7" s="277" t="s">
        <v>9</v>
      </c>
      <c r="B7" s="277"/>
      <c r="C7" s="277"/>
      <c r="D7" s="277"/>
      <c r="E7" s="277"/>
      <c r="F7" s="277"/>
    </row>
    <row r="8" spans="1:8" ht="15" customHeight="1" x14ac:dyDescent="0.25">
      <c r="A8" s="277" t="s">
        <v>12</v>
      </c>
      <c r="B8" s="277"/>
      <c r="C8" s="277"/>
      <c r="D8" s="277"/>
      <c r="E8" s="277"/>
      <c r="F8" s="277"/>
    </row>
    <row r="9" spans="1:8" ht="15" customHeight="1" x14ac:dyDescent="0.25">
      <c r="A9" s="280" t="s">
        <v>50</v>
      </c>
      <c r="B9" s="280"/>
      <c r="C9" s="280"/>
      <c r="D9" s="280"/>
      <c r="E9" s="280"/>
      <c r="F9" s="280"/>
    </row>
    <row r="10" spans="1:8" ht="15" customHeight="1" x14ac:dyDescent="0.25">
      <c r="A10" s="36"/>
      <c r="B10" s="36"/>
      <c r="C10" s="36"/>
      <c r="D10" s="36"/>
      <c r="E10" s="36"/>
      <c r="F10" s="36"/>
    </row>
    <row r="11" spans="1:8" ht="15" customHeight="1" thickBot="1" x14ac:dyDescent="0.3">
      <c r="A11" s="40" t="s">
        <v>64</v>
      </c>
      <c r="B11" s="33"/>
      <c r="C11" s="33" t="s">
        <v>36</v>
      </c>
      <c r="D11" s="33" t="s">
        <v>37</v>
      </c>
      <c r="E11" s="33" t="s">
        <v>38</v>
      </c>
      <c r="F11" s="45" t="s">
        <v>69</v>
      </c>
    </row>
    <row r="12" spans="1:8" ht="15" customHeight="1" x14ac:dyDescent="0.25">
      <c r="H12" s="31"/>
    </row>
    <row r="13" spans="1:8" ht="30" x14ac:dyDescent="0.25">
      <c r="A13" s="293" t="s">
        <v>23</v>
      </c>
      <c r="B13" s="162" t="s">
        <v>58</v>
      </c>
      <c r="C13" s="163">
        <f>+('3 T'!E13-'4 T'!C15)+266</f>
        <v>668</v>
      </c>
      <c r="D13" s="163">
        <f>+(C13-D15)+114</f>
        <v>514</v>
      </c>
      <c r="E13" s="163">
        <f>+(D13-E15)+36</f>
        <v>216</v>
      </c>
      <c r="F13" s="164">
        <f>E13</f>
        <v>216</v>
      </c>
      <c r="G13" s="31"/>
    </row>
    <row r="14" spans="1:8" ht="15" customHeight="1" x14ac:dyDescent="0.25">
      <c r="A14" s="293"/>
      <c r="B14" s="162" t="s">
        <v>59</v>
      </c>
      <c r="C14" s="163">
        <v>1445</v>
      </c>
      <c r="D14" s="163">
        <v>1619</v>
      </c>
      <c r="E14" s="163">
        <v>1696</v>
      </c>
      <c r="F14" s="164">
        <f>AVERAGE(C14:E14)</f>
        <v>1586.6666666666667</v>
      </c>
    </row>
    <row r="15" spans="1:8" ht="15" customHeight="1" x14ac:dyDescent="0.25">
      <c r="A15" s="293"/>
      <c r="B15" s="162" t="s">
        <v>60</v>
      </c>
      <c r="C15" s="163">
        <v>499</v>
      </c>
      <c r="D15" s="163">
        <v>268</v>
      </c>
      <c r="E15" s="163">
        <v>334</v>
      </c>
      <c r="F15" s="164">
        <f>AVERAGE(C15:E15)</f>
        <v>367</v>
      </c>
    </row>
    <row r="16" spans="1:8" ht="30" x14ac:dyDescent="0.25">
      <c r="A16" s="288" t="s">
        <v>24</v>
      </c>
      <c r="B16" s="142" t="s">
        <v>58</v>
      </c>
      <c r="C16" s="165">
        <f>+('3 T'!E16-'4 T'!C18)+105</f>
        <v>53</v>
      </c>
      <c r="D16" s="165">
        <f>+(C16-D18)+86</f>
        <v>66</v>
      </c>
      <c r="E16" s="165">
        <f>+(D16-E18)</f>
        <v>-52</v>
      </c>
      <c r="F16" s="166">
        <f>E16</f>
        <v>-52</v>
      </c>
      <c r="G16" s="31"/>
    </row>
    <row r="17" spans="1:7" ht="15" customHeight="1" x14ac:dyDescent="0.25">
      <c r="A17" s="288"/>
      <c r="B17" s="142" t="s">
        <v>59</v>
      </c>
      <c r="C17" s="165">
        <v>1168</v>
      </c>
      <c r="D17" s="165">
        <v>1190</v>
      </c>
      <c r="E17" s="165">
        <v>1278</v>
      </c>
      <c r="F17" s="166">
        <f>AVERAGE(C17:E17)</f>
        <v>1212</v>
      </c>
    </row>
    <row r="18" spans="1:7" ht="15" customHeight="1" x14ac:dyDescent="0.25">
      <c r="A18" s="288"/>
      <c r="B18" s="142" t="s">
        <v>60</v>
      </c>
      <c r="C18" s="165">
        <v>57</v>
      </c>
      <c r="D18" s="165">
        <v>73</v>
      </c>
      <c r="E18" s="165">
        <v>118</v>
      </c>
      <c r="F18" s="166">
        <f>AVERAGE(C18:E18)</f>
        <v>82.666666666666671</v>
      </c>
    </row>
    <row r="19" spans="1:7" ht="30" x14ac:dyDescent="0.25">
      <c r="A19" s="292" t="s">
        <v>25</v>
      </c>
      <c r="B19" s="162" t="s">
        <v>58</v>
      </c>
      <c r="C19" s="163">
        <f>+('3 T'!E19-'4 T'!C21)+865</f>
        <v>5992</v>
      </c>
      <c r="D19" s="163">
        <f>+(C19-D21)+425</f>
        <v>5772</v>
      </c>
      <c r="E19" s="163">
        <f>+(D19-E21)-931+731</f>
        <v>4708</v>
      </c>
      <c r="F19" s="164">
        <f>E19</f>
        <v>4708</v>
      </c>
      <c r="G19" s="31"/>
    </row>
    <row r="20" spans="1:7" ht="15" customHeight="1" x14ac:dyDescent="0.25">
      <c r="A20" s="292"/>
      <c r="B20" s="162" t="s">
        <v>59</v>
      </c>
      <c r="C20" s="163">
        <v>10031</v>
      </c>
      <c r="D20" s="163">
        <v>9982</v>
      </c>
      <c r="E20" s="163">
        <v>11777</v>
      </c>
      <c r="F20" s="164">
        <f>AVERAGE(C20:E20)</f>
        <v>10596.666666666666</v>
      </c>
    </row>
    <row r="21" spans="1:7" ht="15" customHeight="1" x14ac:dyDescent="0.25">
      <c r="A21" s="292"/>
      <c r="B21" s="162" t="s">
        <v>60</v>
      </c>
      <c r="C21" s="163">
        <v>2578</v>
      </c>
      <c r="D21" s="163">
        <v>645</v>
      </c>
      <c r="E21" s="163">
        <v>864</v>
      </c>
      <c r="F21" s="167">
        <f>AVERAGE(C21:E21)</f>
        <v>1362.3333333333333</v>
      </c>
    </row>
    <row r="22" spans="1:7" ht="15" customHeight="1" x14ac:dyDescent="0.25">
      <c r="A22" s="168" t="s">
        <v>75</v>
      </c>
      <c r="B22" s="169" t="s">
        <v>58</v>
      </c>
      <c r="C22" s="170">
        <f>+('3 T'!E22-'4 T'!C24)+25</f>
        <v>-170</v>
      </c>
      <c r="D22" s="170">
        <f>+(C22-D24)+114</f>
        <v>-81</v>
      </c>
      <c r="E22" s="170">
        <f>+(D22-E24)+24</f>
        <v>-171</v>
      </c>
      <c r="F22" s="171">
        <f>E22</f>
        <v>-171</v>
      </c>
    </row>
    <row r="23" spans="1:7" ht="15" customHeight="1" x14ac:dyDescent="0.25">
      <c r="A23" s="170"/>
      <c r="B23" s="169" t="s">
        <v>59</v>
      </c>
      <c r="C23" s="170">
        <v>635</v>
      </c>
      <c r="D23" s="170">
        <v>552</v>
      </c>
      <c r="E23" s="170">
        <v>639</v>
      </c>
      <c r="F23" s="172">
        <f>AVERAGE(C23:E23)</f>
        <v>608.66666666666663</v>
      </c>
    </row>
    <row r="24" spans="1:7" ht="15" customHeight="1" x14ac:dyDescent="0.25">
      <c r="A24" s="170"/>
      <c r="B24" s="169" t="s">
        <v>60</v>
      </c>
      <c r="C24" s="170">
        <v>23</v>
      </c>
      <c r="D24" s="170">
        <v>25</v>
      </c>
      <c r="E24" s="170">
        <v>114</v>
      </c>
      <c r="F24" s="172">
        <f>AVERAGE(C24:E24)</f>
        <v>54</v>
      </c>
    </row>
    <row r="25" spans="1:7" ht="15" customHeight="1" x14ac:dyDescent="0.25">
      <c r="A25" s="69"/>
      <c r="B25" s="8"/>
      <c r="C25" s="48"/>
      <c r="D25" s="48"/>
      <c r="E25" s="48"/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16436</v>
      </c>
      <c r="D27" s="25">
        <f>+D14+D15+D17+D18+D20+D21+D23+D24</f>
        <v>14354</v>
      </c>
      <c r="E27" s="25">
        <f>+E14+E15+E17+E18+E20+E21+E23+E24</f>
        <v>16820</v>
      </c>
      <c r="F27" s="25">
        <f>AVERAGE(C27:E27)</f>
        <v>15870</v>
      </c>
    </row>
    <row r="28" spans="1:7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7" ht="15" customHeight="1" x14ac:dyDescent="0.25">
      <c r="A29" s="52" t="s">
        <v>74</v>
      </c>
    </row>
    <row r="30" spans="1:7" ht="15" customHeight="1" x14ac:dyDescent="0.25">
      <c r="A30" s="1"/>
    </row>
    <row r="32" spans="1:7" ht="15" customHeight="1" x14ac:dyDescent="0.25">
      <c r="A32" s="280" t="s">
        <v>14</v>
      </c>
      <c r="B32" s="280"/>
      <c r="C32" s="280"/>
      <c r="D32" s="280"/>
      <c r="E32" s="280"/>
      <c r="F32" s="280"/>
    </row>
    <row r="33" spans="1:10" ht="15" customHeight="1" x14ac:dyDescent="0.25">
      <c r="A33" s="277" t="s">
        <v>31</v>
      </c>
      <c r="B33" s="277"/>
      <c r="C33" s="277"/>
      <c r="D33" s="277"/>
      <c r="E33" s="277"/>
      <c r="F33" s="277"/>
    </row>
    <row r="34" spans="1:10" ht="15" customHeight="1" x14ac:dyDescent="0.25">
      <c r="A34" s="280" t="s">
        <v>52</v>
      </c>
      <c r="B34" s="280"/>
      <c r="C34" s="280"/>
      <c r="D34" s="280"/>
      <c r="E34" s="280"/>
      <c r="F34" s="280"/>
    </row>
    <row r="35" spans="1:10" ht="15" customHeight="1" x14ac:dyDescent="0.25">
      <c r="A35" s="276"/>
      <c r="B35" s="276"/>
      <c r="C35" s="276"/>
      <c r="D35" s="276"/>
      <c r="E35" s="276"/>
    </row>
    <row r="36" spans="1:10" ht="15" customHeight="1" thickBot="1" x14ac:dyDescent="0.3">
      <c r="A36" s="40" t="s">
        <v>64</v>
      </c>
      <c r="B36" s="19"/>
      <c r="C36" s="19" t="s">
        <v>36</v>
      </c>
      <c r="D36" s="19" t="s">
        <v>37</v>
      </c>
      <c r="E36" s="19" t="s">
        <v>38</v>
      </c>
      <c r="F36" s="19" t="s">
        <v>39</v>
      </c>
      <c r="H36" s="182"/>
    </row>
    <row r="38" spans="1:10" ht="15" customHeight="1" x14ac:dyDescent="0.25">
      <c r="A38" s="176" t="s">
        <v>23</v>
      </c>
      <c r="B38" s="177" t="s">
        <v>56</v>
      </c>
      <c r="C38" s="179">
        <v>253582069</v>
      </c>
      <c r="D38" s="179">
        <v>283288931</v>
      </c>
      <c r="E38" s="179">
        <v>378978776</v>
      </c>
      <c r="F38" s="177">
        <f t="shared" ref="F38:F45" si="0">SUM(C38:E38)</f>
        <v>915849776</v>
      </c>
      <c r="G38" s="89"/>
    </row>
    <row r="39" spans="1:10" ht="15" customHeight="1" x14ac:dyDescent="0.25">
      <c r="A39" s="176"/>
      <c r="B39" s="177" t="s">
        <v>55</v>
      </c>
      <c r="C39" s="179">
        <v>148892224</v>
      </c>
      <c r="D39" s="179">
        <v>45991949</v>
      </c>
      <c r="E39" s="179">
        <v>61561208</v>
      </c>
      <c r="F39" s="177">
        <f t="shared" si="0"/>
        <v>256445381</v>
      </c>
      <c r="G39" s="89"/>
    </row>
    <row r="40" spans="1:10" ht="15" customHeight="1" x14ac:dyDescent="0.25">
      <c r="A40" s="145" t="s">
        <v>24</v>
      </c>
      <c r="B40" s="146" t="s">
        <v>56</v>
      </c>
      <c r="C40" s="180">
        <v>83393030</v>
      </c>
      <c r="D40" s="180">
        <v>84967834</v>
      </c>
      <c r="E40" s="180">
        <v>120055900.61</v>
      </c>
      <c r="F40" s="146">
        <f t="shared" si="0"/>
        <v>288416764.61000001</v>
      </c>
      <c r="G40" s="89"/>
    </row>
    <row r="41" spans="1:10" ht="15" customHeight="1" x14ac:dyDescent="0.25">
      <c r="A41" s="145"/>
      <c r="B41" s="146" t="s">
        <v>55</v>
      </c>
      <c r="C41" s="180">
        <v>33715122</v>
      </c>
      <c r="D41" s="180">
        <v>5225486</v>
      </c>
      <c r="E41" s="180">
        <v>7730856</v>
      </c>
      <c r="F41" s="146">
        <f t="shared" si="0"/>
        <v>46671464</v>
      </c>
      <c r="G41" s="89"/>
      <c r="H41" s="89" t="s">
        <v>95</v>
      </c>
      <c r="I41" s="15">
        <f>+E42-I42</f>
        <v>1252910009.8</v>
      </c>
    </row>
    <row r="42" spans="1:10" ht="15" customHeight="1" x14ac:dyDescent="0.25">
      <c r="A42" s="176" t="s">
        <v>25</v>
      </c>
      <c r="B42" s="177" t="s">
        <v>56</v>
      </c>
      <c r="C42" s="184">
        <v>595576456</v>
      </c>
      <c r="D42" s="178">
        <v>620235825</v>
      </c>
      <c r="E42" s="212">
        <v>1303653874.7</v>
      </c>
      <c r="F42" s="177">
        <f t="shared" si="0"/>
        <v>2519466155.6999998</v>
      </c>
      <c r="H42" s="210" t="s">
        <v>96</v>
      </c>
      <c r="I42" s="211">
        <v>50743864.899999999</v>
      </c>
      <c r="J42" s="89"/>
    </row>
    <row r="43" spans="1:10" ht="15" customHeight="1" x14ac:dyDescent="0.25">
      <c r="A43" s="176"/>
      <c r="B43" s="177" t="s">
        <v>55</v>
      </c>
      <c r="C43" s="178">
        <v>292043708</v>
      </c>
      <c r="D43" s="178">
        <v>46083130</v>
      </c>
      <c r="E43" s="178">
        <v>81223761</v>
      </c>
      <c r="F43" s="177">
        <f t="shared" si="0"/>
        <v>419350599</v>
      </c>
      <c r="H43" s="89" t="s">
        <v>13</v>
      </c>
      <c r="I43" s="15">
        <f>+I41+I42</f>
        <v>1303653874.7</v>
      </c>
    </row>
    <row r="44" spans="1:10" ht="15" customHeight="1" x14ac:dyDescent="0.25">
      <c r="A44" s="174" t="s">
        <v>75</v>
      </c>
      <c r="B44" s="173" t="s">
        <v>56</v>
      </c>
      <c r="C44" s="173">
        <v>230400000</v>
      </c>
      <c r="D44" s="173">
        <v>206050000</v>
      </c>
      <c r="E44" s="173">
        <v>561306000</v>
      </c>
      <c r="F44" s="171">
        <f t="shared" si="0"/>
        <v>997756000</v>
      </c>
      <c r="H44" s="89"/>
    </row>
    <row r="45" spans="1:10" ht="15" customHeight="1" x14ac:dyDescent="0.25">
      <c r="A45" s="174"/>
      <c r="B45" s="173" t="s">
        <v>55</v>
      </c>
      <c r="C45" s="175">
        <v>8650000</v>
      </c>
      <c r="D45" s="171">
        <v>11550000</v>
      </c>
      <c r="E45" s="171">
        <v>44550000</v>
      </c>
      <c r="F45" s="171">
        <f t="shared" si="0"/>
        <v>64750000</v>
      </c>
      <c r="H45" s="89"/>
    </row>
    <row r="46" spans="1:10" ht="15" customHeight="1" thickBot="1" x14ac:dyDescent="0.3">
      <c r="A46" s="24" t="s">
        <v>13</v>
      </c>
      <c r="B46" s="25"/>
      <c r="C46" s="25">
        <f>SUM(C38:C45)</f>
        <v>1646252609</v>
      </c>
      <c r="D46" s="25">
        <f>SUM(D38:D45)</f>
        <v>1303393155</v>
      </c>
      <c r="E46" s="25">
        <f>SUM(E38:E45)</f>
        <v>2559060376.3099999</v>
      </c>
      <c r="F46" s="25">
        <f>SUM(F38:F45)</f>
        <v>5508706140.3099995</v>
      </c>
      <c r="H46" s="89"/>
    </row>
    <row r="47" spans="1:10" ht="15" customHeight="1" thickTop="1" x14ac:dyDescent="0.25">
      <c r="A47" s="27" t="s">
        <v>63</v>
      </c>
    </row>
    <row r="48" spans="1:10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77" t="s">
        <v>15</v>
      </c>
      <c r="B52" s="277"/>
      <c r="C52" s="277"/>
      <c r="D52" s="277"/>
      <c r="E52" s="277"/>
    </row>
    <row r="53" spans="1:5" ht="15" customHeight="1" x14ac:dyDescent="0.25">
      <c r="A53" s="277" t="s">
        <v>32</v>
      </c>
      <c r="B53" s="277"/>
      <c r="C53" s="277"/>
      <c r="D53" s="277"/>
      <c r="E53" s="277"/>
    </row>
    <row r="54" spans="1:5" ht="15" customHeight="1" x14ac:dyDescent="0.25">
      <c r="A54" s="280" t="s">
        <v>52</v>
      </c>
      <c r="B54" s="280"/>
      <c r="C54" s="280"/>
      <c r="D54" s="280"/>
      <c r="E54" s="280"/>
    </row>
    <row r="55" spans="1:5" ht="15" customHeight="1" x14ac:dyDescent="0.25">
      <c r="A55" s="276"/>
      <c r="B55" s="276"/>
      <c r="C55" s="276"/>
      <c r="D55" s="276"/>
      <c r="E55" s="276"/>
    </row>
    <row r="56" spans="1:5" ht="15" customHeight="1" thickBot="1" x14ac:dyDescent="0.3">
      <c r="A56" s="32" t="s">
        <v>10</v>
      </c>
      <c r="B56" s="33" t="s">
        <v>36</v>
      </c>
      <c r="C56" s="33" t="s">
        <v>37</v>
      </c>
      <c r="D56" s="33" t="s">
        <v>38</v>
      </c>
      <c r="E56" s="33" t="s">
        <v>39</v>
      </c>
    </row>
    <row r="58" spans="1:5" ht="15" customHeight="1" x14ac:dyDescent="0.25">
      <c r="A58" s="21" t="s">
        <v>26</v>
      </c>
      <c r="B58" s="49">
        <f>SUM(C38:C41)</f>
        <v>519582445</v>
      </c>
      <c r="C58" s="49">
        <f t="shared" ref="C58:D58" si="1">SUM(D38:D41)</f>
        <v>419474200</v>
      </c>
      <c r="D58" s="49">
        <f t="shared" si="1"/>
        <v>568326740.61000001</v>
      </c>
      <c r="E58" s="15">
        <f>SUM(B58:D58)</f>
        <v>1507383385.6100001</v>
      </c>
    </row>
    <row r="59" spans="1:5" ht="15" customHeight="1" x14ac:dyDescent="0.25">
      <c r="A59" s="21" t="s">
        <v>43</v>
      </c>
      <c r="B59" s="49">
        <f>SUM(C42:C43)</f>
        <v>887620164</v>
      </c>
      <c r="C59" s="49">
        <f t="shared" ref="C59:D59" si="2">SUM(D42:D43)</f>
        <v>666318955</v>
      </c>
      <c r="D59" s="49">
        <f t="shared" si="2"/>
        <v>1384877635.7</v>
      </c>
      <c r="E59" s="15">
        <f>SUM(B59:D59)</f>
        <v>2938816754.6999998</v>
      </c>
    </row>
    <row r="60" spans="1:5" ht="15" customHeight="1" x14ac:dyDescent="0.25">
      <c r="A60" s="85" t="s">
        <v>76</v>
      </c>
      <c r="B60" s="49">
        <f>SUM(C44:C45)</f>
        <v>239050000</v>
      </c>
      <c r="C60" s="49">
        <f t="shared" ref="C60:D60" si="3">SUM(D44:D45)</f>
        <v>217600000</v>
      </c>
      <c r="D60" s="49">
        <f t="shared" si="3"/>
        <v>605856000</v>
      </c>
      <c r="E60" s="15">
        <f>SUM(B60:D60)</f>
        <v>1062506000</v>
      </c>
    </row>
    <row r="61" spans="1:5" ht="15" customHeight="1" x14ac:dyDescent="0.25">
      <c r="A61" s="21" t="s">
        <v>7</v>
      </c>
      <c r="B61" s="48"/>
      <c r="C61" s="48"/>
      <c r="D61" s="48"/>
      <c r="E61" s="15">
        <f>SUM(B61:D61)</f>
        <v>0</v>
      </c>
    </row>
    <row r="62" spans="1:5" ht="15" customHeight="1" x14ac:dyDescent="0.25">
      <c r="A62" s="21" t="s">
        <v>8</v>
      </c>
      <c r="B62" s="48"/>
      <c r="C62" s="48"/>
      <c r="D62" s="48"/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1646252609</v>
      </c>
      <c r="C63" s="25">
        <f>SUM(C58:C62)</f>
        <v>1303393155</v>
      </c>
      <c r="D63" s="25">
        <f>SUM(D58:D62)</f>
        <v>2559060376.3099999</v>
      </c>
      <c r="E63" s="25">
        <f>SUM(E58:E62)</f>
        <v>5508706140.3099995</v>
      </c>
    </row>
    <row r="64" spans="1:5" ht="15" customHeight="1" thickTop="1" x14ac:dyDescent="0.25">
      <c r="A64" s="52" t="s">
        <v>72</v>
      </c>
    </row>
    <row r="65" spans="1:10" ht="15" customHeight="1" x14ac:dyDescent="0.25">
      <c r="A65" s="1"/>
    </row>
    <row r="67" spans="1:10" ht="15" customHeight="1" x14ac:dyDescent="0.25">
      <c r="A67" s="277" t="s">
        <v>44</v>
      </c>
      <c r="B67" s="277"/>
      <c r="C67" s="277"/>
      <c r="D67" s="277"/>
      <c r="E67" s="277"/>
    </row>
    <row r="68" spans="1:10" ht="15" customHeight="1" x14ac:dyDescent="0.25">
      <c r="A68" s="271" t="s">
        <v>78</v>
      </c>
      <c r="B68" s="271"/>
      <c r="C68" s="271"/>
      <c r="D68" s="271"/>
      <c r="E68" s="271"/>
    </row>
    <row r="69" spans="1:10" ht="15" customHeight="1" x14ac:dyDescent="0.25">
      <c r="A69" s="280" t="s">
        <v>52</v>
      </c>
      <c r="B69" s="280"/>
      <c r="C69" s="280"/>
      <c r="D69" s="280"/>
      <c r="E69" s="280"/>
    </row>
    <row r="70" spans="1:10" ht="15" customHeight="1" x14ac:dyDescent="0.25">
      <c r="A70" s="276"/>
      <c r="B70" s="276"/>
      <c r="C70" s="276"/>
      <c r="D70" s="276"/>
      <c r="E70" s="276"/>
    </row>
    <row r="71" spans="1:10" ht="15" customHeight="1" thickBot="1" x14ac:dyDescent="0.3">
      <c r="A71" s="32" t="s">
        <v>10</v>
      </c>
      <c r="B71" s="33" t="s">
        <v>36</v>
      </c>
      <c r="C71" s="33" t="s">
        <v>37</v>
      </c>
      <c r="D71" s="33" t="s">
        <v>38</v>
      </c>
      <c r="E71" s="33" t="s">
        <v>39</v>
      </c>
      <c r="G71" s="86"/>
      <c r="H71" s="86"/>
      <c r="I71" s="86"/>
      <c r="J71" s="86"/>
    </row>
    <row r="72" spans="1:10" ht="15" customHeight="1" x14ac:dyDescent="0.25">
      <c r="G72" s="86"/>
      <c r="H72" s="86"/>
      <c r="I72" s="86"/>
      <c r="J72" s="86"/>
    </row>
    <row r="73" spans="1:10" ht="15" customHeight="1" x14ac:dyDescent="0.25">
      <c r="A73" s="15" t="s">
        <v>62</v>
      </c>
      <c r="B73" s="87">
        <f>'3 T'!E77</f>
        <v>452047623.75999999</v>
      </c>
      <c r="C73" s="87">
        <f>B77</f>
        <v>354766845.75999999</v>
      </c>
      <c r="D73" s="87">
        <f>C77</f>
        <v>357594312.75999999</v>
      </c>
      <c r="E73" s="15">
        <f>+B73</f>
        <v>452047623.75999999</v>
      </c>
      <c r="G73" s="86"/>
      <c r="H73" s="86"/>
      <c r="I73" s="86"/>
      <c r="J73" s="86"/>
    </row>
    <row r="74" spans="1:10" ht="15" customHeight="1" x14ac:dyDescent="0.25">
      <c r="A74" s="15" t="s">
        <v>16</v>
      </c>
      <c r="B74" s="62">
        <v>422301667</v>
      </c>
      <c r="C74" s="62">
        <v>422301667</v>
      </c>
      <c r="D74" s="62">
        <f>422301667+1155427.38</f>
        <v>423457094.38</v>
      </c>
      <c r="E74" s="15">
        <f>SUM(B74:D74)</f>
        <v>1268060428.3800001</v>
      </c>
      <c r="G74" s="86"/>
      <c r="H74" s="86"/>
      <c r="I74" s="86"/>
      <c r="J74" s="86"/>
    </row>
    <row r="75" spans="1:10" ht="15" customHeight="1" x14ac:dyDescent="0.25">
      <c r="A75" s="15" t="s">
        <v>17</v>
      </c>
      <c r="B75" s="15">
        <f>B73+B74</f>
        <v>874349290.75999999</v>
      </c>
      <c r="C75" s="15">
        <f>C73+C74</f>
        <v>777068512.75999999</v>
      </c>
      <c r="D75" s="15">
        <f>D73+D74</f>
        <v>781051407.13999999</v>
      </c>
      <c r="E75" s="15">
        <f>+E73+E74</f>
        <v>1720108052.1400001</v>
      </c>
      <c r="G75" s="86"/>
      <c r="H75" s="86"/>
      <c r="I75" s="86"/>
      <c r="J75" s="86"/>
    </row>
    <row r="76" spans="1:10" ht="15" customHeight="1" x14ac:dyDescent="0.25">
      <c r="A76" s="15" t="s">
        <v>18</v>
      </c>
      <c r="B76" s="54">
        <f>B58</f>
        <v>519582445</v>
      </c>
      <c r="C76" s="54">
        <f>C58</f>
        <v>419474200</v>
      </c>
      <c r="D76" s="54">
        <f>D58</f>
        <v>568326740.61000001</v>
      </c>
      <c r="E76" s="50">
        <f>SUM(B76:D76)</f>
        <v>1507383385.6100001</v>
      </c>
      <c r="F76" s="86"/>
      <c r="G76" s="89"/>
      <c r="H76" s="89"/>
      <c r="I76" s="86"/>
      <c r="J76" s="86"/>
    </row>
    <row r="77" spans="1:10" ht="15" customHeight="1" x14ac:dyDescent="0.25">
      <c r="A77" s="28" t="s">
        <v>19</v>
      </c>
      <c r="B77" s="28">
        <f>+B75-B76</f>
        <v>354766845.75999999</v>
      </c>
      <c r="C77" s="28">
        <f>+C75-C76</f>
        <v>357594312.75999999</v>
      </c>
      <c r="D77" s="27">
        <f>+D75-D76</f>
        <v>212724666.52999997</v>
      </c>
      <c r="E77" s="53">
        <f>+E75-E76</f>
        <v>212724666.52999997</v>
      </c>
      <c r="F77" s="86"/>
      <c r="G77" s="89"/>
      <c r="H77" s="89"/>
      <c r="I77" s="86"/>
      <c r="J77" s="86"/>
    </row>
    <row r="78" spans="1:10" ht="15" customHeight="1" thickBot="1" x14ac:dyDescent="0.3">
      <c r="A78" s="25"/>
      <c r="B78" s="25"/>
      <c r="C78" s="25"/>
      <c r="D78" s="25"/>
      <c r="E78" s="25"/>
      <c r="F78" s="89"/>
      <c r="G78" s="89"/>
      <c r="H78" s="89"/>
      <c r="I78" s="86"/>
      <c r="J78" s="86"/>
    </row>
    <row r="79" spans="1:10" ht="15" customHeight="1" thickTop="1" x14ac:dyDescent="0.25">
      <c r="A79" s="52" t="s">
        <v>72</v>
      </c>
      <c r="F79" s="89"/>
      <c r="G79" s="89"/>
      <c r="H79" s="89"/>
      <c r="I79" s="86"/>
      <c r="J79" s="86"/>
    </row>
    <row r="80" spans="1:10" ht="15" customHeight="1" x14ac:dyDescent="0.25">
      <c r="A80" s="1"/>
      <c r="F80" s="89"/>
      <c r="G80" s="89"/>
      <c r="H80" s="89"/>
      <c r="I80" s="86"/>
      <c r="J80" s="86"/>
    </row>
    <row r="81" spans="1:13" ht="15" customHeight="1" x14ac:dyDescent="0.25">
      <c r="A81" s="15"/>
      <c r="G81" s="86"/>
      <c r="H81" s="86"/>
      <c r="I81" s="86"/>
      <c r="J81" s="86"/>
    </row>
    <row r="82" spans="1:13" ht="15" customHeight="1" x14ac:dyDescent="0.25">
      <c r="A82" s="277" t="s">
        <v>45</v>
      </c>
      <c r="B82" s="277"/>
      <c r="C82" s="277"/>
      <c r="D82" s="277"/>
      <c r="E82" s="277"/>
      <c r="F82" s="16" t="s">
        <v>54</v>
      </c>
      <c r="G82" s="86"/>
      <c r="H82" s="86"/>
      <c r="I82" s="86"/>
      <c r="J82" s="86"/>
    </row>
    <row r="83" spans="1:13" ht="15" customHeight="1" x14ac:dyDescent="0.25">
      <c r="A83" s="277" t="s">
        <v>49</v>
      </c>
      <c r="B83" s="277"/>
      <c r="C83" s="277"/>
      <c r="D83" s="277"/>
      <c r="E83" s="277"/>
      <c r="F83" s="16">
        <f>E74+E89+E90</f>
        <v>4682462913.1700001</v>
      </c>
      <c r="G83" s="86"/>
      <c r="H83" s="86"/>
      <c r="I83" s="86"/>
      <c r="J83" s="86"/>
    </row>
    <row r="84" spans="1:13" ht="15" customHeight="1" x14ac:dyDescent="0.25">
      <c r="A84" s="280" t="s">
        <v>52</v>
      </c>
      <c r="B84" s="280"/>
      <c r="C84" s="280"/>
      <c r="D84" s="280"/>
      <c r="E84" s="280"/>
      <c r="F84" s="16"/>
      <c r="G84" s="86"/>
      <c r="H84" s="86"/>
      <c r="I84" s="86"/>
      <c r="J84" s="86"/>
    </row>
    <row r="85" spans="1:13" ht="15" customHeight="1" x14ac:dyDescent="0.25">
      <c r="A85" s="276"/>
      <c r="B85" s="276"/>
      <c r="C85" s="276"/>
      <c r="D85" s="276"/>
      <c r="E85" s="276"/>
      <c r="G85" s="86"/>
      <c r="H85" s="86"/>
      <c r="I85" s="86"/>
      <c r="J85" s="86"/>
    </row>
    <row r="86" spans="1:13" ht="15" customHeight="1" thickBot="1" x14ac:dyDescent="0.3">
      <c r="A86" s="32" t="s">
        <v>10</v>
      </c>
      <c r="B86" s="33" t="s">
        <v>36</v>
      </c>
      <c r="C86" s="33" t="s">
        <v>37</v>
      </c>
      <c r="D86" s="33" t="s">
        <v>38</v>
      </c>
      <c r="E86" s="33" t="s">
        <v>39</v>
      </c>
      <c r="G86" s="86"/>
      <c r="H86" s="86"/>
      <c r="I86" s="86"/>
      <c r="J86" s="86"/>
    </row>
    <row r="87" spans="1:13" ht="15" customHeight="1" x14ac:dyDescent="0.25">
      <c r="G87" s="86"/>
      <c r="H87" s="86"/>
      <c r="I87" s="86"/>
      <c r="J87" s="86"/>
    </row>
    <row r="88" spans="1:13" ht="15" customHeight="1" x14ac:dyDescent="0.25">
      <c r="A88" s="15" t="s">
        <v>62</v>
      </c>
      <c r="B88" s="87">
        <f>'3 T'!E93</f>
        <v>866205422.50999975</v>
      </c>
      <c r="C88" s="87">
        <f>B93</f>
        <v>633805891.50999975</v>
      </c>
      <c r="D88" s="87">
        <f>C93</f>
        <v>644157569.50999975</v>
      </c>
      <c r="E88" s="15">
        <f>+B88</f>
        <v>866205422.50999975</v>
      </c>
      <c r="G88" s="86"/>
      <c r="H88" s="86"/>
      <c r="I88" s="86"/>
      <c r="J88" s="86"/>
    </row>
    <row r="89" spans="1:13" ht="15" customHeight="1" x14ac:dyDescent="0.25">
      <c r="A89" s="113" t="s">
        <v>88</v>
      </c>
      <c r="B89" s="62">
        <v>630820633</v>
      </c>
      <c r="C89" s="62">
        <v>630820633</v>
      </c>
      <c r="D89" s="209">
        <f>630820633+(472036858.8+33044608.44)+50743864.9+60306010.98</f>
        <v>1246951976.1200001</v>
      </c>
      <c r="E89" s="15">
        <f>SUM(B89:D89)</f>
        <v>2508593242.1199999</v>
      </c>
      <c r="G89" s="86" t="s">
        <v>95</v>
      </c>
      <c r="H89" s="86">
        <f>+D89-H90</f>
        <v>1196208111.22</v>
      </c>
      <c r="I89" s="86"/>
      <c r="J89" s="86"/>
      <c r="L89" s="79"/>
    </row>
    <row r="90" spans="1:13" s="79" customFormat="1" ht="15" customHeight="1" x14ac:dyDescent="0.25">
      <c r="A90" s="82" t="s">
        <v>77</v>
      </c>
      <c r="B90" s="62">
        <v>263450000</v>
      </c>
      <c r="C90" s="62">
        <v>263450000</v>
      </c>
      <c r="D90" s="62">
        <f>263450000+115456000+3242.67</f>
        <v>378909242.67000002</v>
      </c>
      <c r="E90" s="79">
        <f>SUM(B90:D90)</f>
        <v>905809242.67000008</v>
      </c>
      <c r="F90" s="110"/>
      <c r="G90" s="213" t="s">
        <v>97</v>
      </c>
      <c r="H90" s="214">
        <v>50743864.899999999</v>
      </c>
      <c r="I90" s="86"/>
      <c r="J90" s="86"/>
      <c r="M90" s="113"/>
    </row>
    <row r="91" spans="1:13" ht="15" customHeight="1" x14ac:dyDescent="0.25">
      <c r="A91" s="15" t="s">
        <v>17</v>
      </c>
      <c r="B91" s="15">
        <f>SUM(B88:B90)</f>
        <v>1760476055.5099998</v>
      </c>
      <c r="C91" s="86">
        <f>SUM(C88:C90)</f>
        <v>1528076524.5099998</v>
      </c>
      <c r="D91" s="86">
        <f>SUM(D88:D90)</f>
        <v>2270018788.2999997</v>
      </c>
      <c r="E91" s="15">
        <f>SUM(E88:E90)</f>
        <v>4280607907.2999997</v>
      </c>
      <c r="G91" s="89" t="s">
        <v>13</v>
      </c>
      <c r="H91" s="86">
        <f>+H89+H90</f>
        <v>1246951976.1200001</v>
      </c>
      <c r="I91" s="86"/>
      <c r="J91" s="86"/>
    </row>
    <row r="92" spans="1:13" ht="15" customHeight="1" x14ac:dyDescent="0.25">
      <c r="A92" s="15" t="s">
        <v>18</v>
      </c>
      <c r="B92" s="54">
        <f>B59+B60</f>
        <v>1126670164</v>
      </c>
      <c r="C92" s="54">
        <f>C59+C60</f>
        <v>883918955</v>
      </c>
      <c r="D92" s="54">
        <f>D59+D60</f>
        <v>1990733635.7</v>
      </c>
      <c r="E92" s="50">
        <f>SUM(B92:D92)</f>
        <v>4001322754.6999998</v>
      </c>
      <c r="F92" s="31"/>
      <c r="G92" s="89"/>
      <c r="H92" s="86"/>
      <c r="I92" s="86"/>
      <c r="J92" s="86"/>
    </row>
    <row r="93" spans="1:13" ht="15" customHeight="1" x14ac:dyDescent="0.25">
      <c r="A93" s="28" t="s">
        <v>19</v>
      </c>
      <c r="B93" s="28">
        <f>+B91-B92</f>
        <v>633805891.50999975</v>
      </c>
      <c r="C93" s="28">
        <f>+C91-C92</f>
        <v>644157569.50999975</v>
      </c>
      <c r="D93" s="27">
        <f>+D91-D92</f>
        <v>279285152.59999967</v>
      </c>
      <c r="E93" s="53">
        <f>+E91-E92</f>
        <v>279285152.5999999</v>
      </c>
      <c r="F93" s="31"/>
      <c r="G93" s="89"/>
      <c r="H93" s="86"/>
      <c r="I93" s="86"/>
      <c r="J93" s="86"/>
    </row>
    <row r="94" spans="1:13" ht="15" customHeight="1" thickBot="1" x14ac:dyDescent="0.3">
      <c r="A94" s="25"/>
      <c r="B94" s="25"/>
      <c r="C94" s="25"/>
      <c r="D94" s="25"/>
      <c r="E94" s="25"/>
      <c r="F94" s="31"/>
      <c r="G94" s="89"/>
      <c r="H94" s="86"/>
      <c r="I94" s="86"/>
      <c r="J94" s="86"/>
    </row>
    <row r="95" spans="1:13" ht="15" customHeight="1" thickTop="1" x14ac:dyDescent="0.25">
      <c r="A95" s="52" t="s">
        <v>72</v>
      </c>
      <c r="F95" s="31"/>
      <c r="G95" s="86"/>
      <c r="H95" s="86"/>
      <c r="I95" s="86"/>
      <c r="J95" s="86"/>
    </row>
    <row r="96" spans="1:13" ht="30" x14ac:dyDescent="0.25">
      <c r="A96" s="82" t="s">
        <v>79</v>
      </c>
      <c r="E96" s="89"/>
      <c r="F96" s="31"/>
      <c r="G96" s="86"/>
      <c r="H96" s="86"/>
      <c r="I96" s="86"/>
      <c r="J96" s="86"/>
    </row>
    <row r="97" spans="1:12" ht="15" customHeight="1" x14ac:dyDescent="0.25">
      <c r="E97" s="89"/>
      <c r="F97" s="31"/>
      <c r="G97" s="86"/>
      <c r="H97" s="86"/>
      <c r="I97" s="86"/>
      <c r="J97" s="86"/>
      <c r="L97" s="110"/>
    </row>
    <row r="98" spans="1:12" ht="15" customHeight="1" x14ac:dyDescent="0.25">
      <c r="A98" s="112" t="s">
        <v>92</v>
      </c>
      <c r="E98" s="89"/>
      <c r="F98" s="31"/>
      <c r="G98" s="86"/>
      <c r="H98" s="86"/>
      <c r="I98" s="86"/>
      <c r="J98" s="86"/>
    </row>
    <row r="99" spans="1:12" ht="17.25" customHeight="1" x14ac:dyDescent="0.25">
      <c r="A99" s="39"/>
      <c r="G99" s="86"/>
      <c r="H99" s="86"/>
      <c r="I99" s="86"/>
      <c r="J99" s="86"/>
    </row>
    <row r="100" spans="1:12" ht="15" customHeight="1" x14ac:dyDescent="0.25">
      <c r="A100" s="39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2" ht="15" customHeight="1" x14ac:dyDescent="0.25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2" ht="15" customHeight="1" x14ac:dyDescent="0.25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2" ht="15" customHeight="1" x14ac:dyDescent="0.25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2" ht="15" customHeight="1" x14ac:dyDescent="0.25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1:12" ht="15" customHeight="1" x14ac:dyDescent="0.25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1:12" ht="15" customHeight="1" x14ac:dyDescent="0.25">
      <c r="B106" s="86"/>
      <c r="C106" s="86"/>
      <c r="D106" s="86"/>
      <c r="E106" s="86"/>
      <c r="F106" s="86"/>
    </row>
    <row r="109" spans="1:12" ht="15" customHeight="1" x14ac:dyDescent="0.25">
      <c r="G109" s="86"/>
    </row>
  </sheetData>
  <mergeCells count="23">
    <mergeCell ref="A85:E85"/>
    <mergeCell ref="A52:E52"/>
    <mergeCell ref="A53:E53"/>
    <mergeCell ref="A55:E55"/>
    <mergeCell ref="A67:E67"/>
    <mergeCell ref="A68:E68"/>
    <mergeCell ref="A70:E70"/>
    <mergeCell ref="A84:E84"/>
    <mergeCell ref="A35:E35"/>
    <mergeCell ref="A1:F1"/>
    <mergeCell ref="A82:E82"/>
    <mergeCell ref="A83:E83"/>
    <mergeCell ref="A7:F7"/>
    <mergeCell ref="A8:F8"/>
    <mergeCell ref="A9:F9"/>
    <mergeCell ref="A19:A21"/>
    <mergeCell ref="A16:A18"/>
    <mergeCell ref="A13:A15"/>
    <mergeCell ref="A34:F34"/>
    <mergeCell ref="A33:F33"/>
    <mergeCell ref="A32:F32"/>
    <mergeCell ref="A54:E54"/>
    <mergeCell ref="A69:E69"/>
  </mergeCells>
  <printOptions horizontalCentered="1" verticalCentered="1"/>
  <pageMargins left="0.70866141732283472" right="1.18" top="0.3" bottom="0.2" header="0.31496062992125984" footer="0.31496062992125984"/>
  <pageSetup scale="3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</vt:lpstr>
      <vt:lpstr>II T</vt:lpstr>
      <vt:lpstr>III T</vt:lpstr>
      <vt:lpstr>IV T</vt:lpstr>
      <vt:lpstr>I semestre</vt:lpstr>
      <vt:lpstr>Anual</vt:lpstr>
      <vt:lpstr>2 T no usar</vt:lpstr>
      <vt:lpstr>3 T</vt:lpstr>
      <vt:lpstr>4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2018-04-05T14:15:43Z</cp:lastPrinted>
  <dcterms:created xsi:type="dcterms:W3CDTF">2011-03-10T14:40:05Z</dcterms:created>
  <dcterms:modified xsi:type="dcterms:W3CDTF">2021-04-15T18:10:10Z</dcterms:modified>
</cp:coreProperties>
</file>