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ONAPAM\"/>
    </mc:Choice>
  </mc:AlternateContent>
  <bookViews>
    <workbookView xWindow="0" yWindow="0" windowWidth="28800" windowHeight="12330" tabRatio="698"/>
  </bookViews>
  <sheets>
    <sheet name="I T" sheetId="1" r:id="rId1"/>
    <sheet name="2 T" sheetId="3" r:id="rId2"/>
    <sheet name="3 T" sheetId="6" r:id="rId3"/>
    <sheet name="4 T" sheetId="8" r:id="rId4"/>
    <sheet name="semestral" sheetId="12" r:id="rId5"/>
    <sheet name=" anual" sheetId="10" r:id="rId6"/>
  </sheets>
  <calcPr calcId="162913"/>
</workbook>
</file>

<file path=xl/calcChain.xml><?xml version="1.0" encoding="utf-8"?>
<calcChain xmlns="http://schemas.openxmlformats.org/spreadsheetml/2006/main">
  <c r="B128" i="10" l="1"/>
  <c r="C119" i="10"/>
  <c r="E21" i="1"/>
  <c r="G21" i="1"/>
  <c r="G23" i="1" s="1"/>
  <c r="G41" i="8" l="1"/>
  <c r="E42" i="8"/>
  <c r="C42" i="8"/>
  <c r="E89" i="8"/>
  <c r="D42" i="6"/>
  <c r="D90" i="8" l="1"/>
  <c r="E90" i="8" s="1"/>
  <c r="D89" i="6" l="1"/>
  <c r="D90" i="6"/>
  <c r="H25" i="8" l="1"/>
  <c r="E116" i="3" l="1"/>
  <c r="E119" i="1" l="1"/>
  <c r="B103" i="1"/>
  <c r="B60" i="1" l="1"/>
  <c r="C60" i="1"/>
  <c r="D60" i="1"/>
  <c r="D59" i="1"/>
  <c r="C59" i="1"/>
  <c r="C92" i="1" s="1"/>
  <c r="B59" i="1"/>
  <c r="D58" i="1"/>
  <c r="C58" i="1"/>
  <c r="B58" i="1"/>
  <c r="D22" i="1"/>
  <c r="E22" i="1" s="1"/>
  <c r="C22" i="3" s="1"/>
  <c r="D22" i="3" s="1"/>
  <c r="E22" i="3" s="1"/>
  <c r="D19" i="1"/>
  <c r="E19" i="1" s="1"/>
  <c r="C19" i="3" s="1"/>
  <c r="D19" i="3" s="1"/>
  <c r="E19" i="3" s="1"/>
  <c r="C19" i="6" s="1"/>
  <c r="D19" i="6" s="1"/>
  <c r="E19" i="6" s="1"/>
  <c r="C19" i="8" s="1"/>
  <c r="D19" i="8" s="1"/>
  <c r="E19" i="8" s="1"/>
  <c r="C22" i="6" l="1"/>
  <c r="D22" i="6" s="1"/>
  <c r="E22" i="6" s="1"/>
  <c r="C22" i="8" s="1"/>
  <c r="D22" i="8" s="1"/>
  <c r="E22" i="8" s="1"/>
  <c r="F22" i="8" s="1"/>
  <c r="F22" i="3"/>
  <c r="E60" i="1"/>
  <c r="F22" i="1"/>
  <c r="D16" i="1" l="1"/>
  <c r="E16" i="1" s="1"/>
  <c r="C16" i="3" s="1"/>
  <c r="D16" i="3" s="1"/>
  <c r="E16" i="3" s="1"/>
  <c r="C16" i="6" s="1"/>
  <c r="D16" i="6" s="1"/>
  <c r="E16" i="6" s="1"/>
  <c r="C16" i="8" s="1"/>
  <c r="D16" i="8" s="1"/>
  <c r="E16" i="8" s="1"/>
  <c r="D13" i="1"/>
  <c r="E13" i="1" s="1"/>
  <c r="C13" i="3" s="1"/>
  <c r="D13" i="3" s="1"/>
  <c r="E13" i="3" s="1"/>
  <c r="C13" i="6" s="1"/>
  <c r="D13" i="6" s="1"/>
  <c r="E13" i="6" s="1"/>
  <c r="C13" i="8" s="1"/>
  <c r="D13" i="8" s="1"/>
  <c r="E13" i="8" s="1"/>
  <c r="B88" i="1" l="1"/>
  <c r="E88" i="1" s="1"/>
  <c r="B73" i="1"/>
  <c r="B75" i="1" s="1"/>
  <c r="E90" i="10"/>
  <c r="E89" i="10"/>
  <c r="E90" i="6"/>
  <c r="E89" i="6"/>
  <c r="D89" i="10" s="1"/>
  <c r="E90" i="3"/>
  <c r="C90" i="12" s="1"/>
  <c r="E89" i="3"/>
  <c r="C89" i="12" s="1"/>
  <c r="E90" i="1"/>
  <c r="B90" i="12" s="1"/>
  <c r="E89" i="1"/>
  <c r="B89" i="10" s="1"/>
  <c r="C58" i="8"/>
  <c r="C59" i="8"/>
  <c r="D59" i="8"/>
  <c r="C60" i="8"/>
  <c r="D60" i="8"/>
  <c r="B60" i="8"/>
  <c r="B59" i="8"/>
  <c r="B58" i="8"/>
  <c r="C58" i="6"/>
  <c r="C76" i="6" s="1"/>
  <c r="D58" i="6"/>
  <c r="D76" i="6" s="1"/>
  <c r="C59" i="6"/>
  <c r="D59" i="6"/>
  <c r="C60" i="6"/>
  <c r="D60" i="6"/>
  <c r="B60" i="6"/>
  <c r="B59" i="6"/>
  <c r="B58" i="6"/>
  <c r="E61" i="3"/>
  <c r="C58" i="3"/>
  <c r="C76" i="3" s="1"/>
  <c r="D58" i="3"/>
  <c r="D76" i="3" s="1"/>
  <c r="C59" i="3"/>
  <c r="D59" i="3"/>
  <c r="C60" i="3"/>
  <c r="D60" i="3"/>
  <c r="B60" i="3"/>
  <c r="B59" i="3"/>
  <c r="B63" i="3" s="1"/>
  <c r="B58" i="3"/>
  <c r="D27" i="3"/>
  <c r="D92" i="1"/>
  <c r="B92" i="1"/>
  <c r="E74" i="3"/>
  <c r="B76" i="1"/>
  <c r="C76" i="1"/>
  <c r="D76" i="1"/>
  <c r="F24" i="8"/>
  <c r="F24" i="10" s="1"/>
  <c r="F24" i="1"/>
  <c r="C24" i="10" s="1"/>
  <c r="F24" i="3"/>
  <c r="D24" i="10" s="1"/>
  <c r="F23" i="8"/>
  <c r="F23" i="10" s="1"/>
  <c r="F23" i="1"/>
  <c r="C23" i="10" s="1"/>
  <c r="F23" i="3"/>
  <c r="F15" i="1"/>
  <c r="C15" i="10" s="1"/>
  <c r="F15" i="3"/>
  <c r="F14" i="1"/>
  <c r="F14" i="3"/>
  <c r="D14" i="12"/>
  <c r="F44" i="8"/>
  <c r="F44" i="10" s="1"/>
  <c r="F44" i="1"/>
  <c r="C44" i="12" s="1"/>
  <c r="F44" i="3"/>
  <c r="D44" i="12" s="1"/>
  <c r="F45" i="8"/>
  <c r="F45" i="1"/>
  <c r="C45" i="12" s="1"/>
  <c r="F45" i="3"/>
  <c r="D45" i="12"/>
  <c r="F44" i="6"/>
  <c r="F45" i="6"/>
  <c r="E45" i="10" s="1"/>
  <c r="E46" i="3"/>
  <c r="F38" i="3"/>
  <c r="F39" i="3"/>
  <c r="F40" i="3"/>
  <c r="F41" i="3"/>
  <c r="F42" i="3"/>
  <c r="D42" i="10" s="1"/>
  <c r="F43" i="3"/>
  <c r="D43" i="10" s="1"/>
  <c r="D46" i="3"/>
  <c r="C46" i="3"/>
  <c r="D46" i="1"/>
  <c r="E46" i="1"/>
  <c r="C46" i="1"/>
  <c r="F38" i="1"/>
  <c r="F39" i="1"/>
  <c r="F40" i="1"/>
  <c r="C40" i="12" s="1"/>
  <c r="F41" i="1"/>
  <c r="C41" i="12" s="1"/>
  <c r="F42" i="1"/>
  <c r="F43" i="1"/>
  <c r="F17" i="3"/>
  <c r="D17" i="10" s="1"/>
  <c r="F18" i="3"/>
  <c r="D18" i="10" s="1"/>
  <c r="F20" i="3"/>
  <c r="D20" i="12" s="1"/>
  <c r="F21" i="3"/>
  <c r="D21" i="12" s="1"/>
  <c r="F14" i="6"/>
  <c r="F15" i="6"/>
  <c r="E15" i="10" s="1"/>
  <c r="F17" i="6"/>
  <c r="E17" i="10" s="1"/>
  <c r="F18" i="6"/>
  <c r="E18" i="10" s="1"/>
  <c r="F20" i="6"/>
  <c r="E20" i="10" s="1"/>
  <c r="F21" i="6"/>
  <c r="E21" i="10" s="1"/>
  <c r="F14" i="8"/>
  <c r="F14" i="10" s="1"/>
  <c r="F15" i="8"/>
  <c r="F15" i="10" s="1"/>
  <c r="F20" i="8"/>
  <c r="F20" i="10" s="1"/>
  <c r="F21" i="8"/>
  <c r="F21" i="10" s="1"/>
  <c r="F17" i="8"/>
  <c r="F17" i="10" s="1"/>
  <c r="F18" i="8"/>
  <c r="F18" i="10" s="1"/>
  <c r="F17" i="1"/>
  <c r="C17" i="10" s="1"/>
  <c r="F18" i="1"/>
  <c r="C18" i="12" s="1"/>
  <c r="F20" i="1"/>
  <c r="F21" i="1"/>
  <c r="C21" i="12" s="1"/>
  <c r="F22" i="10"/>
  <c r="G22" i="10" s="1"/>
  <c r="F22" i="6"/>
  <c r="E22" i="10" s="1"/>
  <c r="F23" i="6"/>
  <c r="E23" i="10" s="1"/>
  <c r="F24" i="6"/>
  <c r="E24" i="10" s="1"/>
  <c r="D22" i="10"/>
  <c r="C22" i="10"/>
  <c r="D15" i="12"/>
  <c r="C15" i="12"/>
  <c r="C23" i="12"/>
  <c r="C24" i="12"/>
  <c r="D22" i="12"/>
  <c r="E22" i="12" s="1"/>
  <c r="D27" i="8"/>
  <c r="E27" i="8"/>
  <c r="C27" i="8"/>
  <c r="D27" i="6"/>
  <c r="E27" i="6"/>
  <c r="C27" i="6"/>
  <c r="E27" i="3"/>
  <c r="C27" i="3"/>
  <c r="D27" i="1"/>
  <c r="E27" i="1"/>
  <c r="C27" i="1"/>
  <c r="C76" i="8"/>
  <c r="B76" i="8"/>
  <c r="B76" i="6"/>
  <c r="E73" i="1"/>
  <c r="B73" i="10" s="1"/>
  <c r="F73" i="10" s="1"/>
  <c r="E74" i="6"/>
  <c r="E74" i="1"/>
  <c r="F83" i="1" s="1"/>
  <c r="G26" i="10"/>
  <c r="E46" i="6"/>
  <c r="D46" i="6"/>
  <c r="C46" i="6"/>
  <c r="F39" i="6"/>
  <c r="F40" i="6"/>
  <c r="E40" i="10" s="1"/>
  <c r="F41" i="6"/>
  <c r="F42" i="6"/>
  <c r="F43" i="6"/>
  <c r="D46" i="8"/>
  <c r="C46" i="8"/>
  <c r="F39" i="8"/>
  <c r="F39" i="10" s="1"/>
  <c r="F41" i="8"/>
  <c r="F41" i="10" s="1"/>
  <c r="F43" i="8"/>
  <c r="F43" i="10" s="1"/>
  <c r="F38" i="8"/>
  <c r="F38" i="10" s="1"/>
  <c r="F42" i="8"/>
  <c r="F42" i="10" s="1"/>
  <c r="E61" i="8"/>
  <c r="E62" i="8"/>
  <c r="E74" i="8"/>
  <c r="E74" i="10" s="1"/>
  <c r="F38" i="6"/>
  <c r="E38" i="10" s="1"/>
  <c r="E58" i="6"/>
  <c r="E61" i="6"/>
  <c r="E62" i="6"/>
  <c r="D41" i="10"/>
  <c r="E62" i="3"/>
  <c r="D41" i="12"/>
  <c r="C43" i="10"/>
  <c r="C43" i="12"/>
  <c r="D63" i="1"/>
  <c r="E59" i="1"/>
  <c r="E61" i="1"/>
  <c r="E62" i="1"/>
  <c r="C63" i="1"/>
  <c r="B63" i="1"/>
  <c r="E58" i="1"/>
  <c r="B58" i="12" s="1"/>
  <c r="C42" i="10"/>
  <c r="C39" i="10"/>
  <c r="C39" i="12"/>
  <c r="D39" i="12"/>
  <c r="D39" i="10"/>
  <c r="C42" i="12"/>
  <c r="D38" i="10"/>
  <c r="D38" i="12"/>
  <c r="C38" i="10"/>
  <c r="B58" i="10"/>
  <c r="D43" i="12"/>
  <c r="C22" i="12"/>
  <c r="D21" i="10"/>
  <c r="D20" i="10"/>
  <c r="D45" i="10"/>
  <c r="E41" i="10"/>
  <c r="E14" i="10"/>
  <c r="D18" i="12"/>
  <c r="D15" i="10"/>
  <c r="D14" i="10"/>
  <c r="B73" i="12" l="1"/>
  <c r="D73" i="12" s="1"/>
  <c r="C41" i="10"/>
  <c r="C40" i="10"/>
  <c r="E76" i="1"/>
  <c r="B76" i="10" s="1"/>
  <c r="C74" i="12"/>
  <c r="F83" i="3"/>
  <c r="F89" i="10"/>
  <c r="C21" i="10"/>
  <c r="G21" i="10" s="1"/>
  <c r="B63" i="8"/>
  <c r="B92" i="8"/>
  <c r="E59" i="8"/>
  <c r="E59" i="10" s="1"/>
  <c r="E59" i="6"/>
  <c r="B63" i="6"/>
  <c r="D92" i="8"/>
  <c r="C63" i="8"/>
  <c r="F83" i="8"/>
  <c r="D90" i="10"/>
  <c r="F83" i="6"/>
  <c r="E60" i="8"/>
  <c r="E60" i="10" s="1"/>
  <c r="F45" i="10"/>
  <c r="C92" i="8"/>
  <c r="F27" i="8"/>
  <c r="D74" i="10"/>
  <c r="E43" i="10"/>
  <c r="G43" i="10" s="1"/>
  <c r="D92" i="6"/>
  <c r="E42" i="10"/>
  <c r="G42" i="10" s="1"/>
  <c r="D63" i="6"/>
  <c r="E60" i="6"/>
  <c r="D60" i="10" s="1"/>
  <c r="C63" i="6"/>
  <c r="C92" i="6"/>
  <c r="B92" i="6"/>
  <c r="E44" i="10"/>
  <c r="D58" i="10"/>
  <c r="F27" i="6"/>
  <c r="E76" i="6"/>
  <c r="D76" i="10" s="1"/>
  <c r="F46" i="6"/>
  <c r="E39" i="10"/>
  <c r="E27" i="10"/>
  <c r="F27" i="10"/>
  <c r="C74" i="10"/>
  <c r="D92" i="3"/>
  <c r="D24" i="12"/>
  <c r="E24" i="12" s="1"/>
  <c r="E60" i="3"/>
  <c r="D44" i="10"/>
  <c r="C92" i="3"/>
  <c r="D23" i="10"/>
  <c r="D27" i="10" s="1"/>
  <c r="D23" i="12"/>
  <c r="E23" i="12" s="1"/>
  <c r="F27" i="3"/>
  <c r="B92" i="3"/>
  <c r="E21" i="12"/>
  <c r="E59" i="3"/>
  <c r="D42" i="12"/>
  <c r="E42" i="12" s="1"/>
  <c r="E58" i="3"/>
  <c r="D63" i="3"/>
  <c r="D17" i="12"/>
  <c r="C63" i="3"/>
  <c r="E45" i="12"/>
  <c r="E39" i="12"/>
  <c r="G41" i="10"/>
  <c r="E44" i="12"/>
  <c r="F46" i="3"/>
  <c r="C58" i="12"/>
  <c r="D40" i="10"/>
  <c r="D40" i="12"/>
  <c r="E40" i="12" s="1"/>
  <c r="B76" i="3"/>
  <c r="E76" i="3" s="1"/>
  <c r="G17" i="10"/>
  <c r="E41" i="12"/>
  <c r="G15" i="10"/>
  <c r="G24" i="10"/>
  <c r="E15" i="12"/>
  <c r="E43" i="12"/>
  <c r="E18" i="12"/>
  <c r="C90" i="10"/>
  <c r="D90" i="12"/>
  <c r="C89" i="10"/>
  <c r="B90" i="10"/>
  <c r="B89" i="12"/>
  <c r="D89" i="12" s="1"/>
  <c r="B74" i="10"/>
  <c r="B74" i="12"/>
  <c r="D74" i="12" s="1"/>
  <c r="E75" i="1"/>
  <c r="E77" i="1" s="1"/>
  <c r="B91" i="1"/>
  <c r="B93" i="1" s="1"/>
  <c r="C88" i="1" s="1"/>
  <c r="C91" i="1" s="1"/>
  <c r="C93" i="1" s="1"/>
  <c r="D88" i="1" s="1"/>
  <c r="D91" i="1" s="1"/>
  <c r="D93" i="1" s="1"/>
  <c r="B60" i="10"/>
  <c r="B60" i="12"/>
  <c r="E92" i="1"/>
  <c r="B92" i="10" s="1"/>
  <c r="B59" i="10"/>
  <c r="B59" i="12"/>
  <c r="E63" i="1"/>
  <c r="B77" i="1"/>
  <c r="C73" i="1" s="1"/>
  <c r="C75" i="1" s="1"/>
  <c r="C77" i="1" s="1"/>
  <c r="D73" i="1" s="1"/>
  <c r="D75" i="1" s="1"/>
  <c r="D77" i="1" s="1"/>
  <c r="B76" i="12"/>
  <c r="C45" i="10"/>
  <c r="C44" i="10"/>
  <c r="F19" i="1"/>
  <c r="C20" i="12"/>
  <c r="E20" i="12" s="1"/>
  <c r="C20" i="10"/>
  <c r="G20" i="10" s="1"/>
  <c r="C18" i="10"/>
  <c r="G18" i="10" s="1"/>
  <c r="C17" i="12"/>
  <c r="F16" i="1"/>
  <c r="F27" i="1"/>
  <c r="F46" i="1"/>
  <c r="C38" i="12"/>
  <c r="G38" i="10"/>
  <c r="C14" i="10"/>
  <c r="C14" i="12"/>
  <c r="F13" i="1"/>
  <c r="B88" i="10"/>
  <c r="F88" i="10" s="1"/>
  <c r="B88" i="12"/>
  <c r="D88" i="12" s="1"/>
  <c r="E91" i="1"/>
  <c r="G23" i="10" l="1"/>
  <c r="E92" i="8"/>
  <c r="E92" i="10" s="1"/>
  <c r="D59" i="10"/>
  <c r="D63" i="10" s="1"/>
  <c r="G45" i="10"/>
  <c r="E46" i="10"/>
  <c r="E92" i="6"/>
  <c r="D92" i="10" s="1"/>
  <c r="G44" i="10"/>
  <c r="E63" i="6"/>
  <c r="G39" i="10"/>
  <c r="F90" i="10"/>
  <c r="F91" i="10" s="1"/>
  <c r="F74" i="10"/>
  <c r="F75" i="10" s="1"/>
  <c r="E92" i="3"/>
  <c r="C60" i="12"/>
  <c r="D60" i="12" s="1"/>
  <c r="C60" i="10"/>
  <c r="F60" i="10" s="1"/>
  <c r="D27" i="12"/>
  <c r="C59" i="10"/>
  <c r="C59" i="12"/>
  <c r="E63" i="3"/>
  <c r="C58" i="10"/>
  <c r="E17" i="12"/>
  <c r="D46" i="12"/>
  <c r="D46" i="10"/>
  <c r="C76" i="12"/>
  <c r="D76" i="12" s="1"/>
  <c r="C76" i="10"/>
  <c r="D58" i="12"/>
  <c r="E83" i="12"/>
  <c r="D91" i="12"/>
  <c r="D75" i="12"/>
  <c r="B75" i="12"/>
  <c r="B75" i="10"/>
  <c r="B92" i="12"/>
  <c r="B63" i="10"/>
  <c r="B63" i="12"/>
  <c r="B77" i="10"/>
  <c r="B73" i="3"/>
  <c r="B75" i="3" s="1"/>
  <c r="B77" i="3" s="1"/>
  <c r="C73" i="3" s="1"/>
  <c r="C75" i="3" s="1"/>
  <c r="C77" i="3" s="1"/>
  <c r="D73" i="3" s="1"/>
  <c r="D75" i="3" s="1"/>
  <c r="D77" i="3" s="1"/>
  <c r="B77" i="12"/>
  <c r="C46" i="10"/>
  <c r="F19" i="3"/>
  <c r="C19" i="12"/>
  <c r="C19" i="10"/>
  <c r="F16" i="3"/>
  <c r="C16" i="12"/>
  <c r="C16" i="10"/>
  <c r="C46" i="12"/>
  <c r="E38" i="12"/>
  <c r="E46" i="12" s="1"/>
  <c r="G14" i="10"/>
  <c r="C27" i="10"/>
  <c r="G27" i="10" s="1"/>
  <c r="C27" i="12"/>
  <c r="E14" i="12"/>
  <c r="F13" i="3"/>
  <c r="C13" i="12"/>
  <c r="C13" i="10"/>
  <c r="E93" i="1"/>
  <c r="B91" i="12"/>
  <c r="B91" i="10"/>
  <c r="F59" i="10" l="1"/>
  <c r="G83" i="10"/>
  <c r="C63" i="12"/>
  <c r="C92" i="10"/>
  <c r="F92" i="10" s="1"/>
  <c r="F93" i="10" s="1"/>
  <c r="C92" i="12"/>
  <c r="D92" i="12" s="1"/>
  <c r="D93" i="12" s="1"/>
  <c r="E27" i="12"/>
  <c r="D63" i="12"/>
  <c r="D59" i="12"/>
  <c r="C63" i="10"/>
  <c r="D77" i="12"/>
  <c r="E73" i="3"/>
  <c r="C73" i="12" s="1"/>
  <c r="F19" i="8"/>
  <c r="F19" i="10" s="1"/>
  <c r="G19" i="10" s="1"/>
  <c r="F19" i="6"/>
  <c r="D19" i="10"/>
  <c r="D19" i="12"/>
  <c r="E19" i="12" s="1"/>
  <c r="D16" i="10"/>
  <c r="D16" i="12"/>
  <c r="E16" i="12" s="1"/>
  <c r="F16" i="6"/>
  <c r="F16" i="8"/>
  <c r="F16" i="10" s="1"/>
  <c r="G16" i="10" s="1"/>
  <c r="D13" i="10"/>
  <c r="D13" i="12"/>
  <c r="E13" i="12" s="1"/>
  <c r="F13" i="8"/>
  <c r="F13" i="10" s="1"/>
  <c r="G13" i="10" s="1"/>
  <c r="F13" i="6"/>
  <c r="B93" i="12"/>
  <c r="B88" i="3"/>
  <c r="B93" i="10"/>
  <c r="C73" i="10" l="1"/>
  <c r="E75" i="3"/>
  <c r="C75" i="12" s="1"/>
  <c r="E19" i="10"/>
  <c r="E16" i="10"/>
  <c r="E13" i="10"/>
  <c r="B91" i="3"/>
  <c r="B93" i="3" s="1"/>
  <c r="C88" i="3" s="1"/>
  <c r="C91" i="3" s="1"/>
  <c r="C93" i="3" s="1"/>
  <c r="D88" i="3" s="1"/>
  <c r="D91" i="3" s="1"/>
  <c r="D93" i="3" s="1"/>
  <c r="E88" i="3"/>
  <c r="C75" i="10" l="1"/>
  <c r="E77" i="3"/>
  <c r="B73" i="6" s="1"/>
  <c r="E91" i="3"/>
  <c r="C88" i="12"/>
  <c r="C88" i="10"/>
  <c r="C77" i="10" l="1"/>
  <c r="C77" i="12"/>
  <c r="E93" i="3"/>
  <c r="C91" i="12"/>
  <c r="C91" i="10"/>
  <c r="E73" i="6"/>
  <c r="B75" i="6"/>
  <c r="B77" i="6" s="1"/>
  <c r="C73" i="6" s="1"/>
  <c r="C75" i="6" s="1"/>
  <c r="C77" i="6" s="1"/>
  <c r="D73" i="6" s="1"/>
  <c r="D75" i="6" s="1"/>
  <c r="D77" i="6" s="1"/>
  <c r="B88" i="6" l="1"/>
  <c r="C93" i="12"/>
  <c r="C93" i="10"/>
  <c r="E75" i="6"/>
  <c r="D73" i="10"/>
  <c r="E88" i="6" l="1"/>
  <c r="B91" i="6"/>
  <c r="B93" i="6" s="1"/>
  <c r="C88" i="6" s="1"/>
  <c r="C91" i="6" s="1"/>
  <c r="C93" i="6" s="1"/>
  <c r="D88" i="6" s="1"/>
  <c r="D91" i="6" s="1"/>
  <c r="D93" i="6" s="1"/>
  <c r="E77" i="6"/>
  <c r="B73" i="8" s="1"/>
  <c r="D75" i="10"/>
  <c r="D88" i="10" l="1"/>
  <c r="E91" i="6"/>
  <c r="D77" i="10"/>
  <c r="E93" i="6" l="1"/>
  <c r="B88" i="8" s="1"/>
  <c r="D91" i="10"/>
  <c r="B75" i="8"/>
  <c r="B77" i="8" s="1"/>
  <c r="C73" i="8" s="1"/>
  <c r="C75" i="8" s="1"/>
  <c r="C77" i="8" s="1"/>
  <c r="D73" i="8" s="1"/>
  <c r="D75" i="8" s="1"/>
  <c r="E73" i="8"/>
  <c r="B91" i="8" l="1"/>
  <c r="E88" i="8"/>
  <c r="E91" i="8" s="1"/>
  <c r="E93" i="8" s="1"/>
  <c r="D93" i="10"/>
  <c r="E75" i="8"/>
  <c r="E73" i="10"/>
  <c r="B93" i="8" l="1"/>
  <c r="C88" i="8" s="1"/>
  <c r="E75" i="10"/>
  <c r="C91" i="8" l="1"/>
  <c r="C93" i="8" s="1"/>
  <c r="E88" i="10"/>
  <c r="D88" i="8" l="1"/>
  <c r="D91" i="8" s="1"/>
  <c r="D93" i="8" s="1"/>
  <c r="E91" i="10"/>
  <c r="E93" i="10" l="1"/>
  <c r="D58" i="8" l="1"/>
  <c r="D76" i="8" s="1"/>
  <c r="E46" i="8"/>
  <c r="F40" i="8"/>
  <c r="F46" i="8" s="1"/>
  <c r="E58" i="8" l="1"/>
  <c r="E63" i="8" s="1"/>
  <c r="F40" i="10"/>
  <c r="F46" i="10" s="1"/>
  <c r="D77" i="8"/>
  <c r="E76" i="8"/>
  <c r="D63" i="8"/>
  <c r="E58" i="10" l="1"/>
  <c r="E63" i="10" s="1"/>
  <c r="G40" i="10"/>
  <c r="G46" i="10" s="1"/>
  <c r="E76" i="10"/>
  <c r="F76" i="10" s="1"/>
  <c r="F77" i="10" s="1"/>
  <c r="E77" i="8"/>
  <c r="E77" i="10" l="1"/>
  <c r="F58" i="10"/>
  <c r="F63" i="10" s="1"/>
</calcChain>
</file>

<file path=xl/comments1.xml><?xml version="1.0" encoding="utf-8"?>
<comments xmlns="http://schemas.openxmlformats.org/spreadsheetml/2006/main">
  <authors>
    <author>aanchia</author>
  </authors>
  <commentList>
    <comment ref="E21" authorId="0" shapeId="0">
      <text>
        <r>
          <rPr>
            <b/>
            <sz val="9"/>
            <color indexed="81"/>
            <rFont val="Tahoma"/>
            <charset val="1"/>
          </rPr>
          <t>aanchia:</t>
        </r>
        <r>
          <rPr>
            <sz val="9"/>
            <color indexed="81"/>
            <rFont val="Tahoma"/>
            <charset val="1"/>
          </rPr>
          <t xml:space="preserve">
12942, fue el reporte incial, sin embargo el sistema Sipam fue corregido posteriormente con 150 beneficiarios pagados</t>
        </r>
      </text>
    </comment>
  </commentList>
</comments>
</file>

<file path=xl/comments2.xml><?xml version="1.0" encoding="utf-8"?>
<comments xmlns="http://schemas.openxmlformats.org/spreadsheetml/2006/main">
  <authors>
    <author>aanchia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en el reporte no se incluyeron 6 millones de la Muni de cartago
se actualizo hoy 4-3-2019
</t>
        </r>
      </text>
    </comment>
  </commentList>
</comments>
</file>

<file path=xl/comments3.xml><?xml version="1.0" encoding="utf-8"?>
<comments xmlns="http://schemas.openxmlformats.org/spreadsheetml/2006/main">
  <authors>
    <author>aanchia</author>
  </authors>
  <commentList>
    <comment ref="A74" authorId="0" shapeId="0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aanchia</author>
  </authors>
  <commentList>
    <comment ref="F73" authorId="0" shapeId="0">
      <text>
        <r>
          <rPr>
            <b/>
            <sz val="9"/>
            <color indexed="81"/>
            <rFont val="Tahoma"/>
            <charset val="1"/>
          </rPr>
          <t>aanchia:</t>
        </r>
        <r>
          <rPr>
            <sz val="9"/>
            <color indexed="81"/>
            <rFont val="Tahoma"/>
            <charset val="1"/>
          </rPr>
          <t xml:space="preserve">
Para año 2019 se debe limpiar este ajuste en la columna. Ajustes corresponden a reintegros realizados por asociaciones</t>
        </r>
      </text>
    </comment>
    <comment ref="F88" authorId="0" shapeId="0">
      <text>
        <r>
          <rPr>
            <b/>
            <sz val="9"/>
            <color indexed="81"/>
            <rFont val="Tahoma"/>
            <charset val="1"/>
          </rPr>
          <t>aanchia:</t>
        </r>
        <r>
          <rPr>
            <sz val="9"/>
            <color indexed="81"/>
            <rFont val="Tahoma"/>
            <charset val="1"/>
          </rPr>
          <t xml:space="preserve">
aanchia:
Para año 2019 se debe limpiar este ajuste en la columna. Ajustes corresponden a reintegros realizados por asociaciones</t>
        </r>
      </text>
    </comment>
  </commentList>
</comments>
</file>

<file path=xl/sharedStrings.xml><?xml version="1.0" encoding="utf-8"?>
<sst xmlns="http://schemas.openxmlformats.org/spreadsheetml/2006/main" count="700" uniqueCount="115">
  <si>
    <t xml:space="preserve">Programa: </t>
  </si>
  <si>
    <t>Institución:</t>
  </si>
  <si>
    <t>Año:</t>
  </si>
  <si>
    <t>Enero</t>
  </si>
  <si>
    <t>Febrero</t>
  </si>
  <si>
    <t>Marzo</t>
  </si>
  <si>
    <t>I Trimestre</t>
  </si>
  <si>
    <t xml:space="preserve">4. </t>
  </si>
  <si>
    <t xml:space="preserve">5. </t>
  </si>
  <si>
    <t>Cuadro 1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</si>
  <si>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</si>
  <si>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</si>
  <si>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</si>
  <si>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</si>
  <si>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</si>
  <si>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</si>
  <si>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</si>
  <si>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</si>
  <si>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</si>
  <si>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</si>
  <si>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FODESAF</t>
  </si>
  <si>
    <t>Consejo Nacional de la Persona del Adulto Mayor (CONAPAM)</t>
  </si>
  <si>
    <t>Construyendo Lazos de Solidaridad</t>
  </si>
  <si>
    <t>Subsidio para la atención adultos mayores institucionalizados (OBS)</t>
  </si>
  <si>
    <t>Subsidio para la atención diurna de adultos mayores (centros diurnos)</t>
  </si>
  <si>
    <t>Subsidio para la atención domiciliar de adultos mayores (OBS, municipalidades)</t>
  </si>
  <si>
    <t>1. Transferencias corrientes</t>
  </si>
  <si>
    <t>Abril</t>
  </si>
  <si>
    <t>Mayo</t>
  </si>
  <si>
    <t>Junio</t>
  </si>
  <si>
    <t>II Trimestre</t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</si>
  <si>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</si>
  <si>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</si>
  <si>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>Julio</t>
  </si>
  <si>
    <t>Agosto</t>
  </si>
  <si>
    <t>III Trimestre</t>
  </si>
  <si>
    <t>Octubre</t>
  </si>
  <si>
    <t>Noviembre</t>
  </si>
  <si>
    <t>Diciembre</t>
  </si>
  <si>
    <t>IV Trimestre</t>
  </si>
  <si>
    <t>Anual</t>
  </si>
  <si>
    <t>I Semestre</t>
  </si>
  <si>
    <t>* El tercer porducto corresponde a red de cuido</t>
  </si>
  <si>
    <t>2. Transferencias corrientes (Red de Cuido)</t>
  </si>
  <si>
    <t>Cuadro 4.1</t>
  </si>
  <si>
    <t>Cuadro 4.2</t>
  </si>
  <si>
    <t>Reporte de gastos efectivos por objeto de gasto por el Fondo de Desarrollo Social y Asignaciones Familiares</t>
  </si>
  <si>
    <t>Periodo:</t>
  </si>
  <si>
    <t>Reporte de ingresos efectivos girados por el Fondo de Desarrollo Social y Asignaciones Familiares (Red de cuido)</t>
  </si>
  <si>
    <t>Reporte de ingresos efectivos girados por el Fondo de Desarrollo Social y Asignaciones Familiares (Red de Cuido)</t>
  </si>
  <si>
    <t>Unidad: Personas</t>
  </si>
  <si>
    <t>Pagados</t>
  </si>
  <si>
    <t>Unidad: Colones</t>
  </si>
  <si>
    <t>Período:</t>
  </si>
  <si>
    <t xml:space="preserve">Ingresos totales: </t>
  </si>
  <si>
    <t>Ingresos Totales:</t>
  </si>
  <si>
    <t>Compromisos cancelados</t>
  </si>
  <si>
    <t>Pagos del período</t>
  </si>
  <si>
    <t>Setiembre</t>
  </si>
  <si>
    <t xml:space="preserve">Compromisos acumulados </t>
  </si>
  <si>
    <t>Pagados en el mes</t>
  </si>
  <si>
    <t>Pago de compromisos</t>
  </si>
  <si>
    <r>
      <t>Dirección Área Técnica.</t>
    </r>
    <r>
      <rPr>
        <b/>
        <sz val="11"/>
        <color indexed="8"/>
        <rFont val="Calibri"/>
        <family val="2"/>
      </rPr>
      <t xml:space="preserve"> Departamento de Evaluación y Seguimiento</t>
    </r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</si>
  <si>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</si>
  <si>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* El tercer producto corresponde a red de cuido</t>
  </si>
  <si>
    <t>Beneficio</t>
  </si>
  <si>
    <r>
      <t>I Trimestre</t>
    </r>
    <r>
      <rPr>
        <sz val="11"/>
        <color indexed="8"/>
        <rFont val="Calibri"/>
        <family val="2"/>
      </rPr>
      <t>¹</t>
    </r>
  </si>
  <si>
    <t>* El tercer porducto corresponde a red de cuido. 1/ El total de compromisos acumulados del trimestres son los pendientes de pago al último mes del período, los pagos realizados se promedian para obtener una aproximación de personas atendidas.</t>
  </si>
  <si>
    <t>Anual¹</t>
  </si>
  <si>
    <r>
      <t>I Semestre</t>
    </r>
    <r>
      <rPr>
        <sz val="11"/>
        <color indexed="8"/>
        <rFont val="Calibri"/>
        <family val="2"/>
      </rPr>
      <t>¹</t>
    </r>
  </si>
  <si>
    <r>
      <t>IV Trimestre</t>
    </r>
    <r>
      <rPr>
        <sz val="11"/>
        <color indexed="8"/>
        <rFont val="Calibri"/>
        <family val="2"/>
      </rPr>
      <t>¹</t>
    </r>
  </si>
  <si>
    <r>
      <t>III Trimestre</t>
    </r>
    <r>
      <rPr>
        <sz val="11"/>
        <color indexed="8"/>
        <rFont val="Calibri"/>
        <family val="2"/>
      </rPr>
      <t>¹</t>
    </r>
  </si>
  <si>
    <r>
      <t>II Trimestre</t>
    </r>
    <r>
      <rPr>
        <sz val="11"/>
        <color indexed="8"/>
        <rFont val="Calibri"/>
        <family val="2"/>
      </rPr>
      <t>¹</t>
    </r>
  </si>
  <si>
    <t>Fuente: Unidad de Fiscalizacion Operativa del CONAPAM</t>
  </si>
  <si>
    <t>Fuente:  Unidad de Fiscalizacion Operativa del CONAPAM</t>
  </si>
  <si>
    <t>Fuente:Unidad de Fiscalizacion Operativa del CONAPAM</t>
  </si>
  <si>
    <t>Subsidio para la atención domiciliar de adultos mayores (Abandonados)</t>
  </si>
  <si>
    <t>3. Transferencias corrientes (Red de Cuido Abandonados)</t>
  </si>
  <si>
    <t>Ingresos efectivos Abandonados</t>
  </si>
  <si>
    <t>Reporte de ingresos efectivos girados por el Fondo de Desarrollo Social y Asignaciones Familiares (Hogares y CD)</t>
  </si>
  <si>
    <t>Nota: El ingreso efectivo del cuadro 4.2 contiene el ingreso de la modalidad de Red de Cuido y Abandonados</t>
  </si>
  <si>
    <t xml:space="preserve">Fecha de actualización: </t>
  </si>
  <si>
    <r>
      <t xml:space="preserve">1. Saldo en caja inicial  (5 </t>
    </r>
    <r>
      <rPr>
        <sz val="11"/>
        <color indexed="8"/>
        <rFont val="Calibri"/>
        <family val="2"/>
      </rPr>
      <t>t-1)  (Hogares y CD)</t>
    </r>
  </si>
  <si>
    <r>
      <t xml:space="preserve">1. Saldo en caja inicial  (5 </t>
    </r>
    <r>
      <rPr>
        <sz val="11"/>
        <color indexed="8"/>
        <rFont val="Calibri"/>
        <family val="2"/>
      </rPr>
      <t>t-1)  (Red de Cuido)</t>
    </r>
  </si>
  <si>
    <r>
      <t xml:space="preserve">1. Saldo en caja inicial  (5 </t>
    </r>
    <r>
      <rPr>
        <sz val="11"/>
        <color indexed="8"/>
        <rFont val="Calibri"/>
        <family val="2"/>
      </rPr>
      <t>t-1)  (Abandonados)</t>
    </r>
  </si>
  <si>
    <t>2. Ingresos efectivos recibidos(red)</t>
  </si>
  <si>
    <t>Abandonados</t>
  </si>
  <si>
    <t xml:space="preserve">    Ley N° 8783 FODESAF  Necesidades Básicas </t>
  </si>
  <si>
    <t xml:space="preserve">    Ley N° 8783 FODESAF  Red de Cuido </t>
  </si>
  <si>
    <t xml:space="preserve">    Ley N° 8783 FODESAF Abandonados y Agredidos  </t>
  </si>
  <si>
    <t>Descripción</t>
  </si>
  <si>
    <t>Saldo Final Según Unidad F.</t>
  </si>
  <si>
    <t>Monto</t>
  </si>
  <si>
    <t>Fecha</t>
  </si>
  <si>
    <t>Transferido</t>
  </si>
  <si>
    <t>Primer Trimestre 2018</t>
  </si>
  <si>
    <t>Subsidio para la atención adultos mayores institucionalizados (OBS-Hogar)</t>
  </si>
  <si>
    <t>Mes</t>
  </si>
  <si>
    <t>Ley Nº 9188 Red de Cuido</t>
  </si>
  <si>
    <t>Ley Nº 9188   Necesidades Básicas</t>
  </si>
  <si>
    <t>Ley Nº 9188   Abandonados</t>
  </si>
  <si>
    <t>TOTAL                Ley Nº 9188</t>
  </si>
  <si>
    <t>Superavit año 2017</t>
  </si>
  <si>
    <t>Total superavit 2017</t>
  </si>
  <si>
    <t>Fecha de actualización: 31/05/2018</t>
  </si>
  <si>
    <t>Segundo Trimestre 2018</t>
  </si>
  <si>
    <t>Tercer Trimestre 2018</t>
  </si>
  <si>
    <t>Primer Semestre 2018</t>
  </si>
  <si>
    <t>Fecha de actualización:  31-10-2018</t>
  </si>
  <si>
    <t>Cuarto Trimestre 2018</t>
  </si>
  <si>
    <t>2. Ingresos efectivos recibidos(red cuido)</t>
  </si>
  <si>
    <t>Enero y Febrero</t>
  </si>
  <si>
    <t>Transferencias Fodesaf al CONAPAM 2018</t>
  </si>
  <si>
    <t>Remanentes al 31-12-2018</t>
  </si>
  <si>
    <t>Fecha de actualización:  25-02-2019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</si>
</sst>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,##0.0;\-#,##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6" fillId="0" borderId="0"/>
  </cellStyleXfs>
  <cellXfs count="148">
    <xf numFmtId="0" fontId="0" fillId="0" borderId="0" xfId="0"/>
    <xf numFmtId="165" fontId="3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Alignment="1"/>
    <xf numFmtId="165" fontId="5" fillId="0" borderId="0" xfId="1" applyNumberFormat="1" applyFont="1" applyFill="1" applyAlignment="1">
      <alignment horizontal="left"/>
    </xf>
    <xf numFmtId="165" fontId="5" fillId="0" borderId="1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wrapText="1"/>
    </xf>
    <xf numFmtId="165" fontId="3" fillId="0" borderId="3" xfId="1" applyNumberFormat="1" applyFont="1" applyFill="1" applyBorder="1" applyAlignment="1">
      <alignment wrapText="1"/>
    </xf>
    <xf numFmtId="165" fontId="3" fillId="0" borderId="4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Alignment="1"/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/>
    </xf>
    <xf numFmtId="165" fontId="3" fillId="0" borderId="3" xfId="1" applyNumberFormat="1" applyFont="1" applyFill="1" applyBorder="1"/>
    <xf numFmtId="165" fontId="3" fillId="0" borderId="0" xfId="1" applyNumberFormat="1" applyFont="1" applyFill="1" applyBorder="1"/>
    <xf numFmtId="165" fontId="4" fillId="0" borderId="0" xfId="1" applyNumberFormat="1" applyFont="1" applyFill="1"/>
    <xf numFmtId="165" fontId="3" fillId="0" borderId="2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left" vertical="top"/>
    </xf>
    <xf numFmtId="165" fontId="5" fillId="0" borderId="0" xfId="1" applyNumberFormat="1" applyFont="1" applyFill="1"/>
    <xf numFmtId="4" fontId="0" fillId="0" borderId="0" xfId="0" applyNumberFormat="1" applyFont="1" applyFill="1"/>
    <xf numFmtId="4" fontId="5" fillId="0" borderId="0" xfId="0" applyNumberFormat="1" applyFont="1" applyFill="1"/>
    <xf numFmtId="165" fontId="3" fillId="0" borderId="2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/>
    <xf numFmtId="165" fontId="7" fillId="0" borderId="2" xfId="1" applyNumberFormat="1" applyFont="1" applyFill="1" applyBorder="1" applyAlignment="1">
      <alignment horizontal="center" wrapText="1"/>
    </xf>
    <xf numFmtId="165" fontId="8" fillId="0" borderId="0" xfId="1" applyNumberFormat="1" applyFont="1" applyFill="1"/>
    <xf numFmtId="37" fontId="3" fillId="0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  <xf numFmtId="165" fontId="3" fillId="0" borderId="3" xfId="1" applyNumberFormat="1" applyFont="1" applyFill="1" applyBorder="1" applyAlignment="1">
      <alignment horizontal="right" vertical="center" wrapText="1"/>
    </xf>
    <xf numFmtId="37" fontId="3" fillId="0" borderId="0" xfId="1" applyNumberFormat="1" applyFont="1" applyFill="1" applyAlignment="1">
      <alignment horizontal="right" vertical="center"/>
    </xf>
    <xf numFmtId="37" fontId="3" fillId="0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/>
    <xf numFmtId="37" fontId="8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 applyFill="1"/>
    <xf numFmtId="164" fontId="3" fillId="0" borderId="0" xfId="1" applyNumberFormat="1" applyFont="1" applyFill="1"/>
    <xf numFmtId="165" fontId="0" fillId="0" borderId="0" xfId="1" applyNumberFormat="1" applyFont="1" applyFill="1"/>
    <xf numFmtId="164" fontId="3" fillId="0" borderId="5" xfId="1" applyNumberFormat="1" applyFont="1" applyFill="1" applyBorder="1"/>
    <xf numFmtId="165" fontId="3" fillId="0" borderId="10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 applyAlignment="1">
      <alignment wrapText="1"/>
    </xf>
    <xf numFmtId="37" fontId="3" fillId="0" borderId="0" xfId="1" applyNumberFormat="1" applyFont="1" applyFill="1" applyBorder="1" applyAlignment="1">
      <alignment horizontal="right" vertical="center" wrapText="1"/>
    </xf>
    <xf numFmtId="165" fontId="3" fillId="0" borderId="14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Fill="1" applyBorder="1" applyAlignment="1">
      <alignment horizontal="right" wrapText="1"/>
    </xf>
    <xf numFmtId="0" fontId="0" fillId="0" borderId="10" xfId="0" applyFill="1" applyBorder="1" applyAlignment="1">
      <alignment wrapText="1"/>
    </xf>
    <xf numFmtId="37" fontId="3" fillId="0" borderId="12" xfId="1" applyNumberFormat="1" applyFont="1" applyFill="1" applyBorder="1" applyAlignment="1">
      <alignment horizontal="right" wrapText="1"/>
    </xf>
    <xf numFmtId="0" fontId="0" fillId="0" borderId="13" xfId="0" applyFill="1" applyBorder="1" applyAlignment="1">
      <alignment wrapText="1"/>
    </xf>
    <xf numFmtId="37" fontId="3" fillId="0" borderId="14" xfId="1" applyNumberFormat="1" applyFont="1" applyFill="1" applyBorder="1" applyAlignment="1">
      <alignment horizontal="right" wrapText="1"/>
    </xf>
    <xf numFmtId="0" fontId="0" fillId="0" borderId="15" xfId="0" applyFill="1" applyBorder="1" applyAlignment="1">
      <alignment wrapText="1"/>
    </xf>
    <xf numFmtId="37" fontId="3" fillId="0" borderId="16" xfId="1" applyNumberFormat="1" applyFont="1" applyFill="1" applyBorder="1" applyAlignment="1">
      <alignment horizontal="right" wrapText="1"/>
    </xf>
    <xf numFmtId="0" fontId="0" fillId="0" borderId="18" xfId="0" applyFont="1" applyFill="1" applyBorder="1"/>
    <xf numFmtId="0" fontId="0" fillId="0" borderId="9" xfId="0" applyFont="1" applyFill="1" applyBorder="1"/>
    <xf numFmtId="165" fontId="3" fillId="0" borderId="10" xfId="1" applyNumberFormat="1" applyFont="1" applyFill="1" applyBorder="1" applyAlignment="1">
      <alignment horizontal="left" wrapText="1"/>
    </xf>
    <xf numFmtId="165" fontId="3" fillId="0" borderId="11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wrapText="1"/>
    </xf>
    <xf numFmtId="37" fontId="0" fillId="0" borderId="0" xfId="1" applyNumberFormat="1" applyFont="1" applyFill="1" applyAlignment="1">
      <alignment vertical="center"/>
    </xf>
    <xf numFmtId="164" fontId="0" fillId="0" borderId="0" xfId="1" applyFont="1" applyFill="1"/>
    <xf numFmtId="4" fontId="17" fillId="0" borderId="0" xfId="2" applyNumberFormat="1" applyFont="1" applyFill="1" applyBorder="1" applyAlignment="1"/>
    <xf numFmtId="164" fontId="3" fillId="0" borderId="0" xfId="1" applyFont="1" applyFill="1" applyAlignment="1">
      <alignment wrapText="1"/>
    </xf>
    <xf numFmtId="37" fontId="0" fillId="0" borderId="1" xfId="1" applyNumberFormat="1" applyFont="1" applyFill="1" applyBorder="1" applyAlignment="1">
      <alignment horizontal="right" vertical="center" wrapText="1"/>
    </xf>
    <xf numFmtId="164" fontId="3" fillId="0" borderId="8" xfId="1" applyNumberFormat="1" applyFont="1" applyFill="1" applyBorder="1"/>
    <xf numFmtId="165" fontId="5" fillId="0" borderId="2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4" fontId="0" fillId="0" borderId="11" xfId="0" applyNumberFormat="1" applyFont="1" applyFill="1" applyBorder="1"/>
    <xf numFmtId="0" fontId="10" fillId="0" borderId="15" xfId="0" applyFont="1" applyFill="1" applyBorder="1" applyAlignment="1">
      <alignment horizontal="left"/>
    </xf>
    <xf numFmtId="4" fontId="0" fillId="0" borderId="1" xfId="0" applyNumberFormat="1" applyFont="1" applyFill="1" applyBorder="1"/>
    <xf numFmtId="37" fontId="8" fillId="0" borderId="0" xfId="1" applyNumberFormat="1" applyFont="1" applyFill="1" applyAlignment="1">
      <alignment horizontal="right" vertical="center" wrapText="1"/>
    </xf>
    <xf numFmtId="37" fontId="9" fillId="0" borderId="0" xfId="1" applyNumberFormat="1" applyFont="1" applyFill="1" applyAlignment="1">
      <alignment horizontal="right" vertical="center" wrapText="1"/>
    </xf>
    <xf numFmtId="37" fontId="8" fillId="0" borderId="0" xfId="1" applyNumberFormat="1" applyFont="1" applyFill="1" applyBorder="1" applyAlignment="1">
      <alignment horizontal="righ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5" fontId="5" fillId="0" borderId="0" xfId="1" applyNumberFormat="1" applyFont="1" applyFill="1" applyAlignment="1">
      <alignment wrapText="1"/>
    </xf>
    <xf numFmtId="165" fontId="0" fillId="0" borderId="0" xfId="1" applyNumberFormat="1" applyFont="1" applyFill="1" applyAlignment="1">
      <alignment wrapText="1"/>
    </xf>
    <xf numFmtId="37" fontId="8" fillId="0" borderId="0" xfId="1" applyNumberFormat="1" applyFont="1" applyFill="1" applyBorder="1" applyAlignment="1">
      <alignment horizontal="right" wrapText="1"/>
    </xf>
    <xf numFmtId="165" fontId="3" fillId="0" borderId="3" xfId="1" applyNumberFormat="1" applyFont="1" applyFill="1" applyBorder="1" applyAlignment="1">
      <alignment horizontal="center" wrapText="1"/>
    </xf>
    <xf numFmtId="0" fontId="0" fillId="0" borderId="5" xfId="0" applyFill="1" applyBorder="1"/>
    <xf numFmtId="4" fontId="0" fillId="0" borderId="5" xfId="0" applyNumberFormat="1" applyFont="1" applyFill="1" applyBorder="1"/>
    <xf numFmtId="0" fontId="0" fillId="0" borderId="5" xfId="0" applyFill="1" applyBorder="1" applyAlignment="1">
      <alignment wrapText="1"/>
    </xf>
    <xf numFmtId="4" fontId="0" fillId="0" borderId="5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vertical="top"/>
    </xf>
    <xf numFmtId="0" fontId="12" fillId="0" borderId="19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horizontal="right" vertical="top" wrapText="1"/>
    </xf>
    <xf numFmtId="0" fontId="12" fillId="0" borderId="20" xfId="0" applyFont="1" applyFill="1" applyBorder="1" applyAlignment="1">
      <alignment horizontal="center" wrapText="1"/>
    </xf>
    <xf numFmtId="4" fontId="13" fillId="0" borderId="22" xfId="0" applyNumberFormat="1" applyFont="1" applyFill="1" applyBorder="1" applyAlignment="1">
      <alignment horizontal="right" wrapText="1"/>
    </xf>
    <xf numFmtId="4" fontId="12" fillId="0" borderId="22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vertical="top" wrapText="1"/>
    </xf>
    <xf numFmtId="165" fontId="3" fillId="0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37" fontId="3" fillId="0" borderId="3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37" fontId="3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37" fontId="0" fillId="0" borderId="0" xfId="1" applyNumberFormat="1" applyFont="1" applyFill="1" applyAlignment="1">
      <alignment horizontal="right" vertical="center"/>
    </xf>
    <xf numFmtId="37" fontId="3" fillId="0" borderId="0" xfId="1" applyNumberFormat="1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horizontal="center" vertical="top" wrapText="1"/>
    </xf>
    <xf numFmtId="37" fontId="3" fillId="0" borderId="0" xfId="1" applyNumberFormat="1" applyFont="1" applyFill="1"/>
    <xf numFmtId="164" fontId="3" fillId="0" borderId="0" xfId="1" applyFont="1" applyFill="1"/>
    <xf numFmtId="4" fontId="3" fillId="0" borderId="0" xfId="1" applyNumberFormat="1" applyFont="1" applyFill="1"/>
    <xf numFmtId="37" fontId="3" fillId="0" borderId="3" xfId="1" applyNumberFormat="1" applyFont="1" applyFill="1" applyBorder="1"/>
    <xf numFmtId="164" fontId="0" fillId="0" borderId="0" xfId="1" applyFont="1" applyFill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4" fontId="0" fillId="0" borderId="0" xfId="0" applyNumberFormat="1" applyFill="1"/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1" fontId="5" fillId="0" borderId="0" xfId="1" applyNumberFormat="1" applyFont="1" applyFill="1" applyAlignment="1">
      <alignment horizontal="left"/>
    </xf>
    <xf numFmtId="37" fontId="3" fillId="0" borderId="0" xfId="1" applyNumberFormat="1" applyFont="1" applyFill="1" applyBorder="1"/>
    <xf numFmtId="165" fontId="5" fillId="0" borderId="5" xfId="1" applyNumberFormat="1" applyFont="1" applyFill="1" applyBorder="1" applyAlignment="1">
      <alignment horizontal="center"/>
    </xf>
    <xf numFmtId="165" fontId="5" fillId="0" borderId="4" xfId="1" applyNumberFormat="1" applyFont="1" applyFill="1" applyBorder="1"/>
    <xf numFmtId="165" fontId="5" fillId="0" borderId="5" xfId="1" applyNumberFormat="1" applyFont="1" applyFill="1" applyBorder="1"/>
    <xf numFmtId="165" fontId="3" fillId="0" borderId="5" xfId="1" applyNumberFormat="1" applyFont="1" applyFill="1" applyBorder="1"/>
    <xf numFmtId="165" fontId="3" fillId="0" borderId="8" xfId="1" applyNumberFormat="1" applyFont="1" applyFill="1" applyBorder="1"/>
    <xf numFmtId="165" fontId="5" fillId="0" borderId="2" xfId="1" applyNumberFormat="1" applyFont="1" applyFill="1" applyBorder="1"/>
    <xf numFmtId="165" fontId="5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72.42578125" style="38" customWidth="1"/>
    <col min="2" max="2" width="27.5703125" style="38" customWidth="1"/>
    <col min="3" max="3" width="15.28515625" style="38" bestFit="1" customWidth="1"/>
    <col min="4" max="4" width="21.85546875" style="38" customWidth="1"/>
    <col min="5" max="5" width="22.85546875" style="38" customWidth="1"/>
    <col min="6" max="6" width="21.28515625" style="38" customWidth="1"/>
    <col min="7" max="7" width="12.7109375" style="38" bestFit="1" customWidth="1"/>
    <col min="8" max="8" width="15.85546875" style="38" bestFit="1" customWidth="1"/>
    <col min="9" max="9" width="11.5703125" style="38"/>
    <col min="10" max="10" width="14.28515625" style="38" bestFit="1" customWidth="1"/>
    <col min="11" max="16384" width="11.5703125" style="38"/>
  </cols>
  <sheetData>
    <row r="1" spans="1:6" ht="15" customHeight="1" x14ac:dyDescent="0.25">
      <c r="A1" s="134" t="s">
        <v>20</v>
      </c>
      <c r="B1" s="134"/>
      <c r="C1" s="134"/>
      <c r="D1" s="134"/>
      <c r="E1" s="134"/>
      <c r="F1" s="134"/>
    </row>
    <row r="2" spans="1:6" x14ac:dyDescent="0.25">
      <c r="A2" s="2" t="s">
        <v>0</v>
      </c>
      <c r="B2" s="3" t="s">
        <v>22</v>
      </c>
      <c r="C2" s="4"/>
      <c r="D2" s="4"/>
      <c r="E2" s="4"/>
      <c r="F2" s="4"/>
    </row>
    <row r="3" spans="1:6" ht="15" customHeight="1" x14ac:dyDescent="0.25">
      <c r="A3" s="2" t="s">
        <v>1</v>
      </c>
      <c r="B3" s="3" t="s">
        <v>21</v>
      </c>
      <c r="C3" s="4"/>
      <c r="D3" s="4"/>
      <c r="E3" s="4"/>
      <c r="F3" s="4"/>
    </row>
    <row r="4" spans="1:6" ht="15" customHeight="1" x14ac:dyDescent="0.25">
      <c r="A4" s="2" t="s">
        <v>11</v>
      </c>
      <c r="B4" s="4" t="s">
        <v>62</v>
      </c>
      <c r="C4" s="4"/>
      <c r="D4" s="4"/>
      <c r="E4" s="4"/>
      <c r="F4" s="4"/>
    </row>
    <row r="5" spans="1:6" ht="15" customHeight="1" x14ac:dyDescent="0.25">
      <c r="A5" s="2" t="s">
        <v>47</v>
      </c>
      <c r="B5" s="5" t="s">
        <v>95</v>
      </c>
      <c r="C5" s="4"/>
      <c r="D5" s="4"/>
      <c r="E5" s="4"/>
      <c r="F5" s="4"/>
    </row>
    <row r="7" spans="1:6" ht="15" customHeight="1" x14ac:dyDescent="0.25">
      <c r="A7" s="134" t="s">
        <v>9</v>
      </c>
      <c r="B7" s="134"/>
      <c r="C7" s="134"/>
      <c r="D7" s="134"/>
      <c r="E7" s="134"/>
      <c r="F7" s="134"/>
    </row>
    <row r="8" spans="1:6" ht="15" customHeight="1" x14ac:dyDescent="0.25">
      <c r="A8" s="134" t="s">
        <v>12</v>
      </c>
      <c r="B8" s="134"/>
      <c r="C8" s="134"/>
      <c r="D8" s="134"/>
      <c r="E8" s="134"/>
      <c r="F8" s="134"/>
    </row>
    <row r="9" spans="1:6" ht="15" customHeight="1" x14ac:dyDescent="0.25">
      <c r="A9" s="135" t="s">
        <v>50</v>
      </c>
      <c r="B9" s="135"/>
      <c r="C9" s="135"/>
      <c r="D9" s="135"/>
      <c r="E9" s="135"/>
      <c r="F9" s="135"/>
    </row>
    <row r="10" spans="1:6" s="7" customFormat="1" ht="15" customHeight="1" x14ac:dyDescent="0.25">
      <c r="A10" s="6"/>
      <c r="B10" s="6"/>
      <c r="C10" s="6"/>
      <c r="D10" s="6"/>
      <c r="E10" s="6"/>
      <c r="F10" s="6"/>
    </row>
    <row r="11" spans="1:6" ht="15" customHeight="1" thickBot="1" x14ac:dyDescent="0.3">
      <c r="A11" s="21" t="s">
        <v>65</v>
      </c>
      <c r="B11" s="21"/>
      <c r="C11" s="21" t="s">
        <v>3</v>
      </c>
      <c r="D11" s="21" t="s">
        <v>4</v>
      </c>
      <c r="E11" s="21" t="s">
        <v>5</v>
      </c>
      <c r="F11" s="21" t="s">
        <v>66</v>
      </c>
    </row>
    <row r="13" spans="1:6" x14ac:dyDescent="0.25">
      <c r="A13" s="136" t="s">
        <v>96</v>
      </c>
      <c r="B13" s="43" t="s">
        <v>59</v>
      </c>
      <c r="C13" s="44">
        <v>1676</v>
      </c>
      <c r="D13" s="44">
        <f>+(C13-D15)+527</f>
        <v>997</v>
      </c>
      <c r="E13" s="44">
        <f>+(D13-E15)+132</f>
        <v>269</v>
      </c>
      <c r="F13" s="45">
        <f>E13</f>
        <v>269</v>
      </c>
    </row>
    <row r="14" spans="1:6" ht="15" customHeight="1" x14ac:dyDescent="0.25">
      <c r="A14" s="137"/>
      <c r="B14" s="46" t="s">
        <v>60</v>
      </c>
      <c r="C14" s="47">
        <v>0</v>
      </c>
      <c r="D14" s="47">
        <v>1090</v>
      </c>
      <c r="E14" s="47">
        <v>1573</v>
      </c>
      <c r="F14" s="48">
        <f t="shared" ref="F14:F24" si="0">AVERAGE(C14:E14)</f>
        <v>887.66666666666663</v>
      </c>
    </row>
    <row r="15" spans="1:6" ht="15" customHeight="1" x14ac:dyDescent="0.25">
      <c r="A15" s="138"/>
      <c r="B15" s="49" t="s">
        <v>61</v>
      </c>
      <c r="C15" s="50">
        <v>0</v>
      </c>
      <c r="D15" s="50">
        <v>1206</v>
      </c>
      <c r="E15" s="50">
        <v>860</v>
      </c>
      <c r="F15" s="51">
        <f t="shared" si="0"/>
        <v>688.66666666666663</v>
      </c>
    </row>
    <row r="16" spans="1:6" x14ac:dyDescent="0.25">
      <c r="A16" s="139" t="s">
        <v>24</v>
      </c>
      <c r="B16" s="43" t="s">
        <v>59</v>
      </c>
      <c r="C16" s="44">
        <v>1177</v>
      </c>
      <c r="D16" s="44">
        <f>+(C16-D18)+342</f>
        <v>619</v>
      </c>
      <c r="E16" s="44">
        <f>+(D16-E18)+262</f>
        <v>673</v>
      </c>
      <c r="F16" s="45">
        <f>E16</f>
        <v>673</v>
      </c>
    </row>
    <row r="17" spans="1:7" ht="15" customHeight="1" x14ac:dyDescent="0.25">
      <c r="A17" s="137"/>
      <c r="B17" s="46" t="s">
        <v>60</v>
      </c>
      <c r="C17" s="47">
        <v>0</v>
      </c>
      <c r="D17" s="47">
        <v>821</v>
      </c>
      <c r="E17" s="47">
        <v>939</v>
      </c>
      <c r="F17" s="48">
        <f t="shared" si="0"/>
        <v>586.66666666666663</v>
      </c>
    </row>
    <row r="18" spans="1:7" ht="15" customHeight="1" x14ac:dyDescent="0.25">
      <c r="A18" s="138"/>
      <c r="B18" s="49" t="s">
        <v>61</v>
      </c>
      <c r="C18" s="50">
        <v>0</v>
      </c>
      <c r="D18" s="50">
        <v>900</v>
      </c>
      <c r="E18" s="50">
        <v>208</v>
      </c>
      <c r="F18" s="51">
        <f t="shared" si="0"/>
        <v>369.33333333333331</v>
      </c>
    </row>
    <row r="19" spans="1:7" x14ac:dyDescent="0.25">
      <c r="A19" s="139" t="s">
        <v>25</v>
      </c>
      <c r="B19" s="43" t="s">
        <v>59</v>
      </c>
      <c r="C19" s="44">
        <v>9648</v>
      </c>
      <c r="D19" s="44">
        <f>+(C19-D21)+9912</f>
        <v>13665</v>
      </c>
      <c r="E19" s="44">
        <f>+(D19-E21)+399</f>
        <v>1272</v>
      </c>
      <c r="F19" s="45">
        <f>E19</f>
        <v>1272</v>
      </c>
    </row>
    <row r="20" spans="1:7" ht="15" customHeight="1" x14ac:dyDescent="0.25">
      <c r="A20" s="137"/>
      <c r="B20" s="46" t="s">
        <v>60</v>
      </c>
      <c r="C20" s="47">
        <v>0</v>
      </c>
      <c r="D20" s="47">
        <v>0</v>
      </c>
      <c r="E20" s="47">
        <v>9455</v>
      </c>
      <c r="F20" s="48">
        <f t="shared" si="0"/>
        <v>3151.6666666666665</v>
      </c>
    </row>
    <row r="21" spans="1:7" ht="15" customHeight="1" x14ac:dyDescent="0.25">
      <c r="A21" s="138"/>
      <c r="B21" s="49" t="s">
        <v>61</v>
      </c>
      <c r="C21" s="50">
        <v>0</v>
      </c>
      <c r="D21" s="50">
        <v>5895</v>
      </c>
      <c r="E21" s="70">
        <f>12942-150</f>
        <v>12792</v>
      </c>
      <c r="F21" s="51">
        <f t="shared" si="0"/>
        <v>6229</v>
      </c>
      <c r="G21" s="38">
        <f>SUM(C20:E21)</f>
        <v>28142</v>
      </c>
    </row>
    <row r="22" spans="1:7" ht="15" customHeight="1" x14ac:dyDescent="0.25">
      <c r="A22" s="76" t="s">
        <v>76</v>
      </c>
      <c r="B22" s="52" t="s">
        <v>59</v>
      </c>
      <c r="C22" s="44">
        <v>391</v>
      </c>
      <c r="D22" s="44">
        <f>+(C22-D24)+387</f>
        <v>415</v>
      </c>
      <c r="E22" s="44">
        <f>+(D22-E24)+0</f>
        <v>0</v>
      </c>
      <c r="F22" s="45">
        <f>E22</f>
        <v>0</v>
      </c>
      <c r="G22" s="38">
        <v>28148</v>
      </c>
    </row>
    <row r="23" spans="1:7" ht="15" customHeight="1" x14ac:dyDescent="0.25">
      <c r="A23" s="58"/>
      <c r="B23" s="54" t="s">
        <v>60</v>
      </c>
      <c r="C23" s="47">
        <v>0</v>
      </c>
      <c r="D23" s="47">
        <v>0</v>
      </c>
      <c r="E23" s="47">
        <v>388</v>
      </c>
      <c r="F23" s="55">
        <f t="shared" si="0"/>
        <v>129.33333333333334</v>
      </c>
      <c r="G23" s="38">
        <f>+G21-G22</f>
        <v>-6</v>
      </c>
    </row>
    <row r="24" spans="1:7" ht="15" customHeight="1" x14ac:dyDescent="0.25">
      <c r="A24" s="59"/>
      <c r="B24" s="56" t="s">
        <v>61</v>
      </c>
      <c r="C24" s="50">
        <v>0</v>
      </c>
      <c r="D24" s="50">
        <v>363</v>
      </c>
      <c r="E24" s="50">
        <v>415</v>
      </c>
      <c r="F24" s="57">
        <f t="shared" si="0"/>
        <v>259.33333333333331</v>
      </c>
    </row>
    <row r="25" spans="1:7" ht="15" customHeight="1" x14ac:dyDescent="0.25">
      <c r="A25" s="34"/>
      <c r="B25" s="7"/>
      <c r="C25" s="25"/>
      <c r="D25" s="25"/>
      <c r="E25" s="25"/>
      <c r="F25" s="29"/>
    </row>
    <row r="26" spans="1:7" ht="15" customHeight="1" x14ac:dyDescent="0.25">
      <c r="C26" s="25"/>
      <c r="D26" s="25"/>
      <c r="E26" s="25"/>
      <c r="F26" s="26"/>
    </row>
    <row r="27" spans="1:7" ht="15" customHeight="1" thickBot="1" x14ac:dyDescent="0.3">
      <c r="A27" s="8" t="s">
        <v>13</v>
      </c>
      <c r="B27" s="8" t="s">
        <v>51</v>
      </c>
      <c r="C27" s="27">
        <f>+C14+C15+C17+C18+C20+C21+C23+C24</f>
        <v>0</v>
      </c>
      <c r="D27" s="27">
        <f>+D14+D15+D17+D18+D20+D21+D23+D24</f>
        <v>10275</v>
      </c>
      <c r="E27" s="27">
        <f>+E14+E15+E17+E18+E20+E21+E23+E24</f>
        <v>26630</v>
      </c>
      <c r="F27" s="30">
        <f>AVERAGE(C27:E27)</f>
        <v>12301.666666666666</v>
      </c>
    </row>
    <row r="28" spans="1:7" ht="15" customHeight="1" thickTop="1" x14ac:dyDescent="0.25">
      <c r="A28" s="22" t="s">
        <v>67</v>
      </c>
      <c r="B28" s="7"/>
      <c r="C28" s="7"/>
      <c r="D28" s="7"/>
      <c r="E28" s="7"/>
      <c r="F28" s="7"/>
    </row>
    <row r="29" spans="1:7" ht="15" customHeight="1" x14ac:dyDescent="0.25">
      <c r="A29" s="38" t="s">
        <v>73</v>
      </c>
    </row>
    <row r="32" spans="1:7" ht="15" customHeight="1" x14ac:dyDescent="0.25">
      <c r="A32" s="135" t="s">
        <v>14</v>
      </c>
      <c r="B32" s="135"/>
      <c r="C32" s="135"/>
      <c r="D32" s="135"/>
      <c r="E32" s="135"/>
      <c r="F32" s="135"/>
    </row>
    <row r="33" spans="1:6" ht="15" customHeight="1" x14ac:dyDescent="0.25">
      <c r="A33" s="134" t="s">
        <v>31</v>
      </c>
      <c r="B33" s="134"/>
      <c r="C33" s="134"/>
      <c r="D33" s="134"/>
      <c r="E33" s="134"/>
      <c r="F33" s="134"/>
    </row>
    <row r="34" spans="1:6" ht="15" customHeight="1" x14ac:dyDescent="0.25">
      <c r="A34" s="135" t="s">
        <v>52</v>
      </c>
      <c r="B34" s="135"/>
      <c r="C34" s="135"/>
      <c r="D34" s="135"/>
      <c r="E34" s="135"/>
      <c r="F34" s="135"/>
    </row>
    <row r="35" spans="1:6" s="7" customFormat="1" ht="15" customHeight="1" x14ac:dyDescent="0.25">
      <c r="A35" s="73"/>
      <c r="B35" s="73"/>
      <c r="C35" s="73"/>
      <c r="D35" s="73"/>
      <c r="E35" s="73"/>
      <c r="F35" s="73"/>
    </row>
    <row r="36" spans="1:6" ht="15" customHeight="1" thickBot="1" x14ac:dyDescent="0.3">
      <c r="A36" s="9" t="s">
        <v>65</v>
      </c>
      <c r="B36" s="9"/>
      <c r="C36" s="9" t="s">
        <v>3</v>
      </c>
      <c r="D36" s="9" t="s">
        <v>4</v>
      </c>
      <c r="E36" s="9" t="s">
        <v>5</v>
      </c>
      <c r="F36" s="9" t="s">
        <v>6</v>
      </c>
    </row>
    <row r="37" spans="1:6" ht="15" customHeight="1" x14ac:dyDescent="0.25">
      <c r="C37" s="1"/>
      <c r="D37" s="1"/>
      <c r="E37" s="1"/>
      <c r="F37" s="1"/>
    </row>
    <row r="38" spans="1:6" ht="15" customHeight="1" x14ac:dyDescent="0.25">
      <c r="A38" s="60" t="s">
        <v>23</v>
      </c>
      <c r="B38" s="61" t="s">
        <v>57</v>
      </c>
      <c r="C38" s="62">
        <v>0</v>
      </c>
      <c r="D38" s="62">
        <v>191126076</v>
      </c>
      <c r="E38" s="62">
        <v>298858190</v>
      </c>
      <c r="F38" s="53">
        <f t="shared" ref="F38:F45" si="1">SUM(C38:E38)</f>
        <v>489984266</v>
      </c>
    </row>
    <row r="39" spans="1:6" ht="15" customHeight="1" x14ac:dyDescent="0.25">
      <c r="A39" s="63"/>
      <c r="B39" s="64" t="s">
        <v>56</v>
      </c>
      <c r="C39" s="65">
        <v>0</v>
      </c>
      <c r="D39" s="65">
        <v>210095518</v>
      </c>
      <c r="E39" s="65">
        <v>218685454</v>
      </c>
      <c r="F39" s="57">
        <f t="shared" si="1"/>
        <v>428780972</v>
      </c>
    </row>
    <row r="40" spans="1:6" ht="15" customHeight="1" x14ac:dyDescent="0.25">
      <c r="A40" s="60" t="s">
        <v>24</v>
      </c>
      <c r="B40" s="61" t="s">
        <v>57</v>
      </c>
      <c r="C40" s="62">
        <v>0</v>
      </c>
      <c r="D40" s="62">
        <v>59699388</v>
      </c>
      <c r="E40" s="62">
        <v>70007196</v>
      </c>
      <c r="F40" s="53">
        <f t="shared" si="1"/>
        <v>129706584</v>
      </c>
    </row>
    <row r="41" spans="1:6" ht="15" customHeight="1" x14ac:dyDescent="0.25">
      <c r="A41" s="63"/>
      <c r="B41" s="64" t="s">
        <v>56</v>
      </c>
      <c r="C41" s="65">
        <v>0</v>
      </c>
      <c r="D41" s="65">
        <v>63350070</v>
      </c>
      <c r="E41" s="65">
        <v>26270594</v>
      </c>
      <c r="F41" s="57">
        <f t="shared" si="1"/>
        <v>89620664</v>
      </c>
    </row>
    <row r="42" spans="1:6" ht="15" customHeight="1" x14ac:dyDescent="0.25">
      <c r="A42" s="60" t="s">
        <v>25</v>
      </c>
      <c r="B42" s="61" t="s">
        <v>57</v>
      </c>
      <c r="C42" s="62">
        <v>0</v>
      </c>
      <c r="D42" s="62">
        <v>0</v>
      </c>
      <c r="E42" s="62">
        <v>517392462.31</v>
      </c>
      <c r="F42" s="53">
        <f t="shared" si="1"/>
        <v>517392462.31</v>
      </c>
    </row>
    <row r="43" spans="1:6" ht="15" customHeight="1" x14ac:dyDescent="0.25">
      <c r="A43" s="63"/>
      <c r="B43" s="64" t="s">
        <v>56</v>
      </c>
      <c r="C43" s="65">
        <v>0</v>
      </c>
      <c r="D43" s="65">
        <v>348893034.29166669</v>
      </c>
      <c r="E43" s="65">
        <v>714411680.95416641</v>
      </c>
      <c r="F43" s="57">
        <f t="shared" si="1"/>
        <v>1063304715.2458332</v>
      </c>
    </row>
    <row r="44" spans="1:6" ht="15" customHeight="1" x14ac:dyDescent="0.25">
      <c r="A44" s="77" t="s">
        <v>76</v>
      </c>
      <c r="B44" s="78" t="s">
        <v>57</v>
      </c>
      <c r="C44" s="62">
        <v>0</v>
      </c>
      <c r="D44" s="62">
        <v>0</v>
      </c>
      <c r="E44" s="62">
        <v>185500000</v>
      </c>
      <c r="F44" s="53">
        <f t="shared" si="1"/>
        <v>185500000</v>
      </c>
    </row>
    <row r="45" spans="1:6" ht="15" customHeight="1" x14ac:dyDescent="0.25">
      <c r="A45" s="79"/>
      <c r="B45" s="80" t="s">
        <v>56</v>
      </c>
      <c r="C45" s="65">
        <v>0</v>
      </c>
      <c r="D45" s="65">
        <v>176550000</v>
      </c>
      <c r="E45" s="65">
        <v>197950000</v>
      </c>
      <c r="F45" s="57">
        <f t="shared" si="1"/>
        <v>374500000</v>
      </c>
    </row>
    <row r="46" spans="1:6" ht="15" customHeight="1" thickBot="1" x14ac:dyDescent="0.3">
      <c r="A46" s="8" t="s">
        <v>13</v>
      </c>
      <c r="B46" s="8"/>
      <c r="C46" s="28">
        <f>SUM(C38:C45)</f>
        <v>0</v>
      </c>
      <c r="D46" s="28">
        <f>SUM(D38:D45)</f>
        <v>1049714086.2916667</v>
      </c>
      <c r="E46" s="28">
        <f>SUM(E38:E45)</f>
        <v>2229075577.2641664</v>
      </c>
      <c r="F46" s="28">
        <f>SUM(F38:F45)</f>
        <v>3278789663.5558329</v>
      </c>
    </row>
    <row r="47" spans="1:6" ht="15" customHeight="1" thickTop="1" x14ac:dyDescent="0.25">
      <c r="A47" s="7" t="s">
        <v>42</v>
      </c>
    </row>
    <row r="48" spans="1:6" ht="15" customHeight="1" x14ac:dyDescent="0.25">
      <c r="A48" s="38" t="s">
        <v>74</v>
      </c>
    </row>
    <row r="49" spans="1:5" ht="15" customHeight="1" x14ac:dyDescent="0.25">
      <c r="A49" s="10"/>
    </row>
    <row r="50" spans="1:5" ht="15" customHeight="1" x14ac:dyDescent="0.25">
      <c r="A50" s="10"/>
    </row>
    <row r="51" spans="1:5" ht="15" customHeight="1" x14ac:dyDescent="0.25">
      <c r="A51" s="10"/>
    </row>
    <row r="52" spans="1:5" ht="15" customHeight="1" x14ac:dyDescent="0.25">
      <c r="A52" s="134" t="s">
        <v>15</v>
      </c>
      <c r="B52" s="134"/>
      <c r="C52" s="134"/>
      <c r="D52" s="134"/>
      <c r="E52" s="134"/>
    </row>
    <row r="53" spans="1:5" ht="15" customHeight="1" x14ac:dyDescent="0.25">
      <c r="A53" s="134" t="s">
        <v>32</v>
      </c>
      <c r="B53" s="134"/>
      <c r="C53" s="134"/>
      <c r="D53" s="134"/>
      <c r="E53" s="134"/>
    </row>
    <row r="54" spans="1:5" ht="15" customHeight="1" x14ac:dyDescent="0.25">
      <c r="A54" s="135" t="s">
        <v>52</v>
      </c>
      <c r="B54" s="135"/>
      <c r="C54" s="135"/>
      <c r="D54" s="135"/>
      <c r="E54" s="135"/>
    </row>
    <row r="55" spans="1:5" ht="15" customHeight="1" x14ac:dyDescent="0.25">
      <c r="A55" s="6"/>
      <c r="B55" s="6"/>
      <c r="C55" s="6"/>
      <c r="D55" s="6"/>
      <c r="E55" s="6"/>
    </row>
    <row r="56" spans="1:5" ht="15" customHeight="1" thickBot="1" x14ac:dyDescent="0.3">
      <c r="A56" s="9" t="s">
        <v>10</v>
      </c>
      <c r="B56" s="11" t="s">
        <v>3</v>
      </c>
      <c r="C56" s="11" t="s">
        <v>4</v>
      </c>
      <c r="D56" s="11" t="s">
        <v>5</v>
      </c>
      <c r="E56" s="11" t="s">
        <v>6</v>
      </c>
    </row>
    <row r="57" spans="1:5" ht="15" customHeight="1" x14ac:dyDescent="0.25">
      <c r="B57" s="26"/>
      <c r="C57" s="26"/>
      <c r="D57" s="26"/>
      <c r="E57" s="26"/>
    </row>
    <row r="58" spans="1:5" ht="15" customHeight="1" x14ac:dyDescent="0.25">
      <c r="A58" s="38" t="s">
        <v>26</v>
      </c>
      <c r="B58" s="25">
        <f>SUM(C38:C41)</f>
        <v>0</v>
      </c>
      <c r="C58" s="25">
        <f>SUM(D38:D41)</f>
        <v>524271052</v>
      </c>
      <c r="D58" s="25">
        <f>SUM(E38:E41)</f>
        <v>613821434</v>
      </c>
      <c r="E58" s="25">
        <f>SUM(B58:D58)</f>
        <v>1138092486</v>
      </c>
    </row>
    <row r="59" spans="1:5" ht="15" customHeight="1" x14ac:dyDescent="0.25">
      <c r="A59" s="38" t="s">
        <v>43</v>
      </c>
      <c r="B59" s="25">
        <f>SUM(C42:C43)</f>
        <v>0</v>
      </c>
      <c r="C59" s="25">
        <f>SUM(D42:D43)</f>
        <v>348893034.29166669</v>
      </c>
      <c r="D59" s="25">
        <f>SUM(E42:E43)</f>
        <v>1231804143.2641664</v>
      </c>
      <c r="E59" s="25">
        <f>SUM(B59:D59)</f>
        <v>1580697177.5558331</v>
      </c>
    </row>
    <row r="60" spans="1:5" ht="15" customHeight="1" x14ac:dyDescent="0.25">
      <c r="A60" s="38" t="s">
        <v>77</v>
      </c>
      <c r="B60" s="25">
        <f>SUM(C44:C45)</f>
        <v>0</v>
      </c>
      <c r="C60" s="25">
        <f>SUM(D44:D45)</f>
        <v>176550000</v>
      </c>
      <c r="D60" s="25">
        <f>SUM(E44:E45)</f>
        <v>383450000</v>
      </c>
      <c r="E60" s="25">
        <f>SUM(B60:D60)</f>
        <v>560000000</v>
      </c>
    </row>
    <row r="61" spans="1:5" ht="15" customHeight="1" x14ac:dyDescent="0.25">
      <c r="A61" s="38" t="s">
        <v>7</v>
      </c>
      <c r="B61" s="26"/>
      <c r="C61" s="26"/>
      <c r="D61" s="26"/>
      <c r="E61" s="26">
        <f>SUM(B61:D61)</f>
        <v>0</v>
      </c>
    </row>
    <row r="62" spans="1:5" ht="15" customHeight="1" x14ac:dyDescent="0.25">
      <c r="A62" s="38" t="s">
        <v>8</v>
      </c>
      <c r="B62" s="26"/>
      <c r="C62" s="26"/>
      <c r="D62" s="26"/>
      <c r="E62" s="26">
        <f>SUM(B62:D62)</f>
        <v>0</v>
      </c>
    </row>
    <row r="63" spans="1:5" ht="15" customHeight="1" thickBot="1" x14ac:dyDescent="0.3">
      <c r="A63" s="8" t="s">
        <v>13</v>
      </c>
      <c r="B63" s="27">
        <f>SUM(B58:B62)</f>
        <v>0</v>
      </c>
      <c r="C63" s="27">
        <f>SUM(C58:C62)</f>
        <v>1049714086.2916667</v>
      </c>
      <c r="D63" s="27">
        <f>SUM(D58:D62)</f>
        <v>2229075577.2641664</v>
      </c>
      <c r="E63" s="27">
        <f>SUM(E58:E62)</f>
        <v>3278789663.5558329</v>
      </c>
    </row>
    <row r="64" spans="1:5" ht="15" customHeight="1" thickTop="1" x14ac:dyDescent="0.25">
      <c r="A64" s="38" t="s">
        <v>73</v>
      </c>
    </row>
    <row r="67" spans="1:9" ht="15" customHeight="1" x14ac:dyDescent="0.25">
      <c r="A67" s="134" t="s">
        <v>44</v>
      </c>
      <c r="B67" s="134"/>
      <c r="C67" s="134"/>
      <c r="D67" s="134"/>
      <c r="E67" s="134"/>
    </row>
    <row r="68" spans="1:9" ht="15" customHeight="1" x14ac:dyDescent="0.25">
      <c r="A68" s="134" t="s">
        <v>79</v>
      </c>
      <c r="B68" s="134"/>
      <c r="C68" s="134"/>
      <c r="D68" s="134"/>
      <c r="E68" s="134"/>
    </row>
    <row r="69" spans="1:9" ht="15" customHeight="1" x14ac:dyDescent="0.25">
      <c r="A69" s="135" t="s">
        <v>52</v>
      </c>
      <c r="B69" s="135"/>
      <c r="C69" s="135"/>
      <c r="D69" s="135"/>
      <c r="E69" s="135"/>
    </row>
    <row r="70" spans="1:9" ht="15" customHeight="1" x14ac:dyDescent="0.25">
      <c r="A70" s="6"/>
      <c r="B70" s="6"/>
      <c r="C70" s="6"/>
      <c r="D70" s="6"/>
      <c r="E70" s="6"/>
    </row>
    <row r="71" spans="1:9" ht="15" customHeight="1" thickBot="1" x14ac:dyDescent="0.3">
      <c r="A71" s="9" t="s">
        <v>10</v>
      </c>
      <c r="B71" s="9" t="s">
        <v>3</v>
      </c>
      <c r="C71" s="9" t="s">
        <v>4</v>
      </c>
      <c r="D71" s="9" t="s">
        <v>5</v>
      </c>
      <c r="E71" s="9" t="s">
        <v>6</v>
      </c>
    </row>
    <row r="72" spans="1:9" ht="15" customHeight="1" x14ac:dyDescent="0.25">
      <c r="B72" s="34"/>
      <c r="C72" s="34"/>
      <c r="D72" s="34"/>
      <c r="E72" s="34"/>
    </row>
    <row r="73" spans="1:9" ht="15" customHeight="1" x14ac:dyDescent="0.25">
      <c r="A73" s="38" t="s">
        <v>63</v>
      </c>
      <c r="B73" s="81">
        <f>+$B$100</f>
        <v>467879266.04724652</v>
      </c>
      <c r="C73" s="81">
        <f>B77</f>
        <v>467879266.04724652</v>
      </c>
      <c r="D73" s="81">
        <f>C77</f>
        <v>782055496.04724646</v>
      </c>
      <c r="E73" s="81">
        <f>B73</f>
        <v>467879266.04724652</v>
      </c>
    </row>
    <row r="74" spans="1:9" ht="15" customHeight="1" x14ac:dyDescent="0.25">
      <c r="A74" s="38" t="s">
        <v>16</v>
      </c>
      <c r="B74" s="81">
        <v>0</v>
      </c>
      <c r="C74" s="81">
        <v>838447282</v>
      </c>
      <c r="D74" s="81">
        <v>419223641</v>
      </c>
      <c r="E74" s="81">
        <f>+SUM(B74:D74)</f>
        <v>1257670923</v>
      </c>
      <c r="G74" s="19"/>
      <c r="H74" s="19"/>
      <c r="I74" s="19"/>
    </row>
    <row r="75" spans="1:9" ht="15" customHeight="1" x14ac:dyDescent="0.25">
      <c r="A75" s="38" t="s">
        <v>17</v>
      </c>
      <c r="B75" s="81">
        <f>B73+B74</f>
        <v>467879266.04724652</v>
      </c>
      <c r="C75" s="81">
        <f>C73+C74</f>
        <v>1306326548.0472465</v>
      </c>
      <c r="D75" s="81">
        <f>D73+D74</f>
        <v>1201279137.0472465</v>
      </c>
      <c r="E75" s="81">
        <f>+E73+E74</f>
        <v>1725550189.0472465</v>
      </c>
    </row>
    <row r="76" spans="1:9" ht="15" customHeight="1" x14ac:dyDescent="0.25">
      <c r="A76" s="38" t="s">
        <v>18</v>
      </c>
      <c r="B76" s="82">
        <f>B58</f>
        <v>0</v>
      </c>
      <c r="C76" s="82">
        <f>C58</f>
        <v>524271052</v>
      </c>
      <c r="D76" s="82">
        <f>D58</f>
        <v>613821434</v>
      </c>
      <c r="E76" s="81">
        <f>+SUM(B76:D76)</f>
        <v>1138092486</v>
      </c>
      <c r="F76" s="15"/>
    </row>
    <row r="77" spans="1:9" ht="15" customHeight="1" x14ac:dyDescent="0.25">
      <c r="A77" s="7" t="s">
        <v>19</v>
      </c>
      <c r="B77" s="83">
        <f>B75-B76</f>
        <v>467879266.04724652</v>
      </c>
      <c r="C77" s="83">
        <f>C75-C76</f>
        <v>782055496.04724646</v>
      </c>
      <c r="D77" s="83">
        <f>D75-D76</f>
        <v>587457703.04724646</v>
      </c>
      <c r="E77" s="83">
        <f>+E75-E76</f>
        <v>587457703.04724646</v>
      </c>
    </row>
    <row r="78" spans="1:9" ht="15" customHeight="1" thickBot="1" x14ac:dyDescent="0.3">
      <c r="A78" s="8"/>
      <c r="B78" s="84"/>
      <c r="C78" s="84"/>
      <c r="D78" s="84"/>
      <c r="E78" s="84"/>
    </row>
    <row r="79" spans="1:9" ht="15" customHeight="1" thickTop="1" x14ac:dyDescent="0.25">
      <c r="A79" s="38" t="s">
        <v>73</v>
      </c>
    </row>
    <row r="80" spans="1:9" ht="15" customHeight="1" x14ac:dyDescent="0.25">
      <c r="A80" s="85"/>
    </row>
    <row r="82" spans="1:10" ht="15" customHeight="1" x14ac:dyDescent="0.25">
      <c r="A82" s="134" t="s">
        <v>45</v>
      </c>
      <c r="B82" s="134"/>
      <c r="C82" s="134"/>
      <c r="D82" s="134"/>
      <c r="E82" s="134"/>
      <c r="F82" s="86" t="s">
        <v>54</v>
      </c>
    </row>
    <row r="83" spans="1:10" ht="15" customHeight="1" x14ac:dyDescent="0.25">
      <c r="A83" s="134" t="s">
        <v>49</v>
      </c>
      <c r="B83" s="134"/>
      <c r="C83" s="134"/>
      <c r="D83" s="134"/>
      <c r="E83" s="134"/>
      <c r="F83" s="86">
        <f>E74+E89+E90</f>
        <v>3696196922.3299999</v>
      </c>
      <c r="H83" s="20"/>
      <c r="J83" s="10"/>
    </row>
    <row r="84" spans="1:10" ht="15" customHeight="1" x14ac:dyDescent="0.25">
      <c r="A84" s="135" t="s">
        <v>52</v>
      </c>
      <c r="B84" s="135"/>
      <c r="C84" s="135"/>
      <c r="D84" s="135"/>
      <c r="E84" s="135"/>
      <c r="F84" s="86"/>
    </row>
    <row r="85" spans="1:10" ht="15" customHeight="1" x14ac:dyDescent="0.25">
      <c r="A85" s="6"/>
      <c r="B85" s="6"/>
      <c r="C85" s="6"/>
      <c r="D85" s="6"/>
      <c r="E85" s="6"/>
    </row>
    <row r="86" spans="1:10" ht="15" customHeight="1" thickBot="1" x14ac:dyDescent="0.3">
      <c r="A86" s="9" t="s">
        <v>10</v>
      </c>
      <c r="B86" s="9" t="s">
        <v>3</v>
      </c>
      <c r="C86" s="9" t="s">
        <v>4</v>
      </c>
      <c r="D86" s="9" t="s">
        <v>5</v>
      </c>
      <c r="E86" s="9" t="s">
        <v>6</v>
      </c>
    </row>
    <row r="87" spans="1:10" ht="15" customHeight="1" x14ac:dyDescent="0.25">
      <c r="B87" s="34"/>
      <c r="C87" s="34"/>
      <c r="D87" s="34"/>
      <c r="E87" s="34"/>
    </row>
    <row r="88" spans="1:10" ht="15" customHeight="1" x14ac:dyDescent="0.25">
      <c r="A88" s="38" t="s">
        <v>63</v>
      </c>
      <c r="B88" s="81">
        <f>+$B$101+$B$102</f>
        <v>248336197.74000001</v>
      </c>
      <c r="C88" s="81">
        <f>B93</f>
        <v>248336197.74000001</v>
      </c>
      <c r="D88" s="81">
        <f>C93</f>
        <v>1348577163.4483333</v>
      </c>
      <c r="E88" s="81">
        <f>+B88</f>
        <v>248336197.74000001</v>
      </c>
    </row>
    <row r="89" spans="1:10" ht="15" customHeight="1" x14ac:dyDescent="0.25">
      <c r="A89" s="87" t="s">
        <v>85</v>
      </c>
      <c r="B89" s="81">
        <v>0</v>
      </c>
      <c r="C89" s="81">
        <v>1195350666.6700001</v>
      </c>
      <c r="D89" s="81">
        <v>597675333.33000004</v>
      </c>
      <c r="E89" s="81">
        <f>SUM(B89:D89)</f>
        <v>1793026000</v>
      </c>
      <c r="G89" s="19"/>
      <c r="H89" s="19"/>
      <c r="I89" s="19"/>
    </row>
    <row r="90" spans="1:10" ht="15" customHeight="1" x14ac:dyDescent="0.25">
      <c r="A90" s="38" t="s">
        <v>78</v>
      </c>
      <c r="B90" s="81">
        <v>0</v>
      </c>
      <c r="C90" s="81">
        <v>430333333.32999998</v>
      </c>
      <c r="D90" s="81">
        <v>215166666</v>
      </c>
      <c r="E90" s="81">
        <f>SUM(B90:D90)</f>
        <v>645499999.32999992</v>
      </c>
      <c r="G90" s="19"/>
      <c r="H90" s="19"/>
      <c r="I90" s="19"/>
    </row>
    <row r="91" spans="1:10" ht="15" customHeight="1" x14ac:dyDescent="0.25">
      <c r="A91" s="38" t="s">
        <v>17</v>
      </c>
      <c r="B91" s="81">
        <f>SUM(B88:B90)</f>
        <v>248336197.74000001</v>
      </c>
      <c r="C91" s="81">
        <f>SUM(C88:C90)</f>
        <v>1874020197.74</v>
      </c>
      <c r="D91" s="81">
        <f>SUM(D88:D90)</f>
        <v>2161419162.7783332</v>
      </c>
      <c r="E91" s="81">
        <f>SUM(E88:E90)</f>
        <v>2686862197.0699997</v>
      </c>
    </row>
    <row r="92" spans="1:10" ht="15" customHeight="1" x14ac:dyDescent="0.25">
      <c r="A92" s="38" t="s">
        <v>18</v>
      </c>
      <c r="B92" s="81">
        <f>B59+B60</f>
        <v>0</v>
      </c>
      <c r="C92" s="81">
        <f>C59+C60</f>
        <v>525443034.29166669</v>
      </c>
      <c r="D92" s="81">
        <f>D59+D60</f>
        <v>1615254143.2641664</v>
      </c>
      <c r="E92" s="81">
        <f>+SUM(B92:D92)</f>
        <v>2140697177.5558331</v>
      </c>
      <c r="F92" s="15"/>
    </row>
    <row r="93" spans="1:10" ht="15" customHeight="1" x14ac:dyDescent="0.25">
      <c r="A93" s="7" t="s">
        <v>19</v>
      </c>
      <c r="B93" s="88">
        <f>B91-B92</f>
        <v>248336197.74000001</v>
      </c>
      <c r="C93" s="88">
        <f>C91-C92</f>
        <v>1348577163.4483333</v>
      </c>
      <c r="D93" s="88">
        <f>D91-D92</f>
        <v>546165019.51416683</v>
      </c>
      <c r="E93" s="88">
        <f>+E91-E92</f>
        <v>546165019.51416659</v>
      </c>
    </row>
    <row r="94" spans="1:10" ht="15" customHeight="1" thickBot="1" x14ac:dyDescent="0.3">
      <c r="A94" s="8"/>
      <c r="B94" s="89"/>
      <c r="C94" s="8"/>
      <c r="D94" s="8"/>
      <c r="E94" s="8"/>
    </row>
    <row r="95" spans="1:10" ht="15" customHeight="1" thickTop="1" x14ac:dyDescent="0.25">
      <c r="A95" s="38" t="s">
        <v>73</v>
      </c>
    </row>
    <row r="96" spans="1:10" ht="33" customHeight="1" x14ac:dyDescent="0.25">
      <c r="A96" s="38" t="s">
        <v>80</v>
      </c>
    </row>
    <row r="98" spans="1:5" ht="15" customHeight="1" x14ac:dyDescent="0.25">
      <c r="A98" s="41" t="s">
        <v>104</v>
      </c>
    </row>
    <row r="99" spans="1:5" ht="15" customHeight="1" x14ac:dyDescent="0.25">
      <c r="A99" s="140" t="s">
        <v>102</v>
      </c>
      <c r="B99" s="141"/>
    </row>
    <row r="100" spans="1:5" ht="15" customHeight="1" x14ac:dyDescent="0.25">
      <c r="A100" s="90" t="s">
        <v>82</v>
      </c>
      <c r="B100" s="91">
        <v>467879266.04724652</v>
      </c>
    </row>
    <row r="101" spans="1:5" ht="15" customHeight="1" x14ac:dyDescent="0.25">
      <c r="A101" s="90" t="s">
        <v>83</v>
      </c>
      <c r="B101" s="91">
        <v>158125915.72</v>
      </c>
    </row>
    <row r="102" spans="1:5" ht="15" customHeight="1" x14ac:dyDescent="0.25">
      <c r="A102" s="90" t="s">
        <v>84</v>
      </c>
      <c r="B102" s="91">
        <v>90210282.019999996</v>
      </c>
    </row>
    <row r="103" spans="1:5" ht="15" customHeight="1" x14ac:dyDescent="0.25">
      <c r="A103" s="92" t="s">
        <v>103</v>
      </c>
      <c r="B103" s="93">
        <f>SUM(B100:B102)</f>
        <v>716215463.78724647</v>
      </c>
    </row>
    <row r="105" spans="1:5" ht="15" customHeight="1" x14ac:dyDescent="0.25">
      <c r="B105" s="69"/>
    </row>
    <row r="108" spans="1:5" ht="15" customHeight="1" thickBot="1" x14ac:dyDescent="0.3">
      <c r="B108" s="94"/>
    </row>
    <row r="109" spans="1:5" ht="45.75" thickBot="1" x14ac:dyDescent="0.35">
      <c r="A109" s="95" t="s">
        <v>97</v>
      </c>
      <c r="B109" s="98" t="s">
        <v>98</v>
      </c>
      <c r="C109" s="98" t="s">
        <v>99</v>
      </c>
      <c r="D109" s="98" t="s">
        <v>100</v>
      </c>
      <c r="E109" s="98" t="s">
        <v>101</v>
      </c>
    </row>
    <row r="110" spans="1:5" ht="15.75" thickBot="1" x14ac:dyDescent="0.3">
      <c r="A110" s="96" t="s">
        <v>3</v>
      </c>
      <c r="B110" s="99">
        <v>597675333.33000004</v>
      </c>
      <c r="C110" s="99">
        <v>419223641</v>
      </c>
      <c r="D110" s="99">
        <v>215166666.66999999</v>
      </c>
      <c r="E110" s="99">
        <v>1232065641</v>
      </c>
    </row>
    <row r="111" spans="1:5" ht="15.75" thickBot="1" x14ac:dyDescent="0.3">
      <c r="A111" s="96" t="s">
        <v>4</v>
      </c>
      <c r="B111" s="99">
        <v>597675333.33000004</v>
      </c>
      <c r="C111" s="99">
        <v>419223641</v>
      </c>
      <c r="D111" s="99">
        <v>215166666.66999999</v>
      </c>
      <c r="E111" s="99">
        <v>1232065641</v>
      </c>
    </row>
    <row r="112" spans="1:5" ht="16.5" thickBot="1" x14ac:dyDescent="0.35">
      <c r="A112" s="97" t="s">
        <v>13</v>
      </c>
      <c r="B112" s="100">
        <v>1195350666.6700001</v>
      </c>
      <c r="C112" s="100">
        <v>838447282</v>
      </c>
      <c r="D112" s="100">
        <v>430333333.32999998</v>
      </c>
      <c r="E112" s="100">
        <v>2464131282</v>
      </c>
    </row>
    <row r="113" spans="1:5" ht="15" customHeight="1" x14ac:dyDescent="0.25">
      <c r="B113" s="101"/>
      <c r="C113" s="87"/>
    </row>
    <row r="114" spans="1:5" ht="15.75" thickBot="1" x14ac:dyDescent="0.3">
      <c r="B114" s="101"/>
    </row>
    <row r="115" spans="1:5" ht="45.75" thickBot="1" x14ac:dyDescent="0.35">
      <c r="A115" s="95" t="s">
        <v>97</v>
      </c>
      <c r="B115" s="98" t="s">
        <v>98</v>
      </c>
      <c r="C115" s="98" t="s">
        <v>99</v>
      </c>
      <c r="D115" s="98" t="s">
        <v>100</v>
      </c>
      <c r="E115" s="98" t="s">
        <v>101</v>
      </c>
    </row>
    <row r="116" spans="1:5" ht="15.75" thickBot="1" x14ac:dyDescent="0.3">
      <c r="A116" s="96" t="s">
        <v>5</v>
      </c>
      <c r="B116" s="99">
        <v>597675333.33000004</v>
      </c>
      <c r="C116" s="99">
        <v>419223641</v>
      </c>
      <c r="D116" s="99">
        <v>215166666.66999999</v>
      </c>
      <c r="E116" s="99">
        <v>1232065641</v>
      </c>
    </row>
    <row r="117" spans="1:5" ht="16.5" thickBot="1" x14ac:dyDescent="0.35">
      <c r="A117" s="97" t="s">
        <v>13</v>
      </c>
      <c r="B117" s="100">
        <v>597675333.33000004</v>
      </c>
      <c r="C117" s="100">
        <v>419223641</v>
      </c>
      <c r="D117" s="100">
        <v>215166666.66999999</v>
      </c>
      <c r="E117" s="100">
        <v>1232065641</v>
      </c>
    </row>
    <row r="119" spans="1:5" ht="15" customHeight="1" x14ac:dyDescent="0.25">
      <c r="E119" s="38">
        <f>+E112+E117</f>
        <v>3696196923</v>
      </c>
    </row>
  </sheetData>
  <mergeCells count="20">
    <mergeCell ref="A99:B99"/>
    <mergeCell ref="A54:E54"/>
    <mergeCell ref="A67:E67"/>
    <mergeCell ref="A68:E68"/>
    <mergeCell ref="A69:E69"/>
    <mergeCell ref="A84:E84"/>
    <mergeCell ref="A83:E83"/>
    <mergeCell ref="A82:E82"/>
    <mergeCell ref="A53:E53"/>
    <mergeCell ref="A1:F1"/>
    <mergeCell ref="A7:F7"/>
    <mergeCell ref="A8:F8"/>
    <mergeCell ref="A9:F9"/>
    <mergeCell ref="A13:A15"/>
    <mergeCell ref="A16:A18"/>
    <mergeCell ref="A19:A21"/>
    <mergeCell ref="A32:F32"/>
    <mergeCell ref="A33:F33"/>
    <mergeCell ref="A34:F34"/>
    <mergeCell ref="A52:E52"/>
  </mergeCells>
  <printOptions horizontalCentered="1" verticalCentered="1"/>
  <pageMargins left="0.70866141732283472" right="1.18" top="0.3" bottom="0.2" header="0.31496062992125984" footer="0.31496062992125984"/>
  <pageSetup scale="46" orientation="portrait" r:id="rId1"/>
  <ignoredErrors>
    <ignoredError sqref="B58:D6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65.7109375" style="39" customWidth="1"/>
    <col min="2" max="2" width="25" style="39" customWidth="1"/>
    <col min="3" max="3" width="19.85546875" style="39" customWidth="1"/>
    <col min="4" max="4" width="20.28515625" style="39" customWidth="1"/>
    <col min="5" max="5" width="16.85546875" style="39" bestFit="1" customWidth="1"/>
    <col min="6" max="6" width="25.28515625" style="39" customWidth="1"/>
    <col min="7" max="7" width="7.42578125" style="39" customWidth="1"/>
    <col min="8" max="8" width="15.140625" style="39" bestFit="1" customWidth="1"/>
    <col min="9" max="9" width="13.7109375" style="39" bestFit="1" customWidth="1"/>
    <col min="10" max="10" width="14" style="39" bestFit="1" customWidth="1"/>
    <col min="11" max="16384" width="11.5703125" style="39"/>
  </cols>
  <sheetData>
    <row r="1" spans="1:6" ht="15" customHeight="1" x14ac:dyDescent="0.25">
      <c r="A1" s="144" t="s">
        <v>20</v>
      </c>
      <c r="B1" s="144"/>
      <c r="C1" s="144"/>
      <c r="D1" s="144"/>
      <c r="E1" s="144"/>
      <c r="F1" s="144"/>
    </row>
    <row r="2" spans="1:6" ht="15" customHeight="1" x14ac:dyDescent="0.25">
      <c r="A2" s="2" t="s">
        <v>0</v>
      </c>
      <c r="B2" s="3" t="s">
        <v>22</v>
      </c>
      <c r="C2" s="18"/>
      <c r="D2" s="18"/>
      <c r="E2" s="18"/>
      <c r="F2" s="18"/>
    </row>
    <row r="3" spans="1:6" ht="15" customHeight="1" x14ac:dyDescent="0.25">
      <c r="A3" s="2" t="s">
        <v>1</v>
      </c>
      <c r="B3" s="3" t="s">
        <v>21</v>
      </c>
      <c r="C3" s="18"/>
      <c r="D3" s="18"/>
      <c r="E3" s="18"/>
      <c r="F3" s="18"/>
    </row>
    <row r="4" spans="1:6" ht="15" customHeight="1" x14ac:dyDescent="0.25">
      <c r="A4" s="2" t="s">
        <v>11</v>
      </c>
      <c r="B4" s="18" t="s">
        <v>62</v>
      </c>
      <c r="C4" s="18"/>
      <c r="D4" s="18"/>
      <c r="E4" s="18"/>
      <c r="F4" s="18"/>
    </row>
    <row r="5" spans="1:6" ht="15" customHeight="1" x14ac:dyDescent="0.25">
      <c r="A5" s="2" t="s">
        <v>47</v>
      </c>
      <c r="B5" s="5" t="s">
        <v>105</v>
      </c>
      <c r="C5" s="18"/>
      <c r="D5" s="18"/>
      <c r="E5" s="18"/>
      <c r="F5" s="18"/>
    </row>
    <row r="7" spans="1:6" ht="15" customHeight="1" x14ac:dyDescent="0.25">
      <c r="A7" s="144" t="s">
        <v>9</v>
      </c>
      <c r="B7" s="144"/>
      <c r="C7" s="144"/>
      <c r="D7" s="144"/>
      <c r="E7" s="144"/>
      <c r="F7" s="144"/>
    </row>
    <row r="8" spans="1:6" ht="15" customHeight="1" x14ac:dyDescent="0.25">
      <c r="A8" s="144" t="s">
        <v>12</v>
      </c>
      <c r="B8" s="144"/>
      <c r="C8" s="144"/>
      <c r="D8" s="144"/>
      <c r="E8" s="144"/>
      <c r="F8" s="144"/>
    </row>
    <row r="9" spans="1:6" ht="15" customHeight="1" x14ac:dyDescent="0.25">
      <c r="A9" s="143" t="s">
        <v>50</v>
      </c>
      <c r="B9" s="143"/>
      <c r="C9" s="143"/>
      <c r="D9" s="143"/>
      <c r="E9" s="143"/>
      <c r="F9" s="143"/>
    </row>
    <row r="10" spans="1:6" s="14" customFormat="1" ht="15" customHeight="1" x14ac:dyDescent="0.25">
      <c r="A10" s="143"/>
      <c r="B10" s="143"/>
      <c r="C10" s="143"/>
      <c r="D10" s="143"/>
      <c r="E10" s="143"/>
      <c r="F10" s="143"/>
    </row>
    <row r="11" spans="1:6" ht="15" customHeight="1" thickBot="1" x14ac:dyDescent="0.3">
      <c r="A11" s="9" t="s">
        <v>65</v>
      </c>
      <c r="B11" s="12"/>
      <c r="C11" s="102" t="s">
        <v>27</v>
      </c>
      <c r="D11" s="102" t="s">
        <v>28</v>
      </c>
      <c r="E11" s="102" t="s">
        <v>29</v>
      </c>
      <c r="F11" s="102" t="s">
        <v>72</v>
      </c>
    </row>
    <row r="12" spans="1:6" x14ac:dyDescent="0.25">
      <c r="C12" s="103"/>
      <c r="D12" s="103"/>
      <c r="E12" s="103"/>
      <c r="F12" s="103"/>
    </row>
    <row r="13" spans="1:6" x14ac:dyDescent="0.25">
      <c r="A13" s="145" t="s">
        <v>23</v>
      </c>
      <c r="B13" s="7" t="s">
        <v>59</v>
      </c>
      <c r="C13" s="32">
        <f>+('I T'!E13-'2 T'!C15)+139</f>
        <v>150</v>
      </c>
      <c r="D13" s="32">
        <f>+(C13-D15)+137</f>
        <v>159</v>
      </c>
      <c r="E13" s="32">
        <f>+(D13-E15)+48</f>
        <v>103</v>
      </c>
      <c r="F13" s="32">
        <f>E13</f>
        <v>103</v>
      </c>
    </row>
    <row r="14" spans="1:6" ht="15" customHeight="1" x14ac:dyDescent="0.25">
      <c r="A14" s="145"/>
      <c r="B14" s="7" t="s">
        <v>60</v>
      </c>
      <c r="C14" s="31">
        <v>1586</v>
      </c>
      <c r="D14" s="31">
        <v>1599</v>
      </c>
      <c r="E14" s="31">
        <v>1726</v>
      </c>
      <c r="F14" s="31">
        <f>AVERAGE(C14:E14)</f>
        <v>1637</v>
      </c>
    </row>
    <row r="15" spans="1:6" ht="15" customHeight="1" x14ac:dyDescent="0.25">
      <c r="A15" s="145"/>
      <c r="B15" s="7" t="s">
        <v>61</v>
      </c>
      <c r="C15" s="31">
        <v>258</v>
      </c>
      <c r="D15" s="31">
        <v>128</v>
      </c>
      <c r="E15" s="31">
        <v>104</v>
      </c>
      <c r="F15" s="31">
        <f>AVERAGE(C15:E15)</f>
        <v>163.33333333333334</v>
      </c>
    </row>
    <row r="16" spans="1:6" x14ac:dyDescent="0.25">
      <c r="A16" s="145" t="s">
        <v>24</v>
      </c>
      <c r="B16" s="7" t="s">
        <v>59</v>
      </c>
      <c r="C16" s="32">
        <f>+('I T'!E16-'2 T'!C18)+274</f>
        <v>688</v>
      </c>
      <c r="D16" s="32">
        <f>+(C16-D18)+190</f>
        <v>694</v>
      </c>
      <c r="E16" s="32">
        <f>+(D16-E18)+110</f>
        <v>423</v>
      </c>
      <c r="F16" s="32">
        <f>E16</f>
        <v>423</v>
      </c>
    </row>
    <row r="17" spans="1:6" ht="15" customHeight="1" x14ac:dyDescent="0.25">
      <c r="A17" s="145"/>
      <c r="B17" s="7" t="s">
        <v>60</v>
      </c>
      <c r="C17" s="31">
        <v>936</v>
      </c>
      <c r="D17" s="31">
        <v>1015</v>
      </c>
      <c r="E17" s="31">
        <v>1095</v>
      </c>
      <c r="F17" s="31">
        <f>AVERAGE(C17:E17)</f>
        <v>1015.3333333333334</v>
      </c>
    </row>
    <row r="18" spans="1:6" ht="15" customHeight="1" x14ac:dyDescent="0.25">
      <c r="A18" s="145"/>
      <c r="B18" s="7" t="s">
        <v>61</v>
      </c>
      <c r="C18" s="31">
        <v>259</v>
      </c>
      <c r="D18" s="31">
        <v>184</v>
      </c>
      <c r="E18" s="31">
        <v>381</v>
      </c>
      <c r="F18" s="31">
        <f>AVERAGE(C18:E18)</f>
        <v>274.66666666666669</v>
      </c>
    </row>
    <row r="19" spans="1:6" x14ac:dyDescent="0.25">
      <c r="A19" s="146" t="s">
        <v>25</v>
      </c>
      <c r="B19" s="7" t="s">
        <v>59</v>
      </c>
      <c r="C19" s="32">
        <f>+('I T'!E19-'2 T'!C21)+959</f>
        <v>1879</v>
      </c>
      <c r="D19" s="32">
        <f>+(C19-D21)+291</f>
        <v>925</v>
      </c>
      <c r="E19" s="32">
        <f>+(D19-E21)+74</f>
        <v>486</v>
      </c>
      <c r="F19" s="32">
        <f>E19</f>
        <v>486</v>
      </c>
    </row>
    <row r="20" spans="1:6" ht="15" customHeight="1" x14ac:dyDescent="0.25">
      <c r="A20" s="146"/>
      <c r="B20" s="7" t="s">
        <v>60</v>
      </c>
      <c r="C20" s="31">
        <v>9526</v>
      </c>
      <c r="D20" s="31">
        <v>10028</v>
      </c>
      <c r="E20" s="31">
        <v>9887</v>
      </c>
      <c r="F20" s="31">
        <f>AVERAGE(C20:E20)</f>
        <v>9813.6666666666661</v>
      </c>
    </row>
    <row r="21" spans="1:6" ht="15" customHeight="1" x14ac:dyDescent="0.25">
      <c r="A21" s="146"/>
      <c r="B21" s="7" t="s">
        <v>61</v>
      </c>
      <c r="C21" s="31">
        <v>352</v>
      </c>
      <c r="D21" s="31">
        <v>1245</v>
      </c>
      <c r="E21" s="31">
        <v>513</v>
      </c>
      <c r="F21" s="31">
        <f>AVERAGE(C21:E21)</f>
        <v>703.33333333333337</v>
      </c>
    </row>
    <row r="22" spans="1:6" ht="15" customHeight="1" x14ac:dyDescent="0.25">
      <c r="A22" s="104" t="s">
        <v>76</v>
      </c>
      <c r="B22" s="35" t="s">
        <v>59</v>
      </c>
      <c r="C22" s="32">
        <f>+('I T'!E22-'2 T'!C24)+22</f>
        <v>22</v>
      </c>
      <c r="D22" s="32">
        <f>+(C22-D24)+53</f>
        <v>75</v>
      </c>
      <c r="E22" s="32">
        <f>+(D22-E24)+0</f>
        <v>0</v>
      </c>
      <c r="F22" s="32">
        <f>E22</f>
        <v>0</v>
      </c>
    </row>
    <row r="23" spans="1:6" ht="15" customHeight="1" x14ac:dyDescent="0.25">
      <c r="A23" s="36"/>
      <c r="B23" s="35" t="s">
        <v>60</v>
      </c>
      <c r="C23" s="31">
        <v>366</v>
      </c>
      <c r="D23" s="31">
        <v>335</v>
      </c>
      <c r="E23" s="31">
        <v>383</v>
      </c>
      <c r="F23" s="31">
        <f>AVERAGE(C23:E23)</f>
        <v>361.33333333333331</v>
      </c>
    </row>
    <row r="24" spans="1:6" ht="15" customHeight="1" x14ac:dyDescent="0.25">
      <c r="A24" s="36"/>
      <c r="B24" s="35" t="s">
        <v>61</v>
      </c>
      <c r="C24" s="31">
        <v>0</v>
      </c>
      <c r="D24" s="31">
        <v>0</v>
      </c>
      <c r="E24" s="31">
        <v>75</v>
      </c>
      <c r="F24" s="31">
        <f>AVERAGE(C24:E24)</f>
        <v>25</v>
      </c>
    </row>
    <row r="25" spans="1:6" ht="15" customHeight="1" x14ac:dyDescent="0.25">
      <c r="A25" s="34"/>
      <c r="B25" s="7"/>
      <c r="C25" s="31"/>
      <c r="D25" s="31"/>
      <c r="E25" s="31"/>
      <c r="F25" s="31"/>
    </row>
    <row r="26" spans="1:6" ht="15" customHeight="1" x14ac:dyDescent="0.25">
      <c r="C26" s="31"/>
      <c r="D26" s="31"/>
      <c r="E26" s="31"/>
      <c r="F26" s="31"/>
    </row>
    <row r="27" spans="1:6" ht="15" customHeight="1" thickBot="1" x14ac:dyDescent="0.3">
      <c r="A27" s="13" t="s">
        <v>13</v>
      </c>
      <c r="B27" s="13" t="s">
        <v>51</v>
      </c>
      <c r="C27" s="105">
        <f>+C14+C15+C17+C18+C20+C23+C24+C21</f>
        <v>13283</v>
      </c>
      <c r="D27" s="105">
        <f>+D14+D15+D17+D18+D20+D23+D24+D21</f>
        <v>14534</v>
      </c>
      <c r="E27" s="105">
        <f>+E14+E15+E17+E18+E20+E23+E24+E21</f>
        <v>14164</v>
      </c>
      <c r="F27" s="105">
        <f>AVERAGE(C27:E27)</f>
        <v>13993.666666666666</v>
      </c>
    </row>
    <row r="28" spans="1:6" ht="15" customHeight="1" thickTop="1" x14ac:dyDescent="0.25">
      <c r="A28" s="22" t="s">
        <v>67</v>
      </c>
      <c r="B28" s="14"/>
      <c r="C28" s="14"/>
      <c r="D28" s="14"/>
      <c r="E28" s="14"/>
      <c r="F28" s="14"/>
    </row>
    <row r="29" spans="1:6" ht="15" customHeight="1" x14ac:dyDescent="0.25">
      <c r="A29" s="38" t="s">
        <v>73</v>
      </c>
    </row>
    <row r="30" spans="1:6" ht="15" customHeight="1" x14ac:dyDescent="0.25">
      <c r="A30" s="38"/>
    </row>
    <row r="32" spans="1:6" ht="15" customHeight="1" x14ac:dyDescent="0.25">
      <c r="A32" s="143" t="s">
        <v>14</v>
      </c>
      <c r="B32" s="143"/>
      <c r="C32" s="143"/>
      <c r="D32" s="143"/>
      <c r="E32" s="143"/>
      <c r="F32" s="143"/>
    </row>
    <row r="33" spans="1:10" ht="15" customHeight="1" x14ac:dyDescent="0.25">
      <c r="A33" s="144" t="s">
        <v>31</v>
      </c>
      <c r="B33" s="144"/>
      <c r="C33" s="144"/>
      <c r="D33" s="144"/>
      <c r="E33" s="144"/>
      <c r="F33" s="144"/>
    </row>
    <row r="34" spans="1:10" ht="15" customHeight="1" x14ac:dyDescent="0.25">
      <c r="A34" s="143" t="s">
        <v>52</v>
      </c>
      <c r="B34" s="143"/>
      <c r="C34" s="143"/>
      <c r="D34" s="143"/>
      <c r="E34" s="143"/>
      <c r="F34" s="143"/>
    </row>
    <row r="35" spans="1:10" ht="15" customHeight="1" x14ac:dyDescent="0.25">
      <c r="A35" s="142"/>
      <c r="B35" s="142"/>
      <c r="C35" s="142"/>
      <c r="D35" s="142"/>
      <c r="E35" s="142"/>
    </row>
    <row r="36" spans="1:10" ht="15" customHeight="1" thickBot="1" x14ac:dyDescent="0.3">
      <c r="A36" s="21" t="s">
        <v>65</v>
      </c>
      <c r="B36" s="12"/>
      <c r="C36" s="102" t="s">
        <v>27</v>
      </c>
      <c r="D36" s="102" t="s">
        <v>28</v>
      </c>
      <c r="E36" s="102" t="s">
        <v>29</v>
      </c>
      <c r="F36" s="102" t="s">
        <v>30</v>
      </c>
    </row>
    <row r="37" spans="1:10" ht="15" customHeight="1" x14ac:dyDescent="0.25">
      <c r="C37" s="106"/>
      <c r="D37" s="106"/>
      <c r="E37" s="106"/>
      <c r="F37" s="106"/>
      <c r="J37" s="41"/>
    </row>
    <row r="38" spans="1:10" ht="15" customHeight="1" x14ac:dyDescent="0.25">
      <c r="A38" s="107" t="s">
        <v>23</v>
      </c>
      <c r="B38" s="39" t="s">
        <v>57</v>
      </c>
      <c r="C38" s="33">
        <v>298858190</v>
      </c>
      <c r="D38" s="33">
        <v>300826717</v>
      </c>
      <c r="E38" s="33">
        <v>314427449</v>
      </c>
      <c r="F38" s="33">
        <f t="shared" ref="F38:F45" si="0">SUM(C38:E38)</f>
        <v>914112356</v>
      </c>
      <c r="J38" s="41"/>
    </row>
    <row r="39" spans="1:10" ht="15" customHeight="1" x14ac:dyDescent="0.25">
      <c r="A39" s="107"/>
      <c r="B39" s="39" t="s">
        <v>56</v>
      </c>
      <c r="C39" s="33">
        <v>48855261</v>
      </c>
      <c r="D39" s="33">
        <v>22906496</v>
      </c>
      <c r="E39" s="33">
        <v>16285087</v>
      </c>
      <c r="F39" s="33">
        <f t="shared" si="0"/>
        <v>88046844</v>
      </c>
    </row>
    <row r="40" spans="1:10" ht="15" customHeight="1" x14ac:dyDescent="0.25">
      <c r="A40" s="107" t="s">
        <v>24</v>
      </c>
      <c r="B40" s="39" t="s">
        <v>57</v>
      </c>
      <c r="C40" s="33">
        <v>71655721.629999995</v>
      </c>
      <c r="D40" s="66">
        <v>112782440.50999999</v>
      </c>
      <c r="E40" s="33">
        <v>122328406.37000002</v>
      </c>
      <c r="F40" s="33">
        <f t="shared" si="0"/>
        <v>306766568.50999999</v>
      </c>
    </row>
    <row r="41" spans="1:10" ht="15" customHeight="1" x14ac:dyDescent="0.25">
      <c r="A41" s="107"/>
      <c r="B41" s="39" t="s">
        <v>56</v>
      </c>
      <c r="C41" s="33">
        <v>23693642</v>
      </c>
      <c r="D41" s="33">
        <v>13314252</v>
      </c>
      <c r="E41" s="33">
        <v>31325501.890000001</v>
      </c>
      <c r="F41" s="33">
        <f t="shared" si="0"/>
        <v>68333395.890000001</v>
      </c>
    </row>
    <row r="42" spans="1:10" ht="15" customHeight="1" x14ac:dyDescent="0.25">
      <c r="A42" s="107" t="s">
        <v>25</v>
      </c>
      <c r="B42" s="39" t="s">
        <v>57</v>
      </c>
      <c r="C42" s="33">
        <v>508804079.80999994</v>
      </c>
      <c r="D42" s="33">
        <v>569871507.97000003</v>
      </c>
      <c r="E42" s="33">
        <v>580729504.6400001</v>
      </c>
      <c r="F42" s="33">
        <f t="shared" si="0"/>
        <v>1659405092.4200001</v>
      </c>
    </row>
    <row r="43" spans="1:10" ht="15" customHeight="1" x14ac:dyDescent="0.25">
      <c r="A43" s="107"/>
      <c r="B43" s="39" t="s">
        <v>56</v>
      </c>
      <c r="C43" s="33">
        <v>37562741.350000001</v>
      </c>
      <c r="D43" s="33">
        <v>76826537.590000004</v>
      </c>
      <c r="E43" s="33">
        <v>88038341.975833327</v>
      </c>
      <c r="F43" s="33">
        <f t="shared" si="0"/>
        <v>202427620.91583332</v>
      </c>
    </row>
    <row r="44" spans="1:10" ht="15" customHeight="1" x14ac:dyDescent="0.25">
      <c r="A44" s="108" t="s">
        <v>76</v>
      </c>
      <c r="B44" s="19" t="s">
        <v>57</v>
      </c>
      <c r="C44" s="33">
        <v>172500000</v>
      </c>
      <c r="D44" s="33">
        <v>158950000</v>
      </c>
      <c r="E44" s="33">
        <v>182600000</v>
      </c>
      <c r="F44" s="33">
        <f t="shared" si="0"/>
        <v>514050000</v>
      </c>
    </row>
    <row r="45" spans="1:10" ht="15" customHeight="1" x14ac:dyDescent="0.25">
      <c r="A45" s="108"/>
      <c r="B45" s="19" t="s">
        <v>56</v>
      </c>
      <c r="C45" s="33">
        <v>0</v>
      </c>
      <c r="D45" s="33">
        <v>0</v>
      </c>
      <c r="E45" s="33">
        <v>37650000</v>
      </c>
      <c r="F45" s="33">
        <f t="shared" si="0"/>
        <v>37650000</v>
      </c>
    </row>
    <row r="46" spans="1:10" ht="15" customHeight="1" thickBot="1" x14ac:dyDescent="0.3">
      <c r="A46" s="13" t="s">
        <v>13</v>
      </c>
      <c r="B46" s="13"/>
      <c r="C46" s="109">
        <f>SUM(C38:C45)</f>
        <v>1161929635.79</v>
      </c>
      <c r="D46" s="109">
        <f>SUM(D38:D45)</f>
        <v>1255477951.0699999</v>
      </c>
      <c r="E46" s="109">
        <f>SUM(E38:E45)</f>
        <v>1373384290.8758335</v>
      </c>
      <c r="F46" s="109">
        <f>SUM(F38:F45)</f>
        <v>3790791877.7358336</v>
      </c>
      <c r="H46" s="39">
        <v>3790791877.7358336</v>
      </c>
    </row>
    <row r="47" spans="1:10" ht="15" customHeight="1" thickTop="1" x14ac:dyDescent="0.25">
      <c r="A47" s="14" t="s">
        <v>42</v>
      </c>
    </row>
    <row r="48" spans="1:10" ht="15" customHeight="1" x14ac:dyDescent="0.25">
      <c r="A48" s="38" t="s">
        <v>73</v>
      </c>
    </row>
    <row r="49" spans="1:5" ht="15" customHeight="1" x14ac:dyDescent="0.25">
      <c r="A49" s="15"/>
    </row>
    <row r="50" spans="1:5" ht="15" customHeight="1" x14ac:dyDescent="0.25">
      <c r="A50" s="15"/>
    </row>
    <row r="51" spans="1:5" ht="15" customHeight="1" x14ac:dyDescent="0.25">
      <c r="A51" s="15"/>
    </row>
    <row r="52" spans="1:5" ht="15" customHeight="1" x14ac:dyDescent="0.25">
      <c r="A52" s="144" t="s">
        <v>15</v>
      </c>
      <c r="B52" s="144"/>
      <c r="C52" s="144"/>
      <c r="D52" s="144"/>
      <c r="E52" s="144"/>
    </row>
    <row r="53" spans="1:5" ht="15" customHeight="1" x14ac:dyDescent="0.25">
      <c r="A53" s="144" t="s">
        <v>32</v>
      </c>
      <c r="B53" s="144"/>
      <c r="C53" s="144"/>
      <c r="D53" s="144"/>
      <c r="E53" s="144"/>
    </row>
    <row r="54" spans="1:5" ht="15" customHeight="1" x14ac:dyDescent="0.25">
      <c r="A54" s="142" t="s">
        <v>52</v>
      </c>
      <c r="B54" s="142"/>
      <c r="C54" s="142"/>
      <c r="D54" s="142"/>
      <c r="E54" s="142"/>
    </row>
    <row r="55" spans="1:5" ht="15" customHeight="1" x14ac:dyDescent="0.25">
      <c r="A55" s="142"/>
      <c r="B55" s="142"/>
      <c r="C55" s="142"/>
      <c r="D55" s="142"/>
      <c r="E55" s="142"/>
    </row>
    <row r="56" spans="1:5" ht="15" customHeight="1" thickBot="1" x14ac:dyDescent="0.3">
      <c r="A56" s="12" t="s">
        <v>10</v>
      </c>
      <c r="B56" s="102" t="s">
        <v>27</v>
      </c>
      <c r="C56" s="102" t="s">
        <v>28</v>
      </c>
      <c r="D56" s="102" t="s">
        <v>29</v>
      </c>
      <c r="E56" s="102" t="s">
        <v>30</v>
      </c>
    </row>
    <row r="57" spans="1:5" ht="15" customHeight="1" x14ac:dyDescent="0.25">
      <c r="B57" s="103"/>
      <c r="C57" s="103"/>
      <c r="D57" s="103"/>
      <c r="E57" s="103"/>
    </row>
    <row r="58" spans="1:5" ht="15" customHeight="1" x14ac:dyDescent="0.25">
      <c r="A58" s="39" t="s">
        <v>26</v>
      </c>
      <c r="B58" s="31">
        <f>SUM(C38:C41)</f>
        <v>443062814.63</v>
      </c>
      <c r="C58" s="31">
        <f t="shared" ref="C58:D58" si="1">SUM(D38:D41)</f>
        <v>449829905.50999999</v>
      </c>
      <c r="D58" s="31">
        <f t="shared" si="1"/>
        <v>484366444.25999999</v>
      </c>
      <c r="E58" s="103">
        <f>SUM(B58:D58)</f>
        <v>1377259164.4000001</v>
      </c>
    </row>
    <row r="59" spans="1:5" ht="15" customHeight="1" x14ac:dyDescent="0.25">
      <c r="A59" s="39" t="s">
        <v>43</v>
      </c>
      <c r="B59" s="31">
        <f>SUM(C42:C43)</f>
        <v>546366821.15999997</v>
      </c>
      <c r="C59" s="31">
        <f t="shared" ref="C59:D59" si="2">SUM(D42:D43)</f>
        <v>646698045.56000006</v>
      </c>
      <c r="D59" s="31">
        <f t="shared" si="2"/>
        <v>668767846.6158334</v>
      </c>
      <c r="E59" s="103">
        <f t="shared" ref="E59:E61" si="3">SUM(B59:D59)</f>
        <v>1861832713.3358335</v>
      </c>
    </row>
    <row r="60" spans="1:5" ht="15" customHeight="1" x14ac:dyDescent="0.25">
      <c r="A60" s="38" t="s">
        <v>77</v>
      </c>
      <c r="B60" s="110">
        <f>SUM(C44:C45)</f>
        <v>172500000</v>
      </c>
      <c r="C60" s="110">
        <f t="shared" ref="C60:D60" si="4">SUM(D44:D45)</f>
        <v>158950000</v>
      </c>
      <c r="D60" s="110">
        <f t="shared" si="4"/>
        <v>220250000</v>
      </c>
      <c r="E60" s="103">
        <f t="shared" si="3"/>
        <v>551700000</v>
      </c>
    </row>
    <row r="61" spans="1:5" ht="15" customHeight="1" x14ac:dyDescent="0.25">
      <c r="A61" s="39" t="s">
        <v>7</v>
      </c>
      <c r="B61" s="31"/>
      <c r="C61" s="31"/>
      <c r="D61" s="31"/>
      <c r="E61" s="103">
        <f t="shared" si="3"/>
        <v>0</v>
      </c>
    </row>
    <row r="62" spans="1:5" ht="15" customHeight="1" x14ac:dyDescent="0.25">
      <c r="A62" s="39" t="s">
        <v>8</v>
      </c>
      <c r="B62" s="31"/>
      <c r="C62" s="31"/>
      <c r="D62" s="31"/>
      <c r="E62" s="103">
        <f>SUM(B62:D62)</f>
        <v>0</v>
      </c>
    </row>
    <row r="63" spans="1:5" ht="15" customHeight="1" thickBot="1" x14ac:dyDescent="0.3">
      <c r="A63" s="13" t="s">
        <v>13</v>
      </c>
      <c r="B63" s="105">
        <f>SUM(B58:B62)</f>
        <v>1161929635.79</v>
      </c>
      <c r="C63" s="105">
        <f>SUM(C58:C62)</f>
        <v>1255477951.0700002</v>
      </c>
      <c r="D63" s="105">
        <f>SUM(D58:D62)</f>
        <v>1373384290.8758335</v>
      </c>
      <c r="E63" s="111">
        <f>SUM(E58:E62)</f>
        <v>3790791877.7358336</v>
      </c>
    </row>
    <row r="64" spans="1:5" ht="15" customHeight="1" thickTop="1" x14ac:dyDescent="0.25">
      <c r="A64" s="38" t="s">
        <v>73</v>
      </c>
    </row>
    <row r="65" spans="1:9" ht="15" customHeight="1" x14ac:dyDescent="0.25">
      <c r="A65" s="38"/>
    </row>
    <row r="67" spans="1:9" ht="15" customHeight="1" x14ac:dyDescent="0.25">
      <c r="A67" s="144" t="s">
        <v>44</v>
      </c>
      <c r="B67" s="144"/>
      <c r="C67" s="144"/>
      <c r="D67" s="144"/>
      <c r="E67" s="144"/>
    </row>
    <row r="68" spans="1:9" ht="15" customHeight="1" x14ac:dyDescent="0.25">
      <c r="A68" s="134" t="s">
        <v>79</v>
      </c>
      <c r="B68" s="134"/>
      <c r="C68" s="134"/>
      <c r="D68" s="134"/>
      <c r="E68" s="134"/>
    </row>
    <row r="69" spans="1:9" ht="15" customHeight="1" x14ac:dyDescent="0.25">
      <c r="A69" s="143" t="s">
        <v>52</v>
      </c>
      <c r="B69" s="143"/>
      <c r="C69" s="143"/>
      <c r="D69" s="143"/>
      <c r="E69" s="143"/>
    </row>
    <row r="70" spans="1:9" ht="15" customHeight="1" x14ac:dyDescent="0.25">
      <c r="A70" s="142"/>
      <c r="B70" s="142"/>
      <c r="C70" s="142"/>
      <c r="D70" s="142"/>
      <c r="E70" s="142"/>
    </row>
    <row r="71" spans="1:9" ht="15" customHeight="1" thickBot="1" x14ac:dyDescent="0.3">
      <c r="A71" s="16" t="s">
        <v>10</v>
      </c>
      <c r="B71" s="112" t="s">
        <v>27</v>
      </c>
      <c r="C71" s="112" t="s">
        <v>28</v>
      </c>
      <c r="D71" s="112" t="s">
        <v>29</v>
      </c>
      <c r="E71" s="112" t="s">
        <v>30</v>
      </c>
    </row>
    <row r="72" spans="1:9" ht="15" customHeight="1" x14ac:dyDescent="0.25">
      <c r="B72" s="103"/>
      <c r="C72" s="103"/>
      <c r="D72" s="103"/>
      <c r="E72" s="103"/>
    </row>
    <row r="73" spans="1:9" ht="15" customHeight="1" x14ac:dyDescent="0.25">
      <c r="A73" s="39" t="s">
        <v>63</v>
      </c>
      <c r="B73" s="31">
        <f>'I T'!E77</f>
        <v>587457703.04724646</v>
      </c>
      <c r="C73" s="31">
        <f>B77</f>
        <v>563618529.41724646</v>
      </c>
      <c r="D73" s="31">
        <f>C77</f>
        <v>533012264.90724647</v>
      </c>
      <c r="E73" s="31">
        <f>B73</f>
        <v>587457703.04724646</v>
      </c>
    </row>
    <row r="74" spans="1:9" ht="15" customHeight="1" x14ac:dyDescent="0.25">
      <c r="A74" s="39" t="s">
        <v>16</v>
      </c>
      <c r="B74" s="113">
        <v>419223641</v>
      </c>
      <c r="C74" s="113">
        <v>419223641</v>
      </c>
      <c r="D74" s="113">
        <v>419223641</v>
      </c>
      <c r="E74" s="31">
        <f>SUM(B74:D74)</f>
        <v>1257670923</v>
      </c>
      <c r="G74" s="19"/>
      <c r="H74" s="19"/>
      <c r="I74" s="19"/>
    </row>
    <row r="75" spans="1:9" ht="15" customHeight="1" x14ac:dyDescent="0.25">
      <c r="A75" s="39" t="s">
        <v>17</v>
      </c>
      <c r="B75" s="31">
        <f>+B73+B74</f>
        <v>1006681344.0472465</v>
      </c>
      <c r="C75" s="31">
        <f>+C73+C74</f>
        <v>982842170.41724646</v>
      </c>
      <c r="D75" s="31">
        <f>+D73+D74</f>
        <v>952235905.90724647</v>
      </c>
      <c r="E75" s="31">
        <f>+E73+E74</f>
        <v>1845128626.0472465</v>
      </c>
    </row>
    <row r="76" spans="1:9" ht="15" customHeight="1" x14ac:dyDescent="0.25">
      <c r="A76" s="39" t="s">
        <v>18</v>
      </c>
      <c r="B76" s="37">
        <f>B58</f>
        <v>443062814.63</v>
      </c>
      <c r="C76" s="37">
        <f>C58</f>
        <v>449829905.50999999</v>
      </c>
      <c r="D76" s="37">
        <f>D58</f>
        <v>484366444.25999999</v>
      </c>
      <c r="E76" s="31">
        <f>SUM(B76:D76)</f>
        <v>1377259164.4000001</v>
      </c>
      <c r="F76" s="15"/>
    </row>
    <row r="77" spans="1:9" ht="15" customHeight="1" x14ac:dyDescent="0.25">
      <c r="A77" s="14" t="s">
        <v>19</v>
      </c>
      <c r="B77" s="114">
        <f>+B75-B76</f>
        <v>563618529.41724646</v>
      </c>
      <c r="C77" s="114">
        <f>+C75-C76</f>
        <v>533012264.90724647</v>
      </c>
      <c r="D77" s="114">
        <f>+D75-D76</f>
        <v>467869461.64724648</v>
      </c>
      <c r="E77" s="114">
        <f>+E75-E76</f>
        <v>467869461.64724636</v>
      </c>
    </row>
    <row r="78" spans="1:9" ht="15" customHeight="1" thickBot="1" x14ac:dyDescent="0.3">
      <c r="A78" s="13"/>
      <c r="B78" s="111"/>
      <c r="C78" s="111"/>
      <c r="D78" s="111"/>
      <c r="E78" s="111"/>
    </row>
    <row r="79" spans="1:9" ht="15" customHeight="1" thickTop="1" x14ac:dyDescent="0.25">
      <c r="A79" s="38" t="s">
        <v>73</v>
      </c>
    </row>
    <row r="80" spans="1:9" ht="15" customHeight="1" x14ac:dyDescent="0.25">
      <c r="A80" s="38"/>
    </row>
    <row r="82" spans="1:9" ht="15" customHeight="1" x14ac:dyDescent="0.25">
      <c r="A82" s="144" t="s">
        <v>45</v>
      </c>
      <c r="B82" s="144"/>
      <c r="C82" s="144"/>
      <c r="D82" s="144"/>
      <c r="E82" s="144"/>
      <c r="F82" s="18" t="s">
        <v>54</v>
      </c>
      <c r="I82" s="15"/>
    </row>
    <row r="83" spans="1:9" ht="15" customHeight="1" x14ac:dyDescent="0.25">
      <c r="A83" s="144" t="s">
        <v>49</v>
      </c>
      <c r="B83" s="144"/>
      <c r="C83" s="144"/>
      <c r="D83" s="144"/>
      <c r="E83" s="144"/>
      <c r="F83" s="18">
        <f>E74+E89+E90</f>
        <v>3696196923</v>
      </c>
      <c r="H83" s="20"/>
    </row>
    <row r="84" spans="1:9" ht="15" customHeight="1" x14ac:dyDescent="0.25">
      <c r="A84" s="143" t="s">
        <v>52</v>
      </c>
      <c r="B84" s="143"/>
      <c r="C84" s="143"/>
      <c r="D84" s="143"/>
      <c r="E84" s="143"/>
      <c r="F84" s="18"/>
    </row>
    <row r="85" spans="1:9" ht="15" customHeight="1" x14ac:dyDescent="0.25">
      <c r="A85" s="142"/>
      <c r="B85" s="142"/>
      <c r="C85" s="142"/>
      <c r="D85" s="142"/>
      <c r="E85" s="142"/>
    </row>
    <row r="86" spans="1:9" ht="15" customHeight="1" thickBot="1" x14ac:dyDescent="0.3">
      <c r="A86" s="16" t="s">
        <v>10</v>
      </c>
      <c r="B86" s="112" t="s">
        <v>27</v>
      </c>
      <c r="C86" s="112" t="s">
        <v>28</v>
      </c>
      <c r="D86" s="112" t="s">
        <v>29</v>
      </c>
      <c r="E86" s="112" t="s">
        <v>30</v>
      </c>
    </row>
    <row r="87" spans="1:9" ht="15" customHeight="1" x14ac:dyDescent="0.25">
      <c r="B87" s="103"/>
      <c r="C87" s="103"/>
      <c r="D87" s="103"/>
      <c r="E87" s="103"/>
    </row>
    <row r="88" spans="1:9" ht="15" customHeight="1" x14ac:dyDescent="0.25">
      <c r="A88" s="39" t="s">
        <v>63</v>
      </c>
      <c r="B88" s="31">
        <f>'I T'!E93</f>
        <v>546165019.51416659</v>
      </c>
      <c r="C88" s="31">
        <f>B93</f>
        <v>640140198.35416687</v>
      </c>
      <c r="D88" s="31">
        <f>C93</f>
        <v>647334152.79416692</v>
      </c>
      <c r="E88" s="31">
        <f>+B88</f>
        <v>546165019.51416659</v>
      </c>
    </row>
    <row r="89" spans="1:9" ht="15" customHeight="1" x14ac:dyDescent="0.25">
      <c r="A89" s="39" t="s">
        <v>16</v>
      </c>
      <c r="B89" s="31">
        <v>597675333.33000004</v>
      </c>
      <c r="C89" s="31">
        <v>597675333.33000004</v>
      </c>
      <c r="D89" s="31">
        <v>597675333.33000004</v>
      </c>
      <c r="E89" s="31">
        <f>SUM(B89:D89)</f>
        <v>1793025999.9900002</v>
      </c>
      <c r="G89" s="19"/>
      <c r="H89" s="19"/>
      <c r="I89" s="19"/>
    </row>
    <row r="90" spans="1:9" ht="15" customHeight="1" x14ac:dyDescent="0.25">
      <c r="A90" s="38" t="s">
        <v>78</v>
      </c>
      <c r="B90" s="31">
        <v>215166666.66999999</v>
      </c>
      <c r="C90" s="31">
        <v>215166666.66999999</v>
      </c>
      <c r="D90" s="31">
        <v>215166666.66999999</v>
      </c>
      <c r="E90" s="31">
        <f>SUM(B90:D90)</f>
        <v>645500000.00999999</v>
      </c>
      <c r="G90" s="19"/>
      <c r="H90" s="19"/>
      <c r="I90" s="19"/>
    </row>
    <row r="91" spans="1:9" ht="15" customHeight="1" x14ac:dyDescent="0.25">
      <c r="A91" s="39" t="s">
        <v>17</v>
      </c>
      <c r="B91" s="31">
        <f>SUM(B88:B90)</f>
        <v>1359007019.5141668</v>
      </c>
      <c r="C91" s="31">
        <f>SUM(C88:C90)</f>
        <v>1452982198.354167</v>
      </c>
      <c r="D91" s="31">
        <f>SUM(D88:D90)</f>
        <v>1460176152.794167</v>
      </c>
      <c r="E91" s="31">
        <f>SUM(E88:E90)</f>
        <v>2984691019.5141668</v>
      </c>
    </row>
    <row r="92" spans="1:9" ht="15" customHeight="1" x14ac:dyDescent="0.25">
      <c r="A92" s="39" t="s">
        <v>18</v>
      </c>
      <c r="B92" s="37">
        <f>B59+B60</f>
        <v>718866821.15999997</v>
      </c>
      <c r="C92" s="37">
        <f>C59+C60</f>
        <v>805648045.56000006</v>
      </c>
      <c r="D92" s="37">
        <f>D59+D60</f>
        <v>889017846.6158334</v>
      </c>
      <c r="E92" s="31">
        <f>SUM(B92:D92)</f>
        <v>2413532713.3358335</v>
      </c>
      <c r="F92" s="15"/>
    </row>
    <row r="93" spans="1:9" ht="15" customHeight="1" x14ac:dyDescent="0.25">
      <c r="A93" s="14" t="s">
        <v>19</v>
      </c>
      <c r="B93" s="114">
        <f>+B91-B92</f>
        <v>640140198.35416687</v>
      </c>
      <c r="C93" s="114">
        <f>+C91-C92</f>
        <v>647334152.79416692</v>
      </c>
      <c r="D93" s="114">
        <f>+D91-D92</f>
        <v>571158306.17833364</v>
      </c>
      <c r="E93" s="114">
        <f>+E91-E92</f>
        <v>571158306.17833328</v>
      </c>
    </row>
    <row r="94" spans="1:9" ht="15" customHeight="1" thickBot="1" x14ac:dyDescent="0.3">
      <c r="A94" s="13"/>
      <c r="B94" s="111"/>
      <c r="C94" s="111"/>
      <c r="D94" s="111"/>
      <c r="E94" s="111"/>
    </row>
    <row r="95" spans="1:9" ht="15" customHeight="1" thickTop="1" x14ac:dyDescent="0.25">
      <c r="A95" s="38" t="s">
        <v>73</v>
      </c>
    </row>
    <row r="96" spans="1:9" ht="36.75" customHeight="1" x14ac:dyDescent="0.25">
      <c r="A96" s="38" t="s">
        <v>80</v>
      </c>
    </row>
    <row r="99" spans="1:5" ht="15" customHeight="1" x14ac:dyDescent="0.25">
      <c r="A99" s="39" t="s">
        <v>81</v>
      </c>
      <c r="C99" s="41"/>
    </row>
    <row r="100" spans="1:5" ht="15" customHeight="1" x14ac:dyDescent="0.25">
      <c r="C100" s="41"/>
    </row>
    <row r="101" spans="1:5" ht="15" customHeight="1" thickBot="1" x14ac:dyDescent="0.3">
      <c r="C101" s="41"/>
    </row>
    <row r="102" spans="1:5" ht="30.75" thickBot="1" x14ac:dyDescent="0.35">
      <c r="A102" s="95" t="s">
        <v>97</v>
      </c>
      <c r="B102" s="98" t="s">
        <v>98</v>
      </c>
      <c r="C102" s="98" t="s">
        <v>99</v>
      </c>
      <c r="D102" s="98" t="s">
        <v>100</v>
      </c>
      <c r="E102" s="98" t="s">
        <v>101</v>
      </c>
    </row>
    <row r="103" spans="1:5" ht="15" customHeight="1" thickBot="1" x14ac:dyDescent="0.3">
      <c r="A103" s="115" t="s">
        <v>27</v>
      </c>
      <c r="B103" s="99">
        <v>597675333.33000004</v>
      </c>
      <c r="C103" s="99">
        <v>419223641</v>
      </c>
      <c r="D103" s="99">
        <v>215166666.66999999</v>
      </c>
      <c r="E103" s="99">
        <v>1232065641</v>
      </c>
    </row>
    <row r="104" spans="1:5" ht="15" customHeight="1" thickBot="1" x14ac:dyDescent="0.35">
      <c r="A104" s="97" t="s">
        <v>13</v>
      </c>
      <c r="B104" s="100">
        <v>597675333.33000004</v>
      </c>
      <c r="C104" s="100">
        <v>419223641</v>
      </c>
      <c r="D104" s="100">
        <v>215166666.66999999</v>
      </c>
      <c r="E104" s="100">
        <v>1232065641</v>
      </c>
    </row>
    <row r="105" spans="1:5" ht="15" customHeight="1" x14ac:dyDescent="0.25">
      <c r="A105" s="38"/>
      <c r="B105" s="38"/>
      <c r="C105" s="38"/>
      <c r="D105" s="38"/>
      <c r="E105" s="38"/>
    </row>
    <row r="106" spans="1:5" ht="15" customHeight="1" thickBot="1" x14ac:dyDescent="0.3">
      <c r="A106" s="38"/>
      <c r="B106" s="38"/>
      <c r="C106" s="38"/>
      <c r="D106" s="38"/>
      <c r="E106" s="38"/>
    </row>
    <row r="107" spans="1:5" ht="15" customHeight="1" thickBot="1" x14ac:dyDescent="0.35">
      <c r="A107" s="95" t="s">
        <v>97</v>
      </c>
      <c r="B107" s="98" t="s">
        <v>98</v>
      </c>
      <c r="C107" s="98" t="s">
        <v>99</v>
      </c>
      <c r="D107" s="98" t="s">
        <v>100</v>
      </c>
      <c r="E107" s="98" t="s">
        <v>101</v>
      </c>
    </row>
    <row r="108" spans="1:5" ht="15" customHeight="1" thickBot="1" x14ac:dyDescent="0.3">
      <c r="A108" s="115" t="s">
        <v>28</v>
      </c>
      <c r="B108" s="99">
        <v>597675333.33000004</v>
      </c>
      <c r="C108" s="99">
        <v>419223641</v>
      </c>
      <c r="D108" s="99">
        <v>215166666.66999999</v>
      </c>
      <c r="E108" s="99">
        <v>1232065641</v>
      </c>
    </row>
    <row r="109" spans="1:5" ht="15" customHeight="1" thickBot="1" x14ac:dyDescent="0.35">
      <c r="A109" s="97" t="s">
        <v>13</v>
      </c>
      <c r="B109" s="100">
        <v>597675333.33000004</v>
      </c>
      <c r="C109" s="100">
        <v>419223641</v>
      </c>
      <c r="D109" s="100">
        <v>215166666.66999999</v>
      </c>
      <c r="E109" s="100">
        <v>1232065641</v>
      </c>
    </row>
    <row r="110" spans="1:5" ht="15" customHeight="1" x14ac:dyDescent="0.25">
      <c r="A110" s="38"/>
      <c r="B110" s="38"/>
      <c r="C110" s="38"/>
      <c r="D110" s="38"/>
      <c r="E110" s="38"/>
    </row>
    <row r="111" spans="1:5" ht="15" customHeight="1" thickBot="1" x14ac:dyDescent="0.3">
      <c r="A111" s="38"/>
      <c r="B111" s="38"/>
      <c r="C111" s="38"/>
      <c r="D111" s="38"/>
      <c r="E111" s="38"/>
    </row>
    <row r="112" spans="1:5" ht="15" customHeight="1" thickBot="1" x14ac:dyDescent="0.35">
      <c r="A112" s="95" t="s">
        <v>97</v>
      </c>
      <c r="B112" s="98" t="s">
        <v>98</v>
      </c>
      <c r="C112" s="98" t="s">
        <v>99</v>
      </c>
      <c r="D112" s="98" t="s">
        <v>100</v>
      </c>
      <c r="E112" s="98" t="s">
        <v>101</v>
      </c>
    </row>
    <row r="113" spans="1:5" ht="15" customHeight="1" thickBot="1" x14ac:dyDescent="0.3">
      <c r="A113" s="115" t="s">
        <v>29</v>
      </c>
      <c r="B113" s="99">
        <v>597675333.33000004</v>
      </c>
      <c r="C113" s="99">
        <v>419223641</v>
      </c>
      <c r="D113" s="99">
        <v>215166666.66999999</v>
      </c>
      <c r="E113" s="99">
        <v>1232065641</v>
      </c>
    </row>
    <row r="114" spans="1:5" ht="15" customHeight="1" thickBot="1" x14ac:dyDescent="0.35">
      <c r="A114" s="97" t="s">
        <v>13</v>
      </c>
      <c r="B114" s="100">
        <v>597675333.33000004</v>
      </c>
      <c r="C114" s="100">
        <v>419223641</v>
      </c>
      <c r="D114" s="100">
        <v>215166666.66999999</v>
      </c>
      <c r="E114" s="100">
        <v>1232065641</v>
      </c>
    </row>
    <row r="116" spans="1:5" ht="15" customHeight="1" x14ac:dyDescent="0.25">
      <c r="E116" s="39">
        <f>+E104+E109+E114</f>
        <v>3696196923</v>
      </c>
    </row>
  </sheetData>
  <mergeCells count="24">
    <mergeCell ref="A13:A15"/>
    <mergeCell ref="A16:A18"/>
    <mergeCell ref="A19:A21"/>
    <mergeCell ref="A82:E82"/>
    <mergeCell ref="A83:E83"/>
    <mergeCell ref="A33:F33"/>
    <mergeCell ref="A34:F34"/>
    <mergeCell ref="A54:E54"/>
    <mergeCell ref="A85:E85"/>
    <mergeCell ref="A69:E69"/>
    <mergeCell ref="A84:E84"/>
    <mergeCell ref="A55:E55"/>
    <mergeCell ref="A1:F1"/>
    <mergeCell ref="A7:F7"/>
    <mergeCell ref="A8:F8"/>
    <mergeCell ref="A10:F10"/>
    <mergeCell ref="A35:E35"/>
    <mergeCell ref="A52:E52"/>
    <mergeCell ref="A53:E53"/>
    <mergeCell ref="A9:F9"/>
    <mergeCell ref="A32:F32"/>
    <mergeCell ref="A67:E67"/>
    <mergeCell ref="A68:E68"/>
    <mergeCell ref="A70:E70"/>
  </mergeCells>
  <printOptions horizontalCentered="1" verticalCentered="1"/>
  <pageMargins left="0.70866141732283472" right="1.18" top="0.3" bottom="0.2" header="0.31496062992125984" footer="0.31496062992125984"/>
  <pageSetup scale="36" orientation="portrait" r:id="rId1"/>
  <ignoredErrors>
    <ignoredError sqref="F16:F24 E75" formula="1"/>
    <ignoredError sqref="B58:E6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65.7109375" style="39" customWidth="1"/>
    <col min="2" max="2" width="26.5703125" style="39" customWidth="1"/>
    <col min="3" max="3" width="16" style="39" bestFit="1" customWidth="1"/>
    <col min="4" max="4" width="19.140625" style="39" customWidth="1"/>
    <col min="5" max="5" width="17" style="39" bestFit="1" customWidth="1"/>
    <col min="6" max="6" width="21.42578125" style="39" customWidth="1"/>
    <col min="7" max="7" width="19.5703125" style="39" customWidth="1"/>
    <col min="8" max="8" width="17.7109375" style="39" bestFit="1" customWidth="1"/>
    <col min="9" max="10" width="16" style="39" bestFit="1" customWidth="1"/>
    <col min="11" max="11" width="17.5703125" style="39" bestFit="1" customWidth="1"/>
    <col min="12" max="12" width="5.140625" style="39" bestFit="1" customWidth="1"/>
    <col min="13" max="16384" width="11.5703125" style="39"/>
  </cols>
  <sheetData>
    <row r="1" spans="1:6" ht="15" customHeight="1" x14ac:dyDescent="0.25">
      <c r="A1" s="144" t="s">
        <v>20</v>
      </c>
      <c r="B1" s="144"/>
      <c r="C1" s="144"/>
      <c r="D1" s="144"/>
      <c r="E1" s="144"/>
      <c r="F1" s="144"/>
    </row>
    <row r="2" spans="1:6" ht="15" customHeight="1" x14ac:dyDescent="0.25">
      <c r="A2" s="2" t="s">
        <v>0</v>
      </c>
      <c r="B2" s="3" t="s">
        <v>22</v>
      </c>
      <c r="C2" s="18"/>
      <c r="D2" s="18"/>
      <c r="E2" s="18"/>
      <c r="F2" s="18"/>
    </row>
    <row r="3" spans="1:6" ht="15" customHeight="1" x14ac:dyDescent="0.25">
      <c r="A3" s="2" t="s">
        <v>1</v>
      </c>
      <c r="B3" s="3" t="s">
        <v>21</v>
      </c>
      <c r="C3" s="18"/>
      <c r="D3" s="18"/>
      <c r="E3" s="18"/>
      <c r="F3" s="18"/>
    </row>
    <row r="4" spans="1:6" ht="15" customHeight="1" x14ac:dyDescent="0.25">
      <c r="A4" s="2" t="s">
        <v>11</v>
      </c>
      <c r="B4" s="18" t="s">
        <v>62</v>
      </c>
      <c r="C4" s="18"/>
      <c r="D4" s="18"/>
      <c r="E4" s="18"/>
      <c r="F4" s="18"/>
    </row>
    <row r="5" spans="1:6" ht="15" customHeight="1" x14ac:dyDescent="0.25">
      <c r="A5" s="2" t="s">
        <v>47</v>
      </c>
      <c r="B5" s="5" t="s">
        <v>106</v>
      </c>
      <c r="C5" s="18"/>
      <c r="D5" s="18"/>
      <c r="E5" s="18"/>
      <c r="F5" s="18"/>
    </row>
    <row r="7" spans="1:6" ht="15" customHeight="1" x14ac:dyDescent="0.25">
      <c r="A7" s="144" t="s">
        <v>9</v>
      </c>
      <c r="B7" s="144"/>
      <c r="C7" s="144"/>
      <c r="D7" s="144"/>
      <c r="E7" s="144"/>
      <c r="F7" s="144"/>
    </row>
    <row r="8" spans="1:6" ht="15" customHeight="1" x14ac:dyDescent="0.25">
      <c r="A8" s="144" t="s">
        <v>12</v>
      </c>
      <c r="B8" s="144"/>
      <c r="C8" s="144"/>
      <c r="D8" s="144"/>
      <c r="E8" s="144"/>
      <c r="F8" s="144"/>
    </row>
    <row r="9" spans="1:6" ht="15" customHeight="1" x14ac:dyDescent="0.25">
      <c r="A9" s="143" t="s">
        <v>50</v>
      </c>
      <c r="B9" s="143"/>
      <c r="C9" s="143"/>
      <c r="D9" s="143"/>
      <c r="E9" s="143"/>
      <c r="F9" s="143"/>
    </row>
    <row r="10" spans="1:6" ht="15" customHeight="1" x14ac:dyDescent="0.25">
      <c r="A10" s="142"/>
      <c r="B10" s="142"/>
      <c r="C10" s="142"/>
      <c r="D10" s="142"/>
      <c r="E10" s="142"/>
      <c r="F10" s="142"/>
    </row>
    <row r="11" spans="1:6" ht="15" customHeight="1" thickBot="1" x14ac:dyDescent="0.3">
      <c r="A11" s="21" t="s">
        <v>65</v>
      </c>
      <c r="B11" s="16"/>
      <c r="C11" s="16" t="s">
        <v>33</v>
      </c>
      <c r="D11" s="16" t="s">
        <v>34</v>
      </c>
      <c r="E11" s="16" t="s">
        <v>58</v>
      </c>
      <c r="F11" s="21" t="s">
        <v>71</v>
      </c>
    </row>
    <row r="13" spans="1:6" x14ac:dyDescent="0.25">
      <c r="A13" s="145" t="s">
        <v>23</v>
      </c>
      <c r="B13" s="7" t="s">
        <v>59</v>
      </c>
      <c r="C13" s="39">
        <f>+('2 T'!E13-'3 T'!C15)+82</f>
        <v>126</v>
      </c>
      <c r="D13" s="39">
        <f>+(C13-D15)+91</f>
        <v>135</v>
      </c>
      <c r="E13" s="39">
        <f>+(D13-E15)+168</f>
        <v>189</v>
      </c>
      <c r="F13" s="39">
        <f>E13</f>
        <v>189</v>
      </c>
    </row>
    <row r="14" spans="1:6" ht="15" customHeight="1" x14ac:dyDescent="0.25">
      <c r="A14" s="145"/>
      <c r="B14" s="7" t="s">
        <v>60</v>
      </c>
      <c r="C14" s="39">
        <v>1652</v>
      </c>
      <c r="D14" s="39">
        <v>1604</v>
      </c>
      <c r="E14" s="39">
        <v>1476</v>
      </c>
      <c r="F14" s="39">
        <f>AVERAGE(C14:E14)</f>
        <v>1577.3333333333333</v>
      </c>
    </row>
    <row r="15" spans="1:6" ht="15" customHeight="1" x14ac:dyDescent="0.25">
      <c r="A15" s="145"/>
      <c r="B15" s="7" t="s">
        <v>61</v>
      </c>
      <c r="C15" s="116">
        <v>59</v>
      </c>
      <c r="D15" s="39">
        <v>82</v>
      </c>
      <c r="E15" s="116">
        <v>114</v>
      </c>
      <c r="F15" s="39">
        <f>AVERAGE(C15:E15)</f>
        <v>85</v>
      </c>
    </row>
    <row r="16" spans="1:6" x14ac:dyDescent="0.25">
      <c r="A16" s="145" t="s">
        <v>24</v>
      </c>
      <c r="B16" s="7" t="s">
        <v>59</v>
      </c>
      <c r="C16" s="39">
        <f>+('2 T'!E16-'3 T'!C18)+60</f>
        <v>131</v>
      </c>
      <c r="D16" s="39">
        <f>+(C16-D18)+57</f>
        <v>140</v>
      </c>
      <c r="E16" s="39">
        <f>+(D16-E18)+81</f>
        <v>81</v>
      </c>
      <c r="F16" s="39">
        <f>E16</f>
        <v>81</v>
      </c>
    </row>
    <row r="17" spans="1:6" ht="15" customHeight="1" x14ac:dyDescent="0.25">
      <c r="A17" s="145"/>
      <c r="B17" s="7" t="s">
        <v>60</v>
      </c>
      <c r="C17" s="39">
        <v>1132</v>
      </c>
      <c r="D17" s="39">
        <v>1124</v>
      </c>
      <c r="E17" s="39">
        <v>1087</v>
      </c>
      <c r="F17" s="39">
        <f>AVERAGE(C17:E17)</f>
        <v>1114.3333333333333</v>
      </c>
    </row>
    <row r="18" spans="1:6" ht="15" customHeight="1" x14ac:dyDescent="0.25">
      <c r="A18" s="145"/>
      <c r="B18" s="7" t="s">
        <v>61</v>
      </c>
      <c r="C18" s="39">
        <v>352</v>
      </c>
      <c r="D18" s="39">
        <v>48</v>
      </c>
      <c r="E18" s="39">
        <v>140</v>
      </c>
      <c r="F18" s="39">
        <f>AVERAGE(C18:E18)</f>
        <v>180</v>
      </c>
    </row>
    <row r="19" spans="1:6" x14ac:dyDescent="0.25">
      <c r="A19" s="146" t="s">
        <v>25</v>
      </c>
      <c r="B19" s="7" t="s">
        <v>59</v>
      </c>
      <c r="C19" s="39">
        <f>+('2 T'!E19-'3 T'!C21)+1235</f>
        <v>1572</v>
      </c>
      <c r="D19" s="39">
        <f>+(C19-D21)+1406</f>
        <v>2315</v>
      </c>
      <c r="E19" s="39">
        <f>+(D19-E21)+708</f>
        <v>1753</v>
      </c>
      <c r="F19" s="39">
        <f>+E19</f>
        <v>1753</v>
      </c>
    </row>
    <row r="20" spans="1:6" ht="15" customHeight="1" x14ac:dyDescent="0.25">
      <c r="A20" s="146"/>
      <c r="B20" s="7" t="s">
        <v>60</v>
      </c>
      <c r="C20" s="39">
        <v>8971</v>
      </c>
      <c r="D20" s="39">
        <v>9102</v>
      </c>
      <c r="E20" s="39">
        <v>9978</v>
      </c>
      <c r="F20" s="39">
        <f>AVERAGE(C20:E20)</f>
        <v>9350.3333333333339</v>
      </c>
    </row>
    <row r="21" spans="1:6" ht="15" customHeight="1" x14ac:dyDescent="0.25">
      <c r="A21" s="146"/>
      <c r="B21" s="7" t="s">
        <v>61</v>
      </c>
      <c r="C21" s="39">
        <v>149</v>
      </c>
      <c r="D21" s="39">
        <v>663</v>
      </c>
      <c r="E21" s="39">
        <v>1270</v>
      </c>
      <c r="F21" s="39">
        <f>AVERAGE(C21:E21)</f>
        <v>694</v>
      </c>
    </row>
    <row r="22" spans="1:6" ht="15" customHeight="1" x14ac:dyDescent="0.25">
      <c r="A22" s="104" t="s">
        <v>76</v>
      </c>
      <c r="B22" s="35" t="s">
        <v>59</v>
      </c>
      <c r="C22" s="39">
        <f>+('2 T'!E22-'3 T'!C24)+158</f>
        <v>158</v>
      </c>
      <c r="D22" s="39">
        <f>+(C22-D24)+180</f>
        <v>338</v>
      </c>
      <c r="E22" s="39">
        <f>+(D22-E24)+23</f>
        <v>46</v>
      </c>
      <c r="F22" s="116">
        <f>E22</f>
        <v>46</v>
      </c>
    </row>
    <row r="23" spans="1:6" ht="15" customHeight="1" x14ac:dyDescent="0.25">
      <c r="A23" s="36"/>
      <c r="B23" s="35" t="s">
        <v>60</v>
      </c>
      <c r="C23" s="116">
        <v>389</v>
      </c>
      <c r="D23" s="116">
        <v>386</v>
      </c>
      <c r="E23" s="116">
        <v>552</v>
      </c>
      <c r="F23" s="116">
        <f>AVERAGE(C23:E23)</f>
        <v>442.33333333333331</v>
      </c>
    </row>
    <row r="24" spans="1:6" ht="15" customHeight="1" x14ac:dyDescent="0.25">
      <c r="A24" s="36"/>
      <c r="B24" s="35" t="s">
        <v>61</v>
      </c>
      <c r="C24" s="116"/>
      <c r="D24" s="116">
        <v>0</v>
      </c>
      <c r="E24" s="116">
        <v>315</v>
      </c>
      <c r="F24" s="116">
        <f>AVERAGE(C24:E24)</f>
        <v>157.5</v>
      </c>
    </row>
    <row r="25" spans="1:6" ht="15" customHeight="1" x14ac:dyDescent="0.25">
      <c r="A25" s="34"/>
      <c r="B25" s="7"/>
    </row>
    <row r="27" spans="1:6" ht="15" customHeight="1" thickBot="1" x14ac:dyDescent="0.3">
      <c r="A27" s="13" t="s">
        <v>13</v>
      </c>
      <c r="B27" s="13" t="s">
        <v>51</v>
      </c>
      <c r="C27" s="13">
        <f>+C14+C15+C17+C18+C20+C21+C23+C24</f>
        <v>12704</v>
      </c>
      <c r="D27" s="13">
        <f>+D14+D15+D17+D18+D20+D21+D23+D24</f>
        <v>13009</v>
      </c>
      <c r="E27" s="13">
        <f>+E14+E15+E17+E18+E20+E21+E23+E24</f>
        <v>14932</v>
      </c>
      <c r="F27" s="13">
        <f>AVERAGE(C27:E27)</f>
        <v>13548.333333333334</v>
      </c>
    </row>
    <row r="28" spans="1:6" ht="15" customHeight="1" thickTop="1" x14ac:dyDescent="0.25">
      <c r="A28" s="22" t="s">
        <v>67</v>
      </c>
      <c r="B28" s="14"/>
      <c r="C28" s="14"/>
      <c r="D28" s="14"/>
      <c r="E28" s="14"/>
      <c r="F28" s="14"/>
    </row>
    <row r="29" spans="1:6" ht="15" customHeight="1" x14ac:dyDescent="0.25">
      <c r="A29" s="38" t="s">
        <v>73</v>
      </c>
    </row>
    <row r="30" spans="1:6" ht="15" customHeight="1" x14ac:dyDescent="0.25">
      <c r="A30" s="38"/>
      <c r="C30" s="117"/>
      <c r="D30" s="117"/>
      <c r="E30" s="117"/>
    </row>
    <row r="32" spans="1:6" ht="15" customHeight="1" x14ac:dyDescent="0.25">
      <c r="A32" s="143" t="s">
        <v>14</v>
      </c>
      <c r="B32" s="143"/>
      <c r="C32" s="143"/>
      <c r="D32" s="143"/>
      <c r="E32" s="143"/>
      <c r="F32" s="143"/>
    </row>
    <row r="33" spans="1:6" ht="15" customHeight="1" x14ac:dyDescent="0.25">
      <c r="A33" s="144" t="s">
        <v>31</v>
      </c>
      <c r="B33" s="144"/>
      <c r="C33" s="144"/>
      <c r="D33" s="144"/>
      <c r="E33" s="144"/>
      <c r="F33" s="144"/>
    </row>
    <row r="34" spans="1:6" ht="15" customHeight="1" x14ac:dyDescent="0.25">
      <c r="A34" s="143" t="s">
        <v>52</v>
      </c>
      <c r="B34" s="143"/>
      <c r="C34" s="143"/>
      <c r="D34" s="143"/>
      <c r="E34" s="143"/>
      <c r="F34" s="143"/>
    </row>
    <row r="35" spans="1:6" ht="15" customHeight="1" x14ac:dyDescent="0.25">
      <c r="A35" s="142"/>
      <c r="B35" s="142"/>
      <c r="C35" s="142"/>
      <c r="D35" s="142"/>
      <c r="E35" s="142"/>
    </row>
    <row r="36" spans="1:6" ht="15" customHeight="1" thickBot="1" x14ac:dyDescent="0.3">
      <c r="A36" s="21" t="s">
        <v>65</v>
      </c>
      <c r="B36" s="12"/>
      <c r="C36" s="12" t="s">
        <v>33</v>
      </c>
      <c r="D36" s="12" t="s">
        <v>34</v>
      </c>
      <c r="E36" s="12" t="s">
        <v>58</v>
      </c>
      <c r="F36" s="12" t="s">
        <v>35</v>
      </c>
    </row>
    <row r="38" spans="1:6" ht="15" customHeight="1" x14ac:dyDescent="0.25">
      <c r="A38" s="107" t="s">
        <v>23</v>
      </c>
      <c r="B38" s="39" t="s">
        <v>57</v>
      </c>
      <c r="C38" s="118">
        <v>306195427</v>
      </c>
      <c r="D38" s="118">
        <v>301542545</v>
      </c>
      <c r="E38" s="118">
        <v>284362673</v>
      </c>
      <c r="F38" s="39">
        <f t="shared" ref="F38:F45" si="0">SUM(C38:E38)</f>
        <v>892100645</v>
      </c>
    </row>
    <row r="39" spans="1:6" ht="15" customHeight="1" x14ac:dyDescent="0.25">
      <c r="A39" s="107"/>
      <c r="B39" s="39" t="s">
        <v>56</v>
      </c>
      <c r="C39" s="118">
        <v>10379506</v>
      </c>
      <c r="D39" s="118">
        <v>15211345</v>
      </c>
      <c r="E39" s="118">
        <v>25411894</v>
      </c>
      <c r="F39" s="39">
        <f t="shared" si="0"/>
        <v>51002745</v>
      </c>
    </row>
    <row r="40" spans="1:6" ht="15" customHeight="1" x14ac:dyDescent="0.25">
      <c r="A40" s="107" t="s">
        <v>24</v>
      </c>
      <c r="B40" s="39" t="s">
        <v>57</v>
      </c>
      <c r="C40" s="118">
        <v>127225945.23</v>
      </c>
      <c r="D40" s="118">
        <v>129282913.8</v>
      </c>
      <c r="E40" s="118">
        <v>129260852.77</v>
      </c>
      <c r="F40" s="39">
        <f t="shared" si="0"/>
        <v>385769711.80000001</v>
      </c>
    </row>
    <row r="41" spans="1:6" ht="15" customHeight="1" x14ac:dyDescent="0.25">
      <c r="A41" s="107"/>
      <c r="B41" s="39" t="s">
        <v>56</v>
      </c>
      <c r="C41" s="118">
        <v>28189450.23</v>
      </c>
      <c r="D41" s="118">
        <v>13910613.6</v>
      </c>
      <c r="E41" s="118">
        <v>10093062</v>
      </c>
      <c r="F41" s="39">
        <f t="shared" si="0"/>
        <v>52193125.829999998</v>
      </c>
    </row>
    <row r="42" spans="1:6" ht="15" customHeight="1" x14ac:dyDescent="0.25">
      <c r="A42" s="107" t="s">
        <v>25</v>
      </c>
      <c r="B42" s="39" t="s">
        <v>57</v>
      </c>
      <c r="C42" s="19">
        <v>523013576.29000002</v>
      </c>
      <c r="D42" s="19">
        <f>522743132.92+6000000</f>
        <v>528743132.92000002</v>
      </c>
      <c r="E42" s="19">
        <v>705469055.48000002</v>
      </c>
      <c r="F42" s="39">
        <f t="shared" si="0"/>
        <v>1757225764.6900001</v>
      </c>
    </row>
    <row r="43" spans="1:6" ht="15" customHeight="1" x14ac:dyDescent="0.25">
      <c r="A43" s="107"/>
      <c r="B43" s="39" t="s">
        <v>56</v>
      </c>
      <c r="C43" s="19">
        <v>36537017.729999997</v>
      </c>
      <c r="D43" s="19">
        <v>20579834.050000001</v>
      </c>
      <c r="E43" s="19">
        <v>373064307.69999999</v>
      </c>
      <c r="F43" s="39">
        <f t="shared" si="0"/>
        <v>430181159.48000002</v>
      </c>
    </row>
    <row r="44" spans="1:6" ht="15" customHeight="1" x14ac:dyDescent="0.25">
      <c r="A44" s="108" t="s">
        <v>76</v>
      </c>
      <c r="B44" s="19" t="s">
        <v>57</v>
      </c>
      <c r="C44" s="19">
        <v>196976285.25</v>
      </c>
      <c r="D44" s="19">
        <v>188826285.25</v>
      </c>
      <c r="E44" s="19">
        <v>282686000</v>
      </c>
      <c r="F44" s="39">
        <f t="shared" si="0"/>
        <v>668488570.5</v>
      </c>
    </row>
    <row r="45" spans="1:6" ht="15" customHeight="1" x14ac:dyDescent="0.25">
      <c r="A45" s="108"/>
      <c r="B45" s="19" t="s">
        <v>56</v>
      </c>
      <c r="C45" s="116">
        <v>74648570.5</v>
      </c>
      <c r="D45" s="39">
        <v>0</v>
      </c>
      <c r="E45" s="39">
        <v>221760000</v>
      </c>
      <c r="F45" s="39">
        <f t="shared" si="0"/>
        <v>296408570.5</v>
      </c>
    </row>
    <row r="46" spans="1:6" ht="15" customHeight="1" thickBot="1" x14ac:dyDescent="0.3">
      <c r="A46" s="13" t="s">
        <v>13</v>
      </c>
      <c r="B46" s="13"/>
      <c r="C46" s="119">
        <f>SUM(C38:C45)</f>
        <v>1303165778.23</v>
      </c>
      <c r="D46" s="119">
        <f>SUM(D38:D45)</f>
        <v>1198096669.6199999</v>
      </c>
      <c r="E46" s="119">
        <f>SUM(E38:E45)</f>
        <v>2032107844.95</v>
      </c>
      <c r="F46" s="119">
        <f>SUM(F38:F45)</f>
        <v>4533370292.7999992</v>
      </c>
    </row>
    <row r="47" spans="1:6" ht="15" customHeight="1" thickTop="1" x14ac:dyDescent="0.25">
      <c r="A47" s="14" t="s">
        <v>42</v>
      </c>
    </row>
    <row r="48" spans="1:6" ht="15" customHeight="1" x14ac:dyDescent="0.25">
      <c r="A48" s="38" t="s">
        <v>73</v>
      </c>
    </row>
    <row r="49" spans="1:5" ht="15" customHeight="1" x14ac:dyDescent="0.25">
      <c r="A49" s="38"/>
    </row>
    <row r="50" spans="1:5" ht="15" customHeight="1" x14ac:dyDescent="0.25">
      <c r="A50" s="38"/>
    </row>
    <row r="52" spans="1:5" ht="15" customHeight="1" x14ac:dyDescent="0.25">
      <c r="A52" s="144" t="s">
        <v>15</v>
      </c>
      <c r="B52" s="144"/>
      <c r="C52" s="144"/>
      <c r="D52" s="144"/>
      <c r="E52" s="144"/>
    </row>
    <row r="53" spans="1:5" ht="15" customHeight="1" x14ac:dyDescent="0.25">
      <c r="A53" s="144" t="s">
        <v>32</v>
      </c>
      <c r="B53" s="144"/>
      <c r="C53" s="144"/>
      <c r="D53" s="144"/>
      <c r="E53" s="144"/>
    </row>
    <row r="54" spans="1:5" ht="15" customHeight="1" x14ac:dyDescent="0.25">
      <c r="A54" s="143" t="s">
        <v>52</v>
      </c>
      <c r="B54" s="143"/>
      <c r="C54" s="143"/>
      <c r="D54" s="143"/>
      <c r="E54" s="143"/>
    </row>
    <row r="55" spans="1:5" ht="15" customHeight="1" x14ac:dyDescent="0.25">
      <c r="A55" s="142"/>
      <c r="B55" s="142"/>
      <c r="C55" s="142"/>
      <c r="D55" s="142"/>
      <c r="E55" s="142"/>
    </row>
    <row r="56" spans="1:5" ht="15" customHeight="1" thickBot="1" x14ac:dyDescent="0.3">
      <c r="A56" s="16" t="s">
        <v>10</v>
      </c>
      <c r="B56" s="16" t="s">
        <v>33</v>
      </c>
      <c r="C56" s="16" t="s">
        <v>34</v>
      </c>
      <c r="D56" s="16" t="s">
        <v>58</v>
      </c>
      <c r="E56" s="16" t="s">
        <v>35</v>
      </c>
    </row>
    <row r="58" spans="1:5" ht="15" customHeight="1" x14ac:dyDescent="0.25">
      <c r="A58" s="39" t="s">
        <v>26</v>
      </c>
      <c r="B58" s="39">
        <f>SUM(C38:C41)</f>
        <v>471990328.46000004</v>
      </c>
      <c r="C58" s="39">
        <f t="shared" ref="C58:D58" si="1">SUM(D38:D41)</f>
        <v>459947417.40000004</v>
      </c>
      <c r="D58" s="39">
        <f t="shared" si="1"/>
        <v>449128481.76999998</v>
      </c>
      <c r="E58" s="39">
        <f>SUM(B58:D58)</f>
        <v>1381066227.6300001</v>
      </c>
    </row>
    <row r="59" spans="1:5" ht="15" customHeight="1" x14ac:dyDescent="0.25">
      <c r="A59" s="39" t="s">
        <v>43</v>
      </c>
      <c r="B59" s="39">
        <f>SUM(C42:C43)</f>
        <v>559550594.01999998</v>
      </c>
      <c r="C59" s="39">
        <f t="shared" ref="C59:D59" si="2">SUM(D42:D43)</f>
        <v>549322966.97000003</v>
      </c>
      <c r="D59" s="39">
        <f t="shared" si="2"/>
        <v>1078533363.1800001</v>
      </c>
      <c r="E59" s="39">
        <f>SUM(B59:D59)</f>
        <v>2187406924.1700001</v>
      </c>
    </row>
    <row r="60" spans="1:5" ht="15" customHeight="1" x14ac:dyDescent="0.25">
      <c r="A60" s="38" t="s">
        <v>77</v>
      </c>
      <c r="B60" s="116">
        <f>SUM(C44:C45)</f>
        <v>271624855.75</v>
      </c>
      <c r="C60" s="116">
        <f t="shared" ref="C60:D60" si="3">SUM(D44:D45)</f>
        <v>188826285.25</v>
      </c>
      <c r="D60" s="116">
        <f t="shared" si="3"/>
        <v>504446000</v>
      </c>
      <c r="E60" s="116">
        <f>SUM(B60:D60)</f>
        <v>964897141</v>
      </c>
    </row>
    <row r="61" spans="1:5" ht="15" customHeight="1" x14ac:dyDescent="0.25">
      <c r="A61" s="39" t="s">
        <v>7</v>
      </c>
      <c r="E61" s="39">
        <f>SUM(B61:D61)</f>
        <v>0</v>
      </c>
    </row>
    <row r="62" spans="1:5" ht="15" customHeight="1" x14ac:dyDescent="0.25">
      <c r="A62" s="39" t="s">
        <v>8</v>
      </c>
      <c r="E62" s="39">
        <f>SUM(B62:D62)</f>
        <v>0</v>
      </c>
    </row>
    <row r="63" spans="1:5" ht="15" customHeight="1" thickBot="1" x14ac:dyDescent="0.3">
      <c r="A63" s="13" t="s">
        <v>13</v>
      </c>
      <c r="B63" s="13">
        <f>SUM(B58:B62)</f>
        <v>1303165778.23</v>
      </c>
      <c r="C63" s="13">
        <f>SUM(C58:C62)</f>
        <v>1198096669.6200001</v>
      </c>
      <c r="D63" s="13">
        <f>SUM(D58:D62)</f>
        <v>2032107844.95</v>
      </c>
      <c r="E63" s="13">
        <f>SUM(E58:E62)</f>
        <v>4533370292.8000002</v>
      </c>
    </row>
    <row r="64" spans="1:5" ht="15" customHeight="1" thickTop="1" x14ac:dyDescent="0.25">
      <c r="A64" s="38" t="s">
        <v>73</v>
      </c>
    </row>
    <row r="65" spans="1:9" ht="15" customHeight="1" x14ac:dyDescent="0.25">
      <c r="A65" s="38"/>
    </row>
    <row r="67" spans="1:9" ht="15" customHeight="1" x14ac:dyDescent="0.25">
      <c r="A67" s="144" t="s">
        <v>44</v>
      </c>
      <c r="B67" s="144"/>
      <c r="C67" s="144"/>
      <c r="D67" s="144"/>
      <c r="E67" s="144"/>
    </row>
    <row r="68" spans="1:9" ht="15" customHeight="1" x14ac:dyDescent="0.25">
      <c r="A68" s="134" t="s">
        <v>79</v>
      </c>
      <c r="B68" s="134"/>
      <c r="C68" s="134"/>
      <c r="D68" s="134"/>
      <c r="E68" s="134"/>
    </row>
    <row r="69" spans="1:9" ht="15" customHeight="1" x14ac:dyDescent="0.25">
      <c r="A69" s="143" t="s">
        <v>52</v>
      </c>
      <c r="B69" s="143"/>
      <c r="C69" s="143"/>
      <c r="D69" s="143"/>
      <c r="E69" s="143"/>
    </row>
    <row r="70" spans="1:9" ht="15" customHeight="1" x14ac:dyDescent="0.25">
      <c r="A70" s="142"/>
      <c r="B70" s="142"/>
      <c r="C70" s="142"/>
      <c r="D70" s="142"/>
      <c r="E70" s="142"/>
    </row>
    <row r="71" spans="1:9" ht="15" customHeight="1" thickBot="1" x14ac:dyDescent="0.3">
      <c r="A71" s="16" t="s">
        <v>10</v>
      </c>
      <c r="B71" s="16" t="s">
        <v>33</v>
      </c>
      <c r="C71" s="16" t="s">
        <v>34</v>
      </c>
      <c r="D71" s="16" t="s">
        <v>58</v>
      </c>
      <c r="E71" s="16" t="s">
        <v>35</v>
      </c>
    </row>
    <row r="73" spans="1:9" ht="15" customHeight="1" x14ac:dyDescent="0.25">
      <c r="A73" s="39" t="s">
        <v>63</v>
      </c>
      <c r="B73" s="39">
        <f>'2 T'!E77</f>
        <v>467869461.64724636</v>
      </c>
      <c r="C73" s="39">
        <f>B77</f>
        <v>415102774.18724632</v>
      </c>
      <c r="D73" s="39">
        <f>C77</f>
        <v>374378997.78724629</v>
      </c>
      <c r="E73" s="39">
        <f>B73</f>
        <v>467869461.64724636</v>
      </c>
    </row>
    <row r="74" spans="1:9" ht="15" customHeight="1" x14ac:dyDescent="0.25">
      <c r="A74" s="39" t="s">
        <v>16</v>
      </c>
      <c r="B74" s="120">
        <v>419223641</v>
      </c>
      <c r="C74" s="120">
        <v>419223641</v>
      </c>
      <c r="D74" s="120">
        <v>419223641</v>
      </c>
      <c r="E74" s="39">
        <f>SUM(B74:D74)</f>
        <v>1257670923</v>
      </c>
      <c r="H74" s="19"/>
      <c r="I74" s="19"/>
    </row>
    <row r="75" spans="1:9" ht="15" customHeight="1" x14ac:dyDescent="0.25">
      <c r="A75" s="39" t="s">
        <v>17</v>
      </c>
      <c r="B75" s="39">
        <f>+B73+B74</f>
        <v>887093102.64724636</v>
      </c>
      <c r="C75" s="39">
        <f>+C73+C74</f>
        <v>834326415.18724632</v>
      </c>
      <c r="D75" s="39">
        <f>+D73+D74</f>
        <v>793602638.78724623</v>
      </c>
      <c r="E75" s="39">
        <f>+E73+E74</f>
        <v>1725540384.6472464</v>
      </c>
    </row>
    <row r="76" spans="1:9" ht="15" customHeight="1" x14ac:dyDescent="0.25">
      <c r="A76" s="39" t="s">
        <v>18</v>
      </c>
      <c r="B76" s="24">
        <f>B58</f>
        <v>471990328.46000004</v>
      </c>
      <c r="C76" s="24">
        <f>C58</f>
        <v>459947417.40000004</v>
      </c>
      <c r="D76" s="24">
        <f>D58</f>
        <v>449128481.76999998</v>
      </c>
      <c r="E76" s="39">
        <f>SUM(B76:D76)</f>
        <v>1381066227.6300001</v>
      </c>
      <c r="F76" s="15"/>
    </row>
    <row r="77" spans="1:9" ht="15" customHeight="1" x14ac:dyDescent="0.25">
      <c r="A77" s="14" t="s">
        <v>19</v>
      </c>
      <c r="B77" s="14">
        <f>+B75-B76</f>
        <v>415102774.18724632</v>
      </c>
      <c r="C77" s="14">
        <f>+C75-C76</f>
        <v>374378997.78724629</v>
      </c>
      <c r="D77" s="14">
        <f>+D75-D76</f>
        <v>344474157.01724625</v>
      </c>
      <c r="E77" s="14">
        <f>+E75-E76</f>
        <v>344474157.01724625</v>
      </c>
    </row>
    <row r="78" spans="1:9" ht="15" customHeight="1" thickBot="1" x14ac:dyDescent="0.3">
      <c r="A78" s="13"/>
      <c r="B78" s="13"/>
      <c r="C78" s="13"/>
      <c r="D78" s="13"/>
      <c r="E78" s="13"/>
    </row>
    <row r="79" spans="1:9" ht="15" customHeight="1" thickTop="1" x14ac:dyDescent="0.25">
      <c r="A79" s="38" t="s">
        <v>73</v>
      </c>
    </row>
    <row r="80" spans="1:9" ht="15" customHeight="1" x14ac:dyDescent="0.25">
      <c r="A80" s="38"/>
    </row>
    <row r="82" spans="1:13" ht="15" customHeight="1" x14ac:dyDescent="0.25">
      <c r="A82" s="144" t="s">
        <v>45</v>
      </c>
      <c r="B82" s="144"/>
      <c r="C82" s="144"/>
      <c r="D82" s="144"/>
      <c r="E82" s="144"/>
      <c r="F82" s="18" t="s">
        <v>54</v>
      </c>
    </row>
    <row r="83" spans="1:13" ht="15" customHeight="1" x14ac:dyDescent="0.25">
      <c r="A83" s="144" t="s">
        <v>49</v>
      </c>
      <c r="B83" s="144"/>
      <c r="C83" s="144"/>
      <c r="D83" s="144"/>
      <c r="E83" s="144"/>
      <c r="F83" s="18">
        <f>E74+E89+E90</f>
        <v>4817131193.3999996</v>
      </c>
      <c r="I83" s="15"/>
    </row>
    <row r="84" spans="1:13" ht="15" customHeight="1" x14ac:dyDescent="0.25">
      <c r="A84" s="143" t="s">
        <v>52</v>
      </c>
      <c r="B84" s="143"/>
      <c r="C84" s="143"/>
      <c r="D84" s="143"/>
      <c r="E84" s="143"/>
      <c r="F84" s="18"/>
    </row>
    <row r="85" spans="1:13" ht="15" customHeight="1" x14ac:dyDescent="0.25">
      <c r="A85" s="142"/>
      <c r="B85" s="142"/>
      <c r="C85" s="142"/>
      <c r="D85" s="142"/>
      <c r="E85" s="142"/>
    </row>
    <row r="86" spans="1:13" ht="15" customHeight="1" thickBot="1" x14ac:dyDescent="0.3">
      <c r="A86" s="16" t="s">
        <v>10</v>
      </c>
      <c r="B86" s="16" t="s">
        <v>33</v>
      </c>
      <c r="C86" s="16" t="s">
        <v>34</v>
      </c>
      <c r="D86" s="16" t="s">
        <v>58</v>
      </c>
      <c r="E86" s="16" t="s">
        <v>35</v>
      </c>
    </row>
    <row r="88" spans="1:13" ht="15" customHeight="1" x14ac:dyDescent="0.25">
      <c r="A88" s="39" t="s">
        <v>63</v>
      </c>
      <c r="B88" s="39">
        <f>'2 T'!E93</f>
        <v>571158306.17833328</v>
      </c>
      <c r="C88" s="39">
        <f>B93</f>
        <v>552824856.4083333</v>
      </c>
      <c r="D88" s="39">
        <f>C93</f>
        <v>627517604.18833327</v>
      </c>
      <c r="E88" s="39">
        <f>+B88</f>
        <v>571158306.17833328</v>
      </c>
      <c r="H88" s="40"/>
    </row>
    <row r="89" spans="1:13" ht="15" customHeight="1" x14ac:dyDescent="0.25">
      <c r="A89" s="39" t="s">
        <v>16</v>
      </c>
      <c r="B89" s="121">
        <v>597675333.33000004</v>
      </c>
      <c r="C89" s="39">
        <v>598608666.69000006</v>
      </c>
      <c r="D89" s="39">
        <f>1026326270.37+1050000.03</f>
        <v>1027376270.4</v>
      </c>
      <c r="E89" s="39">
        <f>SUM(B89:D89)</f>
        <v>2223660270.4200001</v>
      </c>
      <c r="G89" s="19"/>
      <c r="H89" s="67"/>
      <c r="I89" s="67"/>
      <c r="J89" s="117"/>
      <c r="K89" s="117"/>
      <c r="L89" s="117"/>
      <c r="M89" s="117"/>
    </row>
    <row r="90" spans="1:13" ht="15" customHeight="1" x14ac:dyDescent="0.25">
      <c r="A90" s="38" t="s">
        <v>78</v>
      </c>
      <c r="B90" s="31">
        <v>215166666.66999999</v>
      </c>
      <c r="C90" s="39">
        <v>214233333.31</v>
      </c>
      <c r="D90" s="39">
        <f>907450000.03-1050000.03</f>
        <v>906400000</v>
      </c>
      <c r="E90" s="39">
        <f>SUM(B90:D90)</f>
        <v>1335799999.98</v>
      </c>
      <c r="G90" s="19"/>
      <c r="H90" s="67"/>
      <c r="I90" s="67"/>
      <c r="J90" s="117"/>
      <c r="K90" s="117"/>
      <c r="L90" s="117"/>
      <c r="M90" s="117"/>
    </row>
    <row r="91" spans="1:13" ht="15" customHeight="1" x14ac:dyDescent="0.25">
      <c r="A91" s="39" t="s">
        <v>17</v>
      </c>
      <c r="B91" s="39">
        <f>SUM(B88:B90)</f>
        <v>1384000306.1783333</v>
      </c>
      <c r="C91" s="39">
        <f>SUM(C88:C90)</f>
        <v>1365666856.4083333</v>
      </c>
      <c r="D91" s="39">
        <f>SUM(D88:D90)</f>
        <v>2561293874.5883331</v>
      </c>
      <c r="E91" s="39">
        <f>SUM(E88:E90)</f>
        <v>4130618576.5783334</v>
      </c>
      <c r="F91" s="40"/>
      <c r="H91" s="117"/>
      <c r="I91" s="117"/>
      <c r="J91" s="117"/>
      <c r="K91" s="117"/>
      <c r="L91" s="117"/>
      <c r="M91" s="117"/>
    </row>
    <row r="92" spans="1:13" ht="15" customHeight="1" x14ac:dyDescent="0.25">
      <c r="A92" s="39" t="s">
        <v>18</v>
      </c>
      <c r="B92" s="24">
        <f>B59+B60</f>
        <v>831175449.76999998</v>
      </c>
      <c r="C92" s="24">
        <f>C59+C60</f>
        <v>738149252.22000003</v>
      </c>
      <c r="D92" s="24">
        <f>D59+D60</f>
        <v>1582979363.1800001</v>
      </c>
      <c r="E92" s="39">
        <f>SUM(B92:D92)</f>
        <v>3152304065.1700001</v>
      </c>
      <c r="F92" s="15"/>
      <c r="H92" s="117"/>
      <c r="I92" s="117"/>
      <c r="J92" s="117"/>
      <c r="K92" s="117"/>
      <c r="L92" s="117"/>
      <c r="M92" s="117"/>
    </row>
    <row r="93" spans="1:13" ht="15" customHeight="1" x14ac:dyDescent="0.25">
      <c r="A93" s="14" t="s">
        <v>19</v>
      </c>
      <c r="B93" s="14">
        <f>+B91-B92</f>
        <v>552824856.4083333</v>
      </c>
      <c r="C93" s="14">
        <f>+C91-C92</f>
        <v>627517604.18833327</v>
      </c>
      <c r="D93" s="14">
        <f>+D91-D92</f>
        <v>978314511.40833306</v>
      </c>
      <c r="E93" s="14">
        <f>+E91-E92</f>
        <v>978314511.4083333</v>
      </c>
      <c r="H93" s="117"/>
      <c r="I93" s="117"/>
      <c r="J93" s="117"/>
      <c r="K93" s="117"/>
      <c r="L93" s="117"/>
      <c r="M93" s="117"/>
    </row>
    <row r="94" spans="1:13" ht="15" customHeight="1" thickBot="1" x14ac:dyDescent="0.3">
      <c r="A94" s="13"/>
      <c r="B94" s="13"/>
      <c r="C94" s="13"/>
      <c r="D94" s="13"/>
      <c r="E94" s="13"/>
    </row>
    <row r="95" spans="1:13" ht="15" customHeight="1" thickTop="1" x14ac:dyDescent="0.25">
      <c r="A95" s="38" t="s">
        <v>73</v>
      </c>
      <c r="G95" s="40"/>
    </row>
    <row r="96" spans="1:13" ht="38.25" customHeight="1" x14ac:dyDescent="0.25">
      <c r="A96" s="38" t="s">
        <v>80</v>
      </c>
    </row>
    <row r="97" spans="1:7" ht="15" customHeight="1" x14ac:dyDescent="0.25">
      <c r="G97" s="40"/>
    </row>
    <row r="98" spans="1:7" ht="15" customHeight="1" x14ac:dyDescent="0.25">
      <c r="D98" s="41"/>
      <c r="G98" s="40"/>
    </row>
    <row r="99" spans="1:7" ht="15" customHeight="1" x14ac:dyDescent="0.25">
      <c r="A99" s="41" t="s">
        <v>108</v>
      </c>
      <c r="D99" s="41"/>
    </row>
    <row r="100" spans="1:7" ht="15" customHeight="1" x14ac:dyDescent="0.25">
      <c r="D100" s="41"/>
    </row>
    <row r="101" spans="1:7" ht="15" customHeight="1" x14ac:dyDescent="0.25">
      <c r="D101" s="41"/>
    </row>
    <row r="102" spans="1:7" ht="15" customHeight="1" x14ac:dyDescent="0.25">
      <c r="D102" s="41"/>
    </row>
    <row r="103" spans="1:7" ht="15" customHeight="1" x14ac:dyDescent="0.25">
      <c r="D103" s="41"/>
    </row>
    <row r="104" spans="1:7" ht="15" customHeight="1" x14ac:dyDescent="0.25">
      <c r="D104" s="41"/>
    </row>
    <row r="105" spans="1:7" ht="15" customHeight="1" x14ac:dyDescent="0.25">
      <c r="D105" s="41"/>
    </row>
    <row r="106" spans="1:7" ht="15" customHeight="1" x14ac:dyDescent="0.25">
      <c r="D106" s="41"/>
    </row>
    <row r="107" spans="1:7" ht="15" customHeight="1" x14ac:dyDescent="0.25">
      <c r="D107" s="41"/>
    </row>
  </sheetData>
  <mergeCells count="24">
    <mergeCell ref="A33:F33"/>
    <mergeCell ref="A16:A18"/>
    <mergeCell ref="A7:F7"/>
    <mergeCell ref="A34:F34"/>
    <mergeCell ref="A8:F8"/>
    <mergeCell ref="A9:F9"/>
    <mergeCell ref="A32:F32"/>
    <mergeCell ref="A19:A21"/>
    <mergeCell ref="A67:E67"/>
    <mergeCell ref="A68:E68"/>
    <mergeCell ref="A1:F1"/>
    <mergeCell ref="A85:E85"/>
    <mergeCell ref="A54:E54"/>
    <mergeCell ref="A69:E69"/>
    <mergeCell ref="A84:E84"/>
    <mergeCell ref="A13:A15"/>
    <mergeCell ref="A10:F10"/>
    <mergeCell ref="A52:E52"/>
    <mergeCell ref="A53:E53"/>
    <mergeCell ref="A55:E55"/>
    <mergeCell ref="A35:E35"/>
    <mergeCell ref="A82:E82"/>
    <mergeCell ref="A83:E83"/>
    <mergeCell ref="A70:E70"/>
  </mergeCells>
  <printOptions horizontalCentered="1" verticalCentered="1"/>
  <pageMargins left="0.70866141732283472" right="1.18" top="0.3" bottom="0.2" header="0.31496062992125984" footer="0.31496062992125984"/>
  <pageSetup scale="41" orientation="portrait" r:id="rId1"/>
  <ignoredErrors>
    <ignoredError sqref="F16:F26 E91" formula="1"/>
    <ignoredError sqref="B58:E60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zoomScale="80" zoomScaleNormal="80" workbookViewId="0">
      <selection sqref="A1:F1"/>
    </sheetView>
  </sheetViews>
  <sheetFormatPr baseColWidth="10" defaultColWidth="11.5703125" defaultRowHeight="15" customHeight="1" x14ac:dyDescent="0.25"/>
  <cols>
    <col min="1" max="1" width="69" style="39" customWidth="1"/>
    <col min="2" max="2" width="32.85546875" style="39" customWidth="1"/>
    <col min="3" max="3" width="15.42578125" style="39" bestFit="1" customWidth="1"/>
    <col min="4" max="5" width="16.85546875" style="39" bestFit="1" customWidth="1"/>
    <col min="6" max="6" width="16.140625" style="39" customWidth="1"/>
    <col min="7" max="7" width="17.85546875" style="39" bestFit="1" customWidth="1"/>
    <col min="8" max="8" width="18.140625" style="39" customWidth="1"/>
    <col min="9" max="9" width="17.5703125" style="39" customWidth="1"/>
    <col min="10" max="10" width="15.28515625" style="39" customWidth="1"/>
    <col min="11" max="11" width="12.5703125" style="39" bestFit="1" customWidth="1"/>
    <col min="12" max="12" width="15.140625" style="39" bestFit="1" customWidth="1"/>
    <col min="13" max="16384" width="11.5703125" style="39"/>
  </cols>
  <sheetData>
    <row r="1" spans="1:8" ht="15" customHeight="1" x14ac:dyDescent="0.25">
      <c r="A1" s="144" t="s">
        <v>20</v>
      </c>
      <c r="B1" s="144"/>
      <c r="C1" s="144"/>
      <c r="D1" s="144"/>
      <c r="E1" s="144"/>
      <c r="F1" s="144"/>
    </row>
    <row r="2" spans="1:8" ht="15" customHeight="1" x14ac:dyDescent="0.25">
      <c r="A2" s="2" t="s">
        <v>0</v>
      </c>
      <c r="B2" s="3" t="s">
        <v>22</v>
      </c>
      <c r="C2" s="18"/>
      <c r="D2" s="18"/>
      <c r="E2" s="18"/>
      <c r="F2" s="18"/>
    </row>
    <row r="3" spans="1:8" ht="15" customHeight="1" x14ac:dyDescent="0.25">
      <c r="A3" s="2" t="s">
        <v>1</v>
      </c>
      <c r="B3" s="3" t="s">
        <v>21</v>
      </c>
      <c r="C3" s="18"/>
      <c r="D3" s="18"/>
      <c r="E3" s="18"/>
      <c r="F3" s="18"/>
    </row>
    <row r="4" spans="1:8" ht="15" customHeight="1" x14ac:dyDescent="0.25">
      <c r="A4" s="2" t="s">
        <v>11</v>
      </c>
      <c r="B4" s="18" t="s">
        <v>62</v>
      </c>
      <c r="C4" s="18"/>
      <c r="D4" s="18"/>
      <c r="E4" s="18"/>
      <c r="F4" s="18"/>
    </row>
    <row r="5" spans="1:8" ht="15" customHeight="1" x14ac:dyDescent="0.25">
      <c r="A5" s="2" t="s">
        <v>47</v>
      </c>
      <c r="B5" s="5" t="s">
        <v>109</v>
      </c>
      <c r="C5" s="18"/>
      <c r="D5" s="18"/>
      <c r="E5" s="18"/>
      <c r="F5" s="18"/>
    </row>
    <row r="7" spans="1:8" ht="15" customHeight="1" x14ac:dyDescent="0.25">
      <c r="A7" s="144" t="s">
        <v>9</v>
      </c>
      <c r="B7" s="144"/>
      <c r="C7" s="144"/>
      <c r="D7" s="144"/>
      <c r="E7" s="144"/>
      <c r="F7" s="144"/>
    </row>
    <row r="8" spans="1:8" ht="15" customHeight="1" x14ac:dyDescent="0.25">
      <c r="A8" s="144" t="s">
        <v>12</v>
      </c>
      <c r="B8" s="144"/>
      <c r="C8" s="144"/>
      <c r="D8" s="144"/>
      <c r="E8" s="144"/>
      <c r="F8" s="144"/>
    </row>
    <row r="9" spans="1:8" ht="15" customHeight="1" x14ac:dyDescent="0.25">
      <c r="A9" s="143" t="s">
        <v>50</v>
      </c>
      <c r="B9" s="143"/>
      <c r="C9" s="143"/>
      <c r="D9" s="143"/>
      <c r="E9" s="143"/>
      <c r="F9" s="143"/>
    </row>
    <row r="10" spans="1:8" ht="15" customHeight="1" x14ac:dyDescent="0.25">
      <c r="A10" s="74"/>
      <c r="B10" s="74"/>
      <c r="C10" s="74"/>
      <c r="D10" s="74"/>
      <c r="E10" s="74"/>
      <c r="F10" s="74"/>
    </row>
    <row r="11" spans="1:8" ht="15" customHeight="1" thickBot="1" x14ac:dyDescent="0.3">
      <c r="A11" s="21" t="s">
        <v>65</v>
      </c>
      <c r="B11" s="16"/>
      <c r="C11" s="16" t="s">
        <v>36</v>
      </c>
      <c r="D11" s="16" t="s">
        <v>37</v>
      </c>
      <c r="E11" s="16" t="s">
        <v>38</v>
      </c>
      <c r="F11" s="21" t="s">
        <v>70</v>
      </c>
    </row>
    <row r="12" spans="1:8" x14ac:dyDescent="0.25">
      <c r="H12" s="15"/>
    </row>
    <row r="13" spans="1:8" x14ac:dyDescent="0.25">
      <c r="A13" s="145" t="s">
        <v>23</v>
      </c>
      <c r="B13" s="7" t="s">
        <v>59</v>
      </c>
      <c r="C13" s="36">
        <f>+('3 T'!E13-'4 T'!C15)+58</f>
        <v>58</v>
      </c>
      <c r="D13" s="36">
        <f>+(C13-D15)+1647</f>
        <v>1660</v>
      </c>
      <c r="E13" s="36">
        <f>+(D13-E15)+43</f>
        <v>43</v>
      </c>
      <c r="F13" s="24">
        <f>E13</f>
        <v>43</v>
      </c>
      <c r="G13" s="15"/>
      <c r="H13" s="39">
        <v>43</v>
      </c>
    </row>
    <row r="14" spans="1:8" x14ac:dyDescent="0.25">
      <c r="A14" s="145"/>
      <c r="B14" s="7" t="s">
        <v>60</v>
      </c>
      <c r="C14" s="36">
        <v>1610</v>
      </c>
      <c r="D14" s="36">
        <v>1509</v>
      </c>
      <c r="E14" s="36">
        <v>1622</v>
      </c>
      <c r="F14" s="24">
        <f>AVERAGE(C14:E14)</f>
        <v>1580.3333333333333</v>
      </c>
    </row>
    <row r="15" spans="1:8" x14ac:dyDescent="0.25">
      <c r="A15" s="145"/>
      <c r="B15" s="7" t="s">
        <v>61</v>
      </c>
      <c r="C15" s="36">
        <v>189</v>
      </c>
      <c r="D15" s="36">
        <v>45</v>
      </c>
      <c r="E15" s="36">
        <v>1660</v>
      </c>
      <c r="F15" s="24">
        <f>AVERAGE(C15:E15)</f>
        <v>631.33333333333337</v>
      </c>
    </row>
    <row r="16" spans="1:8" x14ac:dyDescent="0.25">
      <c r="A16" s="145" t="s">
        <v>24</v>
      </c>
      <c r="B16" s="7" t="s">
        <v>59</v>
      </c>
      <c r="C16" s="36">
        <f>+('3 T'!E16-'4 T'!C18)+79</f>
        <v>79</v>
      </c>
      <c r="D16" s="36">
        <f>+(C16-D18)+1170</f>
        <v>1170</v>
      </c>
      <c r="E16" s="36">
        <f>+(D16-E18)</f>
        <v>0</v>
      </c>
      <c r="F16" s="24">
        <f>E16</f>
        <v>0</v>
      </c>
      <c r="G16" s="15"/>
    </row>
    <row r="17" spans="1:8" x14ac:dyDescent="0.25">
      <c r="A17" s="145"/>
      <c r="B17" s="7" t="s">
        <v>60</v>
      </c>
      <c r="C17" s="36">
        <v>1087</v>
      </c>
      <c r="D17" s="36">
        <v>0</v>
      </c>
      <c r="E17" s="36">
        <v>1156</v>
      </c>
      <c r="F17" s="24">
        <f>AVERAGE(C17:E17)</f>
        <v>747.66666666666663</v>
      </c>
    </row>
    <row r="18" spans="1:8" x14ac:dyDescent="0.25">
      <c r="A18" s="145"/>
      <c r="B18" s="7" t="s">
        <v>61</v>
      </c>
      <c r="C18" s="36">
        <v>81</v>
      </c>
      <c r="D18" s="36">
        <v>79</v>
      </c>
      <c r="E18" s="36">
        <v>1170</v>
      </c>
      <c r="F18" s="24">
        <f>AVERAGE(C18:E18)</f>
        <v>443.33333333333331</v>
      </c>
    </row>
    <row r="19" spans="1:8" x14ac:dyDescent="0.25">
      <c r="A19" s="146" t="s">
        <v>25</v>
      </c>
      <c r="B19" s="7" t="s">
        <v>59</v>
      </c>
      <c r="C19" s="36">
        <f>+('3 T'!E19-'4 T'!C21)+927</f>
        <v>1077</v>
      </c>
      <c r="D19" s="36">
        <f>+(C19-D21)+9958</f>
        <v>10201</v>
      </c>
      <c r="E19" s="36">
        <f>+(D19-E21)+778</f>
        <v>778</v>
      </c>
      <c r="F19" s="24">
        <f>E19</f>
        <v>778</v>
      </c>
      <c r="G19" s="15"/>
    </row>
    <row r="20" spans="1:8" x14ac:dyDescent="0.25">
      <c r="A20" s="146"/>
      <c r="B20" s="7" t="s">
        <v>60</v>
      </c>
      <c r="C20" s="36">
        <v>9819</v>
      </c>
      <c r="D20" s="36">
        <v>894</v>
      </c>
      <c r="E20" s="36">
        <v>9924</v>
      </c>
      <c r="F20" s="24">
        <f>AVERAGE(C20:E20)</f>
        <v>6879</v>
      </c>
    </row>
    <row r="21" spans="1:8" x14ac:dyDescent="0.25">
      <c r="A21" s="146"/>
      <c r="B21" s="7" t="s">
        <v>61</v>
      </c>
      <c r="C21" s="36">
        <v>1603</v>
      </c>
      <c r="D21" s="36">
        <v>834</v>
      </c>
      <c r="E21" s="36">
        <v>10201</v>
      </c>
      <c r="F21" s="39">
        <f>AVERAGE(C21:E21)</f>
        <v>4212.666666666667</v>
      </c>
    </row>
    <row r="22" spans="1:8" x14ac:dyDescent="0.25">
      <c r="A22" s="104" t="s">
        <v>76</v>
      </c>
      <c r="B22" s="35" t="s">
        <v>59</v>
      </c>
      <c r="C22" s="36">
        <f>+('3 T'!E22-'4 T'!C24)</f>
        <v>0</v>
      </c>
      <c r="D22" s="36">
        <f>+(C22-D24)+593</f>
        <v>593</v>
      </c>
      <c r="E22" s="36">
        <f>+(D22-E24)+0</f>
        <v>0</v>
      </c>
      <c r="F22" s="39">
        <f>E22</f>
        <v>0</v>
      </c>
    </row>
    <row r="23" spans="1:8" x14ac:dyDescent="0.25">
      <c r="A23" s="36"/>
      <c r="B23" s="35" t="s">
        <v>60</v>
      </c>
      <c r="C23" s="36">
        <v>564</v>
      </c>
      <c r="D23" s="36">
        <v>8</v>
      </c>
      <c r="E23" s="36">
        <v>607</v>
      </c>
      <c r="F23" s="24">
        <f>AVERAGE(C23:E23)</f>
        <v>393</v>
      </c>
    </row>
    <row r="24" spans="1:8" x14ac:dyDescent="0.25">
      <c r="A24" s="36"/>
      <c r="B24" s="35" t="s">
        <v>61</v>
      </c>
      <c r="C24" s="36">
        <v>46</v>
      </c>
      <c r="D24" s="36">
        <v>0</v>
      </c>
      <c r="E24" s="36">
        <v>593</v>
      </c>
      <c r="F24" s="24">
        <f>AVERAGE(C24:E24)</f>
        <v>213</v>
      </c>
    </row>
    <row r="25" spans="1:8" x14ac:dyDescent="0.25">
      <c r="A25" s="34"/>
      <c r="B25" s="7"/>
      <c r="C25" s="36"/>
      <c r="D25" s="36"/>
      <c r="E25" s="36"/>
      <c r="H25" s="39">
        <f>593+8</f>
        <v>601</v>
      </c>
    </row>
    <row r="27" spans="1:8" ht="15" customHeight="1" thickBot="1" x14ac:dyDescent="0.3">
      <c r="A27" s="13" t="s">
        <v>13</v>
      </c>
      <c r="B27" s="13" t="s">
        <v>51</v>
      </c>
      <c r="C27" s="13">
        <f>+C14+C15+C17+C18+C20+C21+C23+C24</f>
        <v>14999</v>
      </c>
      <c r="D27" s="13">
        <f>+D14+D15+D17+D18+D20+D21+D23+D24</f>
        <v>3369</v>
      </c>
      <c r="E27" s="13">
        <f>+E14+E15+E17+E18+E20+E21+E23+E24</f>
        <v>26933</v>
      </c>
      <c r="F27" s="13">
        <f>AVERAGE(C27:E27)</f>
        <v>15100.333333333334</v>
      </c>
    </row>
    <row r="28" spans="1:8" ht="15" customHeight="1" thickTop="1" x14ac:dyDescent="0.25">
      <c r="A28" s="22" t="s">
        <v>67</v>
      </c>
      <c r="B28" s="14"/>
      <c r="C28" s="14"/>
      <c r="D28" s="14"/>
      <c r="E28" s="14"/>
      <c r="F28" s="14"/>
    </row>
    <row r="29" spans="1:8" ht="15" customHeight="1" x14ac:dyDescent="0.25">
      <c r="A29" s="38" t="s">
        <v>75</v>
      </c>
    </row>
    <row r="30" spans="1:8" ht="15" customHeight="1" x14ac:dyDescent="0.25">
      <c r="A30" s="38"/>
    </row>
    <row r="32" spans="1:8" ht="15" customHeight="1" x14ac:dyDescent="0.25">
      <c r="A32" s="143" t="s">
        <v>14</v>
      </c>
      <c r="B32" s="143"/>
      <c r="C32" s="143"/>
      <c r="D32" s="143"/>
      <c r="E32" s="143"/>
      <c r="F32" s="143"/>
    </row>
    <row r="33" spans="1:10" ht="15" customHeight="1" x14ac:dyDescent="0.25">
      <c r="A33" s="144" t="s">
        <v>31</v>
      </c>
      <c r="B33" s="144"/>
      <c r="C33" s="144"/>
      <c r="D33" s="144"/>
      <c r="E33" s="144"/>
      <c r="F33" s="144"/>
    </row>
    <row r="34" spans="1:10" ht="15" customHeight="1" x14ac:dyDescent="0.25">
      <c r="A34" s="143" t="s">
        <v>52</v>
      </c>
      <c r="B34" s="143"/>
      <c r="C34" s="143"/>
      <c r="D34" s="143"/>
      <c r="E34" s="143"/>
      <c r="F34" s="143"/>
    </row>
    <row r="35" spans="1:10" ht="15" customHeight="1" x14ac:dyDescent="0.25">
      <c r="A35" s="142"/>
      <c r="B35" s="142"/>
      <c r="C35" s="142"/>
      <c r="D35" s="142"/>
      <c r="E35" s="142"/>
    </row>
    <row r="36" spans="1:10" ht="15" customHeight="1" thickBot="1" x14ac:dyDescent="0.3">
      <c r="A36" s="21" t="s">
        <v>65</v>
      </c>
      <c r="B36" s="12"/>
      <c r="C36" s="12" t="s">
        <v>36</v>
      </c>
      <c r="D36" s="12" t="s">
        <v>37</v>
      </c>
      <c r="E36" s="12" t="s">
        <v>38</v>
      </c>
      <c r="F36" s="12" t="s">
        <v>39</v>
      </c>
      <c r="H36" s="68"/>
    </row>
    <row r="38" spans="1:10" ht="15" customHeight="1" x14ac:dyDescent="0.25">
      <c r="A38" s="107" t="s">
        <v>23</v>
      </c>
      <c r="B38" s="39" t="s">
        <v>57</v>
      </c>
      <c r="C38" s="118">
        <v>312995793</v>
      </c>
      <c r="D38" s="118">
        <v>38899516.406666666</v>
      </c>
      <c r="E38" s="118">
        <v>315859105</v>
      </c>
      <c r="F38" s="39">
        <f t="shared" ref="F38:F45" si="0">SUM(C38:E38)</f>
        <v>667754414.40666664</v>
      </c>
      <c r="G38" s="117">
        <v>1594807840.95</v>
      </c>
    </row>
    <row r="39" spans="1:10" ht="15" customHeight="1" x14ac:dyDescent="0.25">
      <c r="A39" s="107"/>
      <c r="B39" s="39" t="s">
        <v>56</v>
      </c>
      <c r="C39" s="118">
        <v>44739250</v>
      </c>
      <c r="D39" s="118">
        <v>7516194</v>
      </c>
      <c r="E39" s="118">
        <v>345330455.20333332</v>
      </c>
      <c r="F39" s="39">
        <f t="shared" si="0"/>
        <v>397585899.20333332</v>
      </c>
      <c r="G39" s="117"/>
    </row>
    <row r="40" spans="1:10" ht="15" customHeight="1" x14ac:dyDescent="0.25">
      <c r="A40" s="107" t="s">
        <v>24</v>
      </c>
      <c r="B40" s="39" t="s">
        <v>57</v>
      </c>
      <c r="C40" s="118">
        <v>133387396.18000002</v>
      </c>
      <c r="D40" s="118">
        <v>43653016.56000001</v>
      </c>
      <c r="E40" s="118">
        <v>141601366.77000001</v>
      </c>
      <c r="F40" s="39">
        <f t="shared" si="0"/>
        <v>318641779.51000005</v>
      </c>
      <c r="G40" s="117"/>
    </row>
    <row r="41" spans="1:10" ht="15" customHeight="1" x14ac:dyDescent="0.25">
      <c r="A41" s="107"/>
      <c r="B41" s="39" t="s">
        <v>56</v>
      </c>
      <c r="C41" s="118">
        <v>39183901.600000001</v>
      </c>
      <c r="D41" s="118">
        <v>8213970.6200000001</v>
      </c>
      <c r="E41" s="118">
        <v>163427875.07999998</v>
      </c>
      <c r="F41" s="39">
        <f t="shared" si="0"/>
        <v>210825747.29999998</v>
      </c>
      <c r="G41" s="117">
        <f>SUM(C38:E41)</f>
        <v>1594807840.4199996</v>
      </c>
    </row>
    <row r="42" spans="1:10" ht="15" customHeight="1" x14ac:dyDescent="0.25">
      <c r="A42" s="107" t="s">
        <v>25</v>
      </c>
      <c r="B42" s="39" t="s">
        <v>57</v>
      </c>
      <c r="C42" s="122">
        <f>767613834.64</f>
        <v>767613834.63999999</v>
      </c>
      <c r="D42" s="19">
        <v>43144056.260000005</v>
      </c>
      <c r="E42" s="122">
        <f>689138921.52</f>
        <v>689138921.51999998</v>
      </c>
      <c r="F42" s="39">
        <f t="shared" si="0"/>
        <v>1499896812.4200001</v>
      </c>
      <c r="J42" s="117"/>
    </row>
    <row r="43" spans="1:10" ht="15" customHeight="1" x14ac:dyDescent="0.25">
      <c r="A43" s="107"/>
      <c r="B43" s="39" t="s">
        <v>56</v>
      </c>
      <c r="C43" s="19">
        <v>133812717.67000002</v>
      </c>
      <c r="D43" s="19">
        <v>36525599.039999999</v>
      </c>
      <c r="E43" s="19">
        <v>695038627.55000019</v>
      </c>
      <c r="F43" s="39">
        <f t="shared" si="0"/>
        <v>865376944.26000023</v>
      </c>
    </row>
    <row r="44" spans="1:10" ht="15" customHeight="1" x14ac:dyDescent="0.25">
      <c r="A44" s="108" t="s">
        <v>76</v>
      </c>
      <c r="B44" s="19" t="s">
        <v>57</v>
      </c>
      <c r="C44" s="19">
        <v>291662000</v>
      </c>
      <c r="D44" s="19">
        <v>4400000</v>
      </c>
      <c r="E44" s="19">
        <v>2208023141.02</v>
      </c>
      <c r="F44" s="39">
        <f t="shared" si="0"/>
        <v>2504085141.02</v>
      </c>
      <c r="H44" s="117"/>
    </row>
    <row r="45" spans="1:10" ht="15" customHeight="1" x14ac:dyDescent="0.25">
      <c r="A45" s="108"/>
      <c r="B45" s="19" t="s">
        <v>56</v>
      </c>
      <c r="C45" s="116">
        <v>19100000</v>
      </c>
      <c r="D45" s="39">
        <v>0</v>
      </c>
      <c r="E45" s="39">
        <v>354178000</v>
      </c>
      <c r="F45" s="39">
        <f t="shared" si="0"/>
        <v>373278000</v>
      </c>
      <c r="H45" s="117"/>
    </row>
    <row r="46" spans="1:10" ht="15" customHeight="1" thickBot="1" x14ac:dyDescent="0.3">
      <c r="A46" s="13" t="s">
        <v>13</v>
      </c>
      <c r="B46" s="13"/>
      <c r="C46" s="13">
        <f>SUM(C38:C45)</f>
        <v>1742494893.0900002</v>
      </c>
      <c r="D46" s="13">
        <f>SUM(D38:D45)</f>
        <v>182352352.88666669</v>
      </c>
      <c r="E46" s="13">
        <f>SUM(E38:E45)</f>
        <v>4912597492.1433334</v>
      </c>
      <c r="F46" s="13">
        <f>SUM(F38:F45)</f>
        <v>6837444738.1200008</v>
      </c>
      <c r="H46" s="117"/>
    </row>
    <row r="47" spans="1:10" ht="15" customHeight="1" thickTop="1" x14ac:dyDescent="0.25">
      <c r="A47" s="14" t="s">
        <v>64</v>
      </c>
    </row>
    <row r="48" spans="1:10" ht="15" customHeight="1" x14ac:dyDescent="0.25">
      <c r="A48" s="38" t="s">
        <v>73</v>
      </c>
    </row>
    <row r="49" spans="1:5" ht="15" customHeight="1" x14ac:dyDescent="0.25">
      <c r="A49" s="38"/>
    </row>
    <row r="50" spans="1:5" ht="15" customHeight="1" x14ac:dyDescent="0.25">
      <c r="A50" s="38"/>
    </row>
    <row r="52" spans="1:5" ht="15" customHeight="1" x14ac:dyDescent="0.25">
      <c r="A52" s="144" t="s">
        <v>15</v>
      </c>
      <c r="B52" s="144"/>
      <c r="C52" s="144"/>
      <c r="D52" s="144"/>
      <c r="E52" s="144"/>
    </row>
    <row r="53" spans="1:5" ht="15" customHeight="1" x14ac:dyDescent="0.25">
      <c r="A53" s="144" t="s">
        <v>32</v>
      </c>
      <c r="B53" s="144"/>
      <c r="C53" s="144"/>
      <c r="D53" s="144"/>
      <c r="E53" s="144"/>
    </row>
    <row r="54" spans="1:5" ht="15" customHeight="1" x14ac:dyDescent="0.25">
      <c r="A54" s="143" t="s">
        <v>52</v>
      </c>
      <c r="B54" s="143"/>
      <c r="C54" s="143"/>
      <c r="D54" s="143"/>
      <c r="E54" s="143"/>
    </row>
    <row r="55" spans="1:5" ht="15" customHeight="1" x14ac:dyDescent="0.25">
      <c r="A55" s="142"/>
      <c r="B55" s="142"/>
      <c r="C55" s="142"/>
      <c r="D55" s="142"/>
      <c r="E55" s="142"/>
    </row>
    <row r="56" spans="1:5" ht="15" customHeight="1" thickBot="1" x14ac:dyDescent="0.3">
      <c r="A56" s="16" t="s">
        <v>10</v>
      </c>
      <c r="B56" s="16" t="s">
        <v>36</v>
      </c>
      <c r="C56" s="16" t="s">
        <v>37</v>
      </c>
      <c r="D56" s="16" t="s">
        <v>38</v>
      </c>
      <c r="E56" s="16" t="s">
        <v>39</v>
      </c>
    </row>
    <row r="58" spans="1:5" ht="15" customHeight="1" x14ac:dyDescent="0.25">
      <c r="A58" s="39" t="s">
        <v>26</v>
      </c>
      <c r="B58" s="19">
        <f>SUM(C38:C41)</f>
        <v>530306340.78000003</v>
      </c>
      <c r="C58" s="19">
        <f t="shared" ref="C58:D58" si="1">SUM(D38:D41)</f>
        <v>98282697.586666673</v>
      </c>
      <c r="D58" s="19">
        <f t="shared" si="1"/>
        <v>966218802.05333328</v>
      </c>
      <c r="E58" s="39">
        <f>SUM(B58:D58)</f>
        <v>1594807840.4200001</v>
      </c>
    </row>
    <row r="59" spans="1:5" ht="15" customHeight="1" x14ac:dyDescent="0.25">
      <c r="A59" s="39" t="s">
        <v>43</v>
      </c>
      <c r="B59" s="19">
        <f>SUM(C42:C43)</f>
        <v>901426552.30999994</v>
      </c>
      <c r="C59" s="19">
        <f t="shared" ref="C59:D59" si="2">SUM(D42:D43)</f>
        <v>79669655.300000012</v>
      </c>
      <c r="D59" s="19">
        <f t="shared" si="2"/>
        <v>1384177549.0700002</v>
      </c>
      <c r="E59" s="39">
        <f>SUM(B59:D59)</f>
        <v>2365273756.6800003</v>
      </c>
    </row>
    <row r="60" spans="1:5" ht="15" customHeight="1" x14ac:dyDescent="0.25">
      <c r="A60" s="38" t="s">
        <v>77</v>
      </c>
      <c r="B60" s="19">
        <f>SUM(C44:C45)</f>
        <v>310762000</v>
      </c>
      <c r="C60" s="19">
        <f t="shared" ref="C60:D60" si="3">SUM(D44:D45)</f>
        <v>4400000</v>
      </c>
      <c r="D60" s="19">
        <f t="shared" si="3"/>
        <v>2562201141.02</v>
      </c>
      <c r="E60" s="39">
        <f>SUM(B60:D60)</f>
        <v>2877363141.02</v>
      </c>
    </row>
    <row r="61" spans="1:5" ht="15" customHeight="1" x14ac:dyDescent="0.25">
      <c r="A61" s="39" t="s">
        <v>7</v>
      </c>
      <c r="B61" s="36"/>
      <c r="C61" s="36"/>
      <c r="D61" s="36"/>
      <c r="E61" s="39">
        <f>SUM(B61:D61)</f>
        <v>0</v>
      </c>
    </row>
    <row r="62" spans="1:5" ht="15" customHeight="1" x14ac:dyDescent="0.25">
      <c r="A62" s="39" t="s">
        <v>8</v>
      </c>
      <c r="B62" s="36"/>
      <c r="C62" s="36"/>
      <c r="D62" s="36"/>
      <c r="E62" s="39">
        <f>SUM(B62:D62)</f>
        <v>0</v>
      </c>
    </row>
    <row r="63" spans="1:5" ht="15" customHeight="1" thickBot="1" x14ac:dyDescent="0.3">
      <c r="A63" s="13" t="s">
        <v>13</v>
      </c>
      <c r="B63" s="13">
        <f>SUM(B58:B62)</f>
        <v>1742494893.0899999</v>
      </c>
      <c r="C63" s="13">
        <f>SUM(C58:C62)</f>
        <v>182352352.88666669</v>
      </c>
      <c r="D63" s="13">
        <f>SUM(D58:D62)</f>
        <v>4912597492.1433334</v>
      </c>
      <c r="E63" s="13">
        <f>SUM(E58:E62)</f>
        <v>6837444738.1200008</v>
      </c>
    </row>
    <row r="64" spans="1:5" ht="15" customHeight="1" thickTop="1" x14ac:dyDescent="0.25">
      <c r="A64" s="38" t="s">
        <v>73</v>
      </c>
    </row>
    <row r="65" spans="1:8" ht="15" customHeight="1" x14ac:dyDescent="0.25">
      <c r="A65" s="38"/>
    </row>
    <row r="67" spans="1:8" ht="15" customHeight="1" x14ac:dyDescent="0.25">
      <c r="A67" s="144" t="s">
        <v>44</v>
      </c>
      <c r="B67" s="144"/>
      <c r="C67" s="144"/>
      <c r="D67" s="144"/>
      <c r="E67" s="144"/>
    </row>
    <row r="68" spans="1:8" ht="15" customHeight="1" x14ac:dyDescent="0.25">
      <c r="A68" s="134" t="s">
        <v>79</v>
      </c>
      <c r="B68" s="134"/>
      <c r="C68" s="134"/>
      <c r="D68" s="134"/>
      <c r="E68" s="134"/>
    </row>
    <row r="69" spans="1:8" ht="15" customHeight="1" x14ac:dyDescent="0.25">
      <c r="A69" s="143" t="s">
        <v>52</v>
      </c>
      <c r="B69" s="143"/>
      <c r="C69" s="143"/>
      <c r="D69" s="143"/>
      <c r="E69" s="143"/>
    </row>
    <row r="70" spans="1:8" ht="15" customHeight="1" x14ac:dyDescent="0.25">
      <c r="A70" s="142"/>
      <c r="B70" s="142"/>
      <c r="C70" s="142"/>
      <c r="D70" s="142"/>
      <c r="E70" s="142"/>
    </row>
    <row r="71" spans="1:8" ht="15" customHeight="1" thickBot="1" x14ac:dyDescent="0.3">
      <c r="A71" s="16" t="s">
        <v>10</v>
      </c>
      <c r="B71" s="16" t="s">
        <v>36</v>
      </c>
      <c r="C71" s="16" t="s">
        <v>37</v>
      </c>
      <c r="D71" s="16" t="s">
        <v>38</v>
      </c>
      <c r="E71" s="16" t="s">
        <v>39</v>
      </c>
    </row>
    <row r="73" spans="1:8" ht="15" customHeight="1" x14ac:dyDescent="0.25">
      <c r="A73" s="39" t="s">
        <v>63</v>
      </c>
      <c r="B73" s="39">
        <f>'3 T'!E77+(12199374.83)+10048.95</f>
        <v>356683580.79724622</v>
      </c>
      <c r="C73" s="39">
        <f>B77</f>
        <v>245600881.01724619</v>
      </c>
      <c r="D73" s="39">
        <f>C77</f>
        <v>566541824.43057954</v>
      </c>
      <c r="E73" s="39">
        <f>+B73</f>
        <v>356683580.79724622</v>
      </c>
    </row>
    <row r="74" spans="1:8" ht="15" customHeight="1" x14ac:dyDescent="0.25">
      <c r="A74" s="39" t="s">
        <v>16</v>
      </c>
      <c r="B74" s="123">
        <v>419223641</v>
      </c>
      <c r="C74" s="123">
        <v>419223641</v>
      </c>
      <c r="D74" s="123">
        <v>419223641</v>
      </c>
      <c r="E74" s="39">
        <f>SUM(B74:D74)</f>
        <v>1257670923</v>
      </c>
    </row>
    <row r="75" spans="1:8" ht="15" customHeight="1" x14ac:dyDescent="0.25">
      <c r="A75" s="39" t="s">
        <v>17</v>
      </c>
      <c r="B75" s="39">
        <f>B73+B74</f>
        <v>775907221.79724622</v>
      </c>
      <c r="C75" s="39">
        <f>C73+C74</f>
        <v>664824522.01724625</v>
      </c>
      <c r="D75" s="39">
        <f>D73+D74</f>
        <v>985765465.43057954</v>
      </c>
      <c r="E75" s="39">
        <f>+E73+E74</f>
        <v>1614354503.7972462</v>
      </c>
    </row>
    <row r="76" spans="1:8" ht="15" customHeight="1" x14ac:dyDescent="0.25">
      <c r="A76" s="39" t="s">
        <v>18</v>
      </c>
      <c r="B76" s="24">
        <f>B58</f>
        <v>530306340.78000003</v>
      </c>
      <c r="C76" s="24">
        <f>C58</f>
        <v>98282697.586666673</v>
      </c>
      <c r="D76" s="24">
        <f>D58</f>
        <v>966218802.05333328</v>
      </c>
      <c r="E76" s="39">
        <f>SUM(B76:D76)</f>
        <v>1594807840.4200001</v>
      </c>
      <c r="G76" s="117"/>
      <c r="H76" s="117"/>
    </row>
    <row r="77" spans="1:8" ht="15" customHeight="1" x14ac:dyDescent="0.25">
      <c r="A77" s="14" t="s">
        <v>19</v>
      </c>
      <c r="B77" s="14">
        <f>+B75-B76</f>
        <v>245600881.01724619</v>
      </c>
      <c r="C77" s="14">
        <f>+C75-C76</f>
        <v>566541824.43057954</v>
      </c>
      <c r="D77" s="14">
        <f>+D75-D76</f>
        <v>19546663.377246261</v>
      </c>
      <c r="E77" s="14">
        <f>+E75-E76</f>
        <v>19546663.377246141</v>
      </c>
      <c r="G77" s="117"/>
      <c r="H77" s="117"/>
    </row>
    <row r="78" spans="1:8" ht="15" customHeight="1" thickBot="1" x14ac:dyDescent="0.3">
      <c r="A78" s="13"/>
      <c r="B78" s="13"/>
      <c r="C78" s="13"/>
      <c r="D78" s="13"/>
      <c r="E78" s="13"/>
      <c r="F78" s="117"/>
      <c r="G78" s="117"/>
      <c r="H78" s="117"/>
    </row>
    <row r="79" spans="1:8" ht="15" customHeight="1" thickTop="1" x14ac:dyDescent="0.25">
      <c r="A79" s="38" t="s">
        <v>73</v>
      </c>
      <c r="F79" s="117"/>
      <c r="G79" s="117"/>
      <c r="H79" s="117"/>
    </row>
    <row r="80" spans="1:8" ht="15" customHeight="1" x14ac:dyDescent="0.25">
      <c r="A80" s="38"/>
      <c r="F80" s="117"/>
      <c r="G80" s="117"/>
      <c r="H80" s="117"/>
    </row>
    <row r="82" spans="1:13" ht="15" customHeight="1" x14ac:dyDescent="0.25">
      <c r="A82" s="144" t="s">
        <v>45</v>
      </c>
      <c r="B82" s="144"/>
      <c r="C82" s="144"/>
      <c r="D82" s="144"/>
      <c r="E82" s="144"/>
      <c r="F82" s="18" t="s">
        <v>54</v>
      </c>
    </row>
    <row r="83" spans="1:13" ht="15" customHeight="1" x14ac:dyDescent="0.25">
      <c r="A83" s="144" t="s">
        <v>49</v>
      </c>
      <c r="B83" s="144"/>
      <c r="C83" s="144"/>
      <c r="D83" s="144"/>
      <c r="E83" s="144"/>
      <c r="F83" s="18">
        <f>E74+E89+E90</f>
        <v>5818068021.3899994</v>
      </c>
    </row>
    <row r="84" spans="1:13" ht="15" customHeight="1" x14ac:dyDescent="0.25">
      <c r="A84" s="143" t="s">
        <v>52</v>
      </c>
      <c r="B84" s="143"/>
      <c r="C84" s="143"/>
      <c r="D84" s="143"/>
      <c r="E84" s="143"/>
      <c r="F84" s="18"/>
    </row>
    <row r="85" spans="1:13" ht="15" customHeight="1" x14ac:dyDescent="0.25">
      <c r="A85" s="142"/>
      <c r="B85" s="142"/>
      <c r="C85" s="142"/>
      <c r="D85" s="142"/>
      <c r="E85" s="142"/>
    </row>
    <row r="86" spans="1:13" ht="15" customHeight="1" thickBot="1" x14ac:dyDescent="0.3">
      <c r="A86" s="16" t="s">
        <v>10</v>
      </c>
      <c r="B86" s="16" t="s">
        <v>36</v>
      </c>
      <c r="C86" s="16" t="s">
        <v>37</v>
      </c>
      <c r="D86" s="16" t="s">
        <v>38</v>
      </c>
      <c r="E86" s="16" t="s">
        <v>39</v>
      </c>
    </row>
    <row r="88" spans="1:13" ht="15" customHeight="1" x14ac:dyDescent="0.25">
      <c r="A88" s="39" t="s">
        <v>63</v>
      </c>
      <c r="B88" s="39">
        <f>'3 T'!E93+(31745946.96+10000000)</f>
        <v>1020060458.3683333</v>
      </c>
      <c r="C88" s="39">
        <f>B93</f>
        <v>994337606.0583334</v>
      </c>
      <c r="D88" s="39">
        <f>C93</f>
        <v>1959106342.8683336</v>
      </c>
      <c r="E88" s="39">
        <f>+B88</f>
        <v>1020060458.3683333</v>
      </c>
    </row>
    <row r="89" spans="1:13" ht="15" customHeight="1" x14ac:dyDescent="0.25">
      <c r="A89" s="41" t="s">
        <v>110</v>
      </c>
      <c r="B89" s="39">
        <v>740965700</v>
      </c>
      <c r="C89" s="39">
        <v>740965700</v>
      </c>
      <c r="D89" s="39">
        <v>740965700</v>
      </c>
      <c r="E89" s="39">
        <f>SUM(B89:D89)</f>
        <v>2222897100</v>
      </c>
    </row>
    <row r="90" spans="1:13" ht="15" customHeight="1" x14ac:dyDescent="0.25">
      <c r="A90" s="38" t="s">
        <v>78</v>
      </c>
      <c r="B90" s="39">
        <v>445500000</v>
      </c>
      <c r="C90" s="39">
        <v>307872692.11000001</v>
      </c>
      <c r="D90" s="122">
        <f>1584127306.28</f>
        <v>1584127306.28</v>
      </c>
      <c r="E90" s="39">
        <f>SUM(B90:D90)</f>
        <v>2337499998.3899999</v>
      </c>
      <c r="F90" s="40"/>
      <c r="M90" s="41"/>
    </row>
    <row r="91" spans="1:13" ht="15" customHeight="1" x14ac:dyDescent="0.25">
      <c r="A91" s="39" t="s">
        <v>17</v>
      </c>
      <c r="B91" s="39">
        <f>SUM(B88:B90)</f>
        <v>2206526158.3683333</v>
      </c>
      <c r="C91" s="39">
        <f>SUM(C88:C90)</f>
        <v>2043175998.1683335</v>
      </c>
      <c r="D91" s="39">
        <f>SUM(D88:D90)</f>
        <v>4284199349.1483335</v>
      </c>
      <c r="E91" s="39">
        <f>SUM(E88:E90)</f>
        <v>5580457556.7583332</v>
      </c>
      <c r="G91" s="117"/>
    </row>
    <row r="92" spans="1:13" ht="15" customHeight="1" x14ac:dyDescent="0.25">
      <c r="A92" s="39" t="s">
        <v>18</v>
      </c>
      <c r="B92" s="24">
        <f>B59+B60</f>
        <v>1212188552.3099999</v>
      </c>
      <c r="C92" s="24">
        <f>C59+C60</f>
        <v>84069655.300000012</v>
      </c>
      <c r="D92" s="24">
        <f>D59+D60</f>
        <v>3946378690.0900002</v>
      </c>
      <c r="E92" s="39">
        <f>SUM(B92:D92)</f>
        <v>5242636897.6999998</v>
      </c>
      <c r="F92" s="15"/>
      <c r="G92" s="117"/>
    </row>
    <row r="93" spans="1:13" ht="15" customHeight="1" x14ac:dyDescent="0.25">
      <c r="A93" s="14" t="s">
        <v>19</v>
      </c>
      <c r="B93" s="14">
        <f>+B91-B92</f>
        <v>994337606.0583334</v>
      </c>
      <c r="C93" s="14">
        <f>+C91-C92</f>
        <v>1959106342.8683336</v>
      </c>
      <c r="D93" s="14">
        <f>+D91-D92</f>
        <v>337820659.0583334</v>
      </c>
      <c r="E93" s="14">
        <f>+E91-E92</f>
        <v>337820659.0583334</v>
      </c>
      <c r="F93" s="15"/>
      <c r="G93" s="117"/>
    </row>
    <row r="94" spans="1:13" ht="15" customHeight="1" thickBot="1" x14ac:dyDescent="0.3">
      <c r="A94" s="13"/>
      <c r="B94" s="13"/>
      <c r="C94" s="13"/>
      <c r="D94" s="13"/>
      <c r="E94" s="13"/>
      <c r="F94" s="15"/>
      <c r="G94" s="117"/>
    </row>
    <row r="95" spans="1:13" ht="15" customHeight="1" thickTop="1" x14ac:dyDescent="0.25">
      <c r="A95" s="38" t="s">
        <v>73</v>
      </c>
      <c r="F95" s="15"/>
    </row>
    <row r="96" spans="1:13" ht="15" customHeight="1" x14ac:dyDescent="0.25">
      <c r="A96" s="38" t="s">
        <v>80</v>
      </c>
      <c r="E96" s="117"/>
      <c r="F96" s="15"/>
    </row>
    <row r="97" spans="1:12" ht="15" customHeight="1" x14ac:dyDescent="0.25">
      <c r="E97" s="117"/>
      <c r="F97" s="15"/>
      <c r="L97" s="40"/>
    </row>
    <row r="98" spans="1:12" ht="15" customHeight="1" x14ac:dyDescent="0.25">
      <c r="A98" s="41" t="s">
        <v>114</v>
      </c>
      <c r="E98" s="117"/>
      <c r="F98" s="15"/>
    </row>
    <row r="99" spans="1:12" ht="17.25" customHeight="1" x14ac:dyDescent="0.25"/>
  </sheetData>
  <mergeCells count="23">
    <mergeCell ref="A35:E35"/>
    <mergeCell ref="A1:F1"/>
    <mergeCell ref="A82:E82"/>
    <mergeCell ref="A83:E83"/>
    <mergeCell ref="A7:F7"/>
    <mergeCell ref="A8:F8"/>
    <mergeCell ref="A9:F9"/>
    <mergeCell ref="A19:A21"/>
    <mergeCell ref="A16:A18"/>
    <mergeCell ref="A13:A15"/>
    <mergeCell ref="A34:F34"/>
    <mergeCell ref="A33:F33"/>
    <mergeCell ref="A32:F32"/>
    <mergeCell ref="A54:E54"/>
    <mergeCell ref="A69:E69"/>
    <mergeCell ref="A85:E85"/>
    <mergeCell ref="A52:E52"/>
    <mergeCell ref="A53:E53"/>
    <mergeCell ref="A55:E55"/>
    <mergeCell ref="A67:E67"/>
    <mergeCell ref="A68:E68"/>
    <mergeCell ref="A70:E70"/>
    <mergeCell ref="A84:E84"/>
  </mergeCells>
  <printOptions horizontalCentered="1" verticalCentered="1"/>
  <pageMargins left="0.70866141732283472" right="1.18" top="0.3" bottom="0.2" header="0.31496062992125984" footer="0.31496062992125984"/>
  <pageSetup scale="33" orientation="portrait" r:id="rId1"/>
  <ignoredErrors>
    <ignoredError sqref="F16:F25 E75 E91" formula="1"/>
    <ignoredError sqref="B58:E60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="80" zoomScaleNormal="80" workbookViewId="0">
      <selection sqref="A1:E1"/>
    </sheetView>
  </sheetViews>
  <sheetFormatPr baseColWidth="10" defaultColWidth="11.5703125" defaultRowHeight="15" x14ac:dyDescent="0.25"/>
  <cols>
    <col min="1" max="1" width="65.5703125" style="39" customWidth="1"/>
    <col min="2" max="2" width="23.28515625" style="39" customWidth="1"/>
    <col min="3" max="3" width="18.5703125" style="39" customWidth="1"/>
    <col min="4" max="4" width="16.85546875" style="39" bestFit="1" customWidth="1"/>
    <col min="5" max="5" width="17.42578125" style="39" customWidth="1"/>
    <col min="6" max="6" width="11.5703125" style="39"/>
    <col min="7" max="7" width="15.140625" style="39" bestFit="1" customWidth="1"/>
    <col min="8" max="8" width="13.5703125" style="39" bestFit="1" customWidth="1"/>
    <col min="9" max="9" width="14.28515625" style="39" bestFit="1" customWidth="1"/>
    <col min="10" max="16384" width="11.5703125" style="39"/>
  </cols>
  <sheetData>
    <row r="1" spans="1:6" ht="15" customHeight="1" x14ac:dyDescent="0.25">
      <c r="A1" s="144" t="s">
        <v>20</v>
      </c>
      <c r="B1" s="144"/>
      <c r="C1" s="144"/>
      <c r="D1" s="144"/>
      <c r="E1" s="144"/>
    </row>
    <row r="2" spans="1:6" ht="15" customHeight="1" x14ac:dyDescent="0.25">
      <c r="A2" s="2" t="s">
        <v>0</v>
      </c>
      <c r="B2" s="3" t="s">
        <v>22</v>
      </c>
      <c r="C2" s="18"/>
      <c r="D2" s="18"/>
    </row>
    <row r="3" spans="1:6" ht="15" customHeight="1" x14ac:dyDescent="0.25">
      <c r="A3" s="2" t="s">
        <v>1</v>
      </c>
      <c r="B3" s="3" t="s">
        <v>21</v>
      </c>
      <c r="C3" s="18"/>
      <c r="D3" s="18"/>
    </row>
    <row r="4" spans="1:6" ht="15" customHeight="1" x14ac:dyDescent="0.25">
      <c r="A4" s="2" t="s">
        <v>11</v>
      </c>
      <c r="B4" s="18" t="s">
        <v>62</v>
      </c>
      <c r="C4" s="18"/>
      <c r="D4" s="18"/>
    </row>
    <row r="5" spans="1:6" ht="15" customHeight="1" x14ac:dyDescent="0.25">
      <c r="A5" s="2" t="s">
        <v>53</v>
      </c>
      <c r="B5" s="5" t="s">
        <v>107</v>
      </c>
      <c r="C5" s="18"/>
      <c r="D5" s="18"/>
    </row>
    <row r="6" spans="1:6" ht="15" customHeight="1" x14ac:dyDescent="0.25"/>
    <row r="7" spans="1:6" ht="15" customHeight="1" x14ac:dyDescent="0.25">
      <c r="A7" s="144" t="s">
        <v>9</v>
      </c>
      <c r="B7" s="144"/>
      <c r="C7" s="144"/>
      <c r="D7" s="144"/>
      <c r="E7" s="144"/>
    </row>
    <row r="8" spans="1:6" ht="15" customHeight="1" x14ac:dyDescent="0.25">
      <c r="A8" s="144" t="s">
        <v>12</v>
      </c>
      <c r="B8" s="144"/>
      <c r="C8" s="144"/>
      <c r="D8" s="144"/>
      <c r="E8" s="144"/>
    </row>
    <row r="9" spans="1:6" ht="15" customHeight="1" x14ac:dyDescent="0.25">
      <c r="A9" s="143" t="s">
        <v>50</v>
      </c>
      <c r="B9" s="143"/>
      <c r="C9" s="143"/>
      <c r="D9" s="143"/>
      <c r="E9" s="143"/>
    </row>
    <row r="10" spans="1:6" ht="15" customHeight="1" x14ac:dyDescent="0.25">
      <c r="A10" s="142"/>
      <c r="B10" s="142"/>
      <c r="C10" s="142"/>
      <c r="D10" s="142"/>
      <c r="E10" s="142"/>
    </row>
    <row r="11" spans="1:6" ht="15" customHeight="1" thickBot="1" x14ac:dyDescent="0.3">
      <c r="A11" s="21" t="s">
        <v>65</v>
      </c>
      <c r="B11" s="16"/>
      <c r="C11" s="16" t="s">
        <v>6</v>
      </c>
      <c r="D11" s="16" t="s">
        <v>30</v>
      </c>
      <c r="E11" s="21" t="s">
        <v>69</v>
      </c>
      <c r="F11" s="124"/>
    </row>
    <row r="12" spans="1:6" ht="15" customHeight="1" x14ac:dyDescent="0.25">
      <c r="F12" s="14"/>
    </row>
    <row r="13" spans="1:6" ht="15" customHeight="1" x14ac:dyDescent="0.25">
      <c r="A13" s="145" t="s">
        <v>23</v>
      </c>
      <c r="B13" s="7" t="s">
        <v>59</v>
      </c>
      <c r="C13" s="39">
        <f>+'I T'!F13</f>
        <v>269</v>
      </c>
      <c r="D13" s="39">
        <f>+'2 T'!F13</f>
        <v>103</v>
      </c>
      <c r="E13" s="24">
        <f>D13</f>
        <v>103</v>
      </c>
      <c r="F13" s="125"/>
    </row>
    <row r="14" spans="1:6" ht="15" customHeight="1" x14ac:dyDescent="0.25">
      <c r="A14" s="145"/>
      <c r="B14" s="7" t="s">
        <v>60</v>
      </c>
      <c r="C14" s="39">
        <f>+'I T'!F14</f>
        <v>887.66666666666663</v>
      </c>
      <c r="D14" s="39">
        <f>+'2 T'!F14</f>
        <v>1637</v>
      </c>
      <c r="E14" s="24">
        <f t="shared" ref="E14:E27" si="0">+(C14+D14)/2</f>
        <v>1262.3333333333333</v>
      </c>
      <c r="F14" s="14"/>
    </row>
    <row r="15" spans="1:6" ht="15" customHeight="1" x14ac:dyDescent="0.25">
      <c r="A15" s="145"/>
      <c r="B15" s="7" t="s">
        <v>61</v>
      </c>
      <c r="C15" s="39">
        <f>+'I T'!F15</f>
        <v>688.66666666666663</v>
      </c>
      <c r="D15" s="39">
        <f>+'2 T'!F15</f>
        <v>163.33333333333334</v>
      </c>
      <c r="E15" s="24">
        <f t="shared" si="0"/>
        <v>426</v>
      </c>
      <c r="F15" s="14"/>
    </row>
    <row r="16" spans="1:6" ht="15" customHeight="1" x14ac:dyDescent="0.25">
      <c r="A16" s="145" t="s">
        <v>24</v>
      </c>
      <c r="B16" s="7" t="s">
        <v>59</v>
      </c>
      <c r="C16" s="39">
        <f>+'I T'!F16</f>
        <v>673</v>
      </c>
      <c r="D16" s="39">
        <f>+'2 T'!F16</f>
        <v>423</v>
      </c>
      <c r="E16" s="24">
        <f>D16</f>
        <v>423</v>
      </c>
      <c r="F16" s="125"/>
    </row>
    <row r="17" spans="1:6" ht="15" customHeight="1" x14ac:dyDescent="0.25">
      <c r="A17" s="145"/>
      <c r="B17" s="7" t="s">
        <v>60</v>
      </c>
      <c r="C17" s="39">
        <f>+'I T'!F17</f>
        <v>586.66666666666663</v>
      </c>
      <c r="D17" s="39">
        <f>+'2 T'!F17</f>
        <v>1015.3333333333334</v>
      </c>
      <c r="E17" s="24">
        <f t="shared" si="0"/>
        <v>801</v>
      </c>
      <c r="F17" s="14"/>
    </row>
    <row r="18" spans="1:6" ht="15" customHeight="1" x14ac:dyDescent="0.25">
      <c r="A18" s="145"/>
      <c r="B18" s="7" t="s">
        <v>61</v>
      </c>
      <c r="C18" s="39">
        <f>+'I T'!F18</f>
        <v>369.33333333333331</v>
      </c>
      <c r="D18" s="39">
        <f>+'2 T'!F18</f>
        <v>274.66666666666669</v>
      </c>
      <c r="E18" s="24">
        <f t="shared" si="0"/>
        <v>322</v>
      </c>
      <c r="F18" s="14"/>
    </row>
    <row r="19" spans="1:6" ht="15" customHeight="1" x14ac:dyDescent="0.25">
      <c r="A19" s="146" t="s">
        <v>25</v>
      </c>
      <c r="B19" s="7" t="s">
        <v>59</v>
      </c>
      <c r="C19" s="39">
        <f>+'I T'!F19</f>
        <v>1272</v>
      </c>
      <c r="D19" s="39">
        <f>+'2 T'!F19</f>
        <v>486</v>
      </c>
      <c r="E19" s="24">
        <f>D19</f>
        <v>486</v>
      </c>
      <c r="F19" s="125"/>
    </row>
    <row r="20" spans="1:6" ht="15" customHeight="1" x14ac:dyDescent="0.25">
      <c r="A20" s="146"/>
      <c r="B20" s="7" t="s">
        <v>60</v>
      </c>
      <c r="C20" s="39">
        <f>+'I T'!F20</f>
        <v>3151.6666666666665</v>
      </c>
      <c r="D20" s="39">
        <f>+'2 T'!F20</f>
        <v>9813.6666666666661</v>
      </c>
      <c r="E20" s="39">
        <f t="shared" si="0"/>
        <v>6482.6666666666661</v>
      </c>
      <c r="F20" s="14"/>
    </row>
    <row r="21" spans="1:6" ht="15" customHeight="1" x14ac:dyDescent="0.25">
      <c r="A21" s="146"/>
      <c r="B21" s="7" t="s">
        <v>61</v>
      </c>
      <c r="C21" s="39">
        <f>+'I T'!F21</f>
        <v>6229</v>
      </c>
      <c r="D21" s="39">
        <f>+'2 T'!F21</f>
        <v>703.33333333333337</v>
      </c>
      <c r="E21" s="39">
        <f t="shared" si="0"/>
        <v>3466.1666666666665</v>
      </c>
      <c r="F21" s="14"/>
    </row>
    <row r="22" spans="1:6" ht="15" customHeight="1" x14ac:dyDescent="0.25">
      <c r="A22" s="104" t="s">
        <v>76</v>
      </c>
      <c r="B22" s="35" t="s">
        <v>59</v>
      </c>
      <c r="C22" s="116">
        <f>+'I T'!F22</f>
        <v>0</v>
      </c>
      <c r="D22" s="116">
        <f>+'2 T'!F22</f>
        <v>0</v>
      </c>
      <c r="E22" s="116">
        <f>D22</f>
        <v>0</v>
      </c>
      <c r="F22" s="14"/>
    </row>
    <row r="23" spans="1:6" ht="15" customHeight="1" x14ac:dyDescent="0.25">
      <c r="A23" s="36"/>
      <c r="B23" s="35" t="s">
        <v>60</v>
      </c>
      <c r="C23" s="116">
        <f>+'I T'!F23</f>
        <v>129.33333333333334</v>
      </c>
      <c r="D23" s="116">
        <f>+'2 T'!F23</f>
        <v>361.33333333333331</v>
      </c>
      <c r="E23" s="116">
        <f t="shared" si="0"/>
        <v>245.33333333333331</v>
      </c>
      <c r="F23" s="14"/>
    </row>
    <row r="24" spans="1:6" ht="15" customHeight="1" x14ac:dyDescent="0.25">
      <c r="A24" s="36"/>
      <c r="B24" s="35" t="s">
        <v>61</v>
      </c>
      <c r="C24" s="116">
        <f>+'I T'!F24</f>
        <v>259.33333333333331</v>
      </c>
      <c r="D24" s="116">
        <f>+'2 T'!F24</f>
        <v>25</v>
      </c>
      <c r="E24" s="116">
        <f t="shared" si="0"/>
        <v>142.16666666666666</v>
      </c>
      <c r="F24" s="14"/>
    </row>
    <row r="25" spans="1:6" ht="15" customHeight="1" x14ac:dyDescent="0.25">
      <c r="A25" s="34"/>
      <c r="B25" s="7"/>
      <c r="F25" s="14"/>
    </row>
    <row r="26" spans="1:6" ht="15" customHeight="1" x14ac:dyDescent="0.25">
      <c r="A26" s="107"/>
      <c r="F26" s="14"/>
    </row>
    <row r="27" spans="1:6" ht="15" customHeight="1" thickBot="1" x14ac:dyDescent="0.3">
      <c r="A27" s="13" t="s">
        <v>13</v>
      </c>
      <c r="B27" s="13"/>
      <c r="C27" s="13">
        <f>+C14+C15+C17+C18+C20+C21+C23+C24</f>
        <v>12301.666666666668</v>
      </c>
      <c r="D27" s="13">
        <f>+D14+D15+D17+D18+D20+D21+D23+D24</f>
        <v>13993.666666666668</v>
      </c>
      <c r="E27" s="13">
        <f t="shared" si="0"/>
        <v>13147.666666666668</v>
      </c>
      <c r="F27" s="14"/>
    </row>
    <row r="28" spans="1:6" ht="15" customHeight="1" thickTop="1" x14ac:dyDescent="0.25">
      <c r="A28" s="22" t="s">
        <v>67</v>
      </c>
      <c r="B28" s="14"/>
      <c r="C28" s="14"/>
      <c r="D28" s="14"/>
      <c r="E28" s="14"/>
      <c r="F28" s="14"/>
    </row>
    <row r="29" spans="1:6" ht="15" customHeight="1" x14ac:dyDescent="0.25">
      <c r="A29" s="38" t="s">
        <v>73</v>
      </c>
    </row>
    <row r="30" spans="1:6" ht="15" customHeight="1" x14ac:dyDescent="0.25">
      <c r="A30" s="38"/>
    </row>
    <row r="31" spans="1:6" ht="15" customHeight="1" x14ac:dyDescent="0.25"/>
    <row r="32" spans="1:6" ht="15" customHeight="1" x14ac:dyDescent="0.25">
      <c r="A32" s="143" t="s">
        <v>14</v>
      </c>
      <c r="B32" s="143"/>
      <c r="C32" s="143"/>
      <c r="D32" s="143"/>
      <c r="E32" s="143"/>
    </row>
    <row r="33" spans="1:5" ht="15" customHeight="1" x14ac:dyDescent="0.25">
      <c r="A33" s="144" t="s">
        <v>31</v>
      </c>
      <c r="B33" s="144"/>
      <c r="C33" s="144"/>
      <c r="D33" s="144"/>
      <c r="E33" s="144"/>
    </row>
    <row r="34" spans="1:5" ht="15" customHeight="1" x14ac:dyDescent="0.25">
      <c r="A34" s="143" t="s">
        <v>52</v>
      </c>
      <c r="B34" s="143"/>
      <c r="C34" s="143"/>
      <c r="D34" s="143"/>
      <c r="E34" s="143"/>
    </row>
    <row r="35" spans="1:5" ht="15" customHeight="1" x14ac:dyDescent="0.25">
      <c r="A35" s="142"/>
      <c r="B35" s="142"/>
      <c r="C35" s="142"/>
      <c r="D35" s="142"/>
    </row>
    <row r="36" spans="1:5" ht="15" customHeight="1" thickBot="1" x14ac:dyDescent="0.3">
      <c r="A36" s="21" t="s">
        <v>65</v>
      </c>
      <c r="B36" s="12"/>
      <c r="C36" s="12" t="s">
        <v>6</v>
      </c>
      <c r="D36" s="12" t="s">
        <v>30</v>
      </c>
      <c r="E36" s="12" t="s">
        <v>41</v>
      </c>
    </row>
    <row r="37" spans="1:5" ht="15" customHeight="1" x14ac:dyDescent="0.25"/>
    <row r="38" spans="1:5" ht="15" customHeight="1" x14ac:dyDescent="0.25">
      <c r="A38" s="107" t="s">
        <v>23</v>
      </c>
      <c r="B38" s="39" t="s">
        <v>57</v>
      </c>
      <c r="C38" s="39">
        <f>+'I T'!F38</f>
        <v>489984266</v>
      </c>
      <c r="D38" s="39">
        <f>+'2 T'!F38</f>
        <v>914112356</v>
      </c>
      <c r="E38" s="39">
        <f t="shared" ref="E38:E43" si="1">+C38+D38</f>
        <v>1404096622</v>
      </c>
    </row>
    <row r="39" spans="1:5" ht="15" customHeight="1" x14ac:dyDescent="0.25">
      <c r="A39" s="107"/>
      <c r="B39" s="39" t="s">
        <v>56</v>
      </c>
      <c r="C39" s="39">
        <f>+'I T'!F39</f>
        <v>428780972</v>
      </c>
      <c r="D39" s="39">
        <f>+'2 T'!F39</f>
        <v>88046844</v>
      </c>
      <c r="E39" s="39">
        <f t="shared" si="1"/>
        <v>516827816</v>
      </c>
    </row>
    <row r="40" spans="1:5" ht="15" customHeight="1" x14ac:dyDescent="0.25">
      <c r="A40" s="107" t="s">
        <v>24</v>
      </c>
      <c r="B40" s="39" t="s">
        <v>57</v>
      </c>
      <c r="C40" s="39">
        <f>+'I T'!F40</f>
        <v>129706584</v>
      </c>
      <c r="D40" s="39">
        <f>+'2 T'!F40</f>
        <v>306766568.50999999</v>
      </c>
      <c r="E40" s="39">
        <f t="shared" si="1"/>
        <v>436473152.50999999</v>
      </c>
    </row>
    <row r="41" spans="1:5" ht="15" customHeight="1" x14ac:dyDescent="0.25">
      <c r="A41" s="107"/>
      <c r="B41" s="39" t="s">
        <v>56</v>
      </c>
      <c r="C41" s="39">
        <f>+'I T'!F41</f>
        <v>89620664</v>
      </c>
      <c r="D41" s="39">
        <f>+'2 T'!F41</f>
        <v>68333395.890000001</v>
      </c>
      <c r="E41" s="39">
        <f t="shared" si="1"/>
        <v>157954059.88999999</v>
      </c>
    </row>
    <row r="42" spans="1:5" ht="15" customHeight="1" x14ac:dyDescent="0.25">
      <c r="A42" s="107" t="s">
        <v>25</v>
      </c>
      <c r="B42" s="39" t="s">
        <v>57</v>
      </c>
      <c r="C42" s="39">
        <f>+'I T'!F42</f>
        <v>517392462.31</v>
      </c>
      <c r="D42" s="39">
        <f>+'2 T'!F42</f>
        <v>1659405092.4200001</v>
      </c>
      <c r="E42" s="39">
        <f t="shared" si="1"/>
        <v>2176797554.73</v>
      </c>
    </row>
    <row r="43" spans="1:5" ht="15" customHeight="1" x14ac:dyDescent="0.25">
      <c r="A43" s="107"/>
      <c r="B43" s="39" t="s">
        <v>56</v>
      </c>
      <c r="C43" s="39">
        <f>+'I T'!F43</f>
        <v>1063304715.2458332</v>
      </c>
      <c r="D43" s="39">
        <f>+'2 T'!F43</f>
        <v>202427620.91583332</v>
      </c>
      <c r="E43" s="39">
        <f t="shared" si="1"/>
        <v>1265732336.1616664</v>
      </c>
    </row>
    <row r="44" spans="1:5" ht="15" customHeight="1" x14ac:dyDescent="0.25">
      <c r="A44" s="108" t="s">
        <v>76</v>
      </c>
      <c r="B44" s="19" t="s">
        <v>57</v>
      </c>
      <c r="C44" s="116">
        <f>+'I T'!F44</f>
        <v>185500000</v>
      </c>
      <c r="D44" s="116">
        <f>+'2 T'!F44</f>
        <v>514050000</v>
      </c>
      <c r="E44" s="116">
        <f>+C44+D44</f>
        <v>699550000</v>
      </c>
    </row>
    <row r="45" spans="1:5" ht="15" customHeight="1" x14ac:dyDescent="0.25">
      <c r="A45" s="108"/>
      <c r="B45" s="19" t="s">
        <v>56</v>
      </c>
      <c r="C45" s="116">
        <f>+'I T'!F45</f>
        <v>374500000</v>
      </c>
      <c r="D45" s="116">
        <f>+'2 T'!F45</f>
        <v>37650000</v>
      </c>
      <c r="E45" s="116">
        <f>+C45+D45</f>
        <v>412150000</v>
      </c>
    </row>
    <row r="46" spans="1:5" ht="15" customHeight="1" thickBot="1" x14ac:dyDescent="0.3">
      <c r="A46" s="13" t="s">
        <v>13</v>
      </c>
      <c r="B46" s="13"/>
      <c r="C46" s="13">
        <f>SUM(C38:C45)</f>
        <v>3278789663.5558329</v>
      </c>
      <c r="D46" s="13">
        <f>SUM(D38:D45)</f>
        <v>3790791877.7358336</v>
      </c>
      <c r="E46" s="13">
        <f>SUM(E38:E45)</f>
        <v>7069581541.291666</v>
      </c>
    </row>
    <row r="47" spans="1:5" ht="15" customHeight="1" thickTop="1" x14ac:dyDescent="0.25">
      <c r="A47" s="14" t="s">
        <v>42</v>
      </c>
      <c r="E47" s="14"/>
    </row>
    <row r="48" spans="1:5" ht="15" customHeight="1" x14ac:dyDescent="0.25">
      <c r="A48" s="38" t="s">
        <v>73</v>
      </c>
    </row>
    <row r="49" spans="1:5" ht="15" customHeight="1" x14ac:dyDescent="0.25">
      <c r="A49" s="38"/>
    </row>
    <row r="50" spans="1:5" ht="15" customHeight="1" x14ac:dyDescent="0.25">
      <c r="A50" s="38"/>
    </row>
    <row r="51" spans="1:5" ht="15" customHeight="1" x14ac:dyDescent="0.25"/>
    <row r="52" spans="1:5" ht="15" customHeight="1" x14ac:dyDescent="0.25">
      <c r="A52" s="144" t="s">
        <v>15</v>
      </c>
      <c r="B52" s="144"/>
      <c r="C52" s="144"/>
      <c r="D52" s="144"/>
    </row>
    <row r="53" spans="1:5" ht="15" customHeight="1" x14ac:dyDescent="0.25">
      <c r="A53" s="144" t="s">
        <v>32</v>
      </c>
      <c r="B53" s="144"/>
      <c r="C53" s="144"/>
      <c r="D53" s="144"/>
    </row>
    <row r="54" spans="1:5" ht="15" customHeight="1" x14ac:dyDescent="0.25">
      <c r="A54" s="143" t="s">
        <v>52</v>
      </c>
      <c r="B54" s="143"/>
      <c r="C54" s="143"/>
      <c r="D54" s="143"/>
    </row>
    <row r="55" spans="1:5" ht="15" customHeight="1" x14ac:dyDescent="0.25">
      <c r="A55" s="142"/>
      <c r="B55" s="142"/>
      <c r="C55" s="142"/>
      <c r="D55" s="142"/>
    </row>
    <row r="56" spans="1:5" ht="15" customHeight="1" thickBot="1" x14ac:dyDescent="0.3">
      <c r="A56" s="16" t="s">
        <v>10</v>
      </c>
      <c r="B56" s="16" t="s">
        <v>6</v>
      </c>
      <c r="C56" s="16" t="s">
        <v>30</v>
      </c>
      <c r="D56" s="16" t="s">
        <v>41</v>
      </c>
      <c r="E56" s="124"/>
    </row>
    <row r="57" spans="1:5" ht="15" customHeight="1" x14ac:dyDescent="0.25">
      <c r="E57" s="14"/>
    </row>
    <row r="58" spans="1:5" ht="15" customHeight="1" x14ac:dyDescent="0.25">
      <c r="A58" s="39" t="s">
        <v>26</v>
      </c>
      <c r="B58" s="39">
        <f>+'I T'!E58</f>
        <v>1138092486</v>
      </c>
      <c r="C58" s="39">
        <f>+'2 T'!E58</f>
        <v>1377259164.4000001</v>
      </c>
      <c r="D58" s="39">
        <f>+B58+C58</f>
        <v>2515351650.4000001</v>
      </c>
      <c r="E58" s="14"/>
    </row>
    <row r="59" spans="1:5" ht="15" customHeight="1" x14ac:dyDescent="0.25">
      <c r="A59" s="39" t="s">
        <v>43</v>
      </c>
      <c r="B59" s="39">
        <f>+'I T'!E59</f>
        <v>1580697177.5558331</v>
      </c>
      <c r="C59" s="39">
        <f>+'2 T'!E59</f>
        <v>1861832713.3358335</v>
      </c>
      <c r="D59" s="39">
        <f>+B59+C59</f>
        <v>3442529890.8916664</v>
      </c>
      <c r="E59" s="14"/>
    </row>
    <row r="60" spans="1:5" ht="15" customHeight="1" x14ac:dyDescent="0.25">
      <c r="A60" s="38" t="s">
        <v>77</v>
      </c>
      <c r="B60" s="39">
        <f>+'I T'!E60</f>
        <v>560000000</v>
      </c>
      <c r="C60" s="39">
        <f>+'2 T'!E60</f>
        <v>551700000</v>
      </c>
      <c r="D60" s="39">
        <f>+B60+C60</f>
        <v>1111700000</v>
      </c>
      <c r="E60" s="14"/>
    </row>
    <row r="61" spans="1:5" ht="15" customHeight="1" x14ac:dyDescent="0.25">
      <c r="E61" s="14"/>
    </row>
    <row r="62" spans="1:5" ht="15" customHeight="1" x14ac:dyDescent="0.25">
      <c r="E62" s="14"/>
    </row>
    <row r="63" spans="1:5" ht="15" customHeight="1" thickBot="1" x14ac:dyDescent="0.3">
      <c r="A63" s="13" t="s">
        <v>13</v>
      </c>
      <c r="B63" s="13">
        <f>SUM(B58:B62)</f>
        <v>3278789663.5558329</v>
      </c>
      <c r="C63" s="13">
        <f>SUM(C58:C62)</f>
        <v>3790791877.7358336</v>
      </c>
      <c r="D63" s="13">
        <f>SUM(D58:D62)</f>
        <v>7069581541.291666</v>
      </c>
      <c r="E63" s="14"/>
    </row>
    <row r="64" spans="1:5" ht="15" customHeight="1" thickTop="1" x14ac:dyDescent="0.25">
      <c r="A64" s="38" t="s">
        <v>73</v>
      </c>
    </row>
    <row r="65" spans="1:5" ht="15" customHeight="1" x14ac:dyDescent="0.25">
      <c r="A65" s="38"/>
    </row>
    <row r="66" spans="1:5" ht="15" customHeight="1" x14ac:dyDescent="0.25"/>
    <row r="67" spans="1:5" ht="15" customHeight="1" x14ac:dyDescent="0.25">
      <c r="A67" s="144" t="s">
        <v>44</v>
      </c>
      <c r="B67" s="144"/>
      <c r="C67" s="144"/>
      <c r="D67" s="144"/>
    </row>
    <row r="68" spans="1:5" ht="15" customHeight="1" x14ac:dyDescent="0.25">
      <c r="A68" s="134" t="s">
        <v>79</v>
      </c>
      <c r="B68" s="134"/>
      <c r="C68" s="134"/>
      <c r="D68" s="134"/>
      <c r="E68" s="134"/>
    </row>
    <row r="69" spans="1:5" ht="15" customHeight="1" x14ac:dyDescent="0.25">
      <c r="A69" s="143" t="s">
        <v>52</v>
      </c>
      <c r="B69" s="143"/>
      <c r="C69" s="143"/>
      <c r="D69" s="143"/>
    </row>
    <row r="70" spans="1:5" ht="15" customHeight="1" x14ac:dyDescent="0.25">
      <c r="A70" s="142"/>
      <c r="B70" s="142"/>
      <c r="C70" s="142"/>
      <c r="D70" s="142"/>
    </row>
    <row r="71" spans="1:5" ht="15" customHeight="1" thickBot="1" x14ac:dyDescent="0.3">
      <c r="A71" s="16" t="s">
        <v>10</v>
      </c>
      <c r="B71" s="16" t="s">
        <v>6</v>
      </c>
      <c r="C71" s="16" t="s">
        <v>30</v>
      </c>
      <c r="D71" s="16" t="s">
        <v>41</v>
      </c>
      <c r="E71" s="124"/>
    </row>
    <row r="72" spans="1:5" ht="15" customHeight="1" x14ac:dyDescent="0.25">
      <c r="E72" s="14"/>
    </row>
    <row r="73" spans="1:5" ht="15" customHeight="1" x14ac:dyDescent="0.25">
      <c r="A73" s="39" t="s">
        <v>63</v>
      </c>
      <c r="B73" s="39">
        <f>+'I T'!E73</f>
        <v>467879266.04724652</v>
      </c>
      <c r="C73" s="39">
        <f>+'2 T'!E73</f>
        <v>587457703.04724646</v>
      </c>
      <c r="D73" s="39">
        <f>B73</f>
        <v>467879266.04724652</v>
      </c>
      <c r="E73" s="14"/>
    </row>
    <row r="74" spans="1:5" ht="15" customHeight="1" x14ac:dyDescent="0.25">
      <c r="A74" s="39" t="s">
        <v>16</v>
      </c>
      <c r="B74" s="39">
        <f>+'I T'!E74</f>
        <v>1257670923</v>
      </c>
      <c r="C74" s="39">
        <f>+'2 T'!E74</f>
        <v>1257670923</v>
      </c>
      <c r="D74" s="39">
        <f>+B74+C74</f>
        <v>2515341846</v>
      </c>
      <c r="E74" s="14"/>
    </row>
    <row r="75" spans="1:5" ht="15" customHeight="1" x14ac:dyDescent="0.25">
      <c r="A75" s="39" t="s">
        <v>17</v>
      </c>
      <c r="B75" s="39">
        <f>+'I T'!E75</f>
        <v>1725550189.0472465</v>
      </c>
      <c r="C75" s="39">
        <f>+'2 T'!E75</f>
        <v>1845128626.0472465</v>
      </c>
      <c r="D75" s="39">
        <f>+D73+D74</f>
        <v>2983221112.0472465</v>
      </c>
      <c r="E75" s="14"/>
    </row>
    <row r="76" spans="1:5" ht="15" customHeight="1" x14ac:dyDescent="0.25">
      <c r="A76" s="39" t="s">
        <v>18</v>
      </c>
      <c r="B76" s="39">
        <f>+'I T'!E76</f>
        <v>1138092486</v>
      </c>
      <c r="C76" s="39">
        <f>+'2 T'!E76</f>
        <v>1377259164.4000001</v>
      </c>
      <c r="D76" s="39">
        <f>+B76+C76</f>
        <v>2515351650.4000001</v>
      </c>
      <c r="E76" s="14"/>
    </row>
    <row r="77" spans="1:5" ht="15" customHeight="1" x14ac:dyDescent="0.25">
      <c r="A77" s="14" t="s">
        <v>19</v>
      </c>
      <c r="B77" s="14">
        <f>+'I T'!E77</f>
        <v>587457703.04724646</v>
      </c>
      <c r="C77" s="14">
        <f>+'2 T'!E77</f>
        <v>467869461.64724636</v>
      </c>
      <c r="D77" s="14">
        <f>+D75-D76</f>
        <v>467869461.64724636</v>
      </c>
      <c r="E77" s="14"/>
    </row>
    <row r="78" spans="1:5" ht="15" customHeight="1" thickBot="1" x14ac:dyDescent="0.3">
      <c r="A78" s="13"/>
      <c r="B78" s="13"/>
      <c r="C78" s="13"/>
      <c r="D78" s="13"/>
      <c r="E78" s="14"/>
    </row>
    <row r="79" spans="1:5" ht="15" customHeight="1" thickTop="1" x14ac:dyDescent="0.25">
      <c r="A79" s="38" t="s">
        <v>73</v>
      </c>
    </row>
    <row r="80" spans="1:5" ht="15" customHeight="1" x14ac:dyDescent="0.25">
      <c r="A80" s="38"/>
    </row>
    <row r="81" spans="1:5" ht="15" customHeight="1" x14ac:dyDescent="0.25">
      <c r="E81" s="18"/>
    </row>
    <row r="82" spans="1:5" ht="15" customHeight="1" x14ac:dyDescent="0.25">
      <c r="A82" s="144" t="s">
        <v>45</v>
      </c>
      <c r="B82" s="144"/>
      <c r="C82" s="144"/>
      <c r="D82" s="144"/>
      <c r="E82" s="18" t="s">
        <v>55</v>
      </c>
    </row>
    <row r="83" spans="1:5" x14ac:dyDescent="0.25">
      <c r="A83" s="144" t="s">
        <v>48</v>
      </c>
      <c r="B83" s="144"/>
      <c r="C83" s="144"/>
      <c r="D83" s="144"/>
      <c r="E83" s="18">
        <f>D74+D89</f>
        <v>6101393845.9899998</v>
      </c>
    </row>
    <row r="84" spans="1:5" x14ac:dyDescent="0.25">
      <c r="A84" s="143" t="s">
        <v>52</v>
      </c>
      <c r="B84" s="143"/>
      <c r="C84" s="143"/>
      <c r="D84" s="143"/>
      <c r="E84" s="18"/>
    </row>
    <row r="85" spans="1:5" x14ac:dyDescent="0.25">
      <c r="A85" s="142"/>
      <c r="B85" s="142"/>
      <c r="C85" s="142"/>
      <c r="D85" s="142"/>
    </row>
    <row r="86" spans="1:5" ht="15.75" thickBot="1" x14ac:dyDescent="0.3">
      <c r="A86" s="16" t="s">
        <v>10</v>
      </c>
      <c r="B86" s="16" t="s">
        <v>6</v>
      </c>
      <c r="C86" s="16" t="s">
        <v>30</v>
      </c>
      <c r="D86" s="16" t="s">
        <v>41</v>
      </c>
    </row>
    <row r="88" spans="1:5" x14ac:dyDescent="0.25">
      <c r="A88" s="39" t="s">
        <v>63</v>
      </c>
      <c r="B88" s="39">
        <f>+'I T'!E88</f>
        <v>248336197.74000001</v>
      </c>
      <c r="C88" s="39">
        <f>+'2 T'!E88</f>
        <v>546165019.51416659</v>
      </c>
      <c r="D88" s="39">
        <f>B88</f>
        <v>248336197.74000001</v>
      </c>
    </row>
    <row r="89" spans="1:5" x14ac:dyDescent="0.25">
      <c r="A89" s="39" t="s">
        <v>16</v>
      </c>
      <c r="B89" s="39">
        <f>+'I T'!E89</f>
        <v>1793026000</v>
      </c>
      <c r="C89" s="39">
        <f>+'2 T'!E89</f>
        <v>1793025999.9900002</v>
      </c>
      <c r="D89" s="39">
        <f>+B89+C89</f>
        <v>3586051999.9900002</v>
      </c>
    </row>
    <row r="90" spans="1:5" x14ac:dyDescent="0.25">
      <c r="A90" s="38" t="s">
        <v>78</v>
      </c>
      <c r="B90" s="39">
        <f>+'I T'!E90</f>
        <v>645499999.32999992</v>
      </c>
      <c r="C90" s="39">
        <f>+'2 T'!E90</f>
        <v>645500000.00999999</v>
      </c>
      <c r="D90" s="39">
        <f>+B90+C90</f>
        <v>1290999999.3399999</v>
      </c>
    </row>
    <row r="91" spans="1:5" x14ac:dyDescent="0.25">
      <c r="A91" s="39" t="s">
        <v>17</v>
      </c>
      <c r="B91" s="39">
        <f>+'I T'!E91</f>
        <v>2686862197.0699997</v>
      </c>
      <c r="C91" s="39">
        <f>+'2 T'!E91</f>
        <v>2984691019.5141668</v>
      </c>
      <c r="D91" s="39">
        <f>SUM(D88:D90)</f>
        <v>5125388197.0700006</v>
      </c>
    </row>
    <row r="92" spans="1:5" x14ac:dyDescent="0.25">
      <c r="A92" s="39" t="s">
        <v>18</v>
      </c>
      <c r="B92" s="39">
        <f>+'I T'!E92</f>
        <v>2140697177.5558331</v>
      </c>
      <c r="C92" s="39">
        <f>+'2 T'!E92</f>
        <v>2413532713.3358335</v>
      </c>
      <c r="D92" s="39">
        <f>+B92+C92</f>
        <v>4554229890.8916664</v>
      </c>
    </row>
    <row r="93" spans="1:5" x14ac:dyDescent="0.25">
      <c r="A93" s="14" t="s">
        <v>19</v>
      </c>
      <c r="B93" s="14">
        <f>+'I T'!E93</f>
        <v>546165019.51416659</v>
      </c>
      <c r="C93" s="14">
        <f>+'2 T'!E93</f>
        <v>571158306.17833328</v>
      </c>
      <c r="D93" s="14">
        <f>+D91-D92</f>
        <v>571158306.17833424</v>
      </c>
    </row>
    <row r="94" spans="1:5" ht="15.75" thickBot="1" x14ac:dyDescent="0.3">
      <c r="A94" s="13"/>
      <c r="B94" s="13"/>
      <c r="C94" s="13"/>
      <c r="D94" s="13"/>
    </row>
    <row r="95" spans="1:5" ht="15.75" thickTop="1" x14ac:dyDescent="0.25">
      <c r="A95" s="38" t="s">
        <v>73</v>
      </c>
    </row>
    <row r="96" spans="1:5" ht="30" x14ac:dyDescent="0.25">
      <c r="A96" s="38" t="s">
        <v>80</v>
      </c>
    </row>
    <row r="98" spans="1:1" x14ac:dyDescent="0.25">
      <c r="A98" s="41" t="s">
        <v>114</v>
      </c>
    </row>
  </sheetData>
  <mergeCells count="24">
    <mergeCell ref="A1:E1"/>
    <mergeCell ref="A13:A15"/>
    <mergeCell ref="A16:A18"/>
    <mergeCell ref="A32:E32"/>
    <mergeCell ref="A33:E33"/>
    <mergeCell ref="A34:E34"/>
    <mergeCell ref="A9:E9"/>
    <mergeCell ref="A83:D83"/>
    <mergeCell ref="A7:E7"/>
    <mergeCell ref="A8:E8"/>
    <mergeCell ref="A10:E10"/>
    <mergeCell ref="A54:D54"/>
    <mergeCell ref="A69:D69"/>
    <mergeCell ref="A68:E68"/>
    <mergeCell ref="A19:A21"/>
    <mergeCell ref="A85:D85"/>
    <mergeCell ref="A35:D35"/>
    <mergeCell ref="A52:D52"/>
    <mergeCell ref="A53:D53"/>
    <mergeCell ref="A55:D55"/>
    <mergeCell ref="A84:D84"/>
    <mergeCell ref="A67:D67"/>
    <mergeCell ref="A70:D70"/>
    <mergeCell ref="A82:D82"/>
  </mergeCells>
  <pageMargins left="0.7" right="0.7" top="0.75" bottom="0.75" header="0.3" footer="0.3"/>
  <ignoredErrors>
    <ignoredError sqref="E16:E24 D9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38"/>
  <sheetViews>
    <sheetView zoomScale="80" zoomScaleNormal="80" workbookViewId="0">
      <selection sqref="A1:E1"/>
    </sheetView>
  </sheetViews>
  <sheetFormatPr baseColWidth="10" defaultColWidth="11.5703125" defaultRowHeight="15" x14ac:dyDescent="0.25"/>
  <cols>
    <col min="1" max="1" width="64.85546875" style="39" customWidth="1"/>
    <col min="2" max="2" width="24.85546875" style="39" customWidth="1"/>
    <col min="3" max="3" width="25" style="39" customWidth="1"/>
    <col min="4" max="4" width="21.140625" style="39" customWidth="1"/>
    <col min="5" max="5" width="16.85546875" style="39" bestFit="1" customWidth="1"/>
    <col min="6" max="6" width="17.85546875" style="39" bestFit="1" customWidth="1"/>
    <col min="7" max="7" width="17.140625" style="39" customWidth="1"/>
    <col min="8" max="16384" width="11.5703125" style="39"/>
  </cols>
  <sheetData>
    <row r="1" spans="1:7" ht="15" customHeight="1" x14ac:dyDescent="0.25">
      <c r="A1" s="144" t="s">
        <v>20</v>
      </c>
      <c r="B1" s="144"/>
      <c r="C1" s="144"/>
      <c r="D1" s="144"/>
      <c r="E1" s="144"/>
    </row>
    <row r="2" spans="1:7" ht="15" customHeight="1" x14ac:dyDescent="0.25">
      <c r="A2" s="2" t="s">
        <v>0</v>
      </c>
      <c r="B2" s="17" t="s">
        <v>22</v>
      </c>
      <c r="C2" s="5"/>
      <c r="D2" s="5"/>
      <c r="E2" s="107"/>
    </row>
    <row r="3" spans="1:7" ht="15" customHeight="1" x14ac:dyDescent="0.25">
      <c r="A3" s="2" t="s">
        <v>1</v>
      </c>
      <c r="B3" s="17" t="s">
        <v>21</v>
      </c>
      <c r="C3" s="17"/>
      <c r="D3" s="17"/>
      <c r="E3" s="107"/>
    </row>
    <row r="4" spans="1:7" ht="15" customHeight="1" x14ac:dyDescent="0.25">
      <c r="A4" s="2" t="s">
        <v>11</v>
      </c>
      <c r="B4" s="5" t="s">
        <v>62</v>
      </c>
      <c r="C4" s="5"/>
      <c r="D4" s="5"/>
      <c r="E4" s="107"/>
    </row>
    <row r="5" spans="1:7" ht="15" customHeight="1" x14ac:dyDescent="0.25">
      <c r="A5" s="2" t="s">
        <v>2</v>
      </c>
      <c r="B5" s="126">
        <v>2018</v>
      </c>
      <c r="C5" s="5"/>
      <c r="D5" s="5"/>
      <c r="E5" s="107"/>
    </row>
    <row r="6" spans="1:7" ht="15" customHeight="1" x14ac:dyDescent="0.25"/>
    <row r="7" spans="1:7" ht="15" customHeight="1" x14ac:dyDescent="0.25">
      <c r="A7" s="144" t="s">
        <v>9</v>
      </c>
      <c r="B7" s="144"/>
      <c r="C7" s="144"/>
      <c r="D7" s="144"/>
      <c r="E7" s="144"/>
      <c r="F7" s="144"/>
      <c r="G7" s="144"/>
    </row>
    <row r="8" spans="1:7" ht="15" customHeight="1" x14ac:dyDescent="0.25">
      <c r="A8" s="144" t="s">
        <v>12</v>
      </c>
      <c r="B8" s="144"/>
      <c r="C8" s="144"/>
      <c r="D8" s="144"/>
      <c r="E8" s="144"/>
      <c r="F8" s="144"/>
      <c r="G8" s="144"/>
    </row>
    <row r="9" spans="1:7" ht="15" customHeight="1" x14ac:dyDescent="0.25">
      <c r="A9" s="143" t="s">
        <v>50</v>
      </c>
      <c r="B9" s="143"/>
      <c r="C9" s="143"/>
      <c r="D9" s="143"/>
      <c r="E9" s="143"/>
      <c r="F9" s="143"/>
      <c r="G9" s="143"/>
    </row>
    <row r="10" spans="1:7" ht="15" customHeight="1" x14ac:dyDescent="0.25">
      <c r="A10" s="142"/>
      <c r="B10" s="142"/>
      <c r="C10" s="142"/>
      <c r="D10" s="142"/>
      <c r="E10" s="142"/>
      <c r="F10" s="142"/>
      <c r="G10" s="142"/>
    </row>
    <row r="11" spans="1:7" ht="15" customHeight="1" thickBot="1" x14ac:dyDescent="0.3">
      <c r="A11" s="21" t="s">
        <v>65</v>
      </c>
      <c r="B11" s="16"/>
      <c r="C11" s="16" t="s">
        <v>6</v>
      </c>
      <c r="D11" s="16" t="s">
        <v>30</v>
      </c>
      <c r="E11" s="16" t="s">
        <v>35</v>
      </c>
      <c r="F11" s="16" t="s">
        <v>39</v>
      </c>
      <c r="G11" s="23" t="s">
        <v>68</v>
      </c>
    </row>
    <row r="12" spans="1:7" ht="15" customHeight="1" x14ac:dyDescent="0.25">
      <c r="F12" s="14"/>
    </row>
    <row r="13" spans="1:7" ht="15" customHeight="1" x14ac:dyDescent="0.25">
      <c r="A13" s="145" t="s">
        <v>23</v>
      </c>
      <c r="B13" s="7" t="s">
        <v>59</v>
      </c>
      <c r="C13" s="39">
        <f>+'I T'!F13</f>
        <v>269</v>
      </c>
      <c r="D13" s="39">
        <f>+'2 T'!F13</f>
        <v>103</v>
      </c>
      <c r="E13" s="39">
        <f>+'3 T'!F13</f>
        <v>189</v>
      </c>
      <c r="F13" s="14">
        <f>+'4 T'!F13</f>
        <v>43</v>
      </c>
      <c r="G13" s="24">
        <f>F13</f>
        <v>43</v>
      </c>
    </row>
    <row r="14" spans="1:7" ht="15" customHeight="1" x14ac:dyDescent="0.25">
      <c r="A14" s="145"/>
      <c r="B14" s="7" t="s">
        <v>60</v>
      </c>
      <c r="C14" s="39">
        <f>+'I T'!F14</f>
        <v>887.66666666666663</v>
      </c>
      <c r="D14" s="39">
        <f>+'2 T'!F14</f>
        <v>1637</v>
      </c>
      <c r="E14" s="39">
        <f>+'3 T'!F14</f>
        <v>1577.3333333333333</v>
      </c>
      <c r="F14" s="14">
        <f>+'4 T'!F14</f>
        <v>1580.3333333333333</v>
      </c>
      <c r="G14" s="24">
        <f t="shared" ref="G14:G27" si="0">+(+C14+D14+E14+F14)/4</f>
        <v>1420.5833333333333</v>
      </c>
    </row>
    <row r="15" spans="1:7" ht="15" customHeight="1" x14ac:dyDescent="0.25">
      <c r="A15" s="145"/>
      <c r="B15" s="7" t="s">
        <v>61</v>
      </c>
      <c r="C15" s="39">
        <f>+'I T'!F15</f>
        <v>688.66666666666663</v>
      </c>
      <c r="D15" s="39">
        <f>+'2 T'!F15</f>
        <v>163.33333333333334</v>
      </c>
      <c r="E15" s="39">
        <f>+'3 T'!F15</f>
        <v>85</v>
      </c>
      <c r="F15" s="14">
        <f>+'4 T'!F15</f>
        <v>631.33333333333337</v>
      </c>
      <c r="G15" s="24">
        <f t="shared" si="0"/>
        <v>392.08333333333337</v>
      </c>
    </row>
    <row r="16" spans="1:7" ht="15" customHeight="1" x14ac:dyDescent="0.25">
      <c r="A16" s="145" t="s">
        <v>24</v>
      </c>
      <c r="B16" s="7" t="s">
        <v>59</v>
      </c>
      <c r="C16" s="39">
        <f>+'I T'!F16</f>
        <v>673</v>
      </c>
      <c r="D16" s="39">
        <f>+'2 T'!F16</f>
        <v>423</v>
      </c>
      <c r="E16" s="39">
        <f>+'3 T'!F16</f>
        <v>81</v>
      </c>
      <c r="F16" s="14">
        <f>+'4 T'!F16</f>
        <v>0</v>
      </c>
      <c r="G16" s="24">
        <f>F16</f>
        <v>0</v>
      </c>
    </row>
    <row r="17" spans="1:7" ht="15" customHeight="1" x14ac:dyDescent="0.25">
      <c r="A17" s="145"/>
      <c r="B17" s="7" t="s">
        <v>60</v>
      </c>
      <c r="C17" s="39">
        <f>+'I T'!F17</f>
        <v>586.66666666666663</v>
      </c>
      <c r="D17" s="39">
        <f>+'2 T'!F17</f>
        <v>1015.3333333333334</v>
      </c>
      <c r="E17" s="39">
        <f>+'3 T'!F17</f>
        <v>1114.3333333333333</v>
      </c>
      <c r="F17" s="14">
        <f>+'4 T'!F17</f>
        <v>747.66666666666663</v>
      </c>
      <c r="G17" s="24">
        <f t="shared" si="0"/>
        <v>865.99999999999989</v>
      </c>
    </row>
    <row r="18" spans="1:7" ht="15" customHeight="1" x14ac:dyDescent="0.25">
      <c r="A18" s="145"/>
      <c r="B18" s="7" t="s">
        <v>61</v>
      </c>
      <c r="C18" s="39">
        <f>+'I T'!F18</f>
        <v>369.33333333333331</v>
      </c>
      <c r="D18" s="39">
        <f>+'2 T'!F18</f>
        <v>274.66666666666669</v>
      </c>
      <c r="E18" s="39">
        <f>+'3 T'!F18</f>
        <v>180</v>
      </c>
      <c r="F18" s="14">
        <f>+'4 T'!F18</f>
        <v>443.33333333333331</v>
      </c>
      <c r="G18" s="24">
        <f t="shared" si="0"/>
        <v>316.83333333333331</v>
      </c>
    </row>
    <row r="19" spans="1:7" ht="15" customHeight="1" x14ac:dyDescent="0.25">
      <c r="A19" s="146" t="s">
        <v>25</v>
      </c>
      <c r="B19" s="7" t="s">
        <v>59</v>
      </c>
      <c r="C19" s="39">
        <f>+'I T'!F19</f>
        <v>1272</v>
      </c>
      <c r="D19" s="39">
        <f>+'2 T'!F19</f>
        <v>486</v>
      </c>
      <c r="E19" s="39">
        <f>+'3 T'!F19</f>
        <v>1753</v>
      </c>
      <c r="F19" s="14">
        <f>+'4 T'!F19</f>
        <v>778</v>
      </c>
      <c r="G19" s="24">
        <f>F19</f>
        <v>778</v>
      </c>
    </row>
    <row r="20" spans="1:7" ht="15" customHeight="1" x14ac:dyDescent="0.25">
      <c r="A20" s="146"/>
      <c r="B20" s="7" t="s">
        <v>60</v>
      </c>
      <c r="C20" s="39">
        <f>+'I T'!F20</f>
        <v>3151.6666666666665</v>
      </c>
      <c r="D20" s="39">
        <f>+'2 T'!F20</f>
        <v>9813.6666666666661</v>
      </c>
      <c r="E20" s="39">
        <f>+'3 T'!F20</f>
        <v>9350.3333333333339</v>
      </c>
      <c r="F20" s="14">
        <f>+'4 T'!F20</f>
        <v>6879</v>
      </c>
      <c r="G20" s="39">
        <f t="shared" si="0"/>
        <v>7298.6666666666661</v>
      </c>
    </row>
    <row r="21" spans="1:7" ht="15" customHeight="1" x14ac:dyDescent="0.25">
      <c r="A21" s="146"/>
      <c r="B21" s="7" t="s">
        <v>61</v>
      </c>
      <c r="C21" s="39">
        <f>+'I T'!F21</f>
        <v>6229</v>
      </c>
      <c r="D21" s="39">
        <f>+'2 T'!F21</f>
        <v>703.33333333333337</v>
      </c>
      <c r="E21" s="39">
        <f>+'3 T'!F21</f>
        <v>694</v>
      </c>
      <c r="F21" s="14">
        <f>+'4 T'!F21</f>
        <v>4212.666666666667</v>
      </c>
      <c r="G21" s="39">
        <f t="shared" si="0"/>
        <v>2959.75</v>
      </c>
    </row>
    <row r="22" spans="1:7" ht="15" customHeight="1" x14ac:dyDescent="0.25">
      <c r="A22" s="104" t="s">
        <v>76</v>
      </c>
      <c r="B22" s="35" t="s">
        <v>59</v>
      </c>
      <c r="C22" s="116">
        <f>+'I T'!F22</f>
        <v>0</v>
      </c>
      <c r="D22" s="116">
        <f>+'2 T'!F22</f>
        <v>0</v>
      </c>
      <c r="E22" s="116">
        <f>+'3 T'!F22</f>
        <v>46</v>
      </c>
      <c r="F22" s="127">
        <f>+'4 T'!F22</f>
        <v>0</v>
      </c>
      <c r="G22" s="116">
        <f>F22</f>
        <v>0</v>
      </c>
    </row>
    <row r="23" spans="1:7" ht="15" customHeight="1" x14ac:dyDescent="0.25">
      <c r="A23" s="36"/>
      <c r="B23" s="35" t="s">
        <v>60</v>
      </c>
      <c r="C23" s="116">
        <f>+'I T'!F23</f>
        <v>129.33333333333334</v>
      </c>
      <c r="D23" s="116">
        <f>+'2 T'!F23</f>
        <v>361.33333333333331</v>
      </c>
      <c r="E23" s="116">
        <f>+'3 T'!F23</f>
        <v>442.33333333333331</v>
      </c>
      <c r="F23" s="127">
        <f>+'4 T'!F23</f>
        <v>393</v>
      </c>
      <c r="G23" s="116">
        <f>+(+C23+D23+E23+F23)</f>
        <v>1326</v>
      </c>
    </row>
    <row r="24" spans="1:7" ht="15" customHeight="1" x14ac:dyDescent="0.25">
      <c r="A24" s="36"/>
      <c r="B24" s="35" t="s">
        <v>61</v>
      </c>
      <c r="C24" s="116">
        <f>+'I T'!F24</f>
        <v>259.33333333333331</v>
      </c>
      <c r="D24" s="116">
        <f>+'2 T'!F24</f>
        <v>25</v>
      </c>
      <c r="E24" s="116">
        <f>+'3 T'!F24</f>
        <v>157.5</v>
      </c>
      <c r="F24" s="127">
        <f>+'4 T'!F24</f>
        <v>213</v>
      </c>
      <c r="G24" s="116">
        <f>+(+C24+D24+E24+F24)</f>
        <v>654.83333333333326</v>
      </c>
    </row>
    <row r="25" spans="1:7" ht="15" customHeight="1" x14ac:dyDescent="0.25">
      <c r="A25" s="34"/>
      <c r="B25" s="7"/>
      <c r="F25" s="14"/>
    </row>
    <row r="26" spans="1:7" ht="15" customHeight="1" x14ac:dyDescent="0.25">
      <c r="A26" s="107"/>
      <c r="F26" s="14"/>
      <c r="G26" s="39">
        <f>+(+C26+D26+E26+F26)/4</f>
        <v>0</v>
      </c>
    </row>
    <row r="27" spans="1:7" ht="15" customHeight="1" thickBot="1" x14ac:dyDescent="0.3">
      <c r="A27" s="13" t="s">
        <v>13</v>
      </c>
      <c r="B27" s="13" t="s">
        <v>51</v>
      </c>
      <c r="C27" s="13">
        <f>+C14+C15+C17+C18+C20+C21+C23+C24</f>
        <v>12301.666666666668</v>
      </c>
      <c r="D27" s="13">
        <f>+D14+D15+D17+D18+D20+D21+D23+D24</f>
        <v>13993.666666666668</v>
      </c>
      <c r="E27" s="13">
        <f>+E14+E15+E17+E18+E20+E21+E23+E24</f>
        <v>13600.833333333334</v>
      </c>
      <c r="F27" s="13">
        <f>+F14+F15+F17+F18+F20+F21+F23+F24</f>
        <v>15100.333333333332</v>
      </c>
      <c r="G27" s="13">
        <f t="shared" si="0"/>
        <v>13749.125</v>
      </c>
    </row>
    <row r="28" spans="1:7" ht="15" customHeight="1" thickTop="1" x14ac:dyDescent="0.25">
      <c r="A28" s="22" t="s">
        <v>67</v>
      </c>
      <c r="B28" s="14"/>
      <c r="C28" s="14"/>
      <c r="D28" s="14"/>
      <c r="E28" s="14"/>
      <c r="F28" s="14"/>
    </row>
    <row r="29" spans="1:7" ht="15" customHeight="1" x14ac:dyDescent="0.25">
      <c r="A29" s="38" t="s">
        <v>73</v>
      </c>
    </row>
    <row r="30" spans="1:7" ht="15" customHeight="1" x14ac:dyDescent="0.25">
      <c r="A30" s="38"/>
    </row>
    <row r="31" spans="1:7" ht="15" customHeight="1" x14ac:dyDescent="0.25">
      <c r="A31" s="38"/>
    </row>
    <row r="32" spans="1:7" ht="15" customHeight="1" x14ac:dyDescent="0.25">
      <c r="A32" s="143" t="s">
        <v>14</v>
      </c>
      <c r="B32" s="143"/>
      <c r="C32" s="143"/>
      <c r="D32" s="143"/>
      <c r="E32" s="143"/>
      <c r="F32" s="143"/>
    </row>
    <row r="33" spans="1:7" ht="15" customHeight="1" x14ac:dyDescent="0.25">
      <c r="A33" s="144" t="s">
        <v>31</v>
      </c>
      <c r="B33" s="144"/>
      <c r="C33" s="144"/>
      <c r="D33" s="144"/>
      <c r="E33" s="144"/>
      <c r="F33" s="144"/>
    </row>
    <row r="34" spans="1:7" ht="15" customHeight="1" x14ac:dyDescent="0.25">
      <c r="A34" s="143" t="s">
        <v>52</v>
      </c>
      <c r="B34" s="143"/>
      <c r="C34" s="143"/>
      <c r="D34" s="143"/>
      <c r="E34" s="143"/>
      <c r="F34" s="143"/>
      <c r="G34" s="143"/>
    </row>
    <row r="35" spans="1:7" ht="15" customHeight="1" x14ac:dyDescent="0.25">
      <c r="A35" s="142"/>
      <c r="B35" s="142"/>
      <c r="C35" s="142"/>
      <c r="D35" s="142"/>
      <c r="E35" s="142"/>
      <c r="F35" s="142"/>
    </row>
    <row r="36" spans="1:7" ht="15" customHeight="1" thickBot="1" x14ac:dyDescent="0.3">
      <c r="A36" s="21" t="s">
        <v>65</v>
      </c>
      <c r="B36" s="12"/>
      <c r="C36" s="12" t="s">
        <v>6</v>
      </c>
      <c r="D36" s="12" t="s">
        <v>30</v>
      </c>
      <c r="E36" s="12" t="s">
        <v>35</v>
      </c>
      <c r="F36" s="12" t="s">
        <v>39</v>
      </c>
      <c r="G36" s="12" t="s">
        <v>40</v>
      </c>
    </row>
    <row r="37" spans="1:7" ht="15" customHeight="1" x14ac:dyDescent="0.25"/>
    <row r="38" spans="1:7" ht="15" customHeight="1" x14ac:dyDescent="0.25">
      <c r="A38" s="107" t="s">
        <v>23</v>
      </c>
      <c r="B38" s="39" t="s">
        <v>57</v>
      </c>
      <c r="C38" s="39">
        <f>+'I T'!F38</f>
        <v>489984266</v>
      </c>
      <c r="D38" s="39">
        <f>+'2 T'!F38</f>
        <v>914112356</v>
      </c>
      <c r="E38" s="39">
        <f>+'3 T'!F38</f>
        <v>892100645</v>
      </c>
      <c r="F38" s="39">
        <f>+'4 T'!F38</f>
        <v>667754414.40666664</v>
      </c>
      <c r="G38" s="39">
        <f t="shared" ref="G38:G45" si="1">SUM(C38:F38)</f>
        <v>2963951681.4066668</v>
      </c>
    </row>
    <row r="39" spans="1:7" ht="15" customHeight="1" x14ac:dyDescent="0.25">
      <c r="A39" s="107"/>
      <c r="B39" s="39" t="s">
        <v>56</v>
      </c>
      <c r="C39" s="39">
        <f>+'I T'!F39</f>
        <v>428780972</v>
      </c>
      <c r="D39" s="39">
        <f>+'2 T'!F39</f>
        <v>88046844</v>
      </c>
      <c r="E39" s="39">
        <f>+'3 T'!F39</f>
        <v>51002745</v>
      </c>
      <c r="F39" s="39">
        <f>+'4 T'!F39</f>
        <v>397585899.20333332</v>
      </c>
      <c r="G39" s="39">
        <f t="shared" si="1"/>
        <v>965416460.20333338</v>
      </c>
    </row>
    <row r="40" spans="1:7" ht="15" customHeight="1" x14ac:dyDescent="0.25">
      <c r="A40" s="107" t="s">
        <v>24</v>
      </c>
      <c r="B40" s="39" t="s">
        <v>57</v>
      </c>
      <c r="C40" s="39">
        <f>+'I T'!F40</f>
        <v>129706584</v>
      </c>
      <c r="D40" s="39">
        <f>+'2 T'!F40</f>
        <v>306766568.50999999</v>
      </c>
      <c r="E40" s="39">
        <f>+'3 T'!F40</f>
        <v>385769711.80000001</v>
      </c>
      <c r="F40" s="39">
        <f>+'4 T'!F40</f>
        <v>318641779.51000005</v>
      </c>
      <c r="G40" s="39">
        <f t="shared" si="1"/>
        <v>1140884643.8199999</v>
      </c>
    </row>
    <row r="41" spans="1:7" ht="15" customHeight="1" x14ac:dyDescent="0.25">
      <c r="A41" s="107"/>
      <c r="B41" s="39" t="s">
        <v>56</v>
      </c>
      <c r="C41" s="39">
        <f>+'I T'!F41</f>
        <v>89620664</v>
      </c>
      <c r="D41" s="39">
        <f>+'2 T'!F41</f>
        <v>68333395.890000001</v>
      </c>
      <c r="E41" s="39">
        <f>+'3 T'!F41</f>
        <v>52193125.829999998</v>
      </c>
      <c r="F41" s="39">
        <f>+'4 T'!F41</f>
        <v>210825747.29999998</v>
      </c>
      <c r="G41" s="39">
        <f t="shared" si="1"/>
        <v>420972933.01999998</v>
      </c>
    </row>
    <row r="42" spans="1:7" ht="15" customHeight="1" x14ac:dyDescent="0.25">
      <c r="A42" s="147" t="s">
        <v>25</v>
      </c>
      <c r="B42" s="39" t="s">
        <v>57</v>
      </c>
      <c r="C42" s="39">
        <f>+'I T'!F42</f>
        <v>517392462.31</v>
      </c>
      <c r="D42" s="39">
        <f>+'2 T'!F42</f>
        <v>1659405092.4200001</v>
      </c>
      <c r="E42" s="39">
        <f>+'3 T'!F42</f>
        <v>1757225764.6900001</v>
      </c>
      <c r="F42" s="39">
        <f>+'4 T'!F42</f>
        <v>1499896812.4200001</v>
      </c>
      <c r="G42" s="39">
        <f t="shared" si="1"/>
        <v>5433920131.8400002</v>
      </c>
    </row>
    <row r="43" spans="1:7" ht="15" customHeight="1" x14ac:dyDescent="0.25">
      <c r="A43" s="147"/>
      <c r="B43" s="39" t="s">
        <v>56</v>
      </c>
      <c r="C43" s="39">
        <f>+'I T'!F43</f>
        <v>1063304715.2458332</v>
      </c>
      <c r="D43" s="39">
        <f>+'2 T'!F43</f>
        <v>202427620.91583332</v>
      </c>
      <c r="E43" s="39">
        <f>+'3 T'!F43</f>
        <v>430181159.48000002</v>
      </c>
      <c r="F43" s="39">
        <f>+'4 T'!F43</f>
        <v>865376944.26000023</v>
      </c>
      <c r="G43" s="39">
        <f t="shared" si="1"/>
        <v>2561290439.9016666</v>
      </c>
    </row>
    <row r="44" spans="1:7" ht="15" customHeight="1" x14ac:dyDescent="0.25">
      <c r="A44" s="108" t="s">
        <v>76</v>
      </c>
      <c r="B44" s="19" t="s">
        <v>57</v>
      </c>
      <c r="C44" s="39">
        <f>+'I T'!F44</f>
        <v>185500000</v>
      </c>
      <c r="D44" s="39">
        <f>+'2 T'!F44</f>
        <v>514050000</v>
      </c>
      <c r="E44" s="39">
        <f>+'3 T'!F44</f>
        <v>668488570.5</v>
      </c>
      <c r="F44" s="39">
        <f>+'4 T'!F44</f>
        <v>2504085141.02</v>
      </c>
      <c r="G44" s="39">
        <f t="shared" si="1"/>
        <v>3872123711.52</v>
      </c>
    </row>
    <row r="45" spans="1:7" ht="15" customHeight="1" x14ac:dyDescent="0.25">
      <c r="A45" s="108"/>
      <c r="B45" s="19" t="s">
        <v>56</v>
      </c>
      <c r="C45" s="39">
        <f>+'I T'!F45</f>
        <v>374500000</v>
      </c>
      <c r="D45" s="39">
        <f>+'2 T'!F45</f>
        <v>37650000</v>
      </c>
      <c r="E45" s="39">
        <f>+'3 T'!F45</f>
        <v>296408570.5</v>
      </c>
      <c r="F45" s="39">
        <f>+'4 T'!F45</f>
        <v>373278000</v>
      </c>
      <c r="G45" s="39">
        <f t="shared" si="1"/>
        <v>1081836570.5</v>
      </c>
    </row>
    <row r="46" spans="1:7" ht="15" customHeight="1" thickBot="1" x14ac:dyDescent="0.3">
      <c r="A46" s="13" t="s">
        <v>13</v>
      </c>
      <c r="B46" s="13"/>
      <c r="C46" s="13">
        <f>SUM(C38:C45)</f>
        <v>3278789663.5558329</v>
      </c>
      <c r="D46" s="13">
        <f>SUM(D38:D45)</f>
        <v>3790791877.7358336</v>
      </c>
      <c r="E46" s="13">
        <f>SUM(E38:E45)</f>
        <v>4533370292.7999992</v>
      </c>
      <c r="F46" s="13">
        <f>SUM(F38:F45)</f>
        <v>6837444738.1200008</v>
      </c>
      <c r="G46" s="13">
        <f>SUM(G38:G45)</f>
        <v>18440396572.211666</v>
      </c>
    </row>
    <row r="47" spans="1:7" ht="15" customHeight="1" thickTop="1" x14ac:dyDescent="0.25">
      <c r="A47" s="14" t="s">
        <v>42</v>
      </c>
    </row>
    <row r="48" spans="1:7" ht="15" customHeight="1" x14ac:dyDescent="0.25">
      <c r="A48" s="38" t="s">
        <v>73</v>
      </c>
    </row>
    <row r="49" spans="1:7" ht="15" customHeight="1" x14ac:dyDescent="0.25">
      <c r="A49" s="38"/>
    </row>
    <row r="50" spans="1:7" ht="15" customHeight="1" x14ac:dyDescent="0.25">
      <c r="A50" s="38"/>
    </row>
    <row r="51" spans="1:7" ht="15" customHeight="1" x14ac:dyDescent="0.25"/>
    <row r="52" spans="1:7" ht="15" customHeight="1" x14ac:dyDescent="0.25">
      <c r="A52" s="143" t="s">
        <v>15</v>
      </c>
      <c r="B52" s="143"/>
      <c r="C52" s="143"/>
      <c r="D52" s="143"/>
      <c r="E52" s="143"/>
      <c r="F52" s="143"/>
    </row>
    <row r="53" spans="1:7" ht="15" customHeight="1" x14ac:dyDescent="0.25">
      <c r="A53" s="144" t="s">
        <v>46</v>
      </c>
      <c r="B53" s="144"/>
      <c r="C53" s="144"/>
      <c r="D53" s="144"/>
      <c r="E53" s="144"/>
      <c r="F53" s="144"/>
    </row>
    <row r="54" spans="1:7" ht="15" customHeight="1" x14ac:dyDescent="0.25">
      <c r="A54" s="143" t="s">
        <v>52</v>
      </c>
      <c r="B54" s="143"/>
      <c r="C54" s="143"/>
      <c r="D54" s="143"/>
      <c r="E54" s="143"/>
      <c r="F54" s="143"/>
      <c r="G54" s="75"/>
    </row>
    <row r="55" spans="1:7" ht="15" customHeight="1" x14ac:dyDescent="0.25">
      <c r="A55" s="142"/>
      <c r="B55" s="142"/>
      <c r="C55" s="142"/>
      <c r="D55" s="142"/>
      <c r="E55" s="142"/>
      <c r="F55" s="142"/>
      <c r="G55" s="14"/>
    </row>
    <row r="56" spans="1:7" ht="15" customHeight="1" thickBot="1" x14ac:dyDescent="0.3">
      <c r="A56" s="16" t="s">
        <v>10</v>
      </c>
      <c r="B56" s="16" t="s">
        <v>6</v>
      </c>
      <c r="C56" s="16" t="s">
        <v>30</v>
      </c>
      <c r="D56" s="16" t="s">
        <v>35</v>
      </c>
      <c r="E56" s="16" t="s">
        <v>39</v>
      </c>
      <c r="F56" s="16" t="s">
        <v>40</v>
      </c>
    </row>
    <row r="57" spans="1:7" ht="15" customHeight="1" x14ac:dyDescent="0.25"/>
    <row r="58" spans="1:7" ht="15" customHeight="1" x14ac:dyDescent="0.25">
      <c r="A58" s="39" t="s">
        <v>26</v>
      </c>
      <c r="B58" s="39">
        <f>+'I T'!E58</f>
        <v>1138092486</v>
      </c>
      <c r="C58" s="39">
        <f>+'2 T'!E58</f>
        <v>1377259164.4000001</v>
      </c>
      <c r="D58" s="39">
        <f>+'3 T'!E58</f>
        <v>1381066227.6300001</v>
      </c>
      <c r="E58" s="39">
        <f>+'4 T'!E58</f>
        <v>1594807840.4200001</v>
      </c>
      <c r="F58" s="39">
        <f>SUM(B58:E58)</f>
        <v>5491225718.4500008</v>
      </c>
    </row>
    <row r="59" spans="1:7" ht="15" customHeight="1" x14ac:dyDescent="0.25">
      <c r="A59" s="39" t="s">
        <v>43</v>
      </c>
      <c r="B59" s="39">
        <f>+'I T'!E59</f>
        <v>1580697177.5558331</v>
      </c>
      <c r="C59" s="39">
        <f>+'2 T'!E59</f>
        <v>1861832713.3358335</v>
      </c>
      <c r="D59" s="39">
        <f>+'3 T'!E59</f>
        <v>2187406924.1700001</v>
      </c>
      <c r="E59" s="39">
        <f>+'4 T'!E59</f>
        <v>2365273756.6800003</v>
      </c>
      <c r="F59" s="39">
        <f>SUM(B59:E59)</f>
        <v>7995210571.7416668</v>
      </c>
    </row>
    <row r="60" spans="1:7" ht="15" customHeight="1" x14ac:dyDescent="0.25">
      <c r="A60" s="39" t="s">
        <v>86</v>
      </c>
      <c r="B60" s="39">
        <f>+'I T'!E60</f>
        <v>560000000</v>
      </c>
      <c r="C60" s="39">
        <f>+'2 T'!E60</f>
        <v>551700000</v>
      </c>
      <c r="D60" s="39">
        <f>+'3 T'!E60</f>
        <v>964897141</v>
      </c>
      <c r="E60" s="39">
        <f>+'4 T'!E60</f>
        <v>2877363141.02</v>
      </c>
      <c r="F60" s="39">
        <f>SUM(B60:E60)</f>
        <v>4953960282.0200005</v>
      </c>
    </row>
    <row r="61" spans="1:7" ht="15" customHeight="1" x14ac:dyDescent="0.25"/>
    <row r="62" spans="1:7" ht="15" customHeight="1" x14ac:dyDescent="0.25"/>
    <row r="63" spans="1:7" ht="15" customHeight="1" thickBot="1" x14ac:dyDescent="0.3">
      <c r="A63" s="13" t="s">
        <v>13</v>
      </c>
      <c r="B63" s="13">
        <f>SUM(B58:B62)</f>
        <v>3278789663.5558329</v>
      </c>
      <c r="C63" s="13">
        <f>SUM(C58:C62)</f>
        <v>3790791877.7358336</v>
      </c>
      <c r="D63" s="13">
        <f>SUM(D58:D62)</f>
        <v>4533370292.8000002</v>
      </c>
      <c r="E63" s="13">
        <f>SUM(E58:E62)</f>
        <v>6837444738.1200008</v>
      </c>
      <c r="F63" s="13">
        <f>SUM(F58:F62)</f>
        <v>18440396572.21167</v>
      </c>
    </row>
    <row r="64" spans="1:7" ht="15" customHeight="1" thickTop="1" x14ac:dyDescent="0.25">
      <c r="A64" s="38" t="s">
        <v>73</v>
      </c>
    </row>
    <row r="65" spans="1:7" ht="15" customHeight="1" x14ac:dyDescent="0.25">
      <c r="A65" s="38"/>
    </row>
    <row r="66" spans="1:7" ht="15" customHeight="1" x14ac:dyDescent="0.25"/>
    <row r="67" spans="1:7" ht="15" customHeight="1" x14ac:dyDescent="0.25">
      <c r="A67" s="144" t="s">
        <v>44</v>
      </c>
      <c r="B67" s="144"/>
      <c r="C67" s="144"/>
      <c r="D67" s="144"/>
      <c r="E67" s="144"/>
      <c r="F67" s="144"/>
    </row>
    <row r="68" spans="1:7" ht="15" customHeight="1" x14ac:dyDescent="0.25">
      <c r="A68" s="134" t="s">
        <v>79</v>
      </c>
      <c r="B68" s="134"/>
      <c r="C68" s="134"/>
      <c r="D68" s="134"/>
      <c r="E68" s="134"/>
      <c r="F68" s="134"/>
    </row>
    <row r="69" spans="1:7" ht="15" customHeight="1" x14ac:dyDescent="0.25">
      <c r="A69" s="143" t="s">
        <v>52</v>
      </c>
      <c r="B69" s="143"/>
      <c r="C69" s="143"/>
      <c r="D69" s="143"/>
      <c r="E69" s="143"/>
      <c r="F69" s="143"/>
    </row>
    <row r="70" spans="1:7" ht="15" customHeight="1" x14ac:dyDescent="0.25">
      <c r="A70" s="74"/>
      <c r="B70" s="74"/>
      <c r="C70" s="74"/>
      <c r="D70" s="74"/>
      <c r="E70" s="74"/>
      <c r="F70" s="74"/>
      <c r="G70" s="74"/>
    </row>
    <row r="71" spans="1:7" ht="15" customHeight="1" thickBot="1" x14ac:dyDescent="0.3">
      <c r="A71" s="16" t="s">
        <v>10</v>
      </c>
      <c r="B71" s="16" t="s">
        <v>6</v>
      </c>
      <c r="C71" s="16" t="s">
        <v>30</v>
      </c>
      <c r="D71" s="16" t="s">
        <v>35</v>
      </c>
      <c r="E71" s="16" t="s">
        <v>39</v>
      </c>
      <c r="F71" s="16" t="s">
        <v>40</v>
      </c>
      <c r="G71" s="16" t="s">
        <v>40</v>
      </c>
    </row>
    <row r="72" spans="1:7" ht="15" customHeight="1" x14ac:dyDescent="0.25"/>
    <row r="73" spans="1:7" ht="15" customHeight="1" x14ac:dyDescent="0.25">
      <c r="A73" s="39" t="s">
        <v>63</v>
      </c>
      <c r="B73" s="39">
        <f>+'I T'!E73</f>
        <v>467879266.04724652</v>
      </c>
      <c r="C73" s="39">
        <f>+'2 T'!E73</f>
        <v>587457703.04724646</v>
      </c>
      <c r="D73" s="39">
        <f>+'3 T'!E73</f>
        <v>467869461.64724636</v>
      </c>
      <c r="E73" s="39">
        <f>+'4 T'!E73</f>
        <v>356683580.79724622</v>
      </c>
      <c r="F73" s="39">
        <f>B73++(12199374.83+10048.95)</f>
        <v>480088689.82724649</v>
      </c>
    </row>
    <row r="74" spans="1:7" ht="15" customHeight="1" x14ac:dyDescent="0.25">
      <c r="A74" s="39" t="s">
        <v>16</v>
      </c>
      <c r="B74" s="39">
        <f>+'I T'!E74</f>
        <v>1257670923</v>
      </c>
      <c r="C74" s="39">
        <f>+'2 T'!E74</f>
        <v>1257670923</v>
      </c>
      <c r="D74" s="39">
        <f>+'3 T'!E74</f>
        <v>1257670923</v>
      </c>
      <c r="E74" s="39">
        <f>+'4 T'!E74</f>
        <v>1257670923</v>
      </c>
      <c r="F74" s="117">
        <f>SUM(B74:E74)</f>
        <v>5030683692</v>
      </c>
    </row>
    <row r="75" spans="1:7" ht="15" customHeight="1" x14ac:dyDescent="0.25">
      <c r="A75" s="39" t="s">
        <v>17</v>
      </c>
      <c r="B75" s="39">
        <f>+'I T'!E75</f>
        <v>1725550189.0472465</v>
      </c>
      <c r="C75" s="39">
        <f>+'2 T'!E75</f>
        <v>1845128626.0472465</v>
      </c>
      <c r="D75" s="39">
        <f>+'3 T'!E75</f>
        <v>1725540384.6472464</v>
      </c>
      <c r="E75" s="39">
        <f>+'4 T'!E75</f>
        <v>1614354503.7972462</v>
      </c>
      <c r="F75" s="39">
        <f>SUM(F73:F74)</f>
        <v>5510772381.8272467</v>
      </c>
    </row>
    <row r="76" spans="1:7" ht="15" customHeight="1" x14ac:dyDescent="0.25">
      <c r="A76" s="39" t="s">
        <v>18</v>
      </c>
      <c r="B76" s="39">
        <f>+'I T'!E76</f>
        <v>1138092486</v>
      </c>
      <c r="C76" s="39">
        <f>+'2 T'!E76</f>
        <v>1377259164.4000001</v>
      </c>
      <c r="D76" s="39">
        <f>+'3 T'!E76</f>
        <v>1381066227.6300001</v>
      </c>
      <c r="E76" s="39">
        <f>+'4 T'!E76</f>
        <v>1594807840.4200001</v>
      </c>
      <c r="F76" s="39">
        <f>SUM(B76:E76)</f>
        <v>5491225718.4500008</v>
      </c>
    </row>
    <row r="77" spans="1:7" ht="15" customHeight="1" x14ac:dyDescent="0.25">
      <c r="A77" s="14" t="s">
        <v>19</v>
      </c>
      <c r="B77" s="14">
        <f>+'I T'!E77</f>
        <v>587457703.04724646</v>
      </c>
      <c r="C77" s="14">
        <f>+'2 T'!E77</f>
        <v>467869461.64724636</v>
      </c>
      <c r="D77" s="14">
        <f>+'3 T'!E77</f>
        <v>344474157.01724625</v>
      </c>
      <c r="E77" s="14">
        <f>+'4 T'!E77</f>
        <v>19546663.377246141</v>
      </c>
      <c r="F77" s="14">
        <f>+F75-F76</f>
        <v>19546663.377245903</v>
      </c>
      <c r="G77" s="40"/>
    </row>
    <row r="78" spans="1:7" ht="15" customHeight="1" thickBot="1" x14ac:dyDescent="0.3">
      <c r="A78" s="13"/>
      <c r="B78" s="13"/>
      <c r="C78" s="13"/>
      <c r="D78" s="13"/>
      <c r="E78" s="13"/>
      <c r="F78" s="13"/>
    </row>
    <row r="79" spans="1:7" ht="15" customHeight="1" thickTop="1" x14ac:dyDescent="0.25">
      <c r="A79" s="38" t="s">
        <v>73</v>
      </c>
    </row>
    <row r="80" spans="1:7" ht="15" customHeight="1" x14ac:dyDescent="0.25">
      <c r="A80" s="38"/>
    </row>
    <row r="81" spans="1:7" ht="15" customHeight="1" x14ac:dyDescent="0.25"/>
    <row r="82" spans="1:7" x14ac:dyDescent="0.25">
      <c r="A82" s="144" t="s">
        <v>45</v>
      </c>
      <c r="B82" s="144"/>
      <c r="C82" s="144"/>
      <c r="D82" s="144"/>
      <c r="E82" s="144"/>
      <c r="F82" s="144"/>
      <c r="G82" s="18" t="s">
        <v>55</v>
      </c>
    </row>
    <row r="83" spans="1:7" x14ac:dyDescent="0.25">
      <c r="A83" s="144" t="s">
        <v>48</v>
      </c>
      <c r="B83" s="144"/>
      <c r="C83" s="144"/>
      <c r="D83" s="144"/>
      <c r="E83" s="144"/>
      <c r="F83" s="144"/>
      <c r="G83" s="18">
        <f>F74+F89+F90</f>
        <v>18027593060.119999</v>
      </c>
    </row>
    <row r="84" spans="1:7" x14ac:dyDescent="0.25">
      <c r="A84" s="143" t="s">
        <v>52</v>
      </c>
      <c r="B84" s="143"/>
      <c r="C84" s="143"/>
      <c r="D84" s="143"/>
      <c r="E84" s="143"/>
      <c r="F84" s="143"/>
      <c r="G84" s="18"/>
    </row>
    <row r="85" spans="1:7" x14ac:dyDescent="0.25">
      <c r="A85" s="142"/>
      <c r="B85" s="142"/>
      <c r="C85" s="142"/>
      <c r="D85" s="142"/>
      <c r="E85" s="142"/>
      <c r="F85" s="142"/>
    </row>
    <row r="86" spans="1:7" ht="15.75" thickBot="1" x14ac:dyDescent="0.3">
      <c r="A86" s="16" t="s">
        <v>10</v>
      </c>
      <c r="B86" s="16" t="s">
        <v>6</v>
      </c>
      <c r="C86" s="16" t="s">
        <v>30</v>
      </c>
      <c r="D86" s="16" t="s">
        <v>35</v>
      </c>
      <c r="E86" s="16" t="s">
        <v>39</v>
      </c>
      <c r="F86" s="16" t="s">
        <v>40</v>
      </c>
    </row>
    <row r="88" spans="1:7" x14ac:dyDescent="0.25">
      <c r="A88" s="39" t="s">
        <v>63</v>
      </c>
      <c r="B88" s="39">
        <f>+'I T'!E88</f>
        <v>248336197.74000001</v>
      </c>
      <c r="C88" s="39">
        <f>+'2 T'!E88</f>
        <v>546165019.51416659</v>
      </c>
      <c r="D88" s="39">
        <f>+'3 T'!E88</f>
        <v>571158306.17833328</v>
      </c>
      <c r="E88" s="39">
        <f>+'4 T'!E88</f>
        <v>1020060458.3683333</v>
      </c>
      <c r="F88" s="39">
        <f>+B88+(31745946.96+10000000)</f>
        <v>290082144.69999999</v>
      </c>
    </row>
    <row r="89" spans="1:7" x14ac:dyDescent="0.25">
      <c r="A89" s="39" t="s">
        <v>16</v>
      </c>
      <c r="B89" s="39">
        <f>+'I T'!E89</f>
        <v>1793026000</v>
      </c>
      <c r="C89" s="39">
        <f>+'2 T'!E89</f>
        <v>1793025999.9900002</v>
      </c>
      <c r="D89" s="39">
        <f>+'3 T'!E89</f>
        <v>2223660270.4200001</v>
      </c>
      <c r="E89" s="39">
        <f>+'4 T'!E89</f>
        <v>2222897100</v>
      </c>
      <c r="F89" s="39">
        <f>+SUM(B89:E89)</f>
        <v>8032609370.4099998</v>
      </c>
    </row>
    <row r="90" spans="1:7" x14ac:dyDescent="0.25">
      <c r="A90" s="38" t="s">
        <v>78</v>
      </c>
      <c r="B90" s="39">
        <f>+'I T'!E90</f>
        <v>645499999.32999992</v>
      </c>
      <c r="C90" s="39">
        <f>+'2 T'!E90</f>
        <v>645500000.00999999</v>
      </c>
      <c r="D90" s="39">
        <f>+'3 T'!E90</f>
        <v>1335799999.98</v>
      </c>
      <c r="E90" s="39">
        <f>+'4 T'!E90</f>
        <v>2337499998.3899999</v>
      </c>
      <c r="F90" s="39">
        <f>+SUM(B90:E90)</f>
        <v>4964299997.7099991</v>
      </c>
    </row>
    <row r="91" spans="1:7" x14ac:dyDescent="0.25">
      <c r="A91" s="39" t="s">
        <v>17</v>
      </c>
      <c r="B91" s="39">
        <f>+'I T'!E91</f>
        <v>2686862197.0699997</v>
      </c>
      <c r="C91" s="39">
        <f>+'2 T'!E91</f>
        <v>2984691019.5141668</v>
      </c>
      <c r="D91" s="39">
        <f>+'3 T'!E91</f>
        <v>4130618576.5783334</v>
      </c>
      <c r="E91" s="39">
        <f>+'4 T'!E91</f>
        <v>5580457556.7583332</v>
      </c>
      <c r="F91" s="39">
        <f>SUM(F88:F90)</f>
        <v>13286991512.82</v>
      </c>
    </row>
    <row r="92" spans="1:7" x14ac:dyDescent="0.25">
      <c r="A92" s="39" t="s">
        <v>18</v>
      </c>
      <c r="B92" s="39">
        <f>+'I T'!E92</f>
        <v>2140697177.5558331</v>
      </c>
      <c r="C92" s="39">
        <f>+'2 T'!E92</f>
        <v>2413532713.3358335</v>
      </c>
      <c r="D92" s="39">
        <f>+'3 T'!E92</f>
        <v>3152304065.1700001</v>
      </c>
      <c r="E92" s="39">
        <f>+'4 T'!E92</f>
        <v>5242636897.6999998</v>
      </c>
      <c r="F92" s="39">
        <f>+SUM(B92:E92)</f>
        <v>12949170853.761665</v>
      </c>
    </row>
    <row r="93" spans="1:7" x14ac:dyDescent="0.25">
      <c r="A93" s="14" t="s">
        <v>19</v>
      </c>
      <c r="B93" s="14">
        <f>+'I T'!E93</f>
        <v>546165019.51416659</v>
      </c>
      <c r="C93" s="14">
        <f>+'2 T'!E93</f>
        <v>571158306.17833328</v>
      </c>
      <c r="D93" s="14">
        <f>+'3 T'!E93</f>
        <v>978314511.4083333</v>
      </c>
      <c r="E93" s="14">
        <f>+'4 T'!E93</f>
        <v>337820659.0583334</v>
      </c>
      <c r="F93" s="14">
        <f>+F91-F92</f>
        <v>337820659.05833435</v>
      </c>
    </row>
    <row r="94" spans="1:7" ht="15.75" thickBot="1" x14ac:dyDescent="0.3">
      <c r="A94" s="13"/>
      <c r="B94" s="13"/>
      <c r="C94" s="13"/>
      <c r="D94" s="13"/>
      <c r="E94" s="13"/>
      <c r="F94" s="13"/>
    </row>
    <row r="95" spans="1:7" ht="15.75" thickTop="1" x14ac:dyDescent="0.25">
      <c r="A95" s="38" t="s">
        <v>73</v>
      </c>
    </row>
    <row r="96" spans="1:7" ht="30" x14ac:dyDescent="0.25">
      <c r="A96" s="38" t="s">
        <v>80</v>
      </c>
    </row>
    <row r="98" spans="1:4" x14ac:dyDescent="0.25">
      <c r="A98" s="39" t="s">
        <v>81</v>
      </c>
    </row>
    <row r="105" spans="1:4" x14ac:dyDescent="0.25">
      <c r="C105" s="18" t="s">
        <v>112</v>
      </c>
    </row>
    <row r="107" spans="1:4" x14ac:dyDescent="0.25">
      <c r="C107" s="128" t="s">
        <v>92</v>
      </c>
      <c r="D107" s="128" t="s">
        <v>93</v>
      </c>
    </row>
    <row r="108" spans="1:4" x14ac:dyDescent="0.25">
      <c r="C108" s="39">
        <v>2464131282</v>
      </c>
      <c r="D108" s="41" t="s">
        <v>111</v>
      </c>
    </row>
    <row r="109" spans="1:4" x14ac:dyDescent="0.25">
      <c r="C109" s="39">
        <v>1232065641</v>
      </c>
      <c r="D109" s="41" t="s">
        <v>5</v>
      </c>
    </row>
    <row r="110" spans="1:4" x14ac:dyDescent="0.25">
      <c r="C110" s="39">
        <v>1232065641</v>
      </c>
      <c r="D110" s="41" t="s">
        <v>27</v>
      </c>
    </row>
    <row r="111" spans="1:4" x14ac:dyDescent="0.25">
      <c r="C111" s="39">
        <v>1232065641</v>
      </c>
      <c r="D111" s="41" t="s">
        <v>28</v>
      </c>
    </row>
    <row r="112" spans="1:4" x14ac:dyDescent="0.25">
      <c r="C112" s="39">
        <v>1232065641</v>
      </c>
      <c r="D112" s="41" t="s">
        <v>29</v>
      </c>
    </row>
    <row r="113" spans="1:4" x14ac:dyDescent="0.25">
      <c r="C113" s="39">
        <v>1232065641</v>
      </c>
      <c r="D113" s="41" t="s">
        <v>33</v>
      </c>
    </row>
    <row r="114" spans="1:4" x14ac:dyDescent="0.25">
      <c r="C114" s="39">
        <v>1232065641</v>
      </c>
      <c r="D114" s="41" t="s">
        <v>34</v>
      </c>
    </row>
    <row r="115" spans="1:4" x14ac:dyDescent="0.25">
      <c r="C115" s="39">
        <v>2352999911.4000001</v>
      </c>
      <c r="D115" s="41" t="s">
        <v>58</v>
      </c>
    </row>
    <row r="116" spans="1:4" x14ac:dyDescent="0.25">
      <c r="C116" s="39">
        <v>1605689341</v>
      </c>
      <c r="D116" s="41" t="s">
        <v>36</v>
      </c>
    </row>
    <row r="117" spans="1:4" x14ac:dyDescent="0.25">
      <c r="C117" s="39">
        <v>1468062033.1100001</v>
      </c>
      <c r="D117" s="41" t="s">
        <v>37</v>
      </c>
    </row>
    <row r="118" spans="1:4" x14ac:dyDescent="0.25">
      <c r="C118" s="39">
        <v>2744316647.2800002</v>
      </c>
      <c r="D118" s="41" t="s">
        <v>38</v>
      </c>
    </row>
    <row r="119" spans="1:4" ht="15.75" thickBot="1" x14ac:dyDescent="0.3">
      <c r="C119" s="129">
        <f>SUM(C108:C118)</f>
        <v>18027593060.790001</v>
      </c>
      <c r="D119" s="129" t="s">
        <v>94</v>
      </c>
    </row>
    <row r="123" spans="1:4" x14ac:dyDescent="0.25">
      <c r="A123" s="41" t="s">
        <v>113</v>
      </c>
      <c r="C123" s="117"/>
      <c r="D123" s="117"/>
    </row>
    <row r="124" spans="1:4" x14ac:dyDescent="0.25">
      <c r="A124" s="130" t="s">
        <v>90</v>
      </c>
      <c r="B124" s="130" t="s">
        <v>91</v>
      </c>
      <c r="C124" s="117"/>
      <c r="D124" s="117"/>
    </row>
    <row r="125" spans="1:4" x14ac:dyDescent="0.25">
      <c r="A125" s="131" t="s">
        <v>87</v>
      </c>
      <c r="B125" s="42">
        <v>19546663.377245903</v>
      </c>
      <c r="C125" s="117"/>
      <c r="D125" s="117"/>
    </row>
    <row r="126" spans="1:4" x14ac:dyDescent="0.25">
      <c r="A126" s="131" t="s">
        <v>88</v>
      </c>
      <c r="B126" s="42">
        <v>236201167.03</v>
      </c>
      <c r="C126" s="117"/>
      <c r="D126" s="117"/>
    </row>
    <row r="127" spans="1:4" ht="15.75" thickBot="1" x14ac:dyDescent="0.3">
      <c r="A127" s="132" t="s">
        <v>89</v>
      </c>
      <c r="B127" s="71">
        <v>101619492.03</v>
      </c>
      <c r="C127" s="117"/>
      <c r="D127" s="117"/>
    </row>
    <row r="128" spans="1:4" ht="15.75" thickBot="1" x14ac:dyDescent="0.3">
      <c r="A128" s="72" t="s">
        <v>13</v>
      </c>
      <c r="B128" s="133">
        <f>SUM(B125:B127)</f>
        <v>357367322.43724591</v>
      </c>
      <c r="C128" s="117"/>
      <c r="D128" s="117"/>
    </row>
    <row r="129" spans="3:4" x14ac:dyDescent="0.25">
      <c r="C129" s="117"/>
      <c r="D129" s="117"/>
    </row>
    <row r="130" spans="3:4" x14ac:dyDescent="0.25">
      <c r="C130" s="117"/>
      <c r="D130" s="117"/>
    </row>
    <row r="131" spans="3:4" x14ac:dyDescent="0.25">
      <c r="C131" s="117"/>
      <c r="D131" s="117"/>
    </row>
    <row r="132" spans="3:4" x14ac:dyDescent="0.25">
      <c r="C132" s="117"/>
      <c r="D132" s="117"/>
    </row>
    <row r="133" spans="3:4" x14ac:dyDescent="0.25">
      <c r="C133" s="117"/>
      <c r="D133" s="117"/>
    </row>
    <row r="134" spans="3:4" x14ac:dyDescent="0.25">
      <c r="C134" s="117"/>
      <c r="D134" s="117"/>
    </row>
    <row r="135" spans="3:4" x14ac:dyDescent="0.25">
      <c r="C135" s="117"/>
      <c r="D135" s="117"/>
    </row>
    <row r="136" spans="3:4" x14ac:dyDescent="0.25">
      <c r="C136" s="117"/>
      <c r="D136" s="117"/>
    </row>
    <row r="137" spans="3:4" x14ac:dyDescent="0.25">
      <c r="C137" s="117"/>
      <c r="D137" s="117"/>
    </row>
    <row r="138" spans="3:4" x14ac:dyDescent="0.25">
      <c r="C138" s="117"/>
      <c r="D138" s="117"/>
    </row>
  </sheetData>
  <mergeCells count="24">
    <mergeCell ref="A13:A15"/>
    <mergeCell ref="A16:A18"/>
    <mergeCell ref="A19:A21"/>
    <mergeCell ref="A9:G9"/>
    <mergeCell ref="A1:E1"/>
    <mergeCell ref="A7:G7"/>
    <mergeCell ref="A8:G8"/>
    <mergeCell ref="A10:G10"/>
    <mergeCell ref="A34:G34"/>
    <mergeCell ref="A54:F54"/>
    <mergeCell ref="A69:F69"/>
    <mergeCell ref="A32:F32"/>
    <mergeCell ref="A33:F33"/>
    <mergeCell ref="A85:F85"/>
    <mergeCell ref="A35:F35"/>
    <mergeCell ref="A52:F52"/>
    <mergeCell ref="A53:F53"/>
    <mergeCell ref="A55:F55"/>
    <mergeCell ref="A67:F67"/>
    <mergeCell ref="A68:F68"/>
    <mergeCell ref="A84:F84"/>
    <mergeCell ref="A42:A43"/>
    <mergeCell ref="A82:F82"/>
    <mergeCell ref="A83:F83"/>
  </mergeCells>
  <pageMargins left="0.70866141732283472" right="0.70866141732283472" top="0.74803149606299213" bottom="0.74803149606299213" header="0.31496062992125984" footer="0.31496062992125984"/>
  <pageSetup scale="31" orientation="portrait" r:id="rId1"/>
  <ignoredErrors>
    <ignoredError sqref="G16:G26 F91 F7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 T</vt:lpstr>
      <vt:lpstr>2 T</vt:lpstr>
      <vt:lpstr>3 T</vt:lpstr>
      <vt:lpstr>4 T</vt:lpstr>
      <vt:lpstr>semestral</vt:lpstr>
      <vt:lpstr>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2018-04-05T14:15:43Z</cp:lastPrinted>
  <dcterms:created xsi:type="dcterms:W3CDTF">2011-03-10T14:40:05Z</dcterms:created>
  <dcterms:modified xsi:type="dcterms:W3CDTF">2019-06-14T14:52:26Z</dcterms:modified>
</cp:coreProperties>
</file>