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Actualización página web -15-2-2023\2021\Información Unidades Ejecutoras\"/>
    </mc:Choice>
  </mc:AlternateContent>
  <xr:revisionPtr revIDLastSave="0" documentId="8_{456ECD7F-4CAB-4E19-B625-40701376E503}" xr6:coauthVersionLast="36" xr6:coauthVersionMax="36" xr10:uidLastSave="{00000000-0000-0000-0000-000000000000}"/>
  <bookViews>
    <workbookView xWindow="-105" yWindow="-105" windowWidth="19425" windowHeight="10305" tabRatio="698" xr2:uid="{00000000-000D-0000-FFFF-FFFF00000000}"/>
  </bookViews>
  <sheets>
    <sheet name="I T" sheetId="1" r:id="rId1"/>
    <sheet name="II T" sheetId="16" r:id="rId2"/>
    <sheet name="III T" sheetId="17" r:id="rId3"/>
    <sheet name="IV T" sheetId="18" r:id="rId4"/>
    <sheet name="I semestre" sheetId="12" state="hidden" r:id="rId5"/>
    <sheet name="Anual" sheetId="10" r:id="rId6"/>
    <sheet name="2 T no usar" sheetId="3" state="hidden" r:id="rId7"/>
    <sheet name="3 T" sheetId="6" state="hidden" r:id="rId8"/>
    <sheet name="4 T" sheetId="8" state="hidden" r:id="rId9"/>
    <sheet name="Hoja1" sheetId="15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10" l="1"/>
  <c r="B130" i="10"/>
  <c r="E16" i="18"/>
  <c r="D16" i="18"/>
  <c r="C16" i="18"/>
  <c r="D13" i="18"/>
  <c r="C13" i="18"/>
  <c r="D28" i="18"/>
  <c r="C28" i="18"/>
  <c r="E19" i="18"/>
  <c r="D19" i="18"/>
  <c r="C19" i="18"/>
  <c r="E22" i="18"/>
  <c r="D22" i="18"/>
  <c r="C22" i="18"/>
  <c r="E13" i="18" l="1"/>
  <c r="B120" i="17" l="1"/>
  <c r="E40" i="17"/>
  <c r="E36" i="17"/>
  <c r="E19" i="17"/>
  <c r="E20" i="17"/>
  <c r="E13" i="17"/>
  <c r="E14" i="17"/>
  <c r="E22" i="17"/>
  <c r="D22" i="17"/>
  <c r="C22" i="17"/>
  <c r="D19" i="17"/>
  <c r="E16" i="17"/>
  <c r="D16" i="17"/>
  <c r="C16" i="17"/>
  <c r="D13" i="17" l="1"/>
  <c r="C13" i="17"/>
  <c r="C19" i="17"/>
  <c r="E149" i="1" l="1"/>
  <c r="D149" i="1"/>
  <c r="C149" i="1"/>
  <c r="E148" i="1"/>
  <c r="D148" i="1"/>
  <c r="C148" i="1"/>
  <c r="D22" i="1"/>
  <c r="E22" i="1" s="1"/>
  <c r="C22" i="16" s="1"/>
  <c r="D22" i="16" s="1"/>
  <c r="E22" i="16" s="1"/>
  <c r="D19" i="1"/>
  <c r="E19" i="1" s="1"/>
  <c r="C19" i="16" s="1"/>
  <c r="D19" i="16" s="1"/>
  <c r="E19" i="16" s="1"/>
  <c r="D147" i="1"/>
  <c r="C147" i="1"/>
  <c r="D146" i="1"/>
  <c r="C146" i="1"/>
  <c r="D16" i="1"/>
  <c r="E16" i="1" s="1"/>
  <c r="C16" i="16" s="1"/>
  <c r="D16" i="16" s="1"/>
  <c r="E16" i="16" s="1"/>
  <c r="D13" i="1"/>
  <c r="E13" i="1" s="1"/>
  <c r="C13" i="16" s="1"/>
  <c r="D13" i="16" s="1"/>
  <c r="E13" i="16" s="1"/>
  <c r="B158" i="1" l="1"/>
  <c r="B162" i="18" l="1"/>
  <c r="D152" i="18"/>
  <c r="C152" i="18"/>
  <c r="B152" i="18"/>
  <c r="E149" i="18"/>
  <c r="E148" i="18"/>
  <c r="E147" i="18"/>
  <c r="E146" i="18"/>
  <c r="D120" i="18"/>
  <c r="C120" i="18"/>
  <c r="B120" i="18"/>
  <c r="D105" i="18"/>
  <c r="C105" i="18"/>
  <c r="B105" i="18"/>
  <c r="D88" i="18"/>
  <c r="C88" i="18"/>
  <c r="B88" i="18"/>
  <c r="D73" i="18"/>
  <c r="C73" i="18"/>
  <c r="B73" i="18"/>
  <c r="D60" i="18"/>
  <c r="D122" i="18" s="1"/>
  <c r="C60" i="18"/>
  <c r="C122" i="18" s="1"/>
  <c r="B60" i="18"/>
  <c r="D59" i="18"/>
  <c r="D107" i="18" s="1"/>
  <c r="C59" i="18"/>
  <c r="C107" i="18" s="1"/>
  <c r="B59" i="18"/>
  <c r="D58" i="18"/>
  <c r="D90" i="18" s="1"/>
  <c r="C58" i="18"/>
  <c r="C90" i="18" s="1"/>
  <c r="B58" i="18"/>
  <c r="D57" i="18"/>
  <c r="D75" i="18" s="1"/>
  <c r="C57" i="18"/>
  <c r="C75" i="18" s="1"/>
  <c r="B57" i="18"/>
  <c r="E45" i="18"/>
  <c r="D45" i="18"/>
  <c r="C45" i="18"/>
  <c r="F43" i="18"/>
  <c r="F45" i="10" s="1"/>
  <c r="F42" i="18"/>
  <c r="F44" i="10" s="1"/>
  <c r="F41" i="18"/>
  <c r="F43" i="10" s="1"/>
  <c r="F40" i="18"/>
  <c r="F42" i="10" s="1"/>
  <c r="F39" i="18"/>
  <c r="F41" i="10" s="1"/>
  <c r="F38" i="18"/>
  <c r="F40" i="10" s="1"/>
  <c r="F37" i="18"/>
  <c r="F36" i="18"/>
  <c r="F38" i="10" s="1"/>
  <c r="E25" i="18"/>
  <c r="D25" i="18"/>
  <c r="C25" i="18"/>
  <c r="F24" i="18"/>
  <c r="F24" i="10" s="1"/>
  <c r="F23" i="18"/>
  <c r="F23" i="10" s="1"/>
  <c r="F21" i="18"/>
  <c r="F21" i="10" s="1"/>
  <c r="F20" i="18"/>
  <c r="F20" i="10" s="1"/>
  <c r="F18" i="18"/>
  <c r="F18" i="10" s="1"/>
  <c r="F17" i="18"/>
  <c r="F17" i="10" s="1"/>
  <c r="F15" i="18"/>
  <c r="F15" i="10" s="1"/>
  <c r="F14" i="18"/>
  <c r="F14" i="10" s="1"/>
  <c r="F39" i="10" l="1"/>
  <c r="H37" i="18"/>
  <c r="E120" i="18"/>
  <c r="E119" i="10" s="1"/>
  <c r="E57" i="18"/>
  <c r="E58" i="10" s="1"/>
  <c r="E88" i="18"/>
  <c r="E90" i="10" s="1"/>
  <c r="F25" i="18"/>
  <c r="F45" i="18"/>
  <c r="E73" i="18"/>
  <c r="E152" i="18"/>
  <c r="E105" i="18"/>
  <c r="E58" i="18"/>
  <c r="E59" i="10" s="1"/>
  <c r="B90" i="18"/>
  <c r="E90" i="18" s="1"/>
  <c r="E92" i="10" s="1"/>
  <c r="B62" i="18"/>
  <c r="E60" i="18"/>
  <c r="E61" i="10" s="1"/>
  <c r="B122" i="18"/>
  <c r="E122" i="18" s="1"/>
  <c r="E121" i="10" s="1"/>
  <c r="E59" i="18"/>
  <c r="E60" i="10" s="1"/>
  <c r="B107" i="18"/>
  <c r="E107" i="18" s="1"/>
  <c r="E107" i="10" s="1"/>
  <c r="B75" i="18"/>
  <c r="E75" i="18" s="1"/>
  <c r="E77" i="10" s="1"/>
  <c r="C62" i="18"/>
  <c r="D62" i="18"/>
  <c r="C135" i="1"/>
  <c r="E105" i="10" l="1"/>
  <c r="E75" i="10"/>
  <c r="E62" i="18"/>
  <c r="B159" i="17" l="1"/>
  <c r="B162" i="17" s="1"/>
  <c r="D152" i="17"/>
  <c r="C152" i="17"/>
  <c r="B152" i="17"/>
  <c r="E149" i="17"/>
  <c r="E148" i="17"/>
  <c r="E147" i="17"/>
  <c r="E146" i="17"/>
  <c r="D120" i="17"/>
  <c r="C120" i="17"/>
  <c r="D105" i="17"/>
  <c r="C105" i="17"/>
  <c r="B105" i="17"/>
  <c r="D88" i="17"/>
  <c r="C88" i="17"/>
  <c r="B88" i="17"/>
  <c r="D73" i="17"/>
  <c r="C73" i="17"/>
  <c r="B73" i="17"/>
  <c r="D60" i="17"/>
  <c r="D122" i="17" s="1"/>
  <c r="C60" i="17"/>
  <c r="C122" i="17" s="1"/>
  <c r="B60" i="17"/>
  <c r="D59" i="17"/>
  <c r="D107" i="17" s="1"/>
  <c r="C59" i="17"/>
  <c r="C107" i="17" s="1"/>
  <c r="B59" i="17"/>
  <c r="D58" i="17"/>
  <c r="D90" i="17" s="1"/>
  <c r="C58" i="17"/>
  <c r="C90" i="17" s="1"/>
  <c r="B58" i="17"/>
  <c r="B90" i="17" s="1"/>
  <c r="D57" i="17"/>
  <c r="D75" i="17" s="1"/>
  <c r="C57" i="17"/>
  <c r="C75" i="17" s="1"/>
  <c r="B57" i="17"/>
  <c r="E45" i="17"/>
  <c r="D45" i="17"/>
  <c r="C45" i="17"/>
  <c r="F43" i="17"/>
  <c r="E45" i="10" s="1"/>
  <c r="F42" i="17"/>
  <c r="E44" i="10" s="1"/>
  <c r="F41" i="17"/>
  <c r="E43" i="10" s="1"/>
  <c r="F40" i="17"/>
  <c r="E42" i="10" s="1"/>
  <c r="F39" i="17"/>
  <c r="E41" i="10" s="1"/>
  <c r="F38" i="17"/>
  <c r="E40" i="10" s="1"/>
  <c r="F37" i="17"/>
  <c r="E39" i="10" s="1"/>
  <c r="F36" i="17"/>
  <c r="E38" i="10" s="1"/>
  <c r="E25" i="17"/>
  <c r="D25" i="17"/>
  <c r="C25" i="17"/>
  <c r="F24" i="17"/>
  <c r="E24" i="10" s="1"/>
  <c r="F23" i="17"/>
  <c r="E23" i="10" s="1"/>
  <c r="F21" i="17"/>
  <c r="E21" i="10" s="1"/>
  <c r="F20" i="17"/>
  <c r="E20" i="10" s="1"/>
  <c r="F18" i="17"/>
  <c r="E18" i="10" s="1"/>
  <c r="F17" i="17"/>
  <c r="E17" i="10" s="1"/>
  <c r="F15" i="17"/>
  <c r="E15" i="10" s="1"/>
  <c r="F14" i="17"/>
  <c r="E14" i="10" s="1"/>
  <c r="E120" i="17" l="1"/>
  <c r="D119" i="10" s="1"/>
  <c r="E73" i="17"/>
  <c r="D75" i="10" s="1"/>
  <c r="E88" i="17"/>
  <c r="D90" i="10" s="1"/>
  <c r="E105" i="17"/>
  <c r="D105" i="10" s="1"/>
  <c r="F25" i="17"/>
  <c r="E60" i="17"/>
  <c r="D61" i="10" s="1"/>
  <c r="E59" i="17"/>
  <c r="D60" i="10" s="1"/>
  <c r="E57" i="17"/>
  <c r="D58" i="10" s="1"/>
  <c r="F45" i="17"/>
  <c r="E152" i="17"/>
  <c r="E90" i="17"/>
  <c r="B122" i="17"/>
  <c r="E122" i="17" s="1"/>
  <c r="D121" i="10" s="1"/>
  <c r="E58" i="17"/>
  <c r="D59" i="10" s="1"/>
  <c r="B62" i="17"/>
  <c r="B75" i="17"/>
  <c r="E75" i="17" s="1"/>
  <c r="D77" i="10" s="1"/>
  <c r="B107" i="17"/>
  <c r="E107" i="17" s="1"/>
  <c r="C62" i="17"/>
  <c r="D62" i="17"/>
  <c r="F117" i="17" l="1"/>
  <c r="D92" i="10"/>
  <c r="D107" i="10"/>
  <c r="E62" i="17"/>
  <c r="C152" i="16" l="1"/>
  <c r="D152" i="16"/>
  <c r="B152" i="16"/>
  <c r="B159" i="16"/>
  <c r="B162" i="16" s="1"/>
  <c r="C120" i="16"/>
  <c r="E149" i="16"/>
  <c r="E148" i="16"/>
  <c r="E147" i="16"/>
  <c r="E146" i="16"/>
  <c r="D120" i="16"/>
  <c r="B120" i="16"/>
  <c r="D105" i="16"/>
  <c r="C105" i="16"/>
  <c r="B105" i="16"/>
  <c r="D88" i="16"/>
  <c r="C88" i="16"/>
  <c r="B88" i="16"/>
  <c r="D73" i="16"/>
  <c r="C73" i="16"/>
  <c r="B73" i="16"/>
  <c r="C60" i="16"/>
  <c r="C122" i="16" s="1"/>
  <c r="B60" i="16"/>
  <c r="B122" i="16" s="1"/>
  <c r="D59" i="16"/>
  <c r="D107" i="16" s="1"/>
  <c r="C59" i="16"/>
  <c r="C107" i="16" s="1"/>
  <c r="B59" i="16"/>
  <c r="D58" i="16"/>
  <c r="C58" i="16"/>
  <c r="C90" i="16" s="1"/>
  <c r="B58" i="16"/>
  <c r="B90" i="16" s="1"/>
  <c r="D57" i="16"/>
  <c r="D75" i="16" s="1"/>
  <c r="C57" i="16"/>
  <c r="C75" i="16" s="1"/>
  <c r="B57" i="16"/>
  <c r="B75" i="16" s="1"/>
  <c r="D45" i="16"/>
  <c r="C45" i="16"/>
  <c r="F43" i="16"/>
  <c r="E45" i="16"/>
  <c r="F41" i="16"/>
  <c r="F40" i="16"/>
  <c r="F39" i="16"/>
  <c r="F38" i="16"/>
  <c r="F37" i="16"/>
  <c r="F36" i="16"/>
  <c r="E25" i="16"/>
  <c r="D25" i="16"/>
  <c r="C25" i="16"/>
  <c r="F24" i="16"/>
  <c r="F23" i="16"/>
  <c r="F21" i="16"/>
  <c r="F20" i="16"/>
  <c r="F18" i="16"/>
  <c r="F17" i="16"/>
  <c r="F15" i="16"/>
  <c r="F14" i="16"/>
  <c r="E120" i="16" l="1"/>
  <c r="C119" i="10" s="1"/>
  <c r="D40" i="10"/>
  <c r="D40" i="12"/>
  <c r="D23" i="10"/>
  <c r="D23" i="12"/>
  <c r="D41" i="12"/>
  <c r="D41" i="10"/>
  <c r="D18" i="12"/>
  <c r="D18" i="10"/>
  <c r="D14" i="12"/>
  <c r="D14" i="10"/>
  <c r="D24" i="12"/>
  <c r="D24" i="10"/>
  <c r="E88" i="16"/>
  <c r="D45" i="12"/>
  <c r="D45" i="10"/>
  <c r="D15" i="10"/>
  <c r="D15" i="12"/>
  <c r="D20" i="12"/>
  <c r="D20" i="10"/>
  <c r="D38" i="10"/>
  <c r="D38" i="12"/>
  <c r="D42" i="10"/>
  <c r="D42" i="12"/>
  <c r="D17" i="10"/>
  <c r="D17" i="12"/>
  <c r="D21" i="10"/>
  <c r="D21" i="12"/>
  <c r="D39" i="10"/>
  <c r="D39" i="12"/>
  <c r="D43" i="12"/>
  <c r="D43" i="10"/>
  <c r="E73" i="16"/>
  <c r="E105" i="16"/>
  <c r="E152" i="16"/>
  <c r="E155" i="16" s="1"/>
  <c r="E59" i="16"/>
  <c r="F25" i="16"/>
  <c r="E75" i="16"/>
  <c r="E57" i="16"/>
  <c r="D90" i="16"/>
  <c r="E90" i="16" s="1"/>
  <c r="F42" i="16"/>
  <c r="E58" i="16"/>
  <c r="B107" i="16"/>
  <c r="E107" i="16" s="1"/>
  <c r="D60" i="16"/>
  <c r="D122" i="16" s="1"/>
  <c r="E122" i="16" s="1"/>
  <c r="B62" i="16"/>
  <c r="C62" i="16"/>
  <c r="D25" i="1"/>
  <c r="C25" i="1"/>
  <c r="C119" i="12" l="1"/>
  <c r="F22" i="16"/>
  <c r="F45" i="16"/>
  <c r="D44" i="10"/>
  <c r="D44" i="12"/>
  <c r="C92" i="10"/>
  <c r="C92" i="12"/>
  <c r="C105" i="10"/>
  <c r="C104" i="12"/>
  <c r="C90" i="10"/>
  <c r="C90" i="12"/>
  <c r="C75" i="12"/>
  <c r="C75" i="10"/>
  <c r="C106" i="12"/>
  <c r="C107" i="10"/>
  <c r="C58" i="12"/>
  <c r="C58" i="10"/>
  <c r="C77" i="10"/>
  <c r="C77" i="12"/>
  <c r="E25" i="1"/>
  <c r="F25" i="1" s="1"/>
  <c r="F117" i="16"/>
  <c r="C121" i="10"/>
  <c r="C121" i="12"/>
  <c r="C59" i="12"/>
  <c r="C59" i="10"/>
  <c r="C60" i="12"/>
  <c r="C60" i="10"/>
  <c r="E60" i="16"/>
  <c r="D62" i="16"/>
  <c r="B60" i="1"/>
  <c r="E62" i="16" l="1"/>
  <c r="C61" i="10"/>
  <c r="C61" i="12"/>
  <c r="D22" i="12"/>
  <c r="D22" i="10"/>
  <c r="F16" i="16"/>
  <c r="F19" i="16"/>
  <c r="F13" i="16"/>
  <c r="F22" i="18"/>
  <c r="F22" i="10" s="1"/>
  <c r="B162" i="1"/>
  <c r="B122" i="1"/>
  <c r="C120" i="1"/>
  <c r="D120" i="1"/>
  <c r="B120" i="1"/>
  <c r="B119" i="1"/>
  <c r="B121" i="1" s="1"/>
  <c r="C88" i="1"/>
  <c r="D88" i="1"/>
  <c r="B88" i="1"/>
  <c r="B87" i="1"/>
  <c r="C73" i="1"/>
  <c r="D73" i="1"/>
  <c r="B73" i="1"/>
  <c r="B72" i="1"/>
  <c r="B74" i="1" s="1"/>
  <c r="C105" i="1"/>
  <c r="D105" i="1"/>
  <c r="B105" i="1"/>
  <c r="B139" i="1"/>
  <c r="E147" i="1"/>
  <c r="E146" i="1"/>
  <c r="E152" i="1" s="1"/>
  <c r="E156" i="16" s="1"/>
  <c r="E157" i="16" s="1"/>
  <c r="F16" i="18" l="1"/>
  <c r="F16" i="10" s="1"/>
  <c r="F16" i="17"/>
  <c r="E16" i="10" s="1"/>
  <c r="F13" i="17"/>
  <c r="E13" i="10" s="1"/>
  <c r="D13" i="10"/>
  <c r="D13" i="12"/>
  <c r="D19" i="10"/>
  <c r="D19" i="12"/>
  <c r="D16" i="12"/>
  <c r="D16" i="10"/>
  <c r="F22" i="17"/>
  <c r="E22" i="10" s="1"/>
  <c r="F19" i="18"/>
  <c r="F19" i="10" s="1"/>
  <c r="F19" i="17"/>
  <c r="E19" i="10" s="1"/>
  <c r="B89" i="1"/>
  <c r="E120" i="1"/>
  <c r="E88" i="1"/>
  <c r="C57" i="1"/>
  <c r="C75" i="1" s="1"/>
  <c r="D57" i="1"/>
  <c r="D75" i="1" s="1"/>
  <c r="C58" i="1"/>
  <c r="C90" i="1" s="1"/>
  <c r="D58" i="1"/>
  <c r="D90" i="1" s="1"/>
  <c r="C59" i="1"/>
  <c r="C107" i="1" s="1"/>
  <c r="D59" i="1"/>
  <c r="D107" i="1" s="1"/>
  <c r="C60" i="1"/>
  <c r="C122" i="1" s="1"/>
  <c r="D60" i="1"/>
  <c r="D122" i="1" s="1"/>
  <c r="B59" i="1"/>
  <c r="B107" i="1" s="1"/>
  <c r="B58" i="1"/>
  <c r="B90" i="1" s="1"/>
  <c r="B57" i="1"/>
  <c r="B75" i="1" s="1"/>
  <c r="D45" i="1"/>
  <c r="E45" i="1"/>
  <c r="C45" i="1"/>
  <c r="F13" i="18" l="1"/>
  <c r="F13" i="10" s="1"/>
  <c r="B90" i="10"/>
  <c r="F90" i="10" s="1"/>
  <c r="B90" i="12"/>
  <c r="D90" i="12" s="1"/>
  <c r="B119" i="10"/>
  <c r="F119" i="10" s="1"/>
  <c r="B119" i="12"/>
  <c r="D119" i="12" s="1"/>
  <c r="B91" i="1"/>
  <c r="C87" i="1" s="1"/>
  <c r="C89" i="1" s="1"/>
  <c r="C91" i="1" s="1"/>
  <c r="D87" i="1" s="1"/>
  <c r="E107" i="1"/>
  <c r="B106" i="12" s="1"/>
  <c r="D106" i="12" s="1"/>
  <c r="E119" i="1"/>
  <c r="B104" i="1"/>
  <c r="B106" i="1" s="1"/>
  <c r="B108" i="1" s="1"/>
  <c r="E58" i="1"/>
  <c r="B62" i="1"/>
  <c r="C62" i="1"/>
  <c r="E87" i="1"/>
  <c r="E90" i="1"/>
  <c r="B59" i="10" l="1"/>
  <c r="F59" i="10" s="1"/>
  <c r="B59" i="12"/>
  <c r="D59" i="12" s="1"/>
  <c r="E89" i="1"/>
  <c r="B89" i="12"/>
  <c r="D89" i="12" s="1"/>
  <c r="D91" i="12" s="1"/>
  <c r="B89" i="10"/>
  <c r="F89" i="10" s="1"/>
  <c r="F91" i="10" s="1"/>
  <c r="B92" i="10"/>
  <c r="F92" i="10" s="1"/>
  <c r="B92" i="12"/>
  <c r="D92" i="12" s="1"/>
  <c r="B118" i="10"/>
  <c r="F118" i="10" s="1"/>
  <c r="F120" i="10" s="1"/>
  <c r="B118" i="12"/>
  <c r="D118" i="12" s="1"/>
  <c r="D120" i="12" s="1"/>
  <c r="D89" i="1"/>
  <c r="D91" i="1" s="1"/>
  <c r="D93" i="12" l="1"/>
  <c r="F93" i="10"/>
  <c r="B91" i="12"/>
  <c r="B91" i="10"/>
  <c r="E91" i="1"/>
  <c r="I41" i="8"/>
  <c r="I43" i="8" s="1"/>
  <c r="B93" i="12" l="1"/>
  <c r="B93" i="10"/>
  <c r="B135" i="16"/>
  <c r="B87" i="16" s="1"/>
  <c r="E87" i="16" l="1"/>
  <c r="B89" i="16"/>
  <c r="B91" i="16" s="1"/>
  <c r="C87" i="16" s="1"/>
  <c r="C89" i="16" s="1"/>
  <c r="C91" i="16" s="1"/>
  <c r="D87" i="16" s="1"/>
  <c r="D89" i="16" s="1"/>
  <c r="D91" i="16" s="1"/>
  <c r="D74" i="8"/>
  <c r="D90" i="8"/>
  <c r="D89" i="8"/>
  <c r="H89" i="8" s="1"/>
  <c r="H91" i="8" s="1"/>
  <c r="E89" i="16" l="1"/>
  <c r="C89" i="12"/>
  <c r="C89" i="10"/>
  <c r="J56" i="1"/>
  <c r="J57" i="1" s="1"/>
  <c r="C91" i="10" l="1"/>
  <c r="C91" i="12"/>
  <c r="E91" i="16"/>
  <c r="C22" i="3"/>
  <c r="D22" i="3" s="1"/>
  <c r="E22" i="3" s="1"/>
  <c r="C22" i="6" s="1"/>
  <c r="D22" i="6" s="1"/>
  <c r="C93" i="12" l="1"/>
  <c r="C93" i="10"/>
  <c r="B135" i="17"/>
  <c r="B87" i="17" s="1"/>
  <c r="C19" i="3"/>
  <c r="D19" i="3" s="1"/>
  <c r="E19" i="3" s="1"/>
  <c r="C19" i="6" s="1"/>
  <c r="D19" i="6" s="1"/>
  <c r="E19" i="6" s="1"/>
  <c r="C19" i="8" s="1"/>
  <c r="D19" i="8" s="1"/>
  <c r="E19" i="8" s="1"/>
  <c r="E87" i="17" l="1"/>
  <c r="B89" i="17"/>
  <c r="B91" i="17" s="1"/>
  <c r="C87" i="17" s="1"/>
  <c r="C89" i="17" s="1"/>
  <c r="C91" i="17" s="1"/>
  <c r="D87" i="17" s="1"/>
  <c r="D89" i="17" s="1"/>
  <c r="D91" i="17" s="1"/>
  <c r="C16" i="3"/>
  <c r="D16" i="3" s="1"/>
  <c r="E16" i="3" s="1"/>
  <c r="C16" i="6" s="1"/>
  <c r="D16" i="6" s="1"/>
  <c r="E16" i="6" s="1"/>
  <c r="C16" i="8" s="1"/>
  <c r="D16" i="8" s="1"/>
  <c r="E16" i="8" s="1"/>
  <c r="C13" i="3"/>
  <c r="D13" i="3" s="1"/>
  <c r="E13" i="3" s="1"/>
  <c r="C13" i="6" s="1"/>
  <c r="D13" i="6" s="1"/>
  <c r="E13" i="6" s="1"/>
  <c r="C13" i="8" s="1"/>
  <c r="D13" i="8" s="1"/>
  <c r="E13" i="8" s="1"/>
  <c r="E89" i="17" l="1"/>
  <c r="D89" i="10"/>
  <c r="E89" i="8"/>
  <c r="D91" i="10" l="1"/>
  <c r="E91" i="17"/>
  <c r="E90" i="8"/>
  <c r="D93" i="10" l="1"/>
  <c r="B135" i="18"/>
  <c r="B87" i="18" s="1"/>
  <c r="E22" i="6"/>
  <c r="F22" i="3"/>
  <c r="E60" i="1"/>
  <c r="F22" i="1"/>
  <c r="E87" i="18" l="1"/>
  <c r="B89" i="18"/>
  <c r="B91" i="18" s="1"/>
  <c r="C87" i="18" s="1"/>
  <c r="C89" i="18" s="1"/>
  <c r="C91" i="18" s="1"/>
  <c r="D87" i="18" s="1"/>
  <c r="D89" i="18" s="1"/>
  <c r="D91" i="18" s="1"/>
  <c r="C22" i="8"/>
  <c r="D22" i="8" s="1"/>
  <c r="E22" i="8" s="1"/>
  <c r="F22" i="8" s="1"/>
  <c r="G22" i="10" s="1"/>
  <c r="E104" i="1"/>
  <c r="E90" i="6"/>
  <c r="E89" i="6"/>
  <c r="E90" i="3"/>
  <c r="E89" i="3"/>
  <c r="E105" i="1"/>
  <c r="B104" i="12" s="1"/>
  <c r="C58" i="8"/>
  <c r="C59" i="8"/>
  <c r="D59" i="8"/>
  <c r="C60" i="8"/>
  <c r="D60" i="8"/>
  <c r="B60" i="8"/>
  <c r="B59" i="8"/>
  <c r="B58" i="8"/>
  <c r="C58" i="6"/>
  <c r="C76" i="6" s="1"/>
  <c r="D58" i="6"/>
  <c r="D76" i="6" s="1"/>
  <c r="C59" i="6"/>
  <c r="D59" i="6"/>
  <c r="C60" i="6"/>
  <c r="D60" i="6"/>
  <c r="B60" i="6"/>
  <c r="B59" i="6"/>
  <c r="B58" i="6"/>
  <c r="E61" i="3"/>
  <c r="C58" i="3"/>
  <c r="C76" i="3" s="1"/>
  <c r="D58" i="3"/>
  <c r="D76" i="3" s="1"/>
  <c r="C59" i="3"/>
  <c r="D59" i="3"/>
  <c r="C60" i="3"/>
  <c r="D60" i="3"/>
  <c r="B60" i="3"/>
  <c r="B59" i="3"/>
  <c r="B58" i="3"/>
  <c r="D27" i="3"/>
  <c r="E74" i="3"/>
  <c r="F24" i="8"/>
  <c r="F24" i="1"/>
  <c r="C24" i="10" s="1"/>
  <c r="F24" i="3"/>
  <c r="F23" i="8"/>
  <c r="F23" i="1"/>
  <c r="C23" i="10" s="1"/>
  <c r="F23" i="3"/>
  <c r="F15" i="1"/>
  <c r="C15" i="10" s="1"/>
  <c r="F15" i="3"/>
  <c r="F14" i="1"/>
  <c r="F14" i="3"/>
  <c r="F44" i="8"/>
  <c r="F42" i="1"/>
  <c r="F44" i="3"/>
  <c r="F45" i="8"/>
  <c r="F43" i="1"/>
  <c r="C45" i="12" s="1"/>
  <c r="F45" i="3"/>
  <c r="F44" i="6"/>
  <c r="F45" i="6"/>
  <c r="E46" i="3"/>
  <c r="F38" i="3"/>
  <c r="F39" i="3"/>
  <c r="F40" i="3"/>
  <c r="F41" i="3"/>
  <c r="F42" i="3"/>
  <c r="F43" i="3"/>
  <c r="D46" i="3"/>
  <c r="C46" i="3"/>
  <c r="F36" i="1"/>
  <c r="C38" i="10" s="1"/>
  <c r="F37" i="1"/>
  <c r="C39" i="12" s="1"/>
  <c r="F38" i="1"/>
  <c r="C40" i="10" s="1"/>
  <c r="F39" i="1"/>
  <c r="C41" i="12" s="1"/>
  <c r="F40" i="1"/>
  <c r="C42" i="12" s="1"/>
  <c r="F41" i="1"/>
  <c r="C43" i="12" s="1"/>
  <c r="F17" i="3"/>
  <c r="F18" i="3"/>
  <c r="F20" i="3"/>
  <c r="F21" i="3"/>
  <c r="F14" i="6"/>
  <c r="F15" i="6"/>
  <c r="F17" i="6"/>
  <c r="F18" i="6"/>
  <c r="F20" i="6"/>
  <c r="F21" i="6"/>
  <c r="F14" i="8"/>
  <c r="F15" i="8"/>
  <c r="F20" i="8"/>
  <c r="F21" i="8"/>
  <c r="F17" i="8"/>
  <c r="F18" i="8"/>
  <c r="F17" i="1"/>
  <c r="C17" i="10" s="1"/>
  <c r="F18" i="1"/>
  <c r="C18" i="12" s="1"/>
  <c r="F20" i="1"/>
  <c r="F21" i="1"/>
  <c r="C21" i="12" s="1"/>
  <c r="F22" i="6"/>
  <c r="F23" i="6"/>
  <c r="F24" i="6"/>
  <c r="C22" i="10"/>
  <c r="E22" i="12"/>
  <c r="D27" i="8"/>
  <c r="E27" i="8"/>
  <c r="C27" i="8"/>
  <c r="D27" i="6"/>
  <c r="E27" i="6"/>
  <c r="C27" i="6"/>
  <c r="E27" i="3"/>
  <c r="C27" i="3"/>
  <c r="C76" i="8"/>
  <c r="B76" i="8"/>
  <c r="E74" i="6"/>
  <c r="E73" i="1"/>
  <c r="F117" i="1" s="1"/>
  <c r="G26" i="10"/>
  <c r="E46" i="6"/>
  <c r="D46" i="6"/>
  <c r="C46" i="6"/>
  <c r="F39" i="6"/>
  <c r="F40" i="6"/>
  <c r="F41" i="6"/>
  <c r="F42" i="6"/>
  <c r="F43" i="6"/>
  <c r="D46" i="8"/>
  <c r="C46" i="8"/>
  <c r="F39" i="8"/>
  <c r="F41" i="8"/>
  <c r="F43" i="8"/>
  <c r="F38" i="8"/>
  <c r="F42" i="8"/>
  <c r="E61" i="8"/>
  <c r="E62" i="8"/>
  <c r="E74" i="8"/>
  <c r="F38" i="6"/>
  <c r="E61" i="6"/>
  <c r="E62" i="6"/>
  <c r="E62" i="3"/>
  <c r="D62" i="1"/>
  <c r="E59" i="1"/>
  <c r="E57" i="1"/>
  <c r="C22" i="12"/>
  <c r="E89" i="10" l="1"/>
  <c r="E89" i="18"/>
  <c r="C44" i="12"/>
  <c r="E44" i="12" s="1"/>
  <c r="F45" i="1"/>
  <c r="C39" i="10"/>
  <c r="B105" i="10"/>
  <c r="B58" i="12"/>
  <c r="E62" i="1"/>
  <c r="E58" i="6"/>
  <c r="B76" i="6"/>
  <c r="E76" i="6" s="1"/>
  <c r="F83" i="3"/>
  <c r="G38" i="10"/>
  <c r="E18" i="12"/>
  <c r="B63" i="3"/>
  <c r="C23" i="12"/>
  <c r="C42" i="10"/>
  <c r="C24" i="12"/>
  <c r="C43" i="10"/>
  <c r="C40" i="12"/>
  <c r="E75" i="1"/>
  <c r="B77" i="10" s="1"/>
  <c r="C41" i="10"/>
  <c r="G41" i="10" s="1"/>
  <c r="B58" i="10"/>
  <c r="C15" i="12"/>
  <c r="E15" i="12" s="1"/>
  <c r="E72" i="1"/>
  <c r="E74" i="1" s="1"/>
  <c r="C21" i="10"/>
  <c r="B63" i="8"/>
  <c r="B92" i="8"/>
  <c r="E59" i="8"/>
  <c r="E59" i="6"/>
  <c r="B63" i="6"/>
  <c r="D92" i="8"/>
  <c r="C63" i="8"/>
  <c r="F83" i="8"/>
  <c r="E60" i="8"/>
  <c r="C92" i="8"/>
  <c r="F27" i="8"/>
  <c r="D92" i="6"/>
  <c r="D63" i="6"/>
  <c r="E60" i="6"/>
  <c r="C63" i="6"/>
  <c r="C92" i="6"/>
  <c r="B92" i="6"/>
  <c r="F27" i="6"/>
  <c r="F46" i="6"/>
  <c r="E27" i="10"/>
  <c r="F27" i="10"/>
  <c r="D92" i="3"/>
  <c r="E60" i="3"/>
  <c r="C92" i="3"/>
  <c r="F27" i="3"/>
  <c r="B92" i="3"/>
  <c r="E21" i="12"/>
  <c r="E59" i="3"/>
  <c r="E42" i="12"/>
  <c r="E58" i="3"/>
  <c r="D63" i="3"/>
  <c r="C63" i="3"/>
  <c r="E45" i="12"/>
  <c r="E39" i="12"/>
  <c r="F46" i="3"/>
  <c r="B76" i="3"/>
  <c r="E76" i="3" s="1"/>
  <c r="G17" i="10"/>
  <c r="E41" i="12"/>
  <c r="G15" i="10"/>
  <c r="G24" i="10"/>
  <c r="E43" i="12"/>
  <c r="D104" i="12"/>
  <c r="B75" i="10"/>
  <c r="B75" i="12"/>
  <c r="C104" i="1"/>
  <c r="B61" i="10"/>
  <c r="B61" i="12"/>
  <c r="B107" i="10"/>
  <c r="B60" i="10"/>
  <c r="B60" i="12"/>
  <c r="B76" i="1"/>
  <c r="C72" i="1" s="1"/>
  <c r="C74" i="1" s="1"/>
  <c r="C45" i="10"/>
  <c r="C44" i="10"/>
  <c r="F19" i="1"/>
  <c r="C20" i="12"/>
  <c r="E20" i="12" s="1"/>
  <c r="C20" i="10"/>
  <c r="C18" i="10"/>
  <c r="G18" i="10" s="1"/>
  <c r="C17" i="12"/>
  <c r="F16" i="1"/>
  <c r="C38" i="12"/>
  <c r="C14" i="10"/>
  <c r="C14" i="12"/>
  <c r="F13" i="1"/>
  <c r="C13" i="10" s="1"/>
  <c r="B104" i="10"/>
  <c r="F104" i="10" s="1"/>
  <c r="B103" i="12"/>
  <c r="D103" i="12" s="1"/>
  <c r="E106" i="1"/>
  <c r="B105" i="12" s="1"/>
  <c r="E91" i="10" l="1"/>
  <c r="E91" i="18"/>
  <c r="D105" i="12"/>
  <c r="C106" i="1"/>
  <c r="C108" i="1" s="1"/>
  <c r="D104" i="1" s="1"/>
  <c r="D106" i="1" s="1"/>
  <c r="D108" i="1" s="1"/>
  <c r="F105" i="10"/>
  <c r="B123" i="1"/>
  <c r="C119" i="1" s="1"/>
  <c r="C121" i="1" s="1"/>
  <c r="C76" i="1"/>
  <c r="D72" i="1" s="1"/>
  <c r="D74" i="1" s="1"/>
  <c r="B77" i="12"/>
  <c r="D75" i="12"/>
  <c r="G21" i="10"/>
  <c r="D27" i="10"/>
  <c r="G20" i="10"/>
  <c r="E23" i="12"/>
  <c r="G42" i="10"/>
  <c r="E40" i="12"/>
  <c r="G43" i="10"/>
  <c r="E24" i="12"/>
  <c r="E76" i="1"/>
  <c r="B74" i="12"/>
  <c r="D74" i="12" s="1"/>
  <c r="B74" i="10"/>
  <c r="F74" i="10" s="1"/>
  <c r="G23" i="10"/>
  <c r="E92" i="8"/>
  <c r="D64" i="10"/>
  <c r="G45" i="10"/>
  <c r="E46" i="10"/>
  <c r="E92" i="6"/>
  <c r="G44" i="10"/>
  <c r="E63" i="6"/>
  <c r="G39" i="10"/>
  <c r="F75" i="10"/>
  <c r="E92" i="3"/>
  <c r="D61" i="12"/>
  <c r="F61" i="10"/>
  <c r="D27" i="12"/>
  <c r="E63" i="3"/>
  <c r="E17" i="12"/>
  <c r="D46" i="12"/>
  <c r="D46" i="10"/>
  <c r="D58" i="12"/>
  <c r="B76" i="12"/>
  <c r="B76" i="10"/>
  <c r="B64" i="10"/>
  <c r="B64" i="12"/>
  <c r="C46" i="10"/>
  <c r="F19" i="3"/>
  <c r="C19" i="12"/>
  <c r="C19" i="10"/>
  <c r="F16" i="3"/>
  <c r="C16" i="12"/>
  <c r="C16" i="10"/>
  <c r="C46" i="12"/>
  <c r="E38" i="12"/>
  <c r="G14" i="10"/>
  <c r="C27" i="10"/>
  <c r="C27" i="12"/>
  <c r="E14" i="12"/>
  <c r="F13" i="3"/>
  <c r="C13" i="12"/>
  <c r="E108" i="1"/>
  <c r="B106" i="10"/>
  <c r="B107" i="12" l="1"/>
  <c r="B136" i="16"/>
  <c r="B104" i="16" s="1"/>
  <c r="B78" i="12"/>
  <c r="B134" i="16"/>
  <c r="D135" i="18"/>
  <c r="E93" i="10"/>
  <c r="E46" i="12"/>
  <c r="F106" i="10"/>
  <c r="C123" i="1"/>
  <c r="D119" i="1" s="1"/>
  <c r="D121" i="1" s="1"/>
  <c r="D76" i="1"/>
  <c r="E122" i="1"/>
  <c r="D77" i="12"/>
  <c r="F76" i="10"/>
  <c r="D76" i="12"/>
  <c r="G27" i="10"/>
  <c r="B78" i="10"/>
  <c r="B73" i="3"/>
  <c r="B75" i="3" s="1"/>
  <c r="B77" i="3" s="1"/>
  <c r="C73" i="3" s="1"/>
  <c r="C75" i="3" s="1"/>
  <c r="C77" i="3" s="1"/>
  <c r="D73" i="3" s="1"/>
  <c r="D75" i="3" s="1"/>
  <c r="D77" i="3" s="1"/>
  <c r="F60" i="10"/>
  <c r="C64" i="12"/>
  <c r="F107" i="10"/>
  <c r="D107" i="12"/>
  <c r="E27" i="12"/>
  <c r="D60" i="12"/>
  <c r="D64" i="12" s="1"/>
  <c r="C64" i="10"/>
  <c r="F19" i="8"/>
  <c r="F19" i="6"/>
  <c r="E19" i="12"/>
  <c r="E16" i="12"/>
  <c r="F16" i="6"/>
  <c r="F16" i="8"/>
  <c r="G16" i="10" s="1"/>
  <c r="E13" i="12"/>
  <c r="F13" i="8"/>
  <c r="G13" i="10" s="1"/>
  <c r="F13" i="6"/>
  <c r="B88" i="3"/>
  <c r="B108" i="10"/>
  <c r="F108" i="10" l="1"/>
  <c r="B132" i="10" s="1"/>
  <c r="B121" i="10"/>
  <c r="F121" i="10" s="1"/>
  <c r="F122" i="10" s="1"/>
  <c r="B133" i="10" s="1"/>
  <c r="B121" i="12"/>
  <c r="D121" i="12" s="1"/>
  <c r="D122" i="12" s="1"/>
  <c r="B106" i="16"/>
  <c r="B108" i="16" s="1"/>
  <c r="C104" i="16" s="1"/>
  <c r="C106" i="16" s="1"/>
  <c r="C108" i="16" s="1"/>
  <c r="D104" i="16" s="1"/>
  <c r="D106" i="16" s="1"/>
  <c r="D108" i="16" s="1"/>
  <c r="E104" i="16"/>
  <c r="B72" i="16"/>
  <c r="E121" i="1"/>
  <c r="D78" i="12"/>
  <c r="G19" i="10"/>
  <c r="E73" i="3"/>
  <c r="B91" i="3"/>
  <c r="B93" i="3" s="1"/>
  <c r="C88" i="3" s="1"/>
  <c r="C91" i="3" s="1"/>
  <c r="C93" i="3" s="1"/>
  <c r="D88" i="3" s="1"/>
  <c r="D91" i="3" s="1"/>
  <c r="D93" i="3" s="1"/>
  <c r="E88" i="3"/>
  <c r="E106" i="16" l="1"/>
  <c r="C104" i="10"/>
  <c r="C103" i="12"/>
  <c r="B120" i="12"/>
  <c r="B120" i="10"/>
  <c r="B74" i="16"/>
  <c r="B76" i="16" s="1"/>
  <c r="C72" i="16" s="1"/>
  <c r="C74" i="16" s="1"/>
  <c r="C76" i="16" s="1"/>
  <c r="D72" i="16" s="1"/>
  <c r="D74" i="16" s="1"/>
  <c r="D76" i="16" s="1"/>
  <c r="E72" i="16"/>
  <c r="E123" i="1"/>
  <c r="D123" i="1"/>
  <c r="E75" i="3"/>
  <c r="E91" i="3"/>
  <c r="B122" i="10" l="1"/>
  <c r="B122" i="12"/>
  <c r="B137" i="16"/>
  <c r="E74" i="16"/>
  <c r="C74" i="12"/>
  <c r="C74" i="10"/>
  <c r="C106" i="10"/>
  <c r="C105" i="12"/>
  <c r="E108" i="16"/>
  <c r="E77" i="3"/>
  <c r="B73" i="6" s="1"/>
  <c r="E73" i="6" s="1"/>
  <c r="E93" i="3"/>
  <c r="C76" i="10" l="1"/>
  <c r="C76" i="12"/>
  <c r="E76" i="16"/>
  <c r="B119" i="16"/>
  <c r="B139" i="16"/>
  <c r="C107" i="12"/>
  <c r="C108" i="10"/>
  <c r="B136" i="17"/>
  <c r="B104" i="17" s="1"/>
  <c r="B75" i="6"/>
  <c r="B77" i="6" s="1"/>
  <c r="C73" i="6" s="1"/>
  <c r="C75" i="6" s="1"/>
  <c r="C77" i="6" s="1"/>
  <c r="D73" i="6" s="1"/>
  <c r="D75" i="6" s="1"/>
  <c r="D77" i="6" s="1"/>
  <c r="B88" i="6"/>
  <c r="E75" i="6"/>
  <c r="E104" i="17" l="1"/>
  <c r="B106" i="17"/>
  <c r="B108" i="17" s="1"/>
  <c r="C104" i="17" s="1"/>
  <c r="C106" i="17" s="1"/>
  <c r="C108" i="17" s="1"/>
  <c r="D104" i="17" s="1"/>
  <c r="D106" i="17" s="1"/>
  <c r="D108" i="17" s="1"/>
  <c r="E119" i="16"/>
  <c r="B121" i="16"/>
  <c r="B123" i="16" s="1"/>
  <c r="C119" i="16" s="1"/>
  <c r="C121" i="16" s="1"/>
  <c r="C123" i="16" s="1"/>
  <c r="D119" i="16" s="1"/>
  <c r="D121" i="16" s="1"/>
  <c r="D123" i="16" s="1"/>
  <c r="C78" i="10"/>
  <c r="C78" i="12"/>
  <c r="B134" i="17"/>
  <c r="E88" i="6"/>
  <c r="B91" i="6"/>
  <c r="B93" i="6" s="1"/>
  <c r="C88" i="6" s="1"/>
  <c r="C91" i="6" s="1"/>
  <c r="C93" i="6" s="1"/>
  <c r="D88" i="6" s="1"/>
  <c r="D91" i="6" s="1"/>
  <c r="D93" i="6" s="1"/>
  <c r="E77" i="6"/>
  <c r="B73" i="8" s="1"/>
  <c r="C118" i="10" l="1"/>
  <c r="C118" i="12"/>
  <c r="E121" i="16"/>
  <c r="E106" i="17"/>
  <c r="D104" i="10"/>
  <c r="E91" i="6"/>
  <c r="D106" i="10" l="1"/>
  <c r="E108" i="17"/>
  <c r="C120" i="12"/>
  <c r="C120" i="10"/>
  <c r="E123" i="16"/>
  <c r="E93" i="6"/>
  <c r="B88" i="8" s="1"/>
  <c r="B75" i="8"/>
  <c r="B77" i="8" s="1"/>
  <c r="C73" i="8" s="1"/>
  <c r="C75" i="8" s="1"/>
  <c r="C77" i="8" s="1"/>
  <c r="D73" i="8" s="1"/>
  <c r="D75" i="8" s="1"/>
  <c r="E73" i="8"/>
  <c r="D108" i="10" l="1"/>
  <c r="B104" i="18"/>
  <c r="C122" i="12"/>
  <c r="C122" i="10"/>
  <c r="B137" i="17"/>
  <c r="B119" i="17" s="1"/>
  <c r="B91" i="8"/>
  <c r="E88" i="8"/>
  <c r="E91" i="8" s="1"/>
  <c r="E93" i="8" s="1"/>
  <c r="E75" i="8"/>
  <c r="E104" i="18" l="1"/>
  <c r="B106" i="18"/>
  <c r="B108" i="18" s="1"/>
  <c r="C104" i="18" s="1"/>
  <c r="C106" i="18" s="1"/>
  <c r="C108" i="18" s="1"/>
  <c r="D104" i="18" s="1"/>
  <c r="D106" i="18" s="1"/>
  <c r="D108" i="18" s="1"/>
  <c r="E119" i="17"/>
  <c r="B121" i="17"/>
  <c r="B123" i="17" s="1"/>
  <c r="C119" i="17" s="1"/>
  <c r="C121" i="17" s="1"/>
  <c r="C123" i="17" s="1"/>
  <c r="D119" i="17" s="1"/>
  <c r="D121" i="17" s="1"/>
  <c r="D123" i="17" s="1"/>
  <c r="B93" i="8"/>
  <c r="C88" i="8" s="1"/>
  <c r="E121" i="17" l="1"/>
  <c r="D118" i="10"/>
  <c r="E104" i="10"/>
  <c r="E106" i="18"/>
  <c r="C91" i="8"/>
  <c r="C93" i="8" s="1"/>
  <c r="E106" i="10" l="1"/>
  <c r="E108" i="18"/>
  <c r="D120" i="10"/>
  <c r="E123" i="17"/>
  <c r="D88" i="8"/>
  <c r="D91" i="8" s="1"/>
  <c r="D93" i="8" s="1"/>
  <c r="D122" i="10" l="1"/>
  <c r="B137" i="18"/>
  <c r="B119" i="18" s="1"/>
  <c r="D136" i="18"/>
  <c r="E108" i="10"/>
  <c r="D58" i="8"/>
  <c r="D76" i="8" s="1"/>
  <c r="E76" i="8" s="1"/>
  <c r="E46" i="8"/>
  <c r="F40" i="8"/>
  <c r="F46" i="8" s="1"/>
  <c r="B121" i="18" l="1"/>
  <c r="B123" i="18" s="1"/>
  <c r="C119" i="18" s="1"/>
  <c r="C121" i="18" s="1"/>
  <c r="C123" i="18" s="1"/>
  <c r="D119" i="18" s="1"/>
  <c r="D121" i="18" s="1"/>
  <c r="D123" i="18" s="1"/>
  <c r="E119" i="18"/>
  <c r="E58" i="8"/>
  <c r="E63" i="8" s="1"/>
  <c r="F46" i="10"/>
  <c r="D77" i="8"/>
  <c r="D63" i="8"/>
  <c r="E121" i="18" l="1"/>
  <c r="E118" i="10"/>
  <c r="E64" i="10"/>
  <c r="G40" i="10"/>
  <c r="G46" i="10" s="1"/>
  <c r="F77" i="10"/>
  <c r="F78" i="10" s="1"/>
  <c r="B134" i="10" s="1"/>
  <c r="E77" i="8"/>
  <c r="E120" i="10" l="1"/>
  <c r="E123" i="18"/>
  <c r="F58" i="10"/>
  <c r="F64" i="10" s="1"/>
  <c r="E122" i="10" l="1"/>
  <c r="D137" i="18"/>
  <c r="B72" i="17"/>
  <c r="E72" i="17" s="1"/>
  <c r="B139" i="17"/>
  <c r="E74" i="17" l="1"/>
  <c r="D74" i="10"/>
  <c r="B74" i="17"/>
  <c r="B76" i="17" s="1"/>
  <c r="C72" i="17" s="1"/>
  <c r="C74" i="17" s="1"/>
  <c r="C76" i="17" s="1"/>
  <c r="D72" i="17" s="1"/>
  <c r="D74" i="17" s="1"/>
  <c r="D76" i="17" s="1"/>
  <c r="E76" i="17" l="1"/>
  <c r="D76" i="10"/>
  <c r="D78" i="10" l="1"/>
  <c r="B134" i="18"/>
  <c r="B139" i="18" l="1"/>
  <c r="B72" i="18"/>
  <c r="E72" i="18" l="1"/>
  <c r="B74" i="18"/>
  <c r="B76" i="18" s="1"/>
  <c r="C72" i="18" s="1"/>
  <c r="C74" i="18" s="1"/>
  <c r="C76" i="18" s="1"/>
  <c r="D72" i="18" s="1"/>
  <c r="D74" i="18" s="1"/>
  <c r="D76" i="18" s="1"/>
  <c r="E74" i="10" l="1"/>
  <c r="E74" i="18"/>
  <c r="E76" i="10" l="1"/>
  <c r="E76" i="18"/>
  <c r="D134" i="18" l="1"/>
  <c r="D139" i="18" s="1"/>
  <c r="E7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aanchia</author>
  </authors>
  <commentList>
    <comment ref="F1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aanchia:
Para año 2019 se debe limpiar este ajuste en la columna. Ajustes corresponden a reintegros realizados por asociaciones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aanchia</author>
  </authors>
  <commentList>
    <comment ref="D4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en el reporte no se incluyeron 6 millones de la Muni de cartago
se actualizo hoy 4-3-2019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aanchia</author>
  </authors>
  <commentList>
    <comment ref="A7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<sst xmlns="http://schemas.openxmlformats.org/spreadsheetml/2006/main" count="1221" uniqueCount="172">
  <si>
    <t xml:space="preserve">Programa: </t>
  </si>
  <si>
    <t>Institución:</t>
  </si>
  <si>
    <t>Año:</t>
  </si>
  <si>
    <t>Enero</t>
  </si>
  <si>
    <t>Febrero</t>
  </si>
  <si>
    <t>Marzo</t>
  </si>
  <si>
    <t>I Trimestre</t>
  </si>
  <si>
    <t xml:space="preserve">4. </t>
  </si>
  <si>
    <t xml:space="preserve">5. 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</si>
  <si>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</si>
  <si>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</si>
  <si>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</si>
  <si>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</si>
  <si>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</si>
  <si>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</si>
  <si>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</si>
  <si>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</si>
  <si>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</si>
  <si>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</si>
  <si>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</si>
  <si>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FODESAF</t>
  </si>
  <si>
    <t>Consejo Nacional de la Persona del Adulto Mayor (CONAPAM)</t>
  </si>
  <si>
    <t>Construyendo Lazos de Solidaridad</t>
  </si>
  <si>
    <t>Subsidio para la atención adultos mayores institucionalizados (OBS)</t>
  </si>
  <si>
    <t>Subsidio para la atención diurna de adultos mayores (centros diurnos)</t>
  </si>
  <si>
    <t>Subsidio para la atención domiciliar de adultos mayores (OBS, municipalidades)</t>
  </si>
  <si>
    <t>1. Transferencias corrientes</t>
  </si>
  <si>
    <t>Abril</t>
  </si>
  <si>
    <t>Mayo</t>
  </si>
  <si>
    <t>Junio</t>
  </si>
  <si>
    <t>II Trimestre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</si>
  <si>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</si>
  <si>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</si>
  <si>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</si>
  <si>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</si>
  <si>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</si>
  <si>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Octubre</t>
  </si>
  <si>
    <t>Noviembre</t>
  </si>
  <si>
    <t>Diciembre</t>
  </si>
  <si>
    <t>IV Trimestre</t>
  </si>
  <si>
    <t>Anual</t>
  </si>
  <si>
    <t>I Semestre</t>
  </si>
  <si>
    <t>* El tercer porducto corresponde a red de cuido</t>
  </si>
  <si>
    <t>2. Transferencias corrientes (Red de Cuido)</t>
  </si>
  <si>
    <t>Cuadro 4.1</t>
  </si>
  <si>
    <t>Cuadro 4.2</t>
  </si>
  <si>
    <t>Reporte de gastos efectivos por objeto de gasto por el Fondo de Desarrollo Social y Asignaciones Familiares</t>
  </si>
  <si>
    <t>Periodo:</t>
  </si>
  <si>
    <t>Reporte de ingresos efectivos girados por el Fondo de Desarrollo Social y Asignaciones Familiares (Red de cuido)</t>
  </si>
  <si>
    <t>Reporte de ingresos efectivos girados por el Fondo de Desarrollo Social y Asignaciones Familiares (Red de Cuido)</t>
  </si>
  <si>
    <t>Unidad: Personas</t>
  </si>
  <si>
    <t>Pagados</t>
  </si>
  <si>
    <t>Unidad: Colones</t>
  </si>
  <si>
    <t>Período:</t>
  </si>
  <si>
    <t xml:space="preserve">Ingresos totales: </t>
  </si>
  <si>
    <t>Compromisos cancelados</t>
  </si>
  <si>
    <t>Pagos del período</t>
  </si>
  <si>
    <t>Setiembre</t>
  </si>
  <si>
    <t xml:space="preserve">Compromisos acumulados </t>
  </si>
  <si>
    <t>Pagados en el mes</t>
  </si>
  <si>
    <t>Pago de compromisos</t>
  </si>
  <si>
    <r>
      <t>Dirección Área Técnica.</t>
    </r>
    <r>
      <rPr>
        <b/>
        <sz val="11"/>
        <color indexed="8"/>
        <rFont val="Calibri"/>
        <family val="2"/>
      </rPr>
      <t xml:space="preserve"> Departamento de Evaluación y Seguimiento</t>
    </r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</si>
  <si>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</si>
  <si>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* El tercer producto corresponde a red de cuido</t>
  </si>
  <si>
    <t>Beneficio</t>
  </si>
  <si>
    <r>
      <t>I Trimestre</t>
    </r>
    <r>
      <rPr>
        <sz val="11"/>
        <color indexed="8"/>
        <rFont val="Calibri"/>
        <family val="2"/>
      </rPr>
      <t>¹</t>
    </r>
  </si>
  <si>
    <t>* El tercer porducto corresponde a red de cuido. 1/ El total de compromisos acumulados del trimestres son los pendientes de pago al último mes del período, los pagos realizados se promedian para obtener una aproximación de personas atendidas.</t>
  </si>
  <si>
    <t>Anual¹</t>
  </si>
  <si>
    <r>
      <t>I Semestre</t>
    </r>
    <r>
      <rPr>
        <sz val="11"/>
        <color indexed="8"/>
        <rFont val="Calibri"/>
        <family val="2"/>
      </rPr>
      <t>¹</t>
    </r>
  </si>
  <si>
    <r>
      <t>IV Trimestre</t>
    </r>
    <r>
      <rPr>
        <sz val="11"/>
        <color indexed="8"/>
        <rFont val="Calibri"/>
        <family val="2"/>
      </rPr>
      <t>¹</t>
    </r>
  </si>
  <si>
    <r>
      <t>III Trimestre</t>
    </r>
    <r>
      <rPr>
        <sz val="11"/>
        <color indexed="8"/>
        <rFont val="Calibri"/>
        <family val="2"/>
      </rPr>
      <t>¹</t>
    </r>
  </si>
  <si>
    <r>
      <t>II Trimestre</t>
    </r>
    <r>
      <rPr>
        <sz val="11"/>
        <color indexed="8"/>
        <rFont val="Calibri"/>
        <family val="2"/>
      </rPr>
      <t>¹</t>
    </r>
  </si>
  <si>
    <t>Fuente: Unidad de Fiscalizacion Operativa del CONAPAM</t>
  </si>
  <si>
    <t>Fuente:  Unidad de Fiscalizacion Operativa del CONAPAM</t>
  </si>
  <si>
    <t>Fuente:Unidad de Fiscalizacion Operativa del CONAPAM</t>
  </si>
  <si>
    <t>Subsidio para la atención domiciliar de adultos mayores (Abandonados)</t>
  </si>
  <si>
    <t>3. Transferencias corrientes (Red de Cuido Abandonados)</t>
  </si>
  <si>
    <t>Ingresos efectivos Abandonados</t>
  </si>
  <si>
    <t>Reporte de ingresos efectivos girados por el Fondo de Desarrollo Social y Asignaciones Familiares (Hogares y CD)</t>
  </si>
  <si>
    <t>Nota: El ingreso efectivo del cuadro 4.2 contiene el ingreso de la modalidad de Red de Cuido y Abandonados</t>
  </si>
  <si>
    <t xml:space="preserve">Fecha de actualización: </t>
  </si>
  <si>
    <r>
      <t xml:space="preserve">1. Saldo en caja inicial  (5 </t>
    </r>
    <r>
      <rPr>
        <sz val="11"/>
        <color indexed="8"/>
        <rFont val="Calibri"/>
        <family val="2"/>
      </rPr>
      <t>t-1)  (Red de Cuido)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</si>
  <si>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(Abandonados)</t>
    </r>
  </si>
  <si>
    <t>Abandonados</t>
  </si>
  <si>
    <t xml:space="preserve">    Ley N° 8783 FODESAF Abandonados y Agredidos  </t>
  </si>
  <si>
    <t>Descripción</t>
  </si>
  <si>
    <t>Saldo Final Según Unidad F.</t>
  </si>
  <si>
    <t>Subsidio para la atención adultos mayores institucionalizados (OBS-Hogar)</t>
  </si>
  <si>
    <t>2. Ingresos efectivos recibidos(red cuido)</t>
  </si>
  <si>
    <t>S</t>
  </si>
  <si>
    <t>Tercer Trimestre 2019</t>
  </si>
  <si>
    <t>Fecha de actualización:  16-10-2019</t>
  </si>
  <si>
    <t>Fecha de actualización:  22-01-2020</t>
  </si>
  <si>
    <t>2. Ingresos efectivos recibidos(Red cuido)</t>
  </si>
  <si>
    <t>Cuarto Trimestre 2019</t>
  </si>
  <si>
    <t>Red de Cuido</t>
  </si>
  <si>
    <t>Proyecto</t>
  </si>
  <si>
    <t>Proyectos</t>
  </si>
  <si>
    <t>Total superavit 2019</t>
  </si>
  <si>
    <t>Fecha de actualización: 14/01/2020</t>
  </si>
  <si>
    <t xml:space="preserve"> Subsidio Personas de 65 años o más en Abandono</t>
  </si>
  <si>
    <t>Subsidio Red de Cuido (OBS, Municipalidades)</t>
  </si>
  <si>
    <t>1. Transferencias corrientes (Hogar)</t>
  </si>
  <si>
    <t>2. Transferencias corrientes (Centro Diurno)</t>
  </si>
  <si>
    <t>3. Transferencias corrientes (Red de Cuido(OBS,Municipalidades))</t>
  </si>
  <si>
    <t>4. Transferencias corrientes ( Abandonados)</t>
  </si>
  <si>
    <t>Reporte de ingresos efectivos girados por el Fondo de Desarrollo Social y Asignaciones Familiares (Centros Diurnos)</t>
  </si>
  <si>
    <t>Cuadro 4.3</t>
  </si>
  <si>
    <t>Reporte de ingresos efectivos girados por el Fondo de Desarrollo Social y Asignaciones Familiares (Hogares)</t>
  </si>
  <si>
    <t>Reporte de ingresos efectivos girados por el Fondo de Desarrollo Social y Asignaciones Familiares (Abandonados)</t>
  </si>
  <si>
    <t>Cuadro 4.4</t>
  </si>
  <si>
    <r>
      <t xml:space="preserve">1. Saldo en caja inicial  (5 </t>
    </r>
    <r>
      <rPr>
        <sz val="11"/>
        <color indexed="8"/>
        <rFont val="Calibri"/>
        <family val="2"/>
      </rPr>
      <t>t-1)  (Hogares)</t>
    </r>
  </si>
  <si>
    <r>
      <t xml:space="preserve">1. Saldo en caja inicial  (5 </t>
    </r>
    <r>
      <rPr>
        <sz val="11"/>
        <color indexed="8"/>
        <rFont val="Calibri"/>
        <family val="2"/>
      </rPr>
      <t>t-1)  (Centros Diurnos)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</si>
  <si>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(Abandonados-CONAPDIS)</t>
    </r>
  </si>
  <si>
    <t>Red De Cuido</t>
  </si>
  <si>
    <t>Detalle</t>
  </si>
  <si>
    <t>Total Presupuestado Enero-2020</t>
  </si>
  <si>
    <t>Necedades Básicas Hogar</t>
  </si>
  <si>
    <t>Necesidades Básicas. Centros Diurnos</t>
  </si>
  <si>
    <t>ENERO</t>
  </si>
  <si>
    <t>FEBRERO</t>
  </si>
  <si>
    <t>MARZO</t>
  </si>
  <si>
    <t>I TRIMESTRE</t>
  </si>
  <si>
    <t>PAM PROGRAMATICAS X MES</t>
  </si>
  <si>
    <t xml:space="preserve"> Subsidio Personas de 65 años o más en Abandonados</t>
  </si>
  <si>
    <t>TRANSFERENCIAS RECIBIDAs POR FODESAF I TRIMESTRE 2020</t>
  </si>
  <si>
    <t>Segundo Trimestre 2020</t>
  </si>
  <si>
    <t>Total Presupuestado abril-2020</t>
  </si>
  <si>
    <t>ABRIL</t>
  </si>
  <si>
    <t>MAYO</t>
  </si>
  <si>
    <t>JUNIO</t>
  </si>
  <si>
    <t>II TRIMESTRE</t>
  </si>
  <si>
    <t>Subsidio para la atención adultos mayores institucionalizados (Hogares)</t>
  </si>
  <si>
    <t>Subsidio para la atención adultos mayores institucionalizados (Hogares-OBS)</t>
  </si>
  <si>
    <t>IIII TRIMESTRE¹</t>
  </si>
  <si>
    <t>IIII TRIMESTRE</t>
  </si>
  <si>
    <t>TRANSFERENCIAS RECIBIDAs POR FODESAF IIII TRIMESTRE 2020</t>
  </si>
  <si>
    <t>Saldo Inicial 01-07-2020</t>
  </si>
  <si>
    <t>JULIO</t>
  </si>
  <si>
    <t>AGOSTO</t>
  </si>
  <si>
    <t>SEPTIEMBRE</t>
  </si>
  <si>
    <t>Septiembre</t>
  </si>
  <si>
    <t>Total saldo al 1-07-2020</t>
  </si>
  <si>
    <t>IV TRIMESTRE¹</t>
  </si>
  <si>
    <t>IV TRIMESTRE</t>
  </si>
  <si>
    <t>Total saldo al 30-09-2020</t>
  </si>
  <si>
    <t>III TRIMESTRE</t>
  </si>
  <si>
    <t>Primer Semestre 2020</t>
  </si>
  <si>
    <t>1. Transferencias corrientes(Hogar)</t>
  </si>
  <si>
    <t>1. Transferencias corrientes (Centro Diurno)</t>
  </si>
  <si>
    <t>Fecha de actualización:  15-01-2021</t>
  </si>
  <si>
    <t>1. Transferencias corrientes(Hogares)</t>
  </si>
  <si>
    <t>1. Transferencias corrientes(Centros Diurnos)</t>
  </si>
  <si>
    <t xml:space="preserve">    Ley N° 8783 FODESAF  Necesidades Básicas (Centros Diurnos)</t>
  </si>
  <si>
    <r>
      <t xml:space="preserve">    Ley N° 8783 FODESAF  Necesidades Básicas (Hogares) (</t>
    </r>
    <r>
      <rPr>
        <sz val="11"/>
        <color rgb="FFFF0000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)</t>
    </r>
  </si>
  <si>
    <r>
      <t xml:space="preserve">    Ley N° 8783 FODESAF  Red de Cuido (</t>
    </r>
    <r>
      <rPr>
        <sz val="11"/>
        <color rgb="FFFF0000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)</t>
    </r>
  </si>
  <si>
    <t>Primer Trimestre 2021</t>
  </si>
  <si>
    <t>Superavit año 2020</t>
  </si>
  <si>
    <t>II Trimestre 2021</t>
  </si>
  <si>
    <t>Saldo Inicial 01-04-2021</t>
  </si>
  <si>
    <t>Total Presupuestado abril-2021</t>
  </si>
  <si>
    <t>TRANSFERENCIAS RECIBIDAs POR FODESAF II TRIMESTRE 2021</t>
  </si>
  <si>
    <t>Fecha de actualización: 01/04/2021</t>
  </si>
  <si>
    <t>Fecha de actualización: 15/10/2021</t>
  </si>
  <si>
    <t>III TRIMESTRE 2021</t>
  </si>
  <si>
    <t>IV TRIMESTRE 2021</t>
  </si>
  <si>
    <t>Saldo Final al 30-09-2021</t>
  </si>
  <si>
    <t>Saldo al 31-12-2021</t>
  </si>
  <si>
    <t>TRANSFERENCIAS RECIBIDAs POR FODESAF IV TRIMESTRE 2021</t>
  </si>
  <si>
    <t>Total Presupuestado set-2021</t>
  </si>
  <si>
    <t>Fecha de actualización:31/01/2022</t>
  </si>
  <si>
    <t>Remanentes al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</si>
</sst>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0000_);_(* \(#,##0.00000\);_(* &quot;-&quot;??_);_(@_)"/>
    <numFmt numFmtId="167" formatCode="#,##0.00_ ;\-#,##0.00\ "/>
    <numFmt numFmtId="168" formatCode="_-* #,##0.00_-;\-* #,##0.00_-;_-* &quot;-&quot;_-;_-@_-"/>
    <numFmt numFmtId="169" formatCode="_(* #,##0.0_);_(* \(#,##0.0\);_(* &quot;-&quot;??_);_(@_)"/>
    <numFmt numFmtId="170" formatCode="_(* #,##0.000_);_(* \(#,##0.000\);_(* &quot;-&quot;??_);_(@_)"/>
    <numFmt numFmtId="171" formatCode="#,##0.0000"/>
    <numFmt numFmtId="172" formatCode="#,##0.000;\-#,##0.000"/>
    <numFmt numFmtId="173" formatCode="#,##0.0000;\-#,##0.0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rgb="FF666666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E9F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41" fontId="3" fillId="0" borderId="0" applyFont="0" applyFill="0" applyBorder="0" applyAlignment="0" applyProtection="0"/>
  </cellStyleXfs>
  <cellXfs count="310">
    <xf numFmtId="0" fontId="0" fillId="0" borderId="0" xfId="0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Alignment="1"/>
    <xf numFmtId="165" fontId="5" fillId="0" borderId="0" xfId="1" applyNumberFormat="1" applyFont="1" applyFill="1" applyAlignment="1">
      <alignment horizontal="left"/>
    </xf>
    <xf numFmtId="165" fontId="5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Alignment="1"/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5" fillId="0" borderId="0" xfId="1" applyNumberFormat="1" applyFont="1"/>
    <xf numFmtId="165" fontId="5" fillId="0" borderId="0" xfId="1" applyNumberFormat="1" applyFont="1" applyAlignment="1">
      <alignment horizontal="left"/>
    </xf>
    <xf numFmtId="165" fontId="3" fillId="0" borderId="4" xfId="1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/>
    </xf>
    <xf numFmtId="165" fontId="3" fillId="0" borderId="3" xfId="1" applyNumberFormat="1" applyFont="1" applyFill="1" applyBorder="1"/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Fill="1"/>
    <xf numFmtId="165" fontId="4" fillId="0" borderId="0" xfId="1" applyNumberFormat="1" applyFont="1"/>
    <xf numFmtId="165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/>
    <xf numFmtId="165" fontId="3" fillId="0" borderId="2" xfId="1" applyNumberFormat="1" applyFont="1" applyFill="1" applyBorder="1" applyAlignment="1">
      <alignment horizontal="center" wrapText="1"/>
    </xf>
    <xf numFmtId="165" fontId="5" fillId="0" borderId="0" xfId="1" applyNumberFormat="1" applyFont="1" applyFill="1"/>
    <xf numFmtId="4" fontId="0" fillId="0" borderId="0" xfId="0" applyNumberFormat="1" applyFont="1" applyFill="1"/>
    <xf numFmtId="4" fontId="5" fillId="0" borderId="0" xfId="0" applyNumberFormat="1" applyFont="1" applyFill="1"/>
    <xf numFmtId="1" fontId="5" fillId="0" borderId="0" xfId="1" applyNumberFormat="1" applyFont="1" applyAlignment="1">
      <alignment horizontal="left"/>
    </xf>
    <xf numFmtId="165" fontId="3" fillId="0" borderId="2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/>
    <xf numFmtId="165" fontId="7" fillId="0" borderId="2" xfId="1" applyNumberFormat="1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 applyFont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wrapText="1"/>
    </xf>
    <xf numFmtId="165" fontId="4" fillId="0" borderId="0" xfId="1" applyNumberFormat="1" applyFont="1" applyBorder="1"/>
    <xf numFmtId="165" fontId="8" fillId="0" borderId="0" xfId="1" applyNumberFormat="1" applyFont="1" applyFill="1"/>
    <xf numFmtId="165" fontId="8" fillId="0" borderId="0" xfId="1" applyNumberFormat="1" applyFont="1"/>
    <xf numFmtId="37" fontId="3" fillId="0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wrapText="1"/>
    </xf>
    <xf numFmtId="165" fontId="3" fillId="0" borderId="3" xfId="1" applyNumberFormat="1" applyFont="1" applyFill="1" applyBorder="1" applyAlignment="1">
      <alignment horizontal="right" vertical="center" wrapText="1"/>
    </xf>
    <xf numFmtId="37" fontId="3" fillId="0" borderId="0" xfId="1" applyNumberFormat="1" applyFont="1" applyAlignment="1">
      <alignment horizontal="right" vertical="center"/>
    </xf>
    <xf numFmtId="37" fontId="3" fillId="0" borderId="0" xfId="1" applyNumberFormat="1" applyFont="1" applyFill="1" applyAlignment="1">
      <alignment horizontal="right" vertical="center"/>
    </xf>
    <xf numFmtId="37" fontId="3" fillId="0" borderId="0" xfId="1" applyNumberFormat="1" applyFont="1" applyFill="1" applyAlignment="1">
      <alignment horizontal="right"/>
    </xf>
    <xf numFmtId="37" fontId="3" fillId="0" borderId="3" xfId="1" applyNumberFormat="1" applyFont="1" applyBorder="1" applyAlignment="1">
      <alignment horizontal="right" vertical="center"/>
    </xf>
    <xf numFmtId="37" fontId="3" fillId="0" borderId="0" xfId="1" applyNumberFormat="1" applyFont="1" applyAlignment="1">
      <alignment vertical="center"/>
    </xf>
    <xf numFmtId="37" fontId="3" fillId="0" borderId="0" xfId="1" applyNumberFormat="1" applyFont="1" applyFill="1" applyAlignment="1">
      <alignment vertical="center"/>
    </xf>
    <xf numFmtId="37" fontId="3" fillId="0" borderId="3" xfId="1" applyNumberFormat="1" applyFont="1" applyBorder="1" applyAlignment="1">
      <alignment vertical="center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ont="1" applyFill="1"/>
    <xf numFmtId="0" fontId="10" fillId="0" borderId="0" xfId="0" applyFont="1" applyAlignment="1">
      <alignment horizontal="center"/>
    </xf>
    <xf numFmtId="37" fontId="3" fillId="0" borderId="0" xfId="1" applyNumberFormat="1" applyFont="1"/>
    <xf numFmtId="3" fontId="3" fillId="0" borderId="0" xfId="1" applyNumberFormat="1" applyFont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3" fillId="0" borderId="0" xfId="1" applyNumberFormat="1" applyFont="1" applyBorder="1" applyAlignment="1">
      <alignment horizontal="right" vertical="center"/>
    </xf>
    <xf numFmtId="37" fontId="3" fillId="0" borderId="3" xfId="1" applyNumberFormat="1" applyFont="1" applyBorder="1"/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4" fontId="3" fillId="0" borderId="0" xfId="1" applyFont="1"/>
    <xf numFmtId="165" fontId="3" fillId="2" borderId="0" xfId="1" applyNumberFormat="1" applyFont="1" applyFill="1" applyAlignment="1">
      <alignment wrapText="1"/>
    </xf>
    <xf numFmtId="165" fontId="5" fillId="2" borderId="1" xfId="1" applyNumberFormat="1" applyFont="1" applyFill="1" applyBorder="1" applyAlignment="1">
      <alignment horizontal="center" wrapText="1"/>
    </xf>
    <xf numFmtId="165" fontId="3" fillId="2" borderId="4" xfId="1" applyNumberFormat="1" applyFont="1" applyFill="1" applyBorder="1" applyAlignment="1">
      <alignment horizontal="center" wrapText="1"/>
    </xf>
    <xf numFmtId="165" fontId="3" fillId="2" borderId="0" xfId="1" applyNumberFormat="1" applyFont="1" applyFill="1" applyAlignment="1">
      <alignment horizontal="center" vertical="center" wrapText="1"/>
    </xf>
    <xf numFmtId="37" fontId="8" fillId="2" borderId="0" xfId="1" applyNumberFormat="1" applyFont="1" applyFill="1" applyAlignment="1">
      <alignment horizontal="right" vertical="center" wrapText="1"/>
    </xf>
    <xf numFmtId="37" fontId="9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/>
    <xf numFmtId="165" fontId="3" fillId="2" borderId="0" xfId="1" applyNumberFormat="1" applyFont="1" applyFill="1" applyBorder="1" applyAlignment="1">
      <alignment wrapText="1"/>
    </xf>
    <xf numFmtId="37" fontId="8" fillId="2" borderId="0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165" fontId="5" fillId="2" borderId="0" xfId="1" applyNumberFormat="1" applyFont="1" applyFill="1" applyAlignment="1">
      <alignment wrapText="1"/>
    </xf>
    <xf numFmtId="37" fontId="8" fillId="2" borderId="0" xfId="1" applyNumberFormat="1" applyFont="1" applyFill="1" applyBorder="1" applyAlignment="1">
      <alignment horizontal="right" wrapText="1"/>
    </xf>
    <xf numFmtId="165" fontId="3" fillId="2" borderId="3" xfId="1" applyNumberFormat="1" applyFont="1" applyFill="1" applyBorder="1" applyAlignment="1">
      <alignment horizontal="center" wrapText="1"/>
    </xf>
    <xf numFmtId="0" fontId="0" fillId="2" borderId="5" xfId="0" applyFill="1" applyBorder="1"/>
    <xf numFmtId="4" fontId="0" fillId="2" borderId="5" xfId="0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5" fontId="0" fillId="2" borderId="0" xfId="1" applyNumberFormat="1" applyFont="1" applyFill="1" applyAlignment="1">
      <alignment wrapText="1"/>
    </xf>
    <xf numFmtId="37" fontId="3" fillId="3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164" fontId="3" fillId="0" borderId="0" xfId="1" applyNumberFormat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3" fillId="0" borderId="8" xfId="1" applyNumberFormat="1" applyFont="1" applyBorder="1"/>
    <xf numFmtId="37" fontId="0" fillId="3" borderId="0" xfId="1" applyNumberFormat="1" applyFont="1" applyFill="1" applyAlignment="1">
      <alignment horizontal="right" vertical="center"/>
    </xf>
    <xf numFmtId="165" fontId="5" fillId="0" borderId="5" xfId="1" applyNumberFormat="1" applyFont="1" applyBorder="1"/>
    <xf numFmtId="165" fontId="3" fillId="0" borderId="10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 applyAlignment="1">
      <alignment wrapText="1"/>
    </xf>
    <xf numFmtId="37" fontId="3" fillId="0" borderId="0" xfId="1" applyNumberFormat="1" applyFont="1" applyFill="1" applyBorder="1" applyAlignment="1">
      <alignment horizontal="right" vertical="center" wrapText="1"/>
    </xf>
    <xf numFmtId="165" fontId="3" fillId="0" borderId="14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37" fontId="3" fillId="0" borderId="12" xfId="1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wrapText="1"/>
    </xf>
    <xf numFmtId="37" fontId="3" fillId="0" borderId="14" xfId="1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wrapText="1"/>
    </xf>
    <xf numFmtId="37" fontId="3" fillId="0" borderId="16" xfId="1" applyNumberFormat="1" applyFont="1" applyFill="1" applyBorder="1" applyAlignment="1">
      <alignment horizontal="right" wrapText="1"/>
    </xf>
    <xf numFmtId="165" fontId="3" fillId="0" borderId="10" xfId="1" applyNumberFormat="1" applyFont="1" applyFill="1" applyBorder="1" applyAlignment="1">
      <alignment horizontal="left" wrapText="1"/>
    </xf>
    <xf numFmtId="165" fontId="3" fillId="0" borderId="11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wrapText="1"/>
    </xf>
    <xf numFmtId="0" fontId="10" fillId="0" borderId="10" xfId="0" applyFont="1" applyBorder="1" applyAlignment="1">
      <alignment horizontal="left"/>
    </xf>
    <xf numFmtId="4" fontId="0" fillId="0" borderId="11" xfId="0" applyNumberFormat="1" applyFont="1" applyBorder="1"/>
    <xf numFmtId="0" fontId="10" fillId="0" borderId="15" xfId="0" applyFont="1" applyBorder="1" applyAlignment="1">
      <alignment horizontal="left"/>
    </xf>
    <xf numFmtId="4" fontId="0" fillId="0" borderId="1" xfId="0" applyNumberFormat="1" applyFont="1" applyBorder="1"/>
    <xf numFmtId="165" fontId="3" fillId="5" borderId="0" xfId="1" applyNumberFormat="1" applyFont="1" applyFill="1" applyBorder="1" applyAlignment="1">
      <alignment wrapText="1"/>
    </xf>
    <xf numFmtId="37" fontId="3" fillId="5" borderId="0" xfId="1" applyNumberFormat="1" applyFont="1" applyFill="1" applyAlignment="1">
      <alignment horizontal="right"/>
    </xf>
    <xf numFmtId="37" fontId="3" fillId="5" borderId="0" xfId="1" applyNumberFormat="1" applyFont="1" applyFill="1" applyAlignment="1">
      <alignment horizontal="right" vertical="center"/>
    </xf>
    <xf numFmtId="165" fontId="3" fillId="5" borderId="0" xfId="1" applyNumberFormat="1" applyFont="1" applyFill="1" applyAlignment="1">
      <alignment horizontal="left"/>
    </xf>
    <xf numFmtId="165" fontId="3" fillId="5" borderId="0" xfId="1" applyNumberFormat="1" applyFont="1" applyFill="1"/>
    <xf numFmtId="37" fontId="3" fillId="5" borderId="0" xfId="1" applyNumberFormat="1" applyFont="1" applyFill="1" applyAlignment="1">
      <alignment vertical="center"/>
    </xf>
    <xf numFmtId="37" fontId="0" fillId="0" borderId="0" xfId="1" applyNumberFormat="1" applyFont="1" applyFill="1" applyAlignment="1">
      <alignment vertical="center"/>
    </xf>
    <xf numFmtId="165" fontId="3" fillId="4" borderId="0" xfId="1" applyNumberFormat="1" applyFont="1" applyFill="1" applyBorder="1" applyAlignment="1">
      <alignment wrapText="1"/>
    </xf>
    <xf numFmtId="165" fontId="3" fillId="4" borderId="0" xfId="1" applyNumberFormat="1" applyFont="1" applyFill="1"/>
    <xf numFmtId="165" fontId="3" fillId="6" borderId="0" xfId="1" applyNumberFormat="1" applyFont="1" applyFill="1" applyBorder="1" applyAlignment="1">
      <alignment wrapText="1"/>
    </xf>
    <xf numFmtId="165" fontId="3" fillId="6" borderId="0" xfId="1" applyNumberFormat="1" applyFont="1" applyFill="1"/>
    <xf numFmtId="165" fontId="8" fillId="6" borderId="0" xfId="1" applyNumberFormat="1" applyFont="1" applyFill="1"/>
    <xf numFmtId="0" fontId="10" fillId="7" borderId="0" xfId="0" applyFont="1" applyFill="1" applyAlignment="1">
      <alignment horizontal="center"/>
    </xf>
    <xf numFmtId="0" fontId="0" fillId="7" borderId="0" xfId="0" applyFill="1" applyBorder="1" applyAlignment="1">
      <alignment wrapText="1"/>
    </xf>
    <xf numFmtId="37" fontId="3" fillId="7" borderId="0" xfId="1" applyNumberFormat="1" applyFont="1" applyFill="1"/>
    <xf numFmtId="0" fontId="0" fillId="7" borderId="0" xfId="0" applyFont="1" applyFill="1"/>
    <xf numFmtId="165" fontId="3" fillId="7" borderId="0" xfId="1" applyNumberFormat="1" applyFont="1" applyFill="1" applyBorder="1" applyAlignment="1">
      <alignment wrapText="1"/>
    </xf>
    <xf numFmtId="165" fontId="3" fillId="7" borderId="0" xfId="1" applyNumberFormat="1" applyFont="1" applyFill="1"/>
    <xf numFmtId="165" fontId="8" fillId="7" borderId="0" xfId="1" applyNumberFormat="1" applyFont="1" applyFill="1"/>
    <xf numFmtId="37" fontId="3" fillId="4" borderId="0" xfId="1" applyNumberFormat="1" applyFont="1" applyFill="1"/>
    <xf numFmtId="165" fontId="3" fillId="8" borderId="0" xfId="1" applyNumberFormat="1" applyFont="1" applyFill="1" applyBorder="1" applyAlignment="1">
      <alignment wrapText="1"/>
    </xf>
    <xf numFmtId="0" fontId="0" fillId="8" borderId="0" xfId="0" applyFont="1" applyFill="1"/>
    <xf numFmtId="165" fontId="8" fillId="8" borderId="0" xfId="1" applyNumberFormat="1" applyFont="1" applyFill="1"/>
    <xf numFmtId="0" fontId="0" fillId="5" borderId="0" xfId="0" applyFont="1" applyFill="1"/>
    <xf numFmtId="165" fontId="8" fillId="5" borderId="0" xfId="1" applyNumberFormat="1" applyFont="1" applyFill="1"/>
    <xf numFmtId="165" fontId="3" fillId="8" borderId="0" xfId="1" applyNumberFormat="1" applyFont="1" applyFill="1"/>
    <xf numFmtId="0" fontId="10" fillId="9" borderId="0" xfId="0" applyFont="1" applyFill="1" applyAlignment="1">
      <alignment horizontal="center"/>
    </xf>
    <xf numFmtId="0" fontId="0" fillId="9" borderId="0" xfId="0" applyFill="1" applyBorder="1" applyAlignment="1">
      <alignment wrapText="1"/>
    </xf>
    <xf numFmtId="0" fontId="0" fillId="9" borderId="0" xfId="0" applyFont="1" applyFill="1"/>
    <xf numFmtId="165" fontId="3" fillId="9" borderId="0" xfId="1" applyNumberFormat="1" applyFont="1" applyFill="1"/>
    <xf numFmtId="165" fontId="8" fillId="9" borderId="0" xfId="1" applyNumberFormat="1" applyFont="1" applyFill="1"/>
    <xf numFmtId="4" fontId="0" fillId="9" borderId="0" xfId="0" applyNumberFormat="1" applyFont="1" applyFill="1"/>
    <xf numFmtId="0" fontId="10" fillId="9" borderId="0" xfId="0" applyFont="1" applyFill="1" applyAlignment="1">
      <alignment horizontal="left"/>
    </xf>
    <xf numFmtId="37" fontId="3" fillId="9" borderId="0" xfId="1" applyNumberFormat="1" applyFont="1" applyFill="1"/>
    <xf numFmtId="165" fontId="3" fillId="10" borderId="0" xfId="1" applyNumberFormat="1" applyFont="1" applyFill="1" applyAlignment="1">
      <alignment horizontal="left"/>
    </xf>
    <xf numFmtId="165" fontId="3" fillId="10" borderId="0" xfId="1" applyNumberFormat="1" applyFont="1" applyFill="1"/>
    <xf numFmtId="4" fontId="0" fillId="10" borderId="0" xfId="0" applyNumberFormat="1" applyFont="1" applyFill="1"/>
    <xf numFmtId="4" fontId="3" fillId="10" borderId="0" xfId="1" applyNumberFormat="1" applyFont="1" applyFill="1"/>
    <xf numFmtId="4" fontId="3" fillId="5" borderId="0" xfId="1" applyNumberFormat="1" applyFont="1" applyFill="1"/>
    <xf numFmtId="164" fontId="0" fillId="0" borderId="0" xfId="1" applyFont="1" applyFill="1"/>
    <xf numFmtId="4" fontId="14" fillId="0" borderId="0" xfId="2" applyNumberFormat="1" applyFont="1" applyFill="1" applyBorder="1" applyAlignment="1"/>
    <xf numFmtId="164" fontId="3" fillId="0" borderId="0" xfId="1" applyFont="1" applyFill="1" applyAlignment="1">
      <alignment wrapText="1"/>
    </xf>
    <xf numFmtId="4" fontId="0" fillId="10" borderId="0" xfId="0" applyNumberFormat="1" applyFill="1"/>
    <xf numFmtId="37" fontId="0" fillId="0" borderId="1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center"/>
    </xf>
    <xf numFmtId="165" fontId="3" fillId="5" borderId="10" xfId="1" applyNumberFormat="1" applyFont="1" applyFill="1" applyBorder="1" applyAlignment="1">
      <alignment horizontal="left" wrapText="1"/>
    </xf>
    <xf numFmtId="165" fontId="3" fillId="5" borderId="11" xfId="1" applyNumberFormat="1" applyFont="1" applyFill="1" applyBorder="1" applyAlignment="1">
      <alignment wrapText="1"/>
    </xf>
    <xf numFmtId="37" fontId="3" fillId="5" borderId="11" xfId="1" applyNumberFormat="1" applyFont="1" applyFill="1" applyBorder="1" applyAlignment="1">
      <alignment horizontal="right" wrapText="1"/>
    </xf>
    <xf numFmtId="37" fontId="3" fillId="5" borderId="12" xfId="1" applyNumberFormat="1" applyFont="1" applyFill="1" applyBorder="1" applyAlignment="1">
      <alignment horizontal="right" wrapText="1"/>
    </xf>
    <xf numFmtId="165" fontId="3" fillId="5" borderId="15" xfId="1" applyNumberFormat="1" applyFont="1" applyFill="1" applyBorder="1" applyAlignment="1">
      <alignment horizontal="left" wrapText="1"/>
    </xf>
    <xf numFmtId="165" fontId="3" fillId="5" borderId="1" xfId="1" applyNumberFormat="1" applyFont="1" applyFill="1" applyBorder="1" applyAlignment="1">
      <alignment wrapText="1"/>
    </xf>
    <xf numFmtId="37" fontId="3" fillId="5" borderId="1" xfId="1" applyNumberFormat="1" applyFont="1" applyFill="1" applyBorder="1" applyAlignment="1">
      <alignment horizontal="right" wrapText="1"/>
    </xf>
    <xf numFmtId="37" fontId="3" fillId="5" borderId="16" xfId="1" applyNumberFormat="1" applyFont="1" applyFill="1" applyBorder="1" applyAlignment="1">
      <alignment horizontal="right" wrapText="1"/>
    </xf>
    <xf numFmtId="165" fontId="3" fillId="11" borderId="10" xfId="1" applyNumberFormat="1" applyFont="1" applyFill="1" applyBorder="1" applyAlignment="1">
      <alignment horizontal="left" wrapText="1"/>
    </xf>
    <xf numFmtId="165" fontId="3" fillId="11" borderId="11" xfId="1" applyNumberFormat="1" applyFont="1" applyFill="1" applyBorder="1" applyAlignment="1">
      <alignment wrapText="1"/>
    </xf>
    <xf numFmtId="37" fontId="3" fillId="11" borderId="11" xfId="1" applyNumberFormat="1" applyFont="1" applyFill="1" applyBorder="1" applyAlignment="1">
      <alignment horizontal="right" wrapText="1"/>
    </xf>
    <xf numFmtId="37" fontId="3" fillId="11" borderId="12" xfId="1" applyNumberFormat="1" applyFont="1" applyFill="1" applyBorder="1" applyAlignment="1">
      <alignment horizontal="right" wrapText="1"/>
    </xf>
    <xf numFmtId="165" fontId="3" fillId="11" borderId="15" xfId="1" applyNumberFormat="1" applyFont="1" applyFill="1" applyBorder="1" applyAlignment="1">
      <alignment horizontal="left" wrapText="1"/>
    </xf>
    <xf numFmtId="165" fontId="3" fillId="11" borderId="1" xfId="1" applyNumberFormat="1" applyFont="1" applyFill="1" applyBorder="1" applyAlignment="1">
      <alignment wrapText="1"/>
    </xf>
    <xf numFmtId="37" fontId="3" fillId="11" borderId="1" xfId="1" applyNumberFormat="1" applyFont="1" applyFill="1" applyBorder="1" applyAlignment="1">
      <alignment horizontal="right" wrapText="1"/>
    </xf>
    <xf numFmtId="37" fontId="3" fillId="11" borderId="16" xfId="1" applyNumberFormat="1" applyFont="1" applyFill="1" applyBorder="1" applyAlignment="1">
      <alignment horizontal="right" wrapText="1"/>
    </xf>
    <xf numFmtId="165" fontId="0" fillId="0" borderId="0" xfId="1" applyNumberFormat="1" applyFont="1" applyFill="1" applyAlignment="1">
      <alignment wrapText="1"/>
    </xf>
    <xf numFmtId="164" fontId="15" fillId="12" borderId="0" xfId="1" applyFont="1" applyFill="1" applyAlignment="1">
      <alignment horizontal="right" wrapText="1"/>
    </xf>
    <xf numFmtId="164" fontId="16" fillId="13" borderId="0" xfId="1" applyFont="1" applyFill="1" applyBorder="1"/>
    <xf numFmtId="164" fontId="5" fillId="0" borderId="2" xfId="1" applyFont="1" applyBorder="1"/>
    <xf numFmtId="37" fontId="3" fillId="13" borderId="0" xfId="1" applyNumberFormat="1" applyFont="1" applyFill="1" applyAlignment="1">
      <alignment horizontal="right" vertical="center"/>
    </xf>
    <xf numFmtId="165" fontId="3" fillId="0" borderId="1" xfId="1" applyNumberFormat="1" applyFont="1" applyBorder="1"/>
    <xf numFmtId="164" fontId="3" fillId="0" borderId="1" xfId="1" applyFont="1" applyBorder="1"/>
    <xf numFmtId="4" fontId="0" fillId="13" borderId="0" xfId="0" applyNumberFormat="1" applyFill="1"/>
    <xf numFmtId="165" fontId="3" fillId="13" borderId="1" xfId="1" applyNumberFormat="1" applyFont="1" applyFill="1" applyBorder="1"/>
    <xf numFmtId="164" fontId="3" fillId="13" borderId="1" xfId="1" applyFont="1" applyFill="1" applyBorder="1"/>
    <xf numFmtId="0" fontId="10" fillId="0" borderId="0" xfId="0" applyFont="1" applyBorder="1" applyAlignment="1">
      <alignment horizontal="left"/>
    </xf>
    <xf numFmtId="4" fontId="0" fillId="0" borderId="0" xfId="0" applyNumberFormat="1" applyFont="1" applyBorder="1"/>
    <xf numFmtId="37" fontId="3" fillId="0" borderId="0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0" fillId="7" borderId="5" xfId="0" applyFill="1" applyBorder="1"/>
    <xf numFmtId="0" fontId="0" fillId="0" borderId="5" xfId="0" applyBorder="1"/>
    <xf numFmtId="0" fontId="0" fillId="0" borderId="17" xfId="0" applyBorder="1" applyAlignment="1">
      <alignment wrapText="1"/>
    </xf>
    <xf numFmtId="0" fontId="5" fillId="0" borderId="19" xfId="0" applyFont="1" applyBorder="1"/>
    <xf numFmtId="164" fontId="0" fillId="7" borderId="5" xfId="1" applyFont="1" applyFill="1" applyBorder="1"/>
    <xf numFmtId="164" fontId="0" fillId="0" borderId="5" xfId="1" applyFont="1" applyBorder="1"/>
    <xf numFmtId="164" fontId="0" fillId="0" borderId="17" xfId="1" applyFont="1" applyFill="1" applyBorder="1"/>
    <xf numFmtId="164" fontId="5" fillId="0" borderId="20" xfId="1" applyFont="1" applyBorder="1"/>
    <xf numFmtId="0" fontId="5" fillId="2" borderId="5" xfId="0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165" fontId="3" fillId="0" borderId="5" xfId="1" applyNumberFormat="1" applyFont="1" applyFill="1" applyBorder="1" applyAlignment="1">
      <alignment wrapText="1"/>
    </xf>
    <xf numFmtId="164" fontId="3" fillId="2" borderId="0" xfId="1" applyFont="1" applyFill="1" applyAlignment="1">
      <alignment wrapText="1"/>
    </xf>
    <xf numFmtId="165" fontId="3" fillId="8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Alignment="1">
      <alignment wrapText="1"/>
    </xf>
    <xf numFmtId="165" fontId="0" fillId="0" borderId="2" xfId="1" applyNumberFormat="1" applyFont="1" applyFill="1" applyBorder="1" applyAlignment="1">
      <alignment horizontal="center" wrapText="1"/>
    </xf>
    <xf numFmtId="4" fontId="18" fillId="0" borderId="0" xfId="0" applyNumberFormat="1" applyFont="1"/>
    <xf numFmtId="164" fontId="5" fillId="7" borderId="5" xfId="1" applyFont="1" applyFill="1" applyBorder="1"/>
    <xf numFmtId="164" fontId="5" fillId="2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7" fontId="3" fillId="5" borderId="11" xfId="1" applyNumberFormat="1" applyFont="1" applyFill="1" applyBorder="1" applyAlignment="1">
      <alignment horizontal="right" wrapText="1"/>
    </xf>
    <xf numFmtId="167" fontId="3" fillId="5" borderId="12" xfId="1" applyNumberFormat="1" applyFont="1" applyFill="1" applyBorder="1" applyAlignment="1">
      <alignment horizontal="right" wrapText="1"/>
    </xf>
    <xf numFmtId="167" fontId="3" fillId="5" borderId="1" xfId="1" applyNumberFormat="1" applyFont="1" applyFill="1" applyBorder="1" applyAlignment="1">
      <alignment horizontal="right" wrapText="1"/>
    </xf>
    <xf numFmtId="167" fontId="3" fillId="5" borderId="16" xfId="1" applyNumberFormat="1" applyFont="1" applyFill="1" applyBorder="1" applyAlignment="1">
      <alignment horizontal="right" wrapText="1"/>
    </xf>
    <xf numFmtId="167" fontId="3" fillId="0" borderId="11" xfId="1" applyNumberFormat="1" applyFont="1" applyFill="1" applyBorder="1" applyAlignment="1">
      <alignment horizontal="right" wrapText="1"/>
    </xf>
    <xf numFmtId="167" fontId="3" fillId="0" borderId="12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6" xfId="1" applyNumberFormat="1" applyFont="1" applyFill="1" applyBorder="1" applyAlignment="1">
      <alignment horizontal="right" wrapText="1"/>
    </xf>
    <xf numFmtId="167" fontId="3" fillId="11" borderId="11" xfId="1" applyNumberFormat="1" applyFont="1" applyFill="1" applyBorder="1" applyAlignment="1">
      <alignment horizontal="right" wrapText="1"/>
    </xf>
    <xf numFmtId="167" fontId="3" fillId="11" borderId="12" xfId="1" applyNumberFormat="1" applyFont="1" applyFill="1" applyBorder="1" applyAlignment="1">
      <alignment horizontal="right" wrapText="1"/>
    </xf>
    <xf numFmtId="167" fontId="3" fillId="11" borderId="1" xfId="1" applyNumberFormat="1" applyFont="1" applyFill="1" applyBorder="1" applyAlignment="1">
      <alignment horizontal="right" wrapText="1"/>
    </xf>
    <xf numFmtId="167" fontId="3" fillId="11" borderId="16" xfId="1" applyNumberFormat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>
      <alignment horizontal="right" wrapText="1"/>
    </xf>
    <xf numFmtId="167" fontId="3" fillId="0" borderId="3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Alignment="1">
      <alignment wrapText="1"/>
    </xf>
    <xf numFmtId="164" fontId="3" fillId="2" borderId="5" xfId="1" applyNumberFormat="1" applyFont="1" applyFill="1" applyBorder="1" applyAlignment="1">
      <alignment wrapText="1"/>
    </xf>
    <xf numFmtId="168" fontId="5" fillId="2" borderId="21" xfId="3" applyNumberFormat="1" applyFont="1" applyFill="1" applyBorder="1" applyAlignment="1">
      <alignment wrapText="1"/>
    </xf>
    <xf numFmtId="164" fontId="4" fillId="2" borderId="5" xfId="1" applyNumberFormat="1" applyFont="1" applyFill="1" applyBorder="1" applyAlignment="1">
      <alignment wrapText="1"/>
    </xf>
    <xf numFmtId="165" fontId="0" fillId="0" borderId="4" xfId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left"/>
    </xf>
    <xf numFmtId="165" fontId="0" fillId="0" borderId="5" xfId="1" applyNumberFormat="1" applyFont="1" applyBorder="1"/>
    <xf numFmtId="164" fontId="3" fillId="13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39" fontId="3" fillId="11" borderId="12" xfId="1" applyNumberFormat="1" applyFont="1" applyFill="1" applyBorder="1" applyAlignment="1">
      <alignment horizontal="right" wrapText="1"/>
    </xf>
    <xf numFmtId="39" fontId="3" fillId="11" borderId="16" xfId="1" applyNumberFormat="1" applyFont="1" applyFill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 wrapText="1"/>
    </xf>
    <xf numFmtId="169" fontId="3" fillId="2" borderId="0" xfId="1" applyNumberFormat="1" applyFont="1" applyFill="1" applyAlignment="1">
      <alignment horizontal="center" vertical="center" wrapText="1"/>
    </xf>
    <xf numFmtId="170" fontId="8" fillId="2" borderId="0" xfId="1" applyNumberFormat="1" applyFont="1" applyFill="1" applyAlignment="1">
      <alignment horizontal="right" vertical="center" wrapText="1"/>
    </xf>
    <xf numFmtId="171" fontId="0" fillId="2" borderId="5" xfId="0" applyNumberFormat="1" applyFont="1" applyFill="1" applyBorder="1"/>
    <xf numFmtId="171" fontId="5" fillId="2" borderId="5" xfId="0" applyNumberFormat="1" applyFont="1" applyFill="1" applyBorder="1" applyAlignment="1">
      <alignment wrapText="1"/>
    </xf>
    <xf numFmtId="173" fontId="8" fillId="2" borderId="0" xfId="1" applyNumberFormat="1" applyFont="1" applyFill="1" applyBorder="1" applyAlignment="1">
      <alignment horizontal="right" wrapText="1"/>
    </xf>
    <xf numFmtId="172" fontId="8" fillId="2" borderId="0" xfId="1" applyNumberFormat="1" applyFont="1" applyFill="1" applyAlignment="1">
      <alignment horizontal="right" vertical="center" wrapText="1"/>
    </xf>
    <xf numFmtId="173" fontId="8" fillId="2" borderId="0" xfId="1" applyNumberFormat="1" applyFont="1" applyFill="1" applyAlignment="1">
      <alignment horizontal="right" vertical="center" wrapText="1"/>
    </xf>
    <xf numFmtId="172" fontId="3" fillId="0" borderId="0" xfId="1" applyNumberFormat="1" applyFont="1" applyFill="1" applyAlignment="1">
      <alignment horizontal="right" vertical="center" wrapText="1"/>
    </xf>
    <xf numFmtId="173" fontId="3" fillId="11" borderId="11" xfId="1" applyNumberFormat="1" applyFont="1" applyFill="1" applyBorder="1" applyAlignment="1">
      <alignment horizontal="right" wrapText="1"/>
    </xf>
    <xf numFmtId="173" fontId="3" fillId="11" borderId="1" xfId="1" applyNumberFormat="1" applyFont="1" applyFill="1" applyBorder="1" applyAlignment="1">
      <alignment horizontal="right" wrapText="1"/>
    </xf>
    <xf numFmtId="166" fontId="3" fillId="0" borderId="5" xfId="1" applyNumberFormat="1" applyFont="1" applyFill="1" applyBorder="1"/>
    <xf numFmtId="166" fontId="3" fillId="0" borderId="8" xfId="1" applyNumberFormat="1" applyFont="1" applyFill="1" applyBorder="1"/>
    <xf numFmtId="2" fontId="0" fillId="7" borderId="5" xfId="0" applyNumberFormat="1" applyFill="1" applyBorder="1"/>
    <xf numFmtId="2" fontId="0" fillId="0" borderId="5" xfId="0" applyNumberFormat="1" applyBorder="1"/>
    <xf numFmtId="2" fontId="0" fillId="0" borderId="17" xfId="0" applyNumberFormat="1" applyBorder="1" applyAlignment="1">
      <alignment wrapText="1"/>
    </xf>
    <xf numFmtId="2" fontId="5" fillId="0" borderId="19" xfId="0" applyNumberFormat="1" applyFont="1" applyBorder="1"/>
    <xf numFmtId="165" fontId="16" fillId="13" borderId="0" xfId="1" applyNumberFormat="1" applyFont="1" applyFill="1" applyBorder="1"/>
    <xf numFmtId="165" fontId="3" fillId="0" borderId="5" xfId="1" applyNumberFormat="1" applyFont="1" applyFill="1" applyBorder="1"/>
    <xf numFmtId="165" fontId="5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165" fontId="5" fillId="2" borderId="0" xfId="1" applyNumberFormat="1" applyFont="1" applyFill="1" applyAlignment="1">
      <alignment horizontal="center" wrapText="1"/>
    </xf>
    <xf numFmtId="165" fontId="5" fillId="2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3" fillId="6" borderId="0" xfId="1" applyNumberFormat="1" applyFont="1" applyFill="1" applyAlignment="1">
      <alignment horizontal="center" vertical="center"/>
    </xf>
    <xf numFmtId="165" fontId="3" fillId="7" borderId="0" xfId="1" applyNumberFormat="1" applyFont="1" applyFill="1" applyAlignment="1">
      <alignment horizontal="center" vertical="center"/>
    </xf>
    <xf numFmtId="165" fontId="3" fillId="6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 wrapText="1"/>
    </xf>
    <xf numFmtId="165" fontId="0" fillId="0" borderId="0" xfId="1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horizontal="left" wrapText="1"/>
    </xf>
    <xf numFmtId="165" fontId="3" fillId="5" borderId="0" xfId="1" applyNumberFormat="1" applyFont="1" applyFill="1" applyAlignment="1">
      <alignment horizontal="center" vertical="center"/>
    </xf>
    <xf numFmtId="165" fontId="3" fillId="5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 wrapText="1"/>
    </xf>
    <xf numFmtId="165" fontId="3" fillId="8" borderId="0" xfId="1" applyNumberFormat="1" applyFont="1" applyFill="1" applyAlignment="1">
      <alignment horizontal="center" vertical="center" wrapText="1"/>
    </xf>
    <xf numFmtId="165" fontId="3" fillId="8" borderId="0" xfId="1" applyNumberFormat="1" applyFont="1" applyFill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1086971</xdr:colOff>
      <xdr:row>41</xdr:row>
      <xdr:rowOff>44824</xdr:rowOff>
    </xdr:from>
    <xdr:to>
      <xdr:col>6</xdr:col>
      <xdr:colOff>1042147</xdr:colOff>
      <xdr:row>41</xdr:row>
      <xdr:rowOff>156882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8A4F5641-50FB-4D5E-AB8A-E0C1B35774C0}"/>
            </a:ext>
          </a:extLst>
        </xdr:cNvPr>
        <xdr:cNvCxnSpPr/>
      </xdr:nvCxnSpPr>
      <xdr:spPr>
        <a:xfrm flipV="1">
          <a:off x="9244853" y="8426824"/>
          <a:ext cx="2151529" cy="1120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11206</xdr:colOff>
      <xdr:row>88</xdr:row>
      <xdr:rowOff>89647</xdr:rowOff>
    </xdr:from>
    <xdr:to>
      <xdr:col>5</xdr:col>
      <xdr:colOff>907676</xdr:colOff>
      <xdr:row>89</xdr:row>
      <xdr:rowOff>78441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B67A796-5802-4E7D-8C7B-725387197171}"/>
            </a:ext>
          </a:extLst>
        </xdr:cNvPr>
        <xdr:cNvCxnSpPr/>
      </xdr:nvCxnSpPr>
      <xdr:spPr>
        <a:xfrm>
          <a:off x="8169088" y="17425147"/>
          <a:ext cx="2017059" cy="1792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3"/>
  <sheetViews>
    <sheetView tabSelected="1" zoomScale="85" zoomScaleNormal="85" workbookViewId="0">
      <selection activeCell="H4" sqref="H4"/>
    </sheetView>
  </sheetViews>
  <sheetFormatPr baseColWidth="10" defaultColWidth="11.5703125" defaultRowHeight="15" customHeight="1" x14ac:dyDescent="0.25"/>
  <cols>
    <col min="1" max="1" width="72.42578125" style="1" customWidth="1"/>
    <col min="2" max="2" width="27.5703125" style="1" customWidth="1"/>
    <col min="3" max="3" width="18.28515625" style="1" bestFit="1" customWidth="1"/>
    <col min="4" max="4" width="21.85546875" style="1" customWidth="1"/>
    <col min="5" max="5" width="22.85546875" style="1" customWidth="1"/>
    <col min="6" max="6" width="21.28515625" style="1" customWidth="1"/>
    <col min="7" max="7" width="16.140625" style="1" customWidth="1"/>
    <col min="8" max="8" width="27.28515625" style="1" bestFit="1" customWidth="1"/>
    <col min="9" max="9" width="11.5703125" style="1"/>
    <col min="10" max="10" width="14.28515625" style="1" bestFit="1" customWidth="1"/>
    <col min="11" max="16384" width="11.5703125" style="1"/>
  </cols>
  <sheetData>
    <row r="1" spans="1:6" ht="15" customHeight="1" x14ac:dyDescent="0.25">
      <c r="A1" s="283" t="s">
        <v>20</v>
      </c>
      <c r="B1" s="283"/>
      <c r="C1" s="283"/>
      <c r="D1" s="283"/>
      <c r="E1" s="283"/>
      <c r="F1" s="283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156</v>
      </c>
      <c r="C5" s="5"/>
      <c r="D5" s="5"/>
      <c r="E5" s="5"/>
      <c r="F5" s="5"/>
    </row>
    <row r="7" spans="1:6" ht="15" customHeight="1" x14ac:dyDescent="0.25">
      <c r="A7" s="283" t="s">
        <v>9</v>
      </c>
      <c r="B7" s="283"/>
      <c r="C7" s="283"/>
      <c r="D7" s="283"/>
      <c r="E7" s="283"/>
      <c r="F7" s="283"/>
    </row>
    <row r="8" spans="1:6" ht="15" customHeight="1" x14ac:dyDescent="0.25">
      <c r="A8" s="283" t="s">
        <v>12</v>
      </c>
      <c r="B8" s="283"/>
      <c r="C8" s="283"/>
      <c r="D8" s="283"/>
      <c r="E8" s="283"/>
      <c r="F8" s="283"/>
    </row>
    <row r="9" spans="1:6" ht="15" customHeight="1" x14ac:dyDescent="0.25">
      <c r="A9" s="284" t="s">
        <v>50</v>
      </c>
      <c r="B9" s="284"/>
      <c r="C9" s="284"/>
      <c r="D9" s="284"/>
      <c r="E9" s="284"/>
      <c r="F9" s="284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0" t="s">
        <v>64</v>
      </c>
      <c r="B11" s="9"/>
      <c r="C11" s="9" t="s">
        <v>3</v>
      </c>
      <c r="D11" s="9" t="s">
        <v>4</v>
      </c>
      <c r="E11" s="9" t="s">
        <v>5</v>
      </c>
      <c r="F11" s="45" t="s">
        <v>65</v>
      </c>
    </row>
    <row r="13" spans="1:6" x14ac:dyDescent="0.25">
      <c r="A13" s="285" t="s">
        <v>87</v>
      </c>
      <c r="B13" s="117" t="s">
        <v>58</v>
      </c>
      <c r="C13" s="118">
        <v>133</v>
      </c>
      <c r="D13" s="118">
        <f>+(C13-D15)+170</f>
        <v>178</v>
      </c>
      <c r="E13" s="118">
        <f>+(D13-E15)+107</f>
        <v>123</v>
      </c>
      <c r="F13" s="119">
        <f>E13</f>
        <v>123</v>
      </c>
    </row>
    <row r="14" spans="1:6" ht="15" customHeight="1" x14ac:dyDescent="0.25">
      <c r="A14" s="286"/>
      <c r="B14" s="120" t="s">
        <v>59</v>
      </c>
      <c r="C14" s="121">
        <v>1501</v>
      </c>
      <c r="D14" s="121">
        <v>1460</v>
      </c>
      <c r="E14" s="121">
        <v>1527</v>
      </c>
      <c r="F14" s="122">
        <f t="shared" ref="F14:F24" si="0">AVERAGE(C14:E14)</f>
        <v>1496</v>
      </c>
    </row>
    <row r="15" spans="1:6" ht="15" customHeight="1" x14ac:dyDescent="0.25">
      <c r="A15" s="287"/>
      <c r="B15" s="123" t="s">
        <v>60</v>
      </c>
      <c r="C15" s="124">
        <v>0</v>
      </c>
      <c r="D15" s="124">
        <v>125</v>
      </c>
      <c r="E15" s="124">
        <v>162</v>
      </c>
      <c r="F15" s="125">
        <f t="shared" si="0"/>
        <v>95.666666666666671</v>
      </c>
    </row>
    <row r="16" spans="1:6" x14ac:dyDescent="0.25">
      <c r="A16" s="288" t="s">
        <v>24</v>
      </c>
      <c r="B16" s="117" t="s">
        <v>58</v>
      </c>
      <c r="C16" s="118">
        <v>89</v>
      </c>
      <c r="D16" s="118">
        <f>+(C16-D18)+345</f>
        <v>378</v>
      </c>
      <c r="E16" s="118">
        <f>+(D16-E18)+138</f>
        <v>279</v>
      </c>
      <c r="F16" s="119">
        <f>E16</f>
        <v>279</v>
      </c>
    </row>
    <row r="17" spans="1:6" ht="15" customHeight="1" x14ac:dyDescent="0.25">
      <c r="A17" s="286"/>
      <c r="B17" s="120" t="s">
        <v>59</v>
      </c>
      <c r="C17" s="121">
        <v>1234</v>
      </c>
      <c r="D17" s="121">
        <v>997</v>
      </c>
      <c r="E17" s="121">
        <v>1206</v>
      </c>
      <c r="F17" s="122">
        <f t="shared" si="0"/>
        <v>1145.6666666666667</v>
      </c>
    </row>
    <row r="18" spans="1:6" ht="15" customHeight="1" x14ac:dyDescent="0.25">
      <c r="A18" s="287"/>
      <c r="B18" s="123" t="s">
        <v>60</v>
      </c>
      <c r="C18" s="124">
        <v>0</v>
      </c>
      <c r="D18" s="124">
        <v>56</v>
      </c>
      <c r="E18" s="124">
        <v>237</v>
      </c>
      <c r="F18" s="125">
        <f t="shared" si="0"/>
        <v>97.666666666666671</v>
      </c>
    </row>
    <row r="19" spans="1:6" x14ac:dyDescent="0.25">
      <c r="A19" s="288" t="s">
        <v>101</v>
      </c>
      <c r="B19" s="117" t="s">
        <v>58</v>
      </c>
      <c r="C19" s="118">
        <v>1298</v>
      </c>
      <c r="D19" s="118">
        <f>+(C19-D21)+902</f>
        <v>902</v>
      </c>
      <c r="E19" s="118">
        <f>+(D19-E21)+461</f>
        <v>461</v>
      </c>
      <c r="F19" s="119">
        <f>E19</f>
        <v>461</v>
      </c>
    </row>
    <row r="20" spans="1:6" ht="15" customHeight="1" x14ac:dyDescent="0.25">
      <c r="A20" s="286"/>
      <c r="B20" s="120" t="s">
        <v>59</v>
      </c>
      <c r="C20" s="121">
        <v>9470</v>
      </c>
      <c r="D20" s="121">
        <v>9973</v>
      </c>
      <c r="E20" s="121">
        <v>10684</v>
      </c>
      <c r="F20" s="122">
        <f t="shared" si="0"/>
        <v>10042.333333333334</v>
      </c>
    </row>
    <row r="21" spans="1:6" ht="15" customHeight="1" x14ac:dyDescent="0.25">
      <c r="A21" s="287"/>
      <c r="B21" s="123" t="s">
        <v>60</v>
      </c>
      <c r="C21" s="124">
        <v>0</v>
      </c>
      <c r="D21" s="124">
        <v>1298</v>
      </c>
      <c r="E21" s="185">
        <v>902</v>
      </c>
      <c r="F21" s="125">
        <f t="shared" si="0"/>
        <v>733.33333333333337</v>
      </c>
    </row>
    <row r="22" spans="1:6" s="52" customFormat="1" ht="15" customHeight="1" x14ac:dyDescent="0.25">
      <c r="A22" s="288" t="s">
        <v>124</v>
      </c>
      <c r="B22" s="126" t="s">
        <v>58</v>
      </c>
      <c r="C22" s="118">
        <v>61</v>
      </c>
      <c r="D22" s="118">
        <f>+(C22-D24)+37</f>
        <v>50</v>
      </c>
      <c r="E22" s="118">
        <f>+(D22-E24)+13</f>
        <v>39</v>
      </c>
      <c r="F22" s="119">
        <f>E22</f>
        <v>39</v>
      </c>
    </row>
    <row r="23" spans="1:6" s="52" customFormat="1" ht="15" customHeight="1" x14ac:dyDescent="0.25">
      <c r="A23" s="286"/>
      <c r="B23" s="128" t="s">
        <v>59</v>
      </c>
      <c r="C23" s="121">
        <v>588</v>
      </c>
      <c r="D23" s="121">
        <v>663</v>
      </c>
      <c r="E23" s="121">
        <v>683</v>
      </c>
      <c r="F23" s="129">
        <f t="shared" si="0"/>
        <v>644.66666666666663</v>
      </c>
    </row>
    <row r="24" spans="1:6" s="52" customFormat="1" ht="15" customHeight="1" x14ac:dyDescent="0.25">
      <c r="A24" s="287"/>
      <c r="B24" s="130" t="s">
        <v>60</v>
      </c>
      <c r="C24" s="124">
        <v>0</v>
      </c>
      <c r="D24" s="124">
        <v>48</v>
      </c>
      <c r="E24" s="124">
        <v>24</v>
      </c>
      <c r="F24" s="131">
        <f t="shared" si="0"/>
        <v>24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12793</v>
      </c>
      <c r="D25" s="58">
        <f>+D14+D15+D17+D18+D20+D21+D23+D24</f>
        <v>14620</v>
      </c>
      <c r="E25" s="58">
        <f>+E14+E15+E17+E18+E20+E21+E23+E24</f>
        <v>15425</v>
      </c>
      <c r="F25" s="60">
        <f>AVERAGE(C25:E25)</f>
        <v>14279.333333333334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52" t="s">
        <v>72</v>
      </c>
    </row>
    <row r="30" spans="1:6" ht="15" customHeight="1" x14ac:dyDescent="0.25">
      <c r="A30" s="284" t="s">
        <v>14</v>
      </c>
      <c r="B30" s="284"/>
      <c r="C30" s="284"/>
      <c r="D30" s="284"/>
      <c r="E30" s="284"/>
      <c r="F30" s="284"/>
    </row>
    <row r="31" spans="1:6" ht="15" customHeight="1" x14ac:dyDescent="0.25">
      <c r="A31" s="283" t="s">
        <v>31</v>
      </c>
      <c r="B31" s="283"/>
      <c r="C31" s="283"/>
      <c r="D31" s="283"/>
      <c r="E31" s="283"/>
      <c r="F31" s="283"/>
    </row>
    <row r="32" spans="1:6" ht="15" customHeight="1" x14ac:dyDescent="0.25">
      <c r="A32" s="284" t="s">
        <v>52</v>
      </c>
      <c r="B32" s="284"/>
      <c r="C32" s="284"/>
      <c r="D32" s="284"/>
      <c r="E32" s="284"/>
      <c r="F32" s="284"/>
    </row>
    <row r="33" spans="1:8" s="8" customFormat="1" ht="15" customHeight="1" x14ac:dyDescent="0.25">
      <c r="A33" s="11"/>
      <c r="B33" s="11"/>
      <c r="C33" s="11"/>
      <c r="D33" s="11"/>
      <c r="E33" s="11"/>
      <c r="F33" s="11"/>
    </row>
    <row r="34" spans="1:8" ht="15" customHeight="1" thickBot="1" x14ac:dyDescent="0.3">
      <c r="A34" s="12" t="s">
        <v>64</v>
      </c>
      <c r="B34" s="12"/>
      <c r="C34" s="12" t="s">
        <v>3</v>
      </c>
      <c r="D34" s="12" t="s">
        <v>4</v>
      </c>
      <c r="E34" s="12" t="s">
        <v>5</v>
      </c>
      <c r="F34" s="12" t="s">
        <v>6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132</v>
      </c>
      <c r="B36" s="188" t="s">
        <v>56</v>
      </c>
      <c r="C36" s="189">
        <v>270180000</v>
      </c>
      <c r="D36" s="189">
        <v>262800000</v>
      </c>
      <c r="E36" s="189">
        <v>274860000</v>
      </c>
      <c r="F36" s="190">
        <f t="shared" ref="F36:F43" si="1">SUM(C36:E36)</f>
        <v>807840000</v>
      </c>
    </row>
    <row r="37" spans="1:8" ht="15" customHeight="1" x14ac:dyDescent="0.25">
      <c r="A37" s="191"/>
      <c r="B37" s="192" t="s">
        <v>55</v>
      </c>
      <c r="C37" s="193">
        <v>0</v>
      </c>
      <c r="D37" s="193">
        <v>22500000</v>
      </c>
      <c r="E37" s="193">
        <v>29160000</v>
      </c>
      <c r="F37" s="194">
        <f t="shared" si="1"/>
        <v>51660000</v>
      </c>
    </row>
    <row r="38" spans="1:8" ht="15" customHeight="1" x14ac:dyDescent="0.25">
      <c r="A38" s="132" t="s">
        <v>24</v>
      </c>
      <c r="B38" s="133" t="s">
        <v>56</v>
      </c>
      <c r="C38" s="134">
        <v>88848000</v>
      </c>
      <c r="D38" s="134">
        <v>71784000</v>
      </c>
      <c r="E38" s="134">
        <v>86832000</v>
      </c>
      <c r="F38" s="127">
        <f t="shared" si="1"/>
        <v>247464000</v>
      </c>
    </row>
    <row r="39" spans="1:8" ht="15" customHeight="1" x14ac:dyDescent="0.25">
      <c r="A39" s="135"/>
      <c r="B39" s="136" t="s">
        <v>55</v>
      </c>
      <c r="C39" s="137">
        <v>0</v>
      </c>
      <c r="D39" s="137">
        <v>4032000</v>
      </c>
      <c r="E39" s="137">
        <v>17064000</v>
      </c>
      <c r="F39" s="131">
        <f t="shared" si="1"/>
        <v>21096000</v>
      </c>
    </row>
    <row r="40" spans="1:8" ht="15" customHeight="1" x14ac:dyDescent="0.25">
      <c r="A40" s="195" t="s">
        <v>101</v>
      </c>
      <c r="B40" s="196" t="s">
        <v>56</v>
      </c>
      <c r="C40" s="273">
        <v>511512157.67000002</v>
      </c>
      <c r="D40" s="273">
        <v>535440869</v>
      </c>
      <c r="E40" s="273">
        <v>581152112.66999996</v>
      </c>
      <c r="F40" s="198">
        <f t="shared" si="1"/>
        <v>1628105139.3400002</v>
      </c>
      <c r="H40" s="203"/>
    </row>
    <row r="41" spans="1:8" ht="15" customHeight="1" x14ac:dyDescent="0.25">
      <c r="A41" s="199"/>
      <c r="B41" s="200" t="s">
        <v>55</v>
      </c>
      <c r="C41" s="274">
        <v>0</v>
      </c>
      <c r="D41" s="274">
        <v>76284977</v>
      </c>
      <c r="E41" s="274">
        <v>59013706.659999996</v>
      </c>
      <c r="F41" s="202">
        <f t="shared" si="1"/>
        <v>135298683.66</v>
      </c>
    </row>
    <row r="42" spans="1:8" ht="15" customHeight="1" x14ac:dyDescent="0.25">
      <c r="A42" s="138" t="s">
        <v>100</v>
      </c>
      <c r="B42" s="139" t="s">
        <v>56</v>
      </c>
      <c r="C42" s="134">
        <v>220550000</v>
      </c>
      <c r="D42" s="134">
        <v>231550000</v>
      </c>
      <c r="E42" s="134">
        <v>243100000</v>
      </c>
      <c r="F42" s="127">
        <f t="shared" si="1"/>
        <v>695200000</v>
      </c>
    </row>
    <row r="43" spans="1:8" ht="15" customHeight="1" x14ac:dyDescent="0.25">
      <c r="A43" s="140"/>
      <c r="B43" s="141" t="s">
        <v>55</v>
      </c>
      <c r="C43" s="137">
        <v>0</v>
      </c>
      <c r="D43" s="137">
        <v>23100000</v>
      </c>
      <c r="E43" s="137">
        <v>12100000</v>
      </c>
      <c r="F43" s="131">
        <f t="shared" si="1"/>
        <v>35200000</v>
      </c>
      <c r="H43" s="203"/>
    </row>
    <row r="44" spans="1:8" s="85" customFormat="1" ht="15" customHeight="1" x14ac:dyDescent="0.25">
      <c r="A44" s="213"/>
      <c r="B44" s="214"/>
      <c r="C44" s="215"/>
      <c r="D44" s="215"/>
      <c r="E44" s="215"/>
      <c r="F44" s="215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1091090157.6700001</v>
      </c>
      <c r="D45" s="59">
        <f>SUM(D36:D43)</f>
        <v>1227491846</v>
      </c>
      <c r="E45" s="59">
        <f>SUM(E36:E43)</f>
        <v>1303281819.3299999</v>
      </c>
      <c r="F45" s="59">
        <f>SUM(F36:F43)</f>
        <v>3621863823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52" t="s">
        <v>73</v>
      </c>
    </row>
    <row r="48" spans="1:8" ht="15" customHeight="1" x14ac:dyDescent="0.25">
      <c r="A48" s="13"/>
    </row>
    <row r="49" spans="1:10" ht="15" customHeight="1" x14ac:dyDescent="0.25">
      <c r="A49" s="13"/>
    </row>
    <row r="50" spans="1:10" ht="15" customHeight="1" x14ac:dyDescent="0.25">
      <c r="A50" s="13"/>
    </row>
    <row r="51" spans="1:10" ht="15" customHeight="1" x14ac:dyDescent="0.25">
      <c r="A51" s="283" t="s">
        <v>15</v>
      </c>
      <c r="B51" s="283"/>
      <c r="C51" s="283"/>
      <c r="D51" s="283"/>
      <c r="E51" s="283"/>
    </row>
    <row r="52" spans="1:10" ht="15" customHeight="1" x14ac:dyDescent="0.25">
      <c r="A52" s="283" t="s">
        <v>32</v>
      </c>
      <c r="B52" s="283"/>
      <c r="C52" s="283"/>
      <c r="D52" s="283"/>
      <c r="E52" s="283"/>
    </row>
    <row r="53" spans="1:10" ht="15" customHeight="1" x14ac:dyDescent="0.25">
      <c r="A53" s="284" t="s">
        <v>52</v>
      </c>
      <c r="B53" s="284"/>
      <c r="C53" s="284"/>
      <c r="D53" s="284"/>
      <c r="E53" s="284"/>
    </row>
    <row r="54" spans="1:10" ht="15" customHeight="1" x14ac:dyDescent="0.25">
      <c r="A54" s="7"/>
      <c r="B54" s="7"/>
      <c r="C54" s="7"/>
      <c r="D54" s="7"/>
      <c r="E54" s="7"/>
    </row>
    <row r="55" spans="1:10" ht="15" customHeight="1" thickBot="1" x14ac:dyDescent="0.3">
      <c r="A55" s="12" t="s">
        <v>10</v>
      </c>
      <c r="B55" s="14" t="s">
        <v>3</v>
      </c>
      <c r="C55" s="14" t="s">
        <v>4</v>
      </c>
      <c r="D55" s="14" t="s">
        <v>5</v>
      </c>
      <c r="E55" s="14" t="s">
        <v>6</v>
      </c>
      <c r="J55" s="204">
        <v>33553.33</v>
      </c>
    </row>
    <row r="56" spans="1:10" ht="15" customHeight="1" x14ac:dyDescent="0.25">
      <c r="B56" s="57"/>
      <c r="C56" s="57"/>
      <c r="D56" s="57"/>
      <c r="E56" s="57"/>
      <c r="J56" s="1">
        <f>+J55/85%</f>
        <v>39474.505882352947</v>
      </c>
    </row>
    <row r="57" spans="1:10" ht="15" customHeight="1" x14ac:dyDescent="0.25">
      <c r="A57" s="1" t="s">
        <v>102</v>
      </c>
      <c r="B57" s="56">
        <f>SUM(C36:C37)</f>
        <v>270180000</v>
      </c>
      <c r="C57" s="56">
        <f>SUM(D36:D37)</f>
        <v>285300000</v>
      </c>
      <c r="D57" s="56">
        <f>SUM(E36:E37)</f>
        <v>304020000</v>
      </c>
      <c r="E57" s="56">
        <f t="shared" ref="E57:E60" si="2">SUM(B57:D57)</f>
        <v>859500000</v>
      </c>
      <c r="J57" s="1">
        <f>+J56/4</f>
        <v>9868.6264705882368</v>
      </c>
    </row>
    <row r="58" spans="1:10" s="85" customFormat="1" ht="15" customHeight="1" x14ac:dyDescent="0.25">
      <c r="A58" s="85" t="s">
        <v>103</v>
      </c>
      <c r="B58" s="56">
        <f>SUM(C38:C39)</f>
        <v>88848000</v>
      </c>
      <c r="C58" s="56">
        <f>SUM(D38:D39)</f>
        <v>75816000</v>
      </c>
      <c r="D58" s="56">
        <f>SUM(E38:E39)</f>
        <v>103896000</v>
      </c>
      <c r="E58" s="56">
        <f t="shared" si="2"/>
        <v>268560000</v>
      </c>
    </row>
    <row r="59" spans="1:10" ht="15" customHeight="1" x14ac:dyDescent="0.25">
      <c r="A59" s="1" t="s">
        <v>104</v>
      </c>
      <c r="B59" s="272">
        <f>SUM(C40:C41)</f>
        <v>511512157.67000002</v>
      </c>
      <c r="C59" s="272">
        <f>SUM(D40:D41)</f>
        <v>611725846</v>
      </c>
      <c r="D59" s="272">
        <f>SUM(E40:E41)</f>
        <v>640165819.32999992</v>
      </c>
      <c r="E59" s="272">
        <f t="shared" si="2"/>
        <v>1763403823</v>
      </c>
    </row>
    <row r="60" spans="1:10" ht="15" customHeight="1" x14ac:dyDescent="0.25">
      <c r="A60" s="80" t="s">
        <v>105</v>
      </c>
      <c r="B60" s="56">
        <f>SUM(C42:C43)</f>
        <v>220550000</v>
      </c>
      <c r="C60" s="56">
        <f>SUM(D42:D43)</f>
        <v>254650000</v>
      </c>
      <c r="D60" s="56">
        <f>SUM(E42:E43)</f>
        <v>255200000</v>
      </c>
      <c r="E60" s="56">
        <f t="shared" si="2"/>
        <v>730400000</v>
      </c>
    </row>
    <row r="61" spans="1:10" ht="15" customHeight="1" x14ac:dyDescent="0.25">
      <c r="B61" s="57"/>
      <c r="C61" s="57"/>
      <c r="D61" s="57"/>
      <c r="E61" s="57"/>
    </row>
    <row r="62" spans="1:10" ht="15" customHeight="1" thickBot="1" x14ac:dyDescent="0.3">
      <c r="A62" s="10" t="s">
        <v>13</v>
      </c>
      <c r="B62" s="58">
        <f>SUM(B57:B61)</f>
        <v>1091090157.6700001</v>
      </c>
      <c r="C62" s="58">
        <f>SUM(C57:C61)</f>
        <v>1227491846</v>
      </c>
      <c r="D62" s="58">
        <f>SUM(D57:D61)</f>
        <v>1303281819.3299999</v>
      </c>
      <c r="E62" s="58">
        <f>SUM(E57:E61)</f>
        <v>3621863823</v>
      </c>
    </row>
    <row r="63" spans="1:10" ht="15" customHeight="1" thickTop="1" x14ac:dyDescent="0.25">
      <c r="A63" s="52" t="s">
        <v>72</v>
      </c>
    </row>
    <row r="66" spans="1:9" ht="15" customHeight="1" x14ac:dyDescent="0.25">
      <c r="A66" s="291" t="s">
        <v>44</v>
      </c>
      <c r="B66" s="291"/>
      <c r="C66" s="291"/>
      <c r="D66" s="291"/>
      <c r="E66" s="291"/>
      <c r="F66" s="90"/>
    </row>
    <row r="67" spans="1:9" ht="15" customHeight="1" x14ac:dyDescent="0.25">
      <c r="A67" s="291" t="s">
        <v>108</v>
      </c>
      <c r="B67" s="291"/>
      <c r="C67" s="291"/>
      <c r="D67" s="291"/>
      <c r="E67" s="291"/>
      <c r="F67" s="90"/>
    </row>
    <row r="68" spans="1:9" ht="15" customHeight="1" x14ac:dyDescent="0.25">
      <c r="A68" s="292" t="s">
        <v>52</v>
      </c>
      <c r="B68" s="292"/>
      <c r="C68" s="292"/>
      <c r="D68" s="292"/>
      <c r="E68" s="292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92" t="s">
        <v>3</v>
      </c>
      <c r="C70" s="92" t="s">
        <v>4</v>
      </c>
      <c r="D70" s="92" t="s">
        <v>5</v>
      </c>
      <c r="E70" s="92" t="s">
        <v>6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0</v>
      </c>
      <c r="C72" s="94">
        <f>B76</f>
        <v>0</v>
      </c>
      <c r="D72" s="94">
        <f>C76</f>
        <v>0</v>
      </c>
      <c r="E72" s="94">
        <f>B72</f>
        <v>0</v>
      </c>
      <c r="F72" s="90"/>
    </row>
    <row r="73" spans="1:9" ht="15" customHeight="1" x14ac:dyDescent="0.25">
      <c r="A73" s="90" t="s">
        <v>16</v>
      </c>
      <c r="B73" s="94">
        <f>+B146</f>
        <v>270180000</v>
      </c>
      <c r="C73" s="94">
        <f t="shared" ref="C73:D73" si="3">+C146</f>
        <v>285300000</v>
      </c>
      <c r="D73" s="94">
        <f t="shared" si="3"/>
        <v>304020000</v>
      </c>
      <c r="E73" s="94">
        <f>+SUM(B73:D73)</f>
        <v>859500000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270180000</v>
      </c>
      <c r="C74" s="94">
        <f t="shared" ref="C74:D74" si="4">SUM(C72:C73)</f>
        <v>285300000</v>
      </c>
      <c r="D74" s="94">
        <f t="shared" si="4"/>
        <v>304020000</v>
      </c>
      <c r="E74" s="94">
        <f>+E72+E73</f>
        <v>859500000</v>
      </c>
      <c r="F74" s="90"/>
    </row>
    <row r="75" spans="1:9" ht="15" customHeight="1" x14ac:dyDescent="0.25">
      <c r="A75" s="90" t="s">
        <v>18</v>
      </c>
      <c r="B75" s="95">
        <f>B57</f>
        <v>270180000</v>
      </c>
      <c r="C75" s="95">
        <f>C57</f>
        <v>285300000</v>
      </c>
      <c r="D75" s="95">
        <f>D57</f>
        <v>304020000</v>
      </c>
      <c r="E75" s="94">
        <f>+SUM(B75:D75)</f>
        <v>859500000</v>
      </c>
      <c r="F75" s="96"/>
    </row>
    <row r="76" spans="1:9" ht="15" customHeight="1" x14ac:dyDescent="0.25">
      <c r="A76" s="97" t="s">
        <v>19</v>
      </c>
      <c r="B76" s="98">
        <f>B74-B75</f>
        <v>0</v>
      </c>
      <c r="C76" s="98">
        <f>C74-C75</f>
        <v>0</v>
      </c>
      <c r="D76" s="98">
        <f>D74-D75</f>
        <v>0</v>
      </c>
      <c r="E76" s="98">
        <f>+E74-E75</f>
        <v>0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s="85" customFormat="1" ht="15" customHeight="1" x14ac:dyDescent="0.25">
      <c r="A80" s="101"/>
      <c r="B80" s="90"/>
      <c r="C80" s="90"/>
      <c r="D80" s="90"/>
      <c r="E80" s="90"/>
      <c r="F80" s="90"/>
    </row>
    <row r="81" spans="1:6" s="85" customFormat="1" ht="15" customHeight="1" x14ac:dyDescent="0.25">
      <c r="A81" s="291" t="s">
        <v>45</v>
      </c>
      <c r="B81" s="291"/>
      <c r="C81" s="291"/>
      <c r="D81" s="291"/>
      <c r="E81" s="291"/>
      <c r="F81" s="90"/>
    </row>
    <row r="82" spans="1:6" s="85" customFormat="1" ht="15" customHeight="1" x14ac:dyDescent="0.25">
      <c r="A82" s="291" t="s">
        <v>106</v>
      </c>
      <c r="B82" s="291"/>
      <c r="C82" s="291"/>
      <c r="D82" s="291"/>
      <c r="E82" s="291"/>
      <c r="F82" s="90"/>
    </row>
    <row r="83" spans="1:6" s="85" customFormat="1" ht="15" customHeight="1" x14ac:dyDescent="0.25">
      <c r="A83" s="292" t="s">
        <v>52</v>
      </c>
      <c r="B83" s="292"/>
      <c r="C83" s="292"/>
      <c r="D83" s="292"/>
      <c r="E83" s="292"/>
      <c r="F83" s="90"/>
    </row>
    <row r="84" spans="1:6" s="85" customFormat="1" ht="15" customHeight="1" x14ac:dyDescent="0.25">
      <c r="A84" s="91"/>
      <c r="B84" s="91"/>
      <c r="C84" s="91"/>
      <c r="D84" s="91"/>
      <c r="E84" s="91"/>
      <c r="F84" s="90"/>
    </row>
    <row r="85" spans="1:6" s="85" customFormat="1" ht="15" customHeight="1" thickBot="1" x14ac:dyDescent="0.3">
      <c r="A85" s="92" t="s">
        <v>10</v>
      </c>
      <c r="B85" s="92" t="s">
        <v>3</v>
      </c>
      <c r="C85" s="92" t="s">
        <v>4</v>
      </c>
      <c r="D85" s="92" t="s">
        <v>5</v>
      </c>
      <c r="E85" s="92" t="s">
        <v>6</v>
      </c>
      <c r="F85" s="90"/>
    </row>
    <row r="86" spans="1:6" s="85" customFormat="1" ht="15" customHeight="1" x14ac:dyDescent="0.25">
      <c r="A86" s="90"/>
      <c r="B86" s="93"/>
      <c r="C86" s="93"/>
      <c r="D86" s="93"/>
      <c r="E86" s="93"/>
      <c r="F86" s="90"/>
    </row>
    <row r="87" spans="1:6" s="85" customFormat="1" ht="15" customHeight="1" x14ac:dyDescent="0.25">
      <c r="A87" s="90" t="s">
        <v>62</v>
      </c>
      <c r="B87" s="94">
        <f>+$B$135</f>
        <v>0</v>
      </c>
      <c r="C87" s="94">
        <f>B91</f>
        <v>0</v>
      </c>
      <c r="D87" s="94">
        <f>C91</f>
        <v>0</v>
      </c>
      <c r="E87" s="94">
        <f>B87</f>
        <v>0</v>
      </c>
      <c r="F87" s="90"/>
    </row>
    <row r="88" spans="1:6" s="85" customFormat="1" ht="15" customHeight="1" x14ac:dyDescent="0.25">
      <c r="A88" s="90" t="s">
        <v>16</v>
      </c>
      <c r="B88" s="94">
        <f>+B147</f>
        <v>88848000</v>
      </c>
      <c r="C88" s="94">
        <f t="shared" ref="C88:D88" si="5">+C147</f>
        <v>75816000</v>
      </c>
      <c r="D88" s="94">
        <f t="shared" si="5"/>
        <v>103896000</v>
      </c>
      <c r="E88" s="94">
        <f>+SUM(B88:D88)</f>
        <v>268560000</v>
      </c>
      <c r="F88" s="90"/>
    </row>
    <row r="89" spans="1:6" s="85" customFormat="1" ht="15" customHeight="1" x14ac:dyDescent="0.25">
      <c r="A89" s="90" t="s">
        <v>17</v>
      </c>
      <c r="B89" s="94">
        <f>B87+B88</f>
        <v>88848000</v>
      </c>
      <c r="C89" s="94">
        <f t="shared" ref="C89:D89" si="6">C87+C88</f>
        <v>75816000</v>
      </c>
      <c r="D89" s="94">
        <f t="shared" si="6"/>
        <v>103896000</v>
      </c>
      <c r="E89" s="94">
        <f>+E87+E88</f>
        <v>268560000</v>
      </c>
      <c r="F89" s="90"/>
    </row>
    <row r="90" spans="1:6" s="85" customFormat="1" ht="15" customHeight="1" x14ac:dyDescent="0.25">
      <c r="A90" s="90" t="s">
        <v>18</v>
      </c>
      <c r="B90" s="95">
        <f>+B58</f>
        <v>88848000</v>
      </c>
      <c r="C90" s="95">
        <f>+C58</f>
        <v>75816000</v>
      </c>
      <c r="D90" s="95">
        <f>+D58</f>
        <v>103896000</v>
      </c>
      <c r="E90" s="94">
        <f>+SUM(B90:D90)</f>
        <v>268560000</v>
      </c>
      <c r="F90" s="90"/>
    </row>
    <row r="91" spans="1:6" s="85" customFormat="1" ht="15" customHeight="1" x14ac:dyDescent="0.25">
      <c r="A91" s="97" t="s">
        <v>19</v>
      </c>
      <c r="B91" s="98">
        <f>B89-B90</f>
        <v>0</v>
      </c>
      <c r="C91" s="98">
        <f>C89-C90</f>
        <v>0</v>
      </c>
      <c r="D91" s="98">
        <f>D89-D90</f>
        <v>0</v>
      </c>
      <c r="E91" s="98">
        <f>+E89-E90</f>
        <v>0</v>
      </c>
      <c r="F91" s="90"/>
    </row>
    <row r="92" spans="1:6" s="85" customFormat="1" ht="15" customHeight="1" thickBot="1" x14ac:dyDescent="0.3">
      <c r="A92" s="99"/>
      <c r="B92" s="100"/>
      <c r="C92" s="100"/>
      <c r="D92" s="100"/>
      <c r="E92" s="100"/>
      <c r="F92" s="90"/>
    </row>
    <row r="93" spans="1:6" s="85" customFormat="1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s="85" customFormat="1" ht="15" customHeight="1" x14ac:dyDescent="0.25">
      <c r="A94" s="101"/>
      <c r="B94" s="90"/>
      <c r="C94" s="90"/>
      <c r="D94" s="90"/>
      <c r="E94" s="90"/>
      <c r="F94" s="90"/>
    </row>
    <row r="95" spans="1:6" s="85" customFormat="1" ht="15" customHeight="1" x14ac:dyDescent="0.25">
      <c r="A95" s="101"/>
      <c r="B95" s="90"/>
      <c r="C95" s="90"/>
      <c r="D95" s="90"/>
      <c r="E95" s="90"/>
      <c r="F95" s="90"/>
    </row>
    <row r="96" spans="1:6" s="85" customFormat="1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91" t="s">
        <v>107</v>
      </c>
      <c r="B98" s="291"/>
      <c r="C98" s="291"/>
      <c r="D98" s="291"/>
      <c r="E98" s="291"/>
      <c r="F98" s="90"/>
    </row>
    <row r="99" spans="1:10" ht="15" customHeight="1" x14ac:dyDescent="0.25">
      <c r="A99" s="291" t="s">
        <v>49</v>
      </c>
      <c r="B99" s="291"/>
      <c r="C99" s="291"/>
      <c r="D99" s="291"/>
      <c r="E99" s="291"/>
      <c r="F99" s="90"/>
      <c r="H99" s="43"/>
      <c r="J99" s="13"/>
    </row>
    <row r="100" spans="1:10" ht="15" customHeight="1" x14ac:dyDescent="0.25">
      <c r="A100" s="292" t="s">
        <v>52</v>
      </c>
      <c r="B100" s="292"/>
      <c r="C100" s="292"/>
      <c r="D100" s="292"/>
      <c r="E100" s="292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92" t="s">
        <v>3</v>
      </c>
      <c r="C102" s="92" t="s">
        <v>4</v>
      </c>
      <c r="D102" s="92" t="s">
        <v>5</v>
      </c>
      <c r="E102" s="92" t="s">
        <v>6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270">
        <f>+B136</f>
        <v>0</v>
      </c>
      <c r="C104" s="270">
        <f>B108</f>
        <v>0</v>
      </c>
      <c r="D104" s="270">
        <f>C108</f>
        <v>0</v>
      </c>
      <c r="E104" s="270">
        <f>+B104</f>
        <v>0</v>
      </c>
      <c r="F104" s="90"/>
    </row>
    <row r="105" spans="1:10" ht="15" customHeight="1" x14ac:dyDescent="0.25">
      <c r="A105" s="108" t="s">
        <v>16</v>
      </c>
      <c r="B105" s="271">
        <f>+B148</f>
        <v>511512157.67000002</v>
      </c>
      <c r="C105" s="271">
        <f t="shared" ref="C105:D105" si="7">+C148</f>
        <v>611725846</v>
      </c>
      <c r="D105" s="271">
        <f t="shared" si="7"/>
        <v>640165819.32999992</v>
      </c>
      <c r="E105" s="271">
        <f>SUM(B105:D105)</f>
        <v>1763403823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271">
        <f>SUM(B104:B105)</f>
        <v>511512157.67000002</v>
      </c>
      <c r="C106" s="271">
        <f t="shared" ref="C106:D106" si="8">SUM(C104:C105)</f>
        <v>611725846</v>
      </c>
      <c r="D106" s="271">
        <f t="shared" si="8"/>
        <v>640165819.32999992</v>
      </c>
      <c r="E106" s="271">
        <f>SUM(E104:E105)</f>
        <v>1763403823</v>
      </c>
      <c r="F106" s="90"/>
    </row>
    <row r="107" spans="1:10" ht="15" customHeight="1" x14ac:dyDescent="0.25">
      <c r="A107" s="90" t="s">
        <v>18</v>
      </c>
      <c r="B107" s="271">
        <f>+B59</f>
        <v>511512157.67000002</v>
      </c>
      <c r="C107" s="271">
        <f>+C59</f>
        <v>611725846</v>
      </c>
      <c r="D107" s="271">
        <f>+D59</f>
        <v>640165819.32999992</v>
      </c>
      <c r="E107" s="271">
        <f>+SUM(B107:D107)</f>
        <v>1763403823</v>
      </c>
      <c r="F107" s="96"/>
    </row>
    <row r="108" spans="1:10" ht="15" customHeight="1" x14ac:dyDescent="0.25">
      <c r="A108" s="97" t="s">
        <v>19</v>
      </c>
      <c r="B108" s="269">
        <f>B106-B107</f>
        <v>0</v>
      </c>
      <c r="C108" s="269">
        <f t="shared" ref="C108:D108" si="9">C106-C107</f>
        <v>0</v>
      </c>
      <c r="D108" s="269">
        <f t="shared" si="9"/>
        <v>0</v>
      </c>
      <c r="E108" s="269">
        <f>+E106-E107</f>
        <v>0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s="85" customFormat="1" ht="15" customHeight="1" x14ac:dyDescent="0.25">
      <c r="A111" s="90"/>
      <c r="B111" s="90"/>
      <c r="C111" s="90"/>
      <c r="D111" s="90"/>
      <c r="E111" s="90"/>
      <c r="F111" s="90"/>
    </row>
    <row r="112" spans="1:10" s="85" customFormat="1" ht="15" customHeight="1" x14ac:dyDescent="0.25">
      <c r="A112" s="90"/>
      <c r="B112" s="90"/>
      <c r="C112" s="90"/>
      <c r="D112" s="90"/>
      <c r="E112" s="90"/>
      <c r="F112" s="90"/>
    </row>
    <row r="113" spans="1:6" s="85" customFormat="1" ht="15" customHeight="1" x14ac:dyDescent="0.25">
      <c r="A113" s="291" t="s">
        <v>110</v>
      </c>
      <c r="B113" s="291"/>
      <c r="C113" s="291"/>
      <c r="D113" s="291"/>
      <c r="E113" s="291"/>
      <c r="F113" s="90"/>
    </row>
    <row r="114" spans="1:6" s="85" customFormat="1" ht="15" customHeight="1" x14ac:dyDescent="0.25">
      <c r="A114" s="291" t="s">
        <v>109</v>
      </c>
      <c r="B114" s="291"/>
      <c r="C114" s="291"/>
      <c r="D114" s="291"/>
      <c r="E114" s="291"/>
      <c r="F114" s="90"/>
    </row>
    <row r="115" spans="1:6" s="85" customFormat="1" ht="15" customHeight="1" x14ac:dyDescent="0.25">
      <c r="A115" s="292" t="s">
        <v>52</v>
      </c>
      <c r="B115" s="292"/>
      <c r="C115" s="292"/>
      <c r="D115" s="292"/>
      <c r="E115" s="292"/>
      <c r="F115" s="102"/>
    </row>
    <row r="116" spans="1:6" s="85" customFormat="1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s="85" customFormat="1" ht="15" customHeight="1" thickBot="1" x14ac:dyDescent="0.3">
      <c r="A117" s="92" t="s">
        <v>10</v>
      </c>
      <c r="B117" s="92" t="s">
        <v>3</v>
      </c>
      <c r="C117" s="92" t="s">
        <v>4</v>
      </c>
      <c r="D117" s="92" t="s">
        <v>5</v>
      </c>
      <c r="E117" s="92" t="s">
        <v>6</v>
      </c>
      <c r="F117" s="102">
        <f>+E73+E88+E105+E120</f>
        <v>3621863823</v>
      </c>
    </row>
    <row r="118" spans="1:6" s="85" customFormat="1" ht="15" customHeight="1" x14ac:dyDescent="0.25">
      <c r="A118" s="90"/>
      <c r="B118" s="93"/>
      <c r="C118" s="93"/>
      <c r="D118" s="93"/>
      <c r="E118" s="93"/>
      <c r="F118" s="90"/>
    </row>
    <row r="119" spans="1:6" s="85" customFormat="1" ht="15" customHeight="1" x14ac:dyDescent="0.25">
      <c r="A119" s="90" t="s">
        <v>62</v>
      </c>
      <c r="B119" s="94">
        <f>+$B$137</f>
        <v>0</v>
      </c>
      <c r="C119" s="94">
        <f>B123</f>
        <v>0</v>
      </c>
      <c r="D119" s="94">
        <f>C123</f>
        <v>0</v>
      </c>
      <c r="E119" s="94">
        <f>+B119</f>
        <v>0</v>
      </c>
      <c r="F119" s="90"/>
    </row>
    <row r="120" spans="1:6" s="85" customFormat="1" ht="15" customHeight="1" x14ac:dyDescent="0.25">
      <c r="A120" s="108" t="s">
        <v>16</v>
      </c>
      <c r="B120" s="94">
        <f>+B149</f>
        <v>220550000</v>
      </c>
      <c r="C120" s="94">
        <f t="shared" ref="C120:D120" si="10">+C149</f>
        <v>254650000</v>
      </c>
      <c r="D120" s="94">
        <f t="shared" si="10"/>
        <v>255200000</v>
      </c>
      <c r="E120" s="94">
        <f>SUM(B120:D120)</f>
        <v>730400000</v>
      </c>
      <c r="F120" s="90"/>
    </row>
    <row r="121" spans="1:6" s="85" customFormat="1" ht="15" customHeight="1" x14ac:dyDescent="0.25">
      <c r="A121" s="90" t="s">
        <v>17</v>
      </c>
      <c r="B121" s="94">
        <f>SUM(B119:B120)</f>
        <v>220550000</v>
      </c>
      <c r="C121" s="94">
        <f t="shared" ref="C121:D121" si="11">SUM(C119:C120)</f>
        <v>254650000</v>
      </c>
      <c r="D121" s="94">
        <f t="shared" si="11"/>
        <v>255200000</v>
      </c>
      <c r="E121" s="94">
        <f>SUM(E119:E120)</f>
        <v>730400000</v>
      </c>
      <c r="F121" s="90"/>
    </row>
    <row r="122" spans="1:6" s="85" customFormat="1" ht="15" customHeight="1" x14ac:dyDescent="0.25">
      <c r="A122" s="90" t="s">
        <v>18</v>
      </c>
      <c r="B122" s="94">
        <f>+B60</f>
        <v>220550000</v>
      </c>
      <c r="C122" s="94">
        <f>+C60</f>
        <v>254650000</v>
      </c>
      <c r="D122" s="94">
        <f>+D60</f>
        <v>255200000</v>
      </c>
      <c r="E122" s="94">
        <f>+SUM(B122:D122)</f>
        <v>730400000</v>
      </c>
      <c r="F122" s="96"/>
    </row>
    <row r="123" spans="1:6" s="85" customFormat="1" ht="15" customHeight="1" x14ac:dyDescent="0.25">
      <c r="A123" s="97" t="s">
        <v>19</v>
      </c>
      <c r="B123" s="103">
        <f>B121-B122</f>
        <v>0</v>
      </c>
      <c r="C123" s="103">
        <f>C121-C122</f>
        <v>0</v>
      </c>
      <c r="D123" s="103">
        <f>D121-D122</f>
        <v>0</v>
      </c>
      <c r="E123" s="103">
        <f>+E121-E122</f>
        <v>0</v>
      </c>
      <c r="F123" s="90"/>
    </row>
    <row r="124" spans="1:6" s="85" customFormat="1" ht="15" customHeight="1" thickBot="1" x14ac:dyDescent="0.3">
      <c r="A124" s="99"/>
      <c r="B124" s="104"/>
      <c r="C124" s="99"/>
      <c r="D124" s="99"/>
      <c r="E124" s="99"/>
      <c r="F124" s="90"/>
    </row>
    <row r="125" spans="1:6" s="85" customFormat="1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s="85" customFormat="1" ht="15" customHeight="1" x14ac:dyDescent="0.25">
      <c r="A126" s="90"/>
      <c r="B126" s="90"/>
      <c r="C126" s="90"/>
      <c r="D126" s="90"/>
      <c r="E126" s="90"/>
      <c r="F126" s="90"/>
    </row>
    <row r="127" spans="1:6" s="85" customFormat="1" ht="15" customHeight="1" x14ac:dyDescent="0.25">
      <c r="A127" s="90"/>
      <c r="B127" s="90"/>
      <c r="C127" s="90"/>
      <c r="D127" s="90"/>
      <c r="E127" s="90"/>
      <c r="F127" s="90"/>
    </row>
    <row r="128" spans="1:6" s="85" customFormat="1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s="85" customFormat="1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99</v>
      </c>
      <c r="B132" s="90"/>
      <c r="C132" s="90"/>
      <c r="D132" s="90"/>
      <c r="E132" s="90"/>
      <c r="F132" s="90"/>
    </row>
    <row r="133" spans="1:6" ht="15" customHeight="1" x14ac:dyDescent="0.25">
      <c r="A133" s="289" t="s">
        <v>157</v>
      </c>
      <c r="B133" s="290"/>
      <c r="C133" s="90"/>
      <c r="D133" s="90"/>
      <c r="E133" s="90"/>
      <c r="F133" s="90"/>
    </row>
    <row r="134" spans="1:6" ht="15" customHeight="1" x14ac:dyDescent="0.25">
      <c r="A134" s="105" t="s">
        <v>111</v>
      </c>
      <c r="B134" s="106">
        <v>0</v>
      </c>
      <c r="C134" s="228"/>
      <c r="D134" s="90"/>
      <c r="E134" s="90"/>
      <c r="F134" s="90"/>
    </row>
    <row r="135" spans="1:6" s="85" customFormat="1" ht="15" customHeight="1" x14ac:dyDescent="0.25">
      <c r="A135" s="105" t="s">
        <v>112</v>
      </c>
      <c r="B135" s="106">
        <v>0</v>
      </c>
      <c r="C135" s="228">
        <f>+B134+B135</f>
        <v>0</v>
      </c>
      <c r="D135" s="90"/>
      <c r="E135" s="90"/>
      <c r="F135" s="90"/>
    </row>
    <row r="136" spans="1:6" ht="15" customHeight="1" x14ac:dyDescent="0.25">
      <c r="A136" s="105" t="s">
        <v>81</v>
      </c>
      <c r="B136" s="106">
        <v>0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106">
        <v>0</v>
      </c>
      <c r="C137" s="90"/>
      <c r="D137" s="90"/>
      <c r="E137" s="90"/>
      <c r="F137" s="90"/>
    </row>
    <row r="138" spans="1:6" s="85" customFormat="1" ht="15" customHeight="1" x14ac:dyDescent="0.25">
      <c r="A138" s="105" t="s">
        <v>113</v>
      </c>
      <c r="B138" s="106">
        <v>0</v>
      </c>
      <c r="C138" s="90"/>
      <c r="D138" s="90"/>
      <c r="E138" s="90"/>
      <c r="F138" s="90"/>
    </row>
    <row r="139" spans="1:6" ht="15" customHeight="1" x14ac:dyDescent="0.25">
      <c r="A139" s="225" t="s">
        <v>98</v>
      </c>
      <c r="B139" s="226">
        <f>SUM(B134:B138)</f>
        <v>0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29" customFormat="1" ht="15" customHeight="1" x14ac:dyDescent="0.25"/>
    <row r="144" spans="1:6" ht="15" customHeight="1" x14ac:dyDescent="0.25">
      <c r="A144" s="85"/>
      <c r="B144" s="96" t="s">
        <v>125</v>
      </c>
    </row>
    <row r="145" spans="1:7" ht="15" customHeight="1" x14ac:dyDescent="0.25">
      <c r="A145" s="216" t="s">
        <v>115</v>
      </c>
      <c r="B145" s="216" t="s">
        <v>119</v>
      </c>
      <c r="C145" s="216" t="s">
        <v>120</v>
      </c>
      <c r="D145" s="216" t="s">
        <v>121</v>
      </c>
      <c r="E145" s="216" t="s">
        <v>122</v>
      </c>
    </row>
    <row r="146" spans="1:7" ht="15" customHeight="1" x14ac:dyDescent="0.25">
      <c r="A146" s="217" t="s">
        <v>117</v>
      </c>
      <c r="B146" s="221">
        <v>270180000</v>
      </c>
      <c r="C146" s="221">
        <f>262800000+22500000</f>
        <v>285300000</v>
      </c>
      <c r="D146" s="221">
        <f>274860000+29160000</f>
        <v>304020000</v>
      </c>
      <c r="E146" s="221">
        <f>+B146+C146+D146</f>
        <v>859500000</v>
      </c>
    </row>
    <row r="147" spans="1:7" ht="15" customHeight="1" x14ac:dyDescent="0.25">
      <c r="A147" s="217" t="s">
        <v>118</v>
      </c>
      <c r="B147" s="221">
        <v>88848000</v>
      </c>
      <c r="C147" s="221">
        <f>71784000+4032000</f>
        <v>75816000</v>
      </c>
      <c r="D147" s="221">
        <f>86832000+17064000</f>
        <v>103896000</v>
      </c>
      <c r="E147" s="221">
        <f t="shared" ref="E147" si="12">+B147+C147+D147</f>
        <v>268560000</v>
      </c>
    </row>
    <row r="148" spans="1:7" ht="15" customHeight="1" x14ac:dyDescent="0.25">
      <c r="A148" s="218" t="s">
        <v>114</v>
      </c>
      <c r="B148" s="222">
        <v>511512157.67000002</v>
      </c>
      <c r="C148" s="222">
        <f>535440869+76284977</f>
        <v>611725846</v>
      </c>
      <c r="D148" s="222">
        <f>581152112.67+59013706.66</f>
        <v>640165819.32999992</v>
      </c>
      <c r="E148" s="221">
        <f>SUM(B148:D148)</f>
        <v>1763403823</v>
      </c>
    </row>
    <row r="149" spans="1:7" ht="15" customHeight="1" x14ac:dyDescent="0.25">
      <c r="A149" s="217" t="s">
        <v>83</v>
      </c>
      <c r="B149" s="221">
        <v>220550000</v>
      </c>
      <c r="C149" s="221">
        <f>231550000+23100000</f>
        <v>254650000</v>
      </c>
      <c r="D149" s="221">
        <f>243100000+12100000</f>
        <v>255200000</v>
      </c>
      <c r="E149" s="221">
        <f>SUM(B149:D149)</f>
        <v>730400000</v>
      </c>
    </row>
    <row r="150" spans="1:7" ht="15" customHeight="1" x14ac:dyDescent="0.25">
      <c r="A150" s="217"/>
      <c r="B150" s="221"/>
      <c r="C150" s="221"/>
      <c r="D150" s="221"/>
      <c r="E150" s="221"/>
    </row>
    <row r="151" spans="1:7" ht="15" customHeight="1" thickBot="1" x14ac:dyDescent="0.3">
      <c r="A151" s="219"/>
      <c r="B151" s="223"/>
      <c r="C151" s="223"/>
      <c r="D151" s="223"/>
      <c r="E151" s="223"/>
    </row>
    <row r="152" spans="1:7" ht="15" customHeight="1" thickBot="1" x14ac:dyDescent="0.3">
      <c r="A152" s="220"/>
      <c r="B152" s="224"/>
      <c r="C152" s="224"/>
      <c r="D152" s="224"/>
      <c r="E152" s="224">
        <f>SUM(E146:E151)</f>
        <v>3621863823</v>
      </c>
    </row>
    <row r="155" spans="1:7" ht="15" customHeight="1" x14ac:dyDescent="0.25">
      <c r="A155" s="216" t="s">
        <v>115</v>
      </c>
      <c r="B155" s="227" t="s">
        <v>123</v>
      </c>
      <c r="D155" s="261"/>
      <c r="E155" s="261"/>
      <c r="F155" s="261"/>
      <c r="G155" s="261"/>
    </row>
    <row r="156" spans="1:7" ht="15" customHeight="1" x14ac:dyDescent="0.25">
      <c r="A156" s="217" t="s">
        <v>117</v>
      </c>
      <c r="B156" s="217">
        <v>1886</v>
      </c>
      <c r="D156" s="261"/>
      <c r="E156" s="261"/>
      <c r="F156" s="261"/>
      <c r="G156" s="261"/>
    </row>
    <row r="157" spans="1:7" ht="15" customHeight="1" x14ac:dyDescent="0.25">
      <c r="A157" s="217" t="s">
        <v>118</v>
      </c>
      <c r="B157" s="217">
        <v>1388</v>
      </c>
      <c r="D157" s="261"/>
      <c r="E157" s="261"/>
      <c r="F157" s="261"/>
      <c r="G157" s="261"/>
    </row>
    <row r="158" spans="1:7" ht="15" customHeight="1" x14ac:dyDescent="0.25">
      <c r="A158" s="218" t="s">
        <v>114</v>
      </c>
      <c r="B158" s="218">
        <f>10616+1514</f>
        <v>12130</v>
      </c>
      <c r="D158" s="261"/>
      <c r="E158" s="261"/>
      <c r="F158" s="261"/>
      <c r="G158" s="261"/>
    </row>
    <row r="159" spans="1:7" ht="15" customHeight="1" x14ac:dyDescent="0.25">
      <c r="A159" s="217" t="s">
        <v>83</v>
      </c>
      <c r="B159" s="217">
        <v>453</v>
      </c>
    </row>
    <row r="160" spans="1:7" ht="15" customHeight="1" x14ac:dyDescent="0.25">
      <c r="A160" s="217"/>
      <c r="B160" s="217"/>
    </row>
    <row r="161" spans="1:8" ht="15" customHeight="1" thickBot="1" x14ac:dyDescent="0.3">
      <c r="A161" s="219"/>
      <c r="B161" s="219"/>
    </row>
    <row r="162" spans="1:8" ht="15" customHeight="1" thickBot="1" x14ac:dyDescent="0.3">
      <c r="A162" s="220" t="s">
        <v>116</v>
      </c>
      <c r="B162" s="220">
        <f>SUM(B156:B161)</f>
        <v>15857</v>
      </c>
    </row>
    <row r="163" spans="1:8" ht="15" customHeight="1" x14ac:dyDescent="0.25">
      <c r="H163" s="231"/>
    </row>
  </sheetData>
  <mergeCells count="27">
    <mergeCell ref="A133:B133"/>
    <mergeCell ref="A53:E53"/>
    <mergeCell ref="A66:E66"/>
    <mergeCell ref="A67:E67"/>
    <mergeCell ref="A68:E68"/>
    <mergeCell ref="A100:E100"/>
    <mergeCell ref="A99:E99"/>
    <mergeCell ref="A98:E98"/>
    <mergeCell ref="A81:E81"/>
    <mergeCell ref="A82:E82"/>
    <mergeCell ref="A83:E83"/>
    <mergeCell ref="A113:E113"/>
    <mergeCell ref="A114:E114"/>
    <mergeCell ref="A115:E115"/>
    <mergeCell ref="A52:E52"/>
    <mergeCell ref="A1:F1"/>
    <mergeCell ref="A7:F7"/>
    <mergeCell ref="A8:F8"/>
    <mergeCell ref="A9:F9"/>
    <mergeCell ref="A13:A15"/>
    <mergeCell ref="A16:A18"/>
    <mergeCell ref="A19:A21"/>
    <mergeCell ref="A30:F30"/>
    <mergeCell ref="A31:F31"/>
    <mergeCell ref="A32:F32"/>
    <mergeCell ref="A51:E51"/>
    <mergeCell ref="A22:A24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3"/>
  <sheetViews>
    <sheetView zoomScale="85" zoomScaleNormal="85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21.28515625" style="85" customWidth="1"/>
    <col min="7" max="7" width="15.42578125" style="85" customWidth="1"/>
    <col min="8" max="8" width="13.5703125" style="85" customWidth="1"/>
    <col min="9" max="9" width="11.5703125" style="85"/>
    <col min="10" max="10" width="14.28515625" style="85" bestFit="1" customWidth="1"/>
    <col min="11" max="16384" width="11.5703125" style="85"/>
  </cols>
  <sheetData>
    <row r="1" spans="1:6" ht="15" customHeight="1" x14ac:dyDescent="0.25">
      <c r="A1" s="283" t="s">
        <v>20</v>
      </c>
      <c r="B1" s="283"/>
      <c r="C1" s="283"/>
      <c r="D1" s="283"/>
      <c r="E1" s="283"/>
      <c r="F1" s="283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158</v>
      </c>
      <c r="C5" s="5"/>
      <c r="D5" s="5"/>
      <c r="E5" s="5"/>
      <c r="F5" s="5"/>
    </row>
    <row r="7" spans="1:6" ht="15" customHeight="1" x14ac:dyDescent="0.25">
      <c r="A7" s="283" t="s">
        <v>9</v>
      </c>
      <c r="B7" s="283"/>
      <c r="C7" s="283"/>
      <c r="D7" s="283"/>
      <c r="E7" s="283"/>
      <c r="F7" s="283"/>
    </row>
    <row r="8" spans="1:6" ht="15" customHeight="1" x14ac:dyDescent="0.25">
      <c r="A8" s="283" t="s">
        <v>12</v>
      </c>
      <c r="B8" s="283"/>
      <c r="C8" s="283"/>
      <c r="D8" s="283"/>
      <c r="E8" s="283"/>
      <c r="F8" s="283"/>
    </row>
    <row r="9" spans="1:6" ht="15" customHeight="1" x14ac:dyDescent="0.25">
      <c r="A9" s="284" t="s">
        <v>50</v>
      </c>
      <c r="B9" s="284"/>
      <c r="C9" s="284"/>
      <c r="D9" s="284"/>
      <c r="E9" s="284"/>
      <c r="F9" s="284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5" t="s">
        <v>64</v>
      </c>
      <c r="B11" s="45"/>
      <c r="C11" s="45" t="s">
        <v>27</v>
      </c>
      <c r="D11" s="45" t="s">
        <v>28</v>
      </c>
      <c r="E11" s="45" t="s">
        <v>29</v>
      </c>
      <c r="F11" s="232" t="s">
        <v>71</v>
      </c>
    </row>
    <row r="13" spans="1:6" x14ac:dyDescent="0.25">
      <c r="A13" s="285" t="s">
        <v>87</v>
      </c>
      <c r="B13" s="117" t="s">
        <v>58</v>
      </c>
      <c r="C13" s="118">
        <f>+('I T'!E13-C15)+167</f>
        <v>201</v>
      </c>
      <c r="D13" s="118">
        <f>+(C13-D15)+8</f>
        <v>40</v>
      </c>
      <c r="E13" s="118">
        <f>+(D13-E15)+45</f>
        <v>85</v>
      </c>
      <c r="F13" s="119">
        <f>E13</f>
        <v>85</v>
      </c>
    </row>
    <row r="14" spans="1:6" ht="15" customHeight="1" x14ac:dyDescent="0.25">
      <c r="A14" s="286"/>
      <c r="B14" s="120" t="s">
        <v>59</v>
      </c>
      <c r="C14" s="121">
        <v>1478</v>
      </c>
      <c r="D14" s="121">
        <v>1655</v>
      </c>
      <c r="E14" s="121">
        <v>1641</v>
      </c>
      <c r="F14" s="122">
        <f t="shared" ref="F14:F24" si="0">AVERAGE(C14:E14)</f>
        <v>1591.3333333333333</v>
      </c>
    </row>
    <row r="15" spans="1:6" ht="15" customHeight="1" x14ac:dyDescent="0.25">
      <c r="A15" s="287"/>
      <c r="B15" s="123" t="s">
        <v>60</v>
      </c>
      <c r="C15" s="124">
        <v>89</v>
      </c>
      <c r="D15" s="124">
        <v>169</v>
      </c>
      <c r="E15" s="124">
        <v>0</v>
      </c>
      <c r="F15" s="125">
        <f t="shared" si="0"/>
        <v>86</v>
      </c>
    </row>
    <row r="16" spans="1:6" x14ac:dyDescent="0.25">
      <c r="A16" s="288" t="s">
        <v>24</v>
      </c>
      <c r="B16" s="117" t="s">
        <v>58</v>
      </c>
      <c r="C16" s="118">
        <f>+('I T'!E16-C18)+219</f>
        <v>468</v>
      </c>
      <c r="D16" s="118">
        <f>+(C16-D18)+21</f>
        <v>153</v>
      </c>
      <c r="E16" s="118">
        <f>+(D16-E18)+21</f>
        <v>174</v>
      </c>
      <c r="F16" s="119">
        <f>E16</f>
        <v>174</v>
      </c>
    </row>
    <row r="17" spans="1:7" ht="15" customHeight="1" x14ac:dyDescent="0.25">
      <c r="A17" s="286"/>
      <c r="B17" s="120" t="s">
        <v>59</v>
      </c>
      <c r="C17" s="121">
        <v>1121</v>
      </c>
      <c r="D17" s="121">
        <v>1294</v>
      </c>
      <c r="E17" s="121">
        <v>1295</v>
      </c>
      <c r="F17" s="122">
        <f t="shared" si="0"/>
        <v>1236.6666666666667</v>
      </c>
    </row>
    <row r="18" spans="1:7" ht="15" customHeight="1" x14ac:dyDescent="0.25">
      <c r="A18" s="287"/>
      <c r="B18" s="123" t="s">
        <v>60</v>
      </c>
      <c r="C18" s="124">
        <v>30</v>
      </c>
      <c r="D18" s="124">
        <v>336</v>
      </c>
      <c r="E18" s="124">
        <v>0</v>
      </c>
      <c r="F18" s="125">
        <f t="shared" si="0"/>
        <v>122</v>
      </c>
    </row>
    <row r="19" spans="1:7" x14ac:dyDescent="0.25">
      <c r="A19" s="288" t="s">
        <v>101</v>
      </c>
      <c r="B19" s="117" t="s">
        <v>58</v>
      </c>
      <c r="C19" s="118">
        <f>+('I T'!E19-C21)+566</f>
        <v>566</v>
      </c>
      <c r="D19" s="118">
        <f>+(C19-D21)+0</f>
        <v>0</v>
      </c>
      <c r="E19" s="118">
        <f>+(D19-E21)+132</f>
        <v>132</v>
      </c>
      <c r="F19" s="119">
        <f>E19</f>
        <v>132</v>
      </c>
    </row>
    <row r="20" spans="1:7" ht="15" customHeight="1" x14ac:dyDescent="0.25">
      <c r="A20" s="286"/>
      <c r="B20" s="120" t="s">
        <v>59</v>
      </c>
      <c r="C20" s="121">
        <v>10383</v>
      </c>
      <c r="D20" s="121">
        <v>11163</v>
      </c>
      <c r="E20" s="121">
        <v>11147</v>
      </c>
      <c r="F20" s="122">
        <f t="shared" si="0"/>
        <v>10897.666666666666</v>
      </c>
    </row>
    <row r="21" spans="1:7" ht="15" customHeight="1" x14ac:dyDescent="0.25">
      <c r="A21" s="287"/>
      <c r="B21" s="123" t="s">
        <v>60</v>
      </c>
      <c r="C21" s="124">
        <v>461</v>
      </c>
      <c r="D21" s="124">
        <v>566</v>
      </c>
      <c r="E21" s="185">
        <v>0</v>
      </c>
      <c r="F21" s="125">
        <f t="shared" si="0"/>
        <v>342.33333333333331</v>
      </c>
    </row>
    <row r="22" spans="1:7" ht="15" customHeight="1" x14ac:dyDescent="0.25">
      <c r="A22" s="288" t="s">
        <v>124</v>
      </c>
      <c r="B22" s="126" t="s">
        <v>58</v>
      </c>
      <c r="C22" s="118">
        <f>+('I T'!E22-C24)+62</f>
        <v>101</v>
      </c>
      <c r="D22" s="118">
        <f>+(C22-D24)+13</f>
        <v>65</v>
      </c>
      <c r="E22" s="118">
        <f>+(D22-E24)+59</f>
        <v>124</v>
      </c>
      <c r="F22" s="119">
        <f>E22</f>
        <v>124</v>
      </c>
    </row>
    <row r="23" spans="1:7" ht="15" customHeight="1" x14ac:dyDescent="0.25">
      <c r="A23" s="286"/>
      <c r="B23" s="128" t="s">
        <v>59</v>
      </c>
      <c r="C23" s="121">
        <v>629</v>
      </c>
      <c r="D23" s="121">
        <v>675</v>
      </c>
      <c r="E23" s="121">
        <v>631</v>
      </c>
      <c r="F23" s="129">
        <f t="shared" si="0"/>
        <v>645</v>
      </c>
    </row>
    <row r="24" spans="1:7" ht="15" customHeight="1" x14ac:dyDescent="0.25">
      <c r="A24" s="287"/>
      <c r="B24" s="130" t="s">
        <v>60</v>
      </c>
      <c r="C24" s="124">
        <v>0</v>
      </c>
      <c r="D24" s="124">
        <v>49</v>
      </c>
      <c r="E24" s="124">
        <v>0</v>
      </c>
      <c r="F24" s="131">
        <f t="shared" si="0"/>
        <v>16.333333333333332</v>
      </c>
    </row>
    <row r="25" spans="1:7" ht="15" customHeight="1" thickBot="1" x14ac:dyDescent="0.3">
      <c r="A25" s="10" t="s">
        <v>13</v>
      </c>
      <c r="B25" s="10" t="s">
        <v>51</v>
      </c>
      <c r="C25" s="58">
        <f>+C14+C15+C17+C18+C20+C21+C23+C24</f>
        <v>14191</v>
      </c>
      <c r="D25" s="58">
        <f>+D14+D15+D17+D18+D20+D21+D23+D24</f>
        <v>15907</v>
      </c>
      <c r="E25" s="58">
        <f>+E14+E15+E17+E18+E20+E21+E23+E24</f>
        <v>14714</v>
      </c>
      <c r="F25" s="60">
        <f>AVERAGE(C25:E25)</f>
        <v>14937.333333333334</v>
      </c>
    </row>
    <row r="26" spans="1:7" ht="15" customHeight="1" thickTop="1" x14ac:dyDescent="0.25">
      <c r="A26" s="46"/>
      <c r="B26" s="8"/>
      <c r="C26" s="8"/>
      <c r="D26" s="8"/>
      <c r="E26" s="8"/>
      <c r="F26" s="8"/>
    </row>
    <row r="27" spans="1:7" ht="15" customHeight="1" x14ac:dyDescent="0.25">
      <c r="A27" s="85" t="s">
        <v>72</v>
      </c>
    </row>
    <row r="30" spans="1:7" ht="15" customHeight="1" x14ac:dyDescent="0.25">
      <c r="A30" s="284" t="s">
        <v>14</v>
      </c>
      <c r="B30" s="284"/>
      <c r="C30" s="284"/>
      <c r="D30" s="284"/>
      <c r="E30" s="284"/>
      <c r="F30" s="284"/>
    </row>
    <row r="31" spans="1:7" ht="15" customHeight="1" x14ac:dyDescent="0.25">
      <c r="A31" s="283" t="s">
        <v>31</v>
      </c>
      <c r="B31" s="283"/>
      <c r="C31" s="283"/>
      <c r="D31" s="283"/>
      <c r="E31" s="283"/>
      <c r="F31" s="283"/>
      <c r="G31"/>
    </row>
    <row r="32" spans="1:7" ht="15" customHeight="1" x14ac:dyDescent="0.25">
      <c r="A32" s="284" t="s">
        <v>52</v>
      </c>
      <c r="B32" s="284"/>
      <c r="C32" s="284"/>
      <c r="D32" s="284"/>
      <c r="E32" s="284"/>
      <c r="F32" s="284"/>
    </row>
    <row r="33" spans="1:8" s="8" customFormat="1" ht="15" customHeight="1" x14ac:dyDescent="0.25">
      <c r="A33" s="230"/>
      <c r="B33" s="230"/>
      <c r="C33" s="230"/>
      <c r="D33" s="230"/>
      <c r="E33" s="230"/>
      <c r="F33" s="230"/>
    </row>
    <row r="34" spans="1:8" ht="15" customHeight="1" thickBot="1" x14ac:dyDescent="0.3">
      <c r="A34" s="12" t="s">
        <v>64</v>
      </c>
      <c r="B34" s="12"/>
      <c r="C34" s="12" t="s">
        <v>27</v>
      </c>
      <c r="D34" s="12" t="s">
        <v>28</v>
      </c>
      <c r="E34" s="12" t="s">
        <v>29</v>
      </c>
      <c r="F34" s="12" t="s">
        <v>30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133</v>
      </c>
      <c r="B36" s="188" t="s">
        <v>56</v>
      </c>
      <c r="C36" s="189">
        <v>266040000</v>
      </c>
      <c r="D36" s="189">
        <v>297900000</v>
      </c>
      <c r="E36" s="189">
        <v>295380000</v>
      </c>
      <c r="F36" s="190">
        <f t="shared" ref="F36:F43" si="1">SUM(C36:E36)</f>
        <v>859320000</v>
      </c>
    </row>
    <row r="37" spans="1:8" ht="15" customHeight="1" x14ac:dyDescent="0.25">
      <c r="A37" s="191"/>
      <c r="B37" s="192" t="s">
        <v>55</v>
      </c>
      <c r="C37" s="193">
        <v>16020000</v>
      </c>
      <c r="D37" s="193">
        <v>30420000</v>
      </c>
      <c r="E37" s="193">
        <v>0</v>
      </c>
      <c r="F37" s="194">
        <f t="shared" si="1"/>
        <v>46440000</v>
      </c>
    </row>
    <row r="38" spans="1:8" ht="15" customHeight="1" x14ac:dyDescent="0.25">
      <c r="A38" s="132" t="s">
        <v>24</v>
      </c>
      <c r="B38" s="133" t="s">
        <v>56</v>
      </c>
      <c r="C38" s="134">
        <v>80712000</v>
      </c>
      <c r="D38" s="134">
        <v>93168000</v>
      </c>
      <c r="E38" s="134">
        <v>93240000</v>
      </c>
      <c r="F38" s="127">
        <f t="shared" si="1"/>
        <v>267120000</v>
      </c>
    </row>
    <row r="39" spans="1:8" ht="15" customHeight="1" x14ac:dyDescent="0.25">
      <c r="A39" s="135"/>
      <c r="B39" s="136" t="s">
        <v>55</v>
      </c>
      <c r="C39" s="137">
        <v>2160000</v>
      </c>
      <c r="D39" s="137">
        <v>24192000</v>
      </c>
      <c r="E39" s="137">
        <v>0</v>
      </c>
      <c r="F39" s="131">
        <f t="shared" si="1"/>
        <v>26352000</v>
      </c>
    </row>
    <row r="40" spans="1:8" ht="15" customHeight="1" x14ac:dyDescent="0.25">
      <c r="A40" s="195" t="s">
        <v>101</v>
      </c>
      <c r="B40" s="196" t="s">
        <v>56</v>
      </c>
      <c r="C40" s="197">
        <v>576510650.67000008</v>
      </c>
      <c r="D40" s="197">
        <v>602773666.66666663</v>
      </c>
      <c r="E40" s="197">
        <v>594485829.67000008</v>
      </c>
      <c r="F40" s="198">
        <f t="shared" si="1"/>
        <v>1773770147.0066667</v>
      </c>
      <c r="H40" s="203"/>
    </row>
    <row r="41" spans="1:8" ht="15" customHeight="1" x14ac:dyDescent="0.25">
      <c r="A41" s="199"/>
      <c r="B41" s="200" t="s">
        <v>55</v>
      </c>
      <c r="C41" s="201">
        <v>21621554</v>
      </c>
      <c r="D41" s="201">
        <v>26263016</v>
      </c>
      <c r="E41" s="201">
        <v>0</v>
      </c>
      <c r="F41" s="202">
        <f t="shared" si="1"/>
        <v>47884570</v>
      </c>
    </row>
    <row r="42" spans="1:8" ht="15" customHeight="1" x14ac:dyDescent="0.25">
      <c r="A42" s="138" t="s">
        <v>100</v>
      </c>
      <c r="B42" s="139" t="s">
        <v>56</v>
      </c>
      <c r="C42" s="134">
        <v>224950000</v>
      </c>
      <c r="D42" s="134">
        <v>242400000</v>
      </c>
      <c r="E42" s="134">
        <v>219300000</v>
      </c>
      <c r="F42" s="127">
        <f t="shared" si="1"/>
        <v>686650000</v>
      </c>
    </row>
    <row r="43" spans="1:8" ht="15" customHeight="1" x14ac:dyDescent="0.25">
      <c r="A43" s="140"/>
      <c r="B43" s="141" t="s">
        <v>55</v>
      </c>
      <c r="C43" s="137">
        <v>0</v>
      </c>
      <c r="D43" s="137">
        <v>17600000</v>
      </c>
      <c r="E43" s="137">
        <v>0</v>
      </c>
      <c r="F43" s="131">
        <f t="shared" si="1"/>
        <v>17600000</v>
      </c>
      <c r="H43" s="203"/>
    </row>
    <row r="44" spans="1:8" ht="15" customHeight="1" x14ac:dyDescent="0.25">
      <c r="A44" s="213"/>
      <c r="B44" s="214"/>
      <c r="C44" s="215"/>
      <c r="D44" s="215"/>
      <c r="E44" s="215"/>
      <c r="F44" s="215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1188014204.6700001</v>
      </c>
      <c r="D45" s="59">
        <f>SUM(D36:D43)</f>
        <v>1334716682.6666665</v>
      </c>
      <c r="E45" s="59">
        <f>SUM(E36:E43)</f>
        <v>1202405829.6700001</v>
      </c>
      <c r="F45" s="59">
        <f>SUM(F36:F43)</f>
        <v>3725136717.0066667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83" t="s">
        <v>15</v>
      </c>
      <c r="B51" s="283"/>
      <c r="C51" s="283"/>
      <c r="D51" s="283"/>
      <c r="E51" s="283"/>
    </row>
    <row r="52" spans="1:5" ht="15" customHeight="1" x14ac:dyDescent="0.25">
      <c r="A52" s="283" t="s">
        <v>32</v>
      </c>
      <c r="B52" s="283"/>
      <c r="C52" s="283"/>
      <c r="D52" s="283"/>
      <c r="E52" s="283"/>
    </row>
    <row r="53" spans="1:5" ht="15" customHeight="1" x14ac:dyDescent="0.25">
      <c r="A53" s="284" t="s">
        <v>52</v>
      </c>
      <c r="B53" s="284"/>
      <c r="C53" s="284"/>
      <c r="D53" s="284"/>
      <c r="E53" s="284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12" t="s">
        <v>27</v>
      </c>
      <c r="C55" s="12" t="s">
        <v>28</v>
      </c>
      <c r="D55" s="12" t="s">
        <v>29</v>
      </c>
      <c r="E55" s="12" t="s">
        <v>30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102</v>
      </c>
      <c r="B57" s="56">
        <f>SUM(C36:C37)</f>
        <v>282060000</v>
      </c>
      <c r="C57" s="56">
        <f>SUM(D36:D37)</f>
        <v>328320000</v>
      </c>
      <c r="D57" s="56">
        <f>SUM(E36:E37)</f>
        <v>295380000</v>
      </c>
      <c r="E57" s="56">
        <f t="shared" ref="E57:E60" si="2">SUM(B57:D57)</f>
        <v>905760000</v>
      </c>
    </row>
    <row r="58" spans="1:5" ht="15" customHeight="1" x14ac:dyDescent="0.25">
      <c r="A58" s="85" t="s">
        <v>103</v>
      </c>
      <c r="B58" s="56">
        <f>SUM(C38:C39)</f>
        <v>82872000</v>
      </c>
      <c r="C58" s="56">
        <f>SUM(D38:D39)</f>
        <v>117360000</v>
      </c>
      <c r="D58" s="56">
        <f>SUM(E38:E39)</f>
        <v>93240000</v>
      </c>
      <c r="E58" s="56">
        <f t="shared" si="2"/>
        <v>293472000</v>
      </c>
    </row>
    <row r="59" spans="1:5" ht="15" customHeight="1" x14ac:dyDescent="0.25">
      <c r="A59" s="85" t="s">
        <v>104</v>
      </c>
      <c r="B59" s="56">
        <f>SUM(C40:C41)</f>
        <v>598132204.67000008</v>
      </c>
      <c r="C59" s="56">
        <f>SUM(D40:D41)</f>
        <v>629036682.66666663</v>
      </c>
      <c r="D59" s="56">
        <f>SUM(E40:E41)</f>
        <v>594485829.67000008</v>
      </c>
      <c r="E59" s="56">
        <f t="shared" si="2"/>
        <v>1821654717.0066667</v>
      </c>
    </row>
    <row r="60" spans="1:5" ht="15" customHeight="1" x14ac:dyDescent="0.25">
      <c r="A60" s="85" t="s">
        <v>105</v>
      </c>
      <c r="B60" s="56">
        <f>SUM(C42:C43)</f>
        <v>224950000</v>
      </c>
      <c r="C60" s="56">
        <f>SUM(D42:D43)</f>
        <v>260000000</v>
      </c>
      <c r="D60" s="56">
        <f>SUM(E42:E43)</f>
        <v>219300000</v>
      </c>
      <c r="E60" s="56">
        <f t="shared" si="2"/>
        <v>704250000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1188014204.6700001</v>
      </c>
      <c r="C62" s="58">
        <f>SUM(C57:C61)</f>
        <v>1334716682.6666665</v>
      </c>
      <c r="D62" s="58">
        <f>SUM(D57:D61)</f>
        <v>1202405829.6700001</v>
      </c>
      <c r="E62" s="58">
        <f>SUM(E57:E61)</f>
        <v>3725136717.0066667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91" t="s">
        <v>44</v>
      </c>
      <c r="B66" s="291"/>
      <c r="C66" s="291"/>
      <c r="D66" s="291"/>
      <c r="E66" s="291"/>
      <c r="F66" s="90"/>
    </row>
    <row r="67" spans="1:9" ht="15" customHeight="1" x14ac:dyDescent="0.25">
      <c r="A67" s="291" t="s">
        <v>108</v>
      </c>
      <c r="B67" s="291"/>
      <c r="C67" s="291"/>
      <c r="D67" s="291"/>
      <c r="E67" s="291"/>
      <c r="F67" s="90"/>
    </row>
    <row r="68" spans="1:9" ht="15" customHeight="1" x14ac:dyDescent="0.25">
      <c r="A68" s="292" t="s">
        <v>52</v>
      </c>
      <c r="B68" s="292"/>
      <c r="C68" s="292"/>
      <c r="D68" s="292"/>
      <c r="E68" s="292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12" t="s">
        <v>27</v>
      </c>
      <c r="C70" s="12" t="s">
        <v>28</v>
      </c>
      <c r="D70" s="12" t="s">
        <v>29</v>
      </c>
      <c r="E70" s="12" t="s">
        <v>30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0</v>
      </c>
      <c r="C72" s="94">
        <f>B76</f>
        <v>0</v>
      </c>
      <c r="D72" s="94">
        <f>C76</f>
        <v>0</v>
      </c>
      <c r="E72" s="94">
        <f>B72</f>
        <v>0</v>
      </c>
      <c r="F72" s="90"/>
    </row>
    <row r="73" spans="1:9" ht="15" customHeight="1" x14ac:dyDescent="0.25">
      <c r="A73" s="90" t="s">
        <v>16</v>
      </c>
      <c r="B73" s="94">
        <f>+B146</f>
        <v>282060000</v>
      </c>
      <c r="C73" s="94">
        <f t="shared" ref="C73:D73" si="3">+C146</f>
        <v>328320000</v>
      </c>
      <c r="D73" s="94">
        <f t="shared" si="3"/>
        <v>295380000</v>
      </c>
      <c r="E73" s="94">
        <f>+SUM(B73:D73)</f>
        <v>905760000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282060000</v>
      </c>
      <c r="C74" s="94">
        <f t="shared" ref="C74:D74" si="4">SUM(C72:C73)</f>
        <v>328320000</v>
      </c>
      <c r="D74" s="94">
        <f t="shared" si="4"/>
        <v>295380000</v>
      </c>
      <c r="E74" s="94">
        <f>+E72+E73</f>
        <v>905760000</v>
      </c>
      <c r="F74" s="90"/>
    </row>
    <row r="75" spans="1:9" ht="15" customHeight="1" x14ac:dyDescent="0.25">
      <c r="A75" s="90" t="s">
        <v>18</v>
      </c>
      <c r="B75" s="95">
        <f>B57</f>
        <v>282060000</v>
      </c>
      <c r="C75" s="95">
        <f>C57</f>
        <v>328320000</v>
      </c>
      <c r="D75" s="95">
        <f>D57</f>
        <v>295380000</v>
      </c>
      <c r="E75" s="94">
        <f>+SUM(B75:D75)</f>
        <v>905760000</v>
      </c>
      <c r="F75" s="96"/>
    </row>
    <row r="76" spans="1:9" ht="15" customHeight="1" x14ac:dyDescent="0.25">
      <c r="A76" s="97" t="s">
        <v>19</v>
      </c>
      <c r="B76" s="98">
        <f>B74-B75</f>
        <v>0</v>
      </c>
      <c r="C76" s="98">
        <f>C74-C75</f>
        <v>0</v>
      </c>
      <c r="D76" s="98">
        <f>D74-D75</f>
        <v>0</v>
      </c>
      <c r="E76" s="98">
        <f>+E74-E75</f>
        <v>0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91" t="s">
        <v>45</v>
      </c>
      <c r="B81" s="291"/>
      <c r="C81" s="291"/>
      <c r="D81" s="291"/>
      <c r="E81" s="291"/>
      <c r="F81" s="90"/>
    </row>
    <row r="82" spans="1:6" ht="15" customHeight="1" x14ac:dyDescent="0.25">
      <c r="A82" s="291" t="s">
        <v>106</v>
      </c>
      <c r="B82" s="291"/>
      <c r="C82" s="291"/>
      <c r="D82" s="291"/>
      <c r="E82" s="291"/>
      <c r="F82" s="90"/>
    </row>
    <row r="83" spans="1:6" ht="15" customHeight="1" x14ac:dyDescent="0.25">
      <c r="A83" s="292" t="s">
        <v>52</v>
      </c>
      <c r="B83" s="292"/>
      <c r="C83" s="292"/>
      <c r="D83" s="292"/>
      <c r="E83" s="292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12" t="s">
        <v>27</v>
      </c>
      <c r="C85" s="12" t="s">
        <v>28</v>
      </c>
      <c r="D85" s="12" t="s">
        <v>29</v>
      </c>
      <c r="E85" s="12" t="s">
        <v>30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0</v>
      </c>
      <c r="C87" s="94">
        <f>B91</f>
        <v>0</v>
      </c>
      <c r="D87" s="94">
        <f>C91</f>
        <v>0</v>
      </c>
      <c r="E87" s="94">
        <f>B87</f>
        <v>0</v>
      </c>
      <c r="F87" s="90"/>
    </row>
    <row r="88" spans="1:6" ht="15" customHeight="1" x14ac:dyDescent="0.25">
      <c r="A88" s="90" t="s">
        <v>16</v>
      </c>
      <c r="B88" s="94">
        <f>+B147</f>
        <v>82872000</v>
      </c>
      <c r="C88" s="94">
        <f t="shared" ref="C88:D88" si="5">+C147</f>
        <v>117360000</v>
      </c>
      <c r="D88" s="94">
        <f t="shared" si="5"/>
        <v>93240000</v>
      </c>
      <c r="E88" s="94">
        <f>+SUM(B88:D88)</f>
        <v>293472000</v>
      </c>
      <c r="F88" s="90"/>
    </row>
    <row r="89" spans="1:6" ht="15" customHeight="1" x14ac:dyDescent="0.25">
      <c r="A89" s="90" t="s">
        <v>17</v>
      </c>
      <c r="B89" s="94">
        <f>B87+B88</f>
        <v>82872000</v>
      </c>
      <c r="C89" s="94">
        <f t="shared" ref="C89:D89" si="6">C87+C88</f>
        <v>117360000</v>
      </c>
      <c r="D89" s="94">
        <f t="shared" si="6"/>
        <v>93240000</v>
      </c>
      <c r="E89" s="94">
        <f>+E87+E88</f>
        <v>293472000</v>
      </c>
      <c r="F89" s="90"/>
    </row>
    <row r="90" spans="1:6" ht="15" customHeight="1" x14ac:dyDescent="0.25">
      <c r="A90" s="90" t="s">
        <v>18</v>
      </c>
      <c r="B90" s="95">
        <f>+B58</f>
        <v>82872000</v>
      </c>
      <c r="C90" s="95">
        <f>+C58</f>
        <v>117360000</v>
      </c>
      <c r="D90" s="95">
        <f>+D58</f>
        <v>93240000</v>
      </c>
      <c r="E90" s="94">
        <f>+SUM(B90:D90)</f>
        <v>293472000</v>
      </c>
      <c r="F90" s="90"/>
    </row>
    <row r="91" spans="1:6" ht="15" customHeight="1" x14ac:dyDescent="0.25">
      <c r="A91" s="97" t="s">
        <v>19</v>
      </c>
      <c r="B91" s="98">
        <f>B89-B90</f>
        <v>0</v>
      </c>
      <c r="C91" s="98">
        <f>C89-C90</f>
        <v>0</v>
      </c>
      <c r="D91" s="98">
        <f>D89-D90</f>
        <v>0</v>
      </c>
      <c r="E91" s="98">
        <f>+E89-E90</f>
        <v>0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91" t="s">
        <v>107</v>
      </c>
      <c r="B98" s="291"/>
      <c r="C98" s="291"/>
      <c r="D98" s="291"/>
      <c r="E98" s="291"/>
      <c r="F98" s="90"/>
    </row>
    <row r="99" spans="1:10" ht="15" customHeight="1" x14ac:dyDescent="0.25">
      <c r="A99" s="291" t="s">
        <v>49</v>
      </c>
      <c r="B99" s="291"/>
      <c r="C99" s="291"/>
      <c r="D99" s="291"/>
      <c r="E99" s="291"/>
      <c r="F99" s="90"/>
      <c r="H99" s="43"/>
      <c r="J99" s="13"/>
    </row>
    <row r="100" spans="1:10" ht="15" customHeight="1" x14ac:dyDescent="0.25">
      <c r="A100" s="292" t="s">
        <v>52</v>
      </c>
      <c r="B100" s="292"/>
      <c r="C100" s="292"/>
      <c r="D100" s="292"/>
      <c r="E100" s="292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12" t="s">
        <v>27</v>
      </c>
      <c r="C102" s="12" t="s">
        <v>28</v>
      </c>
      <c r="D102" s="12" t="s">
        <v>29</v>
      </c>
      <c r="E102" s="12" t="s">
        <v>30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0</v>
      </c>
      <c r="C104" s="94">
        <f>B108</f>
        <v>0</v>
      </c>
      <c r="D104" s="94">
        <f>C108</f>
        <v>0</v>
      </c>
      <c r="E104" s="94">
        <f>+B104</f>
        <v>0</v>
      </c>
      <c r="F104" s="90"/>
    </row>
    <row r="105" spans="1:10" ht="15" customHeight="1" x14ac:dyDescent="0.25">
      <c r="A105" s="108" t="s">
        <v>16</v>
      </c>
      <c r="B105" s="94">
        <f>+B148</f>
        <v>598132204.67000008</v>
      </c>
      <c r="C105" s="94">
        <f t="shared" ref="C105:D105" si="7">+C148</f>
        <v>629036682.66666663</v>
      </c>
      <c r="D105" s="94">
        <f t="shared" si="7"/>
        <v>594485829.67000008</v>
      </c>
      <c r="E105" s="94">
        <f>SUM(B105:D105)</f>
        <v>1821654717.0066667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598132204.67000008</v>
      </c>
      <c r="C106" s="94">
        <f t="shared" ref="C106:D106" si="8">SUM(C104:C105)</f>
        <v>629036682.66666663</v>
      </c>
      <c r="D106" s="94">
        <f t="shared" si="8"/>
        <v>594485829.67000008</v>
      </c>
      <c r="E106" s="94">
        <f>SUM(E104:E105)</f>
        <v>1821654717.0066667</v>
      </c>
      <c r="F106" s="90"/>
    </row>
    <row r="107" spans="1:10" ht="15" customHeight="1" x14ac:dyDescent="0.25">
      <c r="A107" s="90" t="s">
        <v>18</v>
      </c>
      <c r="B107" s="94">
        <f>+B59</f>
        <v>598132204.67000008</v>
      </c>
      <c r="C107" s="94">
        <f>+C59</f>
        <v>629036682.66666663</v>
      </c>
      <c r="D107" s="94">
        <f>+D59</f>
        <v>594485829.67000008</v>
      </c>
      <c r="E107" s="94">
        <f>+SUM(B107:D107)</f>
        <v>1821654717.0066667</v>
      </c>
      <c r="F107" s="96"/>
    </row>
    <row r="108" spans="1:10" ht="15" customHeight="1" x14ac:dyDescent="0.25">
      <c r="A108" s="97" t="s">
        <v>19</v>
      </c>
      <c r="B108" s="103">
        <f>B106-B107</f>
        <v>0</v>
      </c>
      <c r="C108" s="103">
        <f t="shared" ref="C108:D108" si="9">C106-C107</f>
        <v>0</v>
      </c>
      <c r="D108" s="103">
        <f t="shared" si="9"/>
        <v>0</v>
      </c>
      <c r="E108" s="103">
        <f>+E106-E107</f>
        <v>0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91" t="s">
        <v>110</v>
      </c>
      <c r="B113" s="291"/>
      <c r="C113" s="291"/>
      <c r="D113" s="291"/>
      <c r="E113" s="291"/>
      <c r="F113" s="90"/>
    </row>
    <row r="114" spans="1:6" ht="15" customHeight="1" x14ac:dyDescent="0.25">
      <c r="A114" s="291" t="s">
        <v>109</v>
      </c>
      <c r="B114" s="291"/>
      <c r="C114" s="291"/>
      <c r="D114" s="291"/>
      <c r="E114" s="291"/>
      <c r="F114" s="90"/>
    </row>
    <row r="115" spans="1:6" ht="15" customHeight="1" x14ac:dyDescent="0.25">
      <c r="A115" s="292" t="s">
        <v>52</v>
      </c>
      <c r="B115" s="292"/>
      <c r="C115" s="292"/>
      <c r="D115" s="292"/>
      <c r="E115" s="292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12" t="s">
        <v>27</v>
      </c>
      <c r="C117" s="12" t="s">
        <v>28</v>
      </c>
      <c r="D117" s="12" t="s">
        <v>29</v>
      </c>
      <c r="E117" s="12" t="s">
        <v>30</v>
      </c>
      <c r="F117" s="235">
        <f>+E73+E88+E105+E120</f>
        <v>3725136717.0066667</v>
      </c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0</v>
      </c>
      <c r="C119" s="94">
        <f>B123</f>
        <v>0</v>
      </c>
      <c r="D119" s="94">
        <f>C123</f>
        <v>0</v>
      </c>
      <c r="E119" s="94">
        <f>+B119</f>
        <v>0</v>
      </c>
      <c r="F119" s="90"/>
    </row>
    <row r="120" spans="1:6" ht="15" customHeight="1" x14ac:dyDescent="0.25">
      <c r="A120" s="108" t="s">
        <v>16</v>
      </c>
      <c r="B120" s="94">
        <f>+B149</f>
        <v>224950000</v>
      </c>
      <c r="C120" s="94">
        <f t="shared" ref="C120:D120" si="10">+C149</f>
        <v>260000000</v>
      </c>
      <c r="D120" s="94">
        <f t="shared" si="10"/>
        <v>219300000</v>
      </c>
      <c r="E120" s="94">
        <f>SUM(B120:D120)</f>
        <v>704250000</v>
      </c>
      <c r="F120" s="90"/>
    </row>
    <row r="121" spans="1:6" ht="15" customHeight="1" x14ac:dyDescent="0.25">
      <c r="A121" s="90" t="s">
        <v>17</v>
      </c>
      <c r="B121" s="94">
        <f>SUM(B119:B120)</f>
        <v>224950000</v>
      </c>
      <c r="C121" s="94">
        <f t="shared" ref="C121:D121" si="11">SUM(C119:C120)</f>
        <v>260000000</v>
      </c>
      <c r="D121" s="94">
        <f t="shared" si="11"/>
        <v>219300000</v>
      </c>
      <c r="E121" s="94">
        <f>SUM(E119:E120)</f>
        <v>704250000</v>
      </c>
      <c r="F121" s="90"/>
    </row>
    <row r="122" spans="1:6" ht="15" customHeight="1" x14ac:dyDescent="0.25">
      <c r="A122" s="90" t="s">
        <v>18</v>
      </c>
      <c r="B122" s="94">
        <f>+B60</f>
        <v>224950000</v>
      </c>
      <c r="C122" s="94">
        <f>+C60</f>
        <v>260000000</v>
      </c>
      <c r="D122" s="94">
        <f>+D60</f>
        <v>219300000</v>
      </c>
      <c r="E122" s="94">
        <f>+SUM(B122:D122)</f>
        <v>704250000</v>
      </c>
      <c r="F122" s="96"/>
    </row>
    <row r="123" spans="1:6" ht="15" customHeight="1" x14ac:dyDescent="0.25">
      <c r="A123" s="97" t="s">
        <v>19</v>
      </c>
      <c r="B123" s="103">
        <f>B121-B122</f>
        <v>0</v>
      </c>
      <c r="C123" s="103">
        <f>C121-C122</f>
        <v>0</v>
      </c>
      <c r="D123" s="103">
        <f>D121-D122</f>
        <v>0</v>
      </c>
      <c r="E123" s="103">
        <f>+E121-E122</f>
        <v>0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162</v>
      </c>
      <c r="B132" s="90"/>
      <c r="C132" s="90"/>
      <c r="D132" s="90"/>
      <c r="E132" s="90"/>
      <c r="F132" s="90"/>
    </row>
    <row r="133" spans="1:6" ht="15" customHeight="1" x14ac:dyDescent="0.25">
      <c r="A133" s="289" t="s">
        <v>159</v>
      </c>
      <c r="B133" s="290"/>
      <c r="C133" s="90"/>
      <c r="D133" s="90"/>
      <c r="E133" s="90"/>
      <c r="F133" s="90"/>
    </row>
    <row r="134" spans="1:6" ht="15" customHeight="1" x14ac:dyDescent="0.25">
      <c r="A134" s="105" t="s">
        <v>111</v>
      </c>
      <c r="B134" s="267">
        <f>+'I T'!E76</f>
        <v>0</v>
      </c>
      <c r="C134" s="228"/>
      <c r="D134" s="90"/>
      <c r="E134" s="90"/>
      <c r="F134" s="90"/>
    </row>
    <row r="135" spans="1:6" ht="15" customHeight="1" x14ac:dyDescent="0.25">
      <c r="A135" s="105" t="s">
        <v>112</v>
      </c>
      <c r="B135" s="267">
        <f>+'I T'!E91</f>
        <v>0</v>
      </c>
      <c r="C135" s="228"/>
      <c r="D135" s="90"/>
      <c r="E135" s="90"/>
      <c r="F135" s="90"/>
    </row>
    <row r="136" spans="1:6" ht="15" customHeight="1" x14ac:dyDescent="0.25">
      <c r="A136" s="105" t="s">
        <v>81</v>
      </c>
      <c r="B136" s="267">
        <f>+'I T'!E108</f>
        <v>0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267">
        <f>+'I T'!E123</f>
        <v>0</v>
      </c>
      <c r="C137" s="90"/>
      <c r="D137" s="90"/>
      <c r="E137" s="90"/>
      <c r="F137" s="90"/>
    </row>
    <row r="138" spans="1:6" ht="15" customHeight="1" x14ac:dyDescent="0.25">
      <c r="A138" s="105" t="s">
        <v>113</v>
      </c>
      <c r="B138" s="267">
        <v>0</v>
      </c>
      <c r="C138" s="90"/>
      <c r="D138" s="90"/>
      <c r="E138" s="90"/>
      <c r="F138" s="90"/>
    </row>
    <row r="139" spans="1:6" ht="15" customHeight="1" x14ac:dyDescent="0.25">
      <c r="A139" s="225" t="s">
        <v>98</v>
      </c>
      <c r="B139" s="268">
        <f>SUM(B134:B138)</f>
        <v>0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29" customFormat="1" ht="15" customHeight="1" x14ac:dyDescent="0.25"/>
    <row r="144" spans="1:6" ht="15" customHeight="1" x14ac:dyDescent="0.25">
      <c r="B144" s="96" t="s">
        <v>161</v>
      </c>
    </row>
    <row r="145" spans="1:5" ht="15" customHeight="1" x14ac:dyDescent="0.25">
      <c r="A145" s="216" t="s">
        <v>115</v>
      </c>
      <c r="B145" s="216" t="s">
        <v>128</v>
      </c>
      <c r="C145" s="216" t="s">
        <v>129</v>
      </c>
      <c r="D145" s="216" t="s">
        <v>130</v>
      </c>
      <c r="E145" s="216" t="s">
        <v>131</v>
      </c>
    </row>
    <row r="146" spans="1:5" ht="15" customHeight="1" x14ac:dyDescent="0.25">
      <c r="A146" s="217" t="s">
        <v>117</v>
      </c>
      <c r="B146" s="221">
        <v>282060000</v>
      </c>
      <c r="C146" s="221">
        <v>328320000</v>
      </c>
      <c r="D146" s="221">
        <v>295380000</v>
      </c>
      <c r="E146" s="221">
        <f>+B146+C146+D146</f>
        <v>905760000</v>
      </c>
    </row>
    <row r="147" spans="1:5" ht="15" customHeight="1" x14ac:dyDescent="0.25">
      <c r="A147" s="217" t="s">
        <v>118</v>
      </c>
      <c r="B147" s="221">
        <v>82872000</v>
      </c>
      <c r="C147" s="221">
        <v>117360000</v>
      </c>
      <c r="D147" s="221">
        <v>93240000</v>
      </c>
      <c r="E147" s="221">
        <f t="shared" ref="E147:E149" si="12">+B147+C147+D147</f>
        <v>293472000</v>
      </c>
    </row>
    <row r="148" spans="1:5" ht="15" customHeight="1" x14ac:dyDescent="0.25">
      <c r="A148" s="218" t="s">
        <v>114</v>
      </c>
      <c r="B148" s="222">
        <v>598132204.67000008</v>
      </c>
      <c r="C148" s="222">
        <v>629036682.66666663</v>
      </c>
      <c r="D148" s="222">
        <v>594485829.67000008</v>
      </c>
      <c r="E148" s="221">
        <f t="shared" si="12"/>
        <v>1821654717.0066667</v>
      </c>
    </row>
    <row r="149" spans="1:5" ht="15" customHeight="1" x14ac:dyDescent="0.25">
      <c r="A149" s="217" t="s">
        <v>83</v>
      </c>
      <c r="B149" s="234">
        <v>224950000</v>
      </c>
      <c r="C149" s="233">
        <v>260000000</v>
      </c>
      <c r="D149" s="233">
        <v>219300000</v>
      </c>
      <c r="E149" s="221">
        <f t="shared" si="12"/>
        <v>704250000</v>
      </c>
    </row>
    <row r="150" spans="1:5" ht="15" customHeight="1" x14ac:dyDescent="0.25">
      <c r="A150" s="217"/>
      <c r="B150" s="221"/>
      <c r="C150" s="221"/>
      <c r="D150" s="221"/>
      <c r="E150" s="221"/>
    </row>
    <row r="151" spans="1:5" ht="15" customHeight="1" thickBot="1" x14ac:dyDescent="0.3">
      <c r="A151" s="219"/>
      <c r="B151" s="223"/>
      <c r="C151" s="223"/>
      <c r="D151" s="223"/>
      <c r="E151" s="223"/>
    </row>
    <row r="152" spans="1:5" ht="15" customHeight="1" thickBot="1" x14ac:dyDescent="0.3">
      <c r="A152" s="220"/>
      <c r="B152" s="224">
        <f>SUM(B146:B151)</f>
        <v>1188014204.6700001</v>
      </c>
      <c r="C152" s="224">
        <f t="shared" ref="C152:E152" si="13">SUM(C146:C151)</f>
        <v>1334716682.6666665</v>
      </c>
      <c r="D152" s="224">
        <f t="shared" si="13"/>
        <v>1202405829.6700001</v>
      </c>
      <c r="E152" s="224">
        <f t="shared" si="13"/>
        <v>3725136717.0066667</v>
      </c>
    </row>
    <row r="155" spans="1:5" ht="15" customHeight="1" x14ac:dyDescent="0.25">
      <c r="A155" s="216" t="s">
        <v>115</v>
      </c>
      <c r="B155" s="227" t="s">
        <v>123</v>
      </c>
      <c r="E155" s="85">
        <f>+E152</f>
        <v>3725136717.0066667</v>
      </c>
    </row>
    <row r="156" spans="1:5" ht="15" customHeight="1" x14ac:dyDescent="0.25">
      <c r="A156" s="217" t="s">
        <v>117</v>
      </c>
      <c r="B156" s="217">
        <v>1870</v>
      </c>
      <c r="E156" s="85">
        <f>+'I T'!E152</f>
        <v>3621863823</v>
      </c>
    </row>
    <row r="157" spans="1:5" ht="15" customHeight="1" x14ac:dyDescent="0.25">
      <c r="A157" s="217" t="s">
        <v>118</v>
      </c>
      <c r="B157" s="217">
        <v>1354</v>
      </c>
      <c r="E157" s="261">
        <f>+E155+E156</f>
        <v>7347000540.0066662</v>
      </c>
    </row>
    <row r="158" spans="1:5" ht="15" customHeight="1" x14ac:dyDescent="0.25">
      <c r="A158" s="218" t="s">
        <v>114</v>
      </c>
      <c r="B158" s="218">
        <v>13573</v>
      </c>
    </row>
    <row r="159" spans="1:5" ht="15" customHeight="1" x14ac:dyDescent="0.25">
      <c r="A159" s="217" t="s">
        <v>83</v>
      </c>
      <c r="B159" s="217">
        <f>494+209</f>
        <v>703</v>
      </c>
    </row>
    <row r="160" spans="1:5" ht="15" customHeight="1" x14ac:dyDescent="0.25">
      <c r="A160" s="217"/>
      <c r="B160" s="217"/>
    </row>
    <row r="161" spans="1:8" ht="15" customHeight="1" thickBot="1" x14ac:dyDescent="0.3">
      <c r="A161" s="219"/>
      <c r="B161" s="219"/>
    </row>
    <row r="162" spans="1:8" ht="15" customHeight="1" thickBot="1" x14ac:dyDescent="0.3">
      <c r="A162" s="220" t="s">
        <v>160</v>
      </c>
      <c r="B162" s="220">
        <f>SUM(B156:B161)</f>
        <v>17500</v>
      </c>
    </row>
    <row r="163" spans="1:8" ht="15" customHeight="1" x14ac:dyDescent="0.25">
      <c r="H163" s="231"/>
    </row>
  </sheetData>
  <mergeCells count="27">
    <mergeCell ref="A16:A18"/>
    <mergeCell ref="A1:F1"/>
    <mergeCell ref="A7:F7"/>
    <mergeCell ref="A8:F8"/>
    <mergeCell ref="A9:F9"/>
    <mergeCell ref="A13:A15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</mergeCells>
  <phoneticPr fontId="17" type="noConversion"/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3"/>
  <sheetViews>
    <sheetView zoomScale="85" zoomScaleNormal="85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16.28515625" style="85" bestFit="1" customWidth="1"/>
    <col min="7" max="7" width="15.42578125" style="85" customWidth="1"/>
    <col min="8" max="8" width="27.28515625" style="85" bestFit="1" customWidth="1"/>
    <col min="9" max="9" width="11.5703125" style="85"/>
    <col min="10" max="10" width="14.28515625" style="85" bestFit="1" customWidth="1"/>
    <col min="11" max="16384" width="11.5703125" style="85"/>
  </cols>
  <sheetData>
    <row r="1" spans="1:6" ht="15" customHeight="1" x14ac:dyDescent="0.25">
      <c r="A1" s="283" t="s">
        <v>20</v>
      </c>
      <c r="B1" s="283"/>
      <c r="C1" s="283"/>
      <c r="D1" s="283"/>
      <c r="E1" s="283"/>
      <c r="F1" s="283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164</v>
      </c>
      <c r="C5" s="5"/>
      <c r="D5" s="5"/>
      <c r="E5" s="5"/>
      <c r="F5" s="5"/>
    </row>
    <row r="7" spans="1:6" ht="15" customHeight="1" x14ac:dyDescent="0.25">
      <c r="A7" s="283" t="s">
        <v>9</v>
      </c>
      <c r="B7" s="283"/>
      <c r="C7" s="283"/>
      <c r="D7" s="283"/>
      <c r="E7" s="283"/>
      <c r="F7" s="283"/>
    </row>
    <row r="8" spans="1:6" ht="15" customHeight="1" x14ac:dyDescent="0.25">
      <c r="A8" s="283" t="s">
        <v>12</v>
      </c>
      <c r="B8" s="283"/>
      <c r="C8" s="283"/>
      <c r="D8" s="283"/>
      <c r="E8" s="283"/>
      <c r="F8" s="283"/>
    </row>
    <row r="9" spans="1:6" ht="15" customHeight="1" x14ac:dyDescent="0.25">
      <c r="A9" s="284" t="s">
        <v>50</v>
      </c>
      <c r="B9" s="284"/>
      <c r="C9" s="284"/>
      <c r="D9" s="284"/>
      <c r="E9" s="284"/>
      <c r="F9" s="284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5" t="s">
        <v>64</v>
      </c>
      <c r="B11" s="45"/>
      <c r="C11" s="45" t="s">
        <v>33</v>
      </c>
      <c r="D11" s="45" t="s">
        <v>34</v>
      </c>
      <c r="E11" s="45" t="s">
        <v>141</v>
      </c>
      <c r="F11" s="232" t="s">
        <v>134</v>
      </c>
    </row>
    <row r="13" spans="1:6" x14ac:dyDescent="0.25">
      <c r="A13" s="285" t="s">
        <v>87</v>
      </c>
      <c r="B13" s="117" t="s">
        <v>58</v>
      </c>
      <c r="C13" s="118">
        <f>+('II T'!E13-C15)+27</f>
        <v>75</v>
      </c>
      <c r="D13" s="118">
        <f>+(C13-D15)+8</f>
        <v>64</v>
      </c>
      <c r="E13" s="118">
        <f>+(D13-E15)+68+23</f>
        <v>155</v>
      </c>
      <c r="F13" s="119">
        <f>E13</f>
        <v>155</v>
      </c>
    </row>
    <row r="14" spans="1:6" ht="15" customHeight="1" x14ac:dyDescent="0.25">
      <c r="A14" s="286"/>
      <c r="B14" s="120" t="s">
        <v>59</v>
      </c>
      <c r="C14" s="121">
        <v>1654</v>
      </c>
      <c r="D14" s="121">
        <v>1680</v>
      </c>
      <c r="E14" s="121">
        <f>1603-23</f>
        <v>1580</v>
      </c>
      <c r="F14" s="122">
        <f t="shared" ref="F14:F24" si="0">AVERAGE(C14:E14)</f>
        <v>1638</v>
      </c>
    </row>
    <row r="15" spans="1:6" ht="15" customHeight="1" x14ac:dyDescent="0.25">
      <c r="A15" s="287"/>
      <c r="B15" s="123" t="s">
        <v>60</v>
      </c>
      <c r="C15" s="124">
        <v>37</v>
      </c>
      <c r="D15" s="124">
        <v>19</v>
      </c>
      <c r="E15" s="124">
        <v>0</v>
      </c>
      <c r="F15" s="125">
        <f t="shared" si="0"/>
        <v>18.666666666666668</v>
      </c>
    </row>
    <row r="16" spans="1:6" x14ac:dyDescent="0.25">
      <c r="A16" s="288" t="s">
        <v>24</v>
      </c>
      <c r="B16" s="117" t="s">
        <v>58</v>
      </c>
      <c r="C16" s="118">
        <f>+('II T'!E16-C18)+98</f>
        <v>272</v>
      </c>
      <c r="D16" s="118">
        <f>+(C16-D18)+33</f>
        <v>180</v>
      </c>
      <c r="E16" s="118">
        <f>+(D16-E18)+132</f>
        <v>312</v>
      </c>
      <c r="F16" s="119">
        <f>E16</f>
        <v>312</v>
      </c>
    </row>
    <row r="17" spans="1:6" ht="15" customHeight="1" x14ac:dyDescent="0.25">
      <c r="A17" s="286"/>
      <c r="B17" s="120" t="s">
        <v>59</v>
      </c>
      <c r="C17" s="121">
        <v>1215</v>
      </c>
      <c r="D17" s="121">
        <v>1286</v>
      </c>
      <c r="E17" s="121">
        <v>1179</v>
      </c>
      <c r="F17" s="122">
        <f t="shared" si="0"/>
        <v>1226.6666666666667</v>
      </c>
    </row>
    <row r="18" spans="1:6" ht="15" customHeight="1" x14ac:dyDescent="0.25">
      <c r="A18" s="287"/>
      <c r="B18" s="123" t="s">
        <v>60</v>
      </c>
      <c r="C18" s="124">
        <v>0</v>
      </c>
      <c r="D18" s="124">
        <v>125</v>
      </c>
      <c r="E18" s="124">
        <v>0</v>
      </c>
      <c r="F18" s="125">
        <f t="shared" si="0"/>
        <v>41.666666666666664</v>
      </c>
    </row>
    <row r="19" spans="1:6" x14ac:dyDescent="0.25">
      <c r="A19" s="288" t="s">
        <v>101</v>
      </c>
      <c r="B19" s="117" t="s">
        <v>58</v>
      </c>
      <c r="C19" s="118">
        <f>+('II T'!E19-C21)+0</f>
        <v>0</v>
      </c>
      <c r="D19" s="118">
        <f>+(C19-D21)+0</f>
        <v>0</v>
      </c>
      <c r="E19" s="118">
        <f>+(D19-E21)+681+153</f>
        <v>834</v>
      </c>
      <c r="F19" s="119">
        <f>E19</f>
        <v>834</v>
      </c>
    </row>
    <row r="20" spans="1:6" ht="15" customHeight="1" x14ac:dyDescent="0.25">
      <c r="A20" s="286"/>
      <c r="B20" s="120" t="s">
        <v>59</v>
      </c>
      <c r="C20" s="121">
        <v>11208</v>
      </c>
      <c r="D20" s="121">
        <v>11335</v>
      </c>
      <c r="E20" s="121">
        <f>10342-153</f>
        <v>10189</v>
      </c>
      <c r="F20" s="122">
        <f t="shared" si="0"/>
        <v>10910.666666666666</v>
      </c>
    </row>
    <row r="21" spans="1:6" ht="15" customHeight="1" x14ac:dyDescent="0.25">
      <c r="A21" s="287"/>
      <c r="B21" s="123" t="s">
        <v>60</v>
      </c>
      <c r="C21" s="124">
        <v>132</v>
      </c>
      <c r="D21" s="124">
        <v>0</v>
      </c>
      <c r="E21" s="185">
        <v>0</v>
      </c>
      <c r="F21" s="125">
        <f t="shared" si="0"/>
        <v>44</v>
      </c>
    </row>
    <row r="22" spans="1:6" ht="15" customHeight="1" x14ac:dyDescent="0.25">
      <c r="A22" s="288" t="s">
        <v>124</v>
      </c>
      <c r="B22" s="126" t="s">
        <v>58</v>
      </c>
      <c r="C22" s="118">
        <f>+('II T'!E22-C24)+14</f>
        <v>92</v>
      </c>
      <c r="D22" s="118">
        <f>+(C22-D24)+16</f>
        <v>108</v>
      </c>
      <c r="E22" s="118">
        <f>+(D22-E24)+17</f>
        <v>125</v>
      </c>
      <c r="F22" s="119">
        <f>E22</f>
        <v>125</v>
      </c>
    </row>
    <row r="23" spans="1:6" ht="15" customHeight="1" x14ac:dyDescent="0.25">
      <c r="A23" s="286"/>
      <c r="B23" s="128" t="s">
        <v>59</v>
      </c>
      <c r="C23" s="121">
        <v>671</v>
      </c>
      <c r="D23" s="121">
        <v>703</v>
      </c>
      <c r="E23" s="121">
        <v>762</v>
      </c>
      <c r="F23" s="129">
        <f t="shared" si="0"/>
        <v>712</v>
      </c>
    </row>
    <row r="24" spans="1:6" ht="15" customHeight="1" x14ac:dyDescent="0.25">
      <c r="A24" s="287"/>
      <c r="B24" s="130" t="s">
        <v>60</v>
      </c>
      <c r="C24" s="124">
        <v>46</v>
      </c>
      <c r="D24" s="124">
        <v>0</v>
      </c>
      <c r="E24" s="124">
        <v>0</v>
      </c>
      <c r="F24" s="131">
        <f t="shared" si="0"/>
        <v>15.333333333333334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14963</v>
      </c>
      <c r="D25" s="58">
        <f>+D14+D15+D17+D18+D20+D21+D23+D24</f>
        <v>15148</v>
      </c>
      <c r="E25" s="58">
        <f>+E14+E15+E17+E18+E20+E21+E23+E24</f>
        <v>13710</v>
      </c>
      <c r="F25" s="60">
        <f>AVERAGE(C25:E25)</f>
        <v>14607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85" t="s">
        <v>72</v>
      </c>
    </row>
    <row r="30" spans="1:6" ht="15" customHeight="1" x14ac:dyDescent="0.25">
      <c r="A30" s="284" t="s">
        <v>14</v>
      </c>
      <c r="B30" s="284"/>
      <c r="C30" s="284"/>
      <c r="D30" s="284"/>
      <c r="E30" s="284"/>
      <c r="F30" s="284"/>
    </row>
    <row r="31" spans="1:6" ht="15" customHeight="1" x14ac:dyDescent="0.25">
      <c r="A31" s="283" t="s">
        <v>31</v>
      </c>
      <c r="B31" s="283"/>
      <c r="C31" s="283"/>
      <c r="D31" s="283"/>
      <c r="E31" s="283"/>
      <c r="F31" s="283"/>
    </row>
    <row r="32" spans="1:6" ht="15" customHeight="1" x14ac:dyDescent="0.25">
      <c r="A32" s="284" t="s">
        <v>52</v>
      </c>
      <c r="B32" s="284"/>
      <c r="C32" s="284"/>
      <c r="D32" s="284"/>
      <c r="E32" s="284"/>
      <c r="F32" s="284"/>
    </row>
    <row r="33" spans="1:8" s="8" customFormat="1" ht="15" customHeight="1" x14ac:dyDescent="0.25">
      <c r="A33" s="236"/>
      <c r="B33" s="236"/>
      <c r="C33" s="236"/>
      <c r="D33" s="236"/>
      <c r="E33" s="236"/>
      <c r="F33" s="236"/>
    </row>
    <row r="34" spans="1:8" ht="15" customHeight="1" thickBot="1" x14ac:dyDescent="0.3">
      <c r="A34" s="12" t="s">
        <v>64</v>
      </c>
      <c r="B34" s="12"/>
      <c r="C34" s="45" t="s">
        <v>33</v>
      </c>
      <c r="D34" s="45" t="s">
        <v>34</v>
      </c>
      <c r="E34" s="45" t="s">
        <v>141</v>
      </c>
      <c r="F34" s="257" t="s">
        <v>146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133</v>
      </c>
      <c r="B36" s="188" t="s">
        <v>56</v>
      </c>
      <c r="C36" s="189">
        <v>297720000</v>
      </c>
      <c r="D36" s="189">
        <v>302220000</v>
      </c>
      <c r="E36" s="189">
        <f>288540000-4140000</f>
        <v>284400000</v>
      </c>
      <c r="F36" s="190">
        <f t="shared" ref="F36:F43" si="1">SUM(C36:E36)</f>
        <v>884340000</v>
      </c>
    </row>
    <row r="37" spans="1:8" ht="15" customHeight="1" x14ac:dyDescent="0.25">
      <c r="A37" s="191"/>
      <c r="B37" s="192" t="s">
        <v>55</v>
      </c>
      <c r="C37" s="193">
        <v>6660000</v>
      </c>
      <c r="D37" s="193">
        <v>3420000</v>
      </c>
      <c r="E37" s="193">
        <v>0</v>
      </c>
      <c r="F37" s="194">
        <f t="shared" si="1"/>
        <v>10080000</v>
      </c>
    </row>
    <row r="38" spans="1:8" ht="15" customHeight="1" x14ac:dyDescent="0.25">
      <c r="A38" s="132" t="s">
        <v>24</v>
      </c>
      <c r="B38" s="133" t="s">
        <v>56</v>
      </c>
      <c r="C38" s="134">
        <v>87480000</v>
      </c>
      <c r="D38" s="134">
        <v>92592000</v>
      </c>
      <c r="E38" s="134">
        <v>84888000</v>
      </c>
      <c r="F38" s="127">
        <f t="shared" si="1"/>
        <v>264960000</v>
      </c>
    </row>
    <row r="39" spans="1:8" ht="15" customHeight="1" x14ac:dyDescent="0.25">
      <c r="A39" s="135"/>
      <c r="B39" s="136" t="s">
        <v>55</v>
      </c>
      <c r="C39" s="137"/>
      <c r="D39" s="137">
        <v>9000000</v>
      </c>
      <c r="E39" s="137"/>
      <c r="F39" s="131">
        <f t="shared" si="1"/>
        <v>9000000</v>
      </c>
    </row>
    <row r="40" spans="1:8" ht="15" customHeight="1" x14ac:dyDescent="0.25">
      <c r="A40" s="195" t="s">
        <v>101</v>
      </c>
      <c r="B40" s="196" t="s">
        <v>56</v>
      </c>
      <c r="C40" s="197">
        <v>602773666.66666663</v>
      </c>
      <c r="D40" s="197">
        <v>602773666.66666663</v>
      </c>
      <c r="E40" s="197">
        <f>568025304.666667-8279643</f>
        <v>559745661.66666698</v>
      </c>
      <c r="F40" s="262">
        <f t="shared" si="1"/>
        <v>1765292995.0000002</v>
      </c>
    </row>
    <row r="41" spans="1:8" ht="15" customHeight="1" x14ac:dyDescent="0.25">
      <c r="A41" s="199"/>
      <c r="B41" s="200" t="s">
        <v>55</v>
      </c>
      <c r="C41" s="201">
        <v>8287837</v>
      </c>
      <c r="D41" s="201"/>
      <c r="E41" s="201"/>
      <c r="F41" s="263">
        <f t="shared" si="1"/>
        <v>8287837</v>
      </c>
    </row>
    <row r="42" spans="1:8" ht="15" customHeight="1" x14ac:dyDescent="0.25">
      <c r="A42" s="138" t="s">
        <v>100</v>
      </c>
      <c r="B42" s="139" t="s">
        <v>56</v>
      </c>
      <c r="C42" s="134">
        <v>242550000</v>
      </c>
      <c r="D42" s="134">
        <v>242550000</v>
      </c>
      <c r="E42" s="134">
        <v>348150000</v>
      </c>
      <c r="F42" s="127">
        <f t="shared" si="1"/>
        <v>833250000</v>
      </c>
    </row>
    <row r="43" spans="1:8" ht="15" customHeight="1" x14ac:dyDescent="0.25">
      <c r="A43" s="140"/>
      <c r="B43" s="141" t="s">
        <v>55</v>
      </c>
      <c r="C43" s="137">
        <v>23100000</v>
      </c>
      <c r="D43" s="137"/>
      <c r="E43" s="137"/>
      <c r="F43" s="131">
        <f t="shared" si="1"/>
        <v>23100000</v>
      </c>
    </row>
    <row r="44" spans="1:8" ht="15" customHeight="1" x14ac:dyDescent="0.25">
      <c r="A44" s="213"/>
      <c r="B44" s="214"/>
      <c r="C44" s="215"/>
      <c r="D44" s="215"/>
      <c r="E44" s="215"/>
      <c r="F44" s="215"/>
      <c r="H44" s="203"/>
    </row>
    <row r="45" spans="1:8" ht="15" customHeight="1" thickBot="1" x14ac:dyDescent="0.3">
      <c r="A45" s="10" t="s">
        <v>13</v>
      </c>
      <c r="B45" s="10"/>
      <c r="C45" s="59">
        <f>SUM(C36:C43)</f>
        <v>1268571503.6666665</v>
      </c>
      <c r="D45" s="59">
        <f>SUM(D36:D43)</f>
        <v>1252555666.6666665</v>
      </c>
      <c r="E45" s="59">
        <f>SUM(E36:E43)</f>
        <v>1277183661.666667</v>
      </c>
      <c r="F45" s="59">
        <f>SUM(F36:F43)</f>
        <v>3798310832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83" t="s">
        <v>15</v>
      </c>
      <c r="B51" s="283"/>
      <c r="C51" s="283"/>
      <c r="D51" s="283"/>
      <c r="E51" s="283"/>
    </row>
    <row r="52" spans="1:5" ht="15" customHeight="1" x14ac:dyDescent="0.25">
      <c r="A52" s="283" t="s">
        <v>32</v>
      </c>
      <c r="B52" s="283"/>
      <c r="C52" s="283"/>
      <c r="D52" s="283"/>
      <c r="E52" s="283"/>
    </row>
    <row r="53" spans="1:5" ht="15" customHeight="1" x14ac:dyDescent="0.25">
      <c r="A53" s="284" t="s">
        <v>52</v>
      </c>
      <c r="B53" s="284"/>
      <c r="C53" s="284"/>
      <c r="D53" s="284"/>
      <c r="E53" s="284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45" t="s">
        <v>33</v>
      </c>
      <c r="C55" s="45" t="s">
        <v>34</v>
      </c>
      <c r="D55" s="45" t="s">
        <v>141</v>
      </c>
      <c r="E55" s="12" t="s">
        <v>135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102</v>
      </c>
      <c r="B57" s="56">
        <f>SUM(C36:C37)</f>
        <v>304380000</v>
      </c>
      <c r="C57" s="56">
        <f>SUM(D36:D37)</f>
        <v>305640000</v>
      </c>
      <c r="D57" s="56">
        <f>SUM(E36:E37)</f>
        <v>284400000</v>
      </c>
      <c r="E57" s="56">
        <f t="shared" ref="E57:E60" si="2">SUM(B57:D57)</f>
        <v>894420000</v>
      </c>
    </row>
    <row r="58" spans="1:5" ht="15" customHeight="1" x14ac:dyDescent="0.25">
      <c r="A58" s="85" t="s">
        <v>103</v>
      </c>
      <c r="B58" s="56">
        <f>SUM(C38:C39)</f>
        <v>87480000</v>
      </c>
      <c r="C58" s="56">
        <f>SUM(D38:D39)</f>
        <v>101592000</v>
      </c>
      <c r="D58" s="56">
        <f>SUM(E38:E39)</f>
        <v>84888000</v>
      </c>
      <c r="E58" s="56">
        <f t="shared" si="2"/>
        <v>273960000</v>
      </c>
    </row>
    <row r="59" spans="1:5" ht="15" customHeight="1" x14ac:dyDescent="0.25">
      <c r="A59" s="85" t="s">
        <v>104</v>
      </c>
      <c r="B59" s="264">
        <f>SUM(C40:C41)</f>
        <v>611061503.66666663</v>
      </c>
      <c r="C59" s="264">
        <f>SUM(D40:D41)</f>
        <v>602773666.66666663</v>
      </c>
      <c r="D59" s="264">
        <f>SUM(E40:E41)</f>
        <v>559745661.66666698</v>
      </c>
      <c r="E59" s="264">
        <f t="shared" si="2"/>
        <v>1773580832.0000002</v>
      </c>
    </row>
    <row r="60" spans="1:5" ht="15" customHeight="1" x14ac:dyDescent="0.25">
      <c r="A60" s="85" t="s">
        <v>105</v>
      </c>
      <c r="B60" s="56">
        <f>SUM(C42:C43)</f>
        <v>265650000</v>
      </c>
      <c r="C60" s="56">
        <f>SUM(D42:D43)</f>
        <v>242550000</v>
      </c>
      <c r="D60" s="56">
        <f>SUM(E42:E43)</f>
        <v>348150000</v>
      </c>
      <c r="E60" s="56">
        <f t="shared" si="2"/>
        <v>856350000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1268571503.6666665</v>
      </c>
      <c r="C62" s="58">
        <f>SUM(C57:C61)</f>
        <v>1252555666.6666665</v>
      </c>
      <c r="D62" s="58">
        <f>SUM(D57:D61)</f>
        <v>1277183661.666667</v>
      </c>
      <c r="E62" s="58">
        <f>SUM(E57:E61)</f>
        <v>3798310832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91" t="s">
        <v>44</v>
      </c>
      <c r="B66" s="291"/>
      <c r="C66" s="291"/>
      <c r="D66" s="291"/>
      <c r="E66" s="291"/>
      <c r="F66" s="90"/>
    </row>
    <row r="67" spans="1:9" ht="15" customHeight="1" x14ac:dyDescent="0.25">
      <c r="A67" s="291" t="s">
        <v>108</v>
      </c>
      <c r="B67" s="291"/>
      <c r="C67" s="291"/>
      <c r="D67" s="291"/>
      <c r="E67" s="291"/>
      <c r="F67" s="90"/>
    </row>
    <row r="68" spans="1:9" ht="15" customHeight="1" x14ac:dyDescent="0.25">
      <c r="A68" s="292" t="s">
        <v>52</v>
      </c>
      <c r="B68" s="292"/>
      <c r="C68" s="292"/>
      <c r="D68" s="292"/>
      <c r="E68" s="292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45" t="s">
        <v>33</v>
      </c>
      <c r="C70" s="45" t="s">
        <v>34</v>
      </c>
      <c r="D70" s="45" t="s">
        <v>141</v>
      </c>
      <c r="E70" s="12" t="s">
        <v>135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0</v>
      </c>
      <c r="C72" s="94">
        <f>B76</f>
        <v>0</v>
      </c>
      <c r="D72" s="94">
        <f>C76</f>
        <v>0</v>
      </c>
      <c r="E72" s="94">
        <f>B72</f>
        <v>0</v>
      </c>
      <c r="F72" s="90"/>
    </row>
    <row r="73" spans="1:9" ht="15" customHeight="1" x14ac:dyDescent="0.25">
      <c r="A73" s="90" t="s">
        <v>16</v>
      </c>
      <c r="B73" s="94">
        <f>+B146</f>
        <v>304380000</v>
      </c>
      <c r="C73" s="94">
        <f t="shared" ref="C73:D73" si="3">+C146</f>
        <v>305640000</v>
      </c>
      <c r="D73" s="94">
        <f t="shared" si="3"/>
        <v>284400000</v>
      </c>
      <c r="E73" s="94">
        <f>+SUM(B73:D73)</f>
        <v>894420000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304380000</v>
      </c>
      <c r="C74" s="94">
        <f t="shared" ref="C74:D74" si="4">SUM(C72:C73)</f>
        <v>305640000</v>
      </c>
      <c r="D74" s="94">
        <f t="shared" si="4"/>
        <v>284400000</v>
      </c>
      <c r="E74" s="94">
        <f>+E72+E73</f>
        <v>894420000</v>
      </c>
      <c r="F74" s="90"/>
    </row>
    <row r="75" spans="1:9" ht="15" customHeight="1" x14ac:dyDescent="0.25">
      <c r="A75" s="90" t="s">
        <v>18</v>
      </c>
      <c r="B75" s="95">
        <f>B57</f>
        <v>304380000</v>
      </c>
      <c r="C75" s="95">
        <f>C57</f>
        <v>305640000</v>
      </c>
      <c r="D75" s="95">
        <f>D57</f>
        <v>284400000</v>
      </c>
      <c r="E75" s="94">
        <f>+SUM(B75:D75)</f>
        <v>894420000</v>
      </c>
      <c r="F75" s="96"/>
    </row>
    <row r="76" spans="1:9" ht="15" customHeight="1" x14ac:dyDescent="0.25">
      <c r="A76" s="97" t="s">
        <v>19</v>
      </c>
      <c r="B76" s="98">
        <f>B74-B75</f>
        <v>0</v>
      </c>
      <c r="C76" s="98">
        <f>C74-C75</f>
        <v>0</v>
      </c>
      <c r="D76" s="98">
        <f>D74-D75</f>
        <v>0</v>
      </c>
      <c r="E76" s="98">
        <f>+E74-E75</f>
        <v>0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91" t="s">
        <v>45</v>
      </c>
      <c r="B81" s="291"/>
      <c r="C81" s="291"/>
      <c r="D81" s="291"/>
      <c r="E81" s="291"/>
      <c r="F81" s="90"/>
    </row>
    <row r="82" spans="1:6" ht="15" customHeight="1" x14ac:dyDescent="0.25">
      <c r="A82" s="291" t="s">
        <v>106</v>
      </c>
      <c r="B82" s="291"/>
      <c r="C82" s="291"/>
      <c r="D82" s="291"/>
      <c r="E82" s="291"/>
      <c r="F82" s="90"/>
    </row>
    <row r="83" spans="1:6" ht="15" customHeight="1" x14ac:dyDescent="0.25">
      <c r="A83" s="292" t="s">
        <v>52</v>
      </c>
      <c r="B83" s="292"/>
      <c r="C83" s="292"/>
      <c r="D83" s="292"/>
      <c r="E83" s="292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45" t="s">
        <v>33</v>
      </c>
      <c r="C85" s="45" t="s">
        <v>34</v>
      </c>
      <c r="D85" s="45" t="s">
        <v>141</v>
      </c>
      <c r="E85" s="12" t="s">
        <v>135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0</v>
      </c>
      <c r="C87" s="94">
        <f>B91</f>
        <v>0</v>
      </c>
      <c r="D87" s="94">
        <f>C91</f>
        <v>0</v>
      </c>
      <c r="E87" s="94">
        <f>B87</f>
        <v>0</v>
      </c>
      <c r="F87" s="90"/>
    </row>
    <row r="88" spans="1:6" ht="15" customHeight="1" x14ac:dyDescent="0.25">
      <c r="A88" s="90" t="s">
        <v>16</v>
      </c>
      <c r="B88" s="94">
        <f>+B147</f>
        <v>87480000</v>
      </c>
      <c r="C88" s="94">
        <f t="shared" ref="C88:D88" si="5">+C147</f>
        <v>101592000</v>
      </c>
      <c r="D88" s="94">
        <f t="shared" si="5"/>
        <v>84888000</v>
      </c>
      <c r="E88" s="94">
        <f>+SUM(B88:D88)</f>
        <v>273960000</v>
      </c>
      <c r="F88" s="90"/>
    </row>
    <row r="89" spans="1:6" ht="15" customHeight="1" x14ac:dyDescent="0.25">
      <c r="A89" s="90" t="s">
        <v>17</v>
      </c>
      <c r="B89" s="94">
        <f>B87+B88</f>
        <v>87480000</v>
      </c>
      <c r="C89" s="94">
        <f t="shared" ref="C89:D89" si="6">C87+C88</f>
        <v>101592000</v>
      </c>
      <c r="D89" s="94">
        <f t="shared" si="6"/>
        <v>84888000</v>
      </c>
      <c r="E89" s="94">
        <f>+E87+E88</f>
        <v>273960000</v>
      </c>
      <c r="F89" s="90"/>
    </row>
    <row r="90" spans="1:6" ht="15" customHeight="1" x14ac:dyDescent="0.25">
      <c r="A90" s="90" t="s">
        <v>18</v>
      </c>
      <c r="B90" s="95">
        <f>+B58</f>
        <v>87480000</v>
      </c>
      <c r="C90" s="95">
        <f>+C58</f>
        <v>101592000</v>
      </c>
      <c r="D90" s="95">
        <f>+D58</f>
        <v>84888000</v>
      </c>
      <c r="E90" s="94">
        <f>+SUM(B90:D90)</f>
        <v>273960000</v>
      </c>
      <c r="F90" s="90"/>
    </row>
    <row r="91" spans="1:6" ht="15" customHeight="1" x14ac:dyDescent="0.25">
      <c r="A91" s="97" t="s">
        <v>19</v>
      </c>
      <c r="B91" s="98">
        <f>B89-B90</f>
        <v>0</v>
      </c>
      <c r="C91" s="98">
        <f>C89-C90</f>
        <v>0</v>
      </c>
      <c r="D91" s="98">
        <f>D89-D90</f>
        <v>0</v>
      </c>
      <c r="E91" s="98">
        <f>+E89-E90</f>
        <v>0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91" t="s">
        <v>107</v>
      </c>
      <c r="B98" s="291"/>
      <c r="C98" s="291"/>
      <c r="D98" s="291"/>
      <c r="E98" s="291"/>
      <c r="F98" s="90"/>
    </row>
    <row r="99" spans="1:10" ht="15" customHeight="1" x14ac:dyDescent="0.25">
      <c r="A99" s="291" t="s">
        <v>49</v>
      </c>
      <c r="B99" s="291"/>
      <c r="C99" s="291"/>
      <c r="D99" s="291"/>
      <c r="E99" s="291"/>
      <c r="F99" s="90"/>
      <c r="H99" s="43"/>
      <c r="J99" s="13"/>
    </row>
    <row r="100" spans="1:10" ht="15" customHeight="1" x14ac:dyDescent="0.25">
      <c r="A100" s="292" t="s">
        <v>52</v>
      </c>
      <c r="B100" s="292"/>
      <c r="C100" s="292"/>
      <c r="D100" s="292"/>
      <c r="E100" s="292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45" t="s">
        <v>33</v>
      </c>
      <c r="C102" s="45" t="s">
        <v>34</v>
      </c>
      <c r="D102" s="45" t="s">
        <v>141</v>
      </c>
      <c r="E102" s="12" t="s">
        <v>135</v>
      </c>
      <c r="F102" s="90"/>
    </row>
    <row r="103" spans="1:10" ht="15" customHeight="1" x14ac:dyDescent="0.25">
      <c r="A103" s="90"/>
      <c r="B103" s="265"/>
      <c r="C103" s="265"/>
      <c r="D103" s="265"/>
      <c r="E103" s="265"/>
      <c r="F103" s="90"/>
    </row>
    <row r="104" spans="1:10" ht="15" customHeight="1" x14ac:dyDescent="0.25">
      <c r="A104" s="90" t="s">
        <v>62</v>
      </c>
      <c r="B104" s="266">
        <f>+B136</f>
        <v>0</v>
      </c>
      <c r="C104" s="266">
        <f>B108</f>
        <v>0</v>
      </c>
      <c r="D104" s="266">
        <f>C108</f>
        <v>0</v>
      </c>
      <c r="E104" s="266">
        <f>+B104</f>
        <v>0</v>
      </c>
      <c r="F104" s="90"/>
    </row>
    <row r="105" spans="1:10" ht="15" customHeight="1" x14ac:dyDescent="0.25">
      <c r="A105" s="108" t="s">
        <v>16</v>
      </c>
      <c r="B105" s="266">
        <f>+B148</f>
        <v>611061503.66666663</v>
      </c>
      <c r="C105" s="266">
        <f t="shared" ref="C105:D105" si="7">+C148</f>
        <v>602773666.66666663</v>
      </c>
      <c r="D105" s="266">
        <f t="shared" si="7"/>
        <v>559745661.66999996</v>
      </c>
      <c r="E105" s="266">
        <f>SUM(B105:D105)</f>
        <v>1773580832.0033331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266">
        <f>SUM(B104:B105)</f>
        <v>611061503.66666663</v>
      </c>
      <c r="C106" s="266">
        <f t="shared" ref="C106:D106" si="8">SUM(C104:C105)</f>
        <v>602773666.66666663</v>
      </c>
      <c r="D106" s="266">
        <f t="shared" si="8"/>
        <v>559745661.66999996</v>
      </c>
      <c r="E106" s="266">
        <f>SUM(E104:E105)</f>
        <v>1773580832.0033331</v>
      </c>
      <c r="F106" s="90"/>
    </row>
    <row r="107" spans="1:10" ht="15" customHeight="1" x14ac:dyDescent="0.25">
      <c r="A107" s="90" t="s">
        <v>18</v>
      </c>
      <c r="B107" s="94">
        <f>+B59</f>
        <v>611061503.66666663</v>
      </c>
      <c r="C107" s="94">
        <f>+C59</f>
        <v>602773666.66666663</v>
      </c>
      <c r="D107" s="94">
        <f>+D59</f>
        <v>559745661.66666698</v>
      </c>
      <c r="E107" s="94">
        <f>+SUM(B107:D107)</f>
        <v>1773580832.0000002</v>
      </c>
      <c r="F107" s="96"/>
    </row>
    <row r="108" spans="1:10" ht="15" customHeight="1" x14ac:dyDescent="0.25">
      <c r="A108" s="97" t="s">
        <v>19</v>
      </c>
      <c r="B108" s="103">
        <f>B106-B107</f>
        <v>0</v>
      </c>
      <c r="C108" s="103">
        <f t="shared" ref="C108:D108" si="9">C106-C107</f>
        <v>0</v>
      </c>
      <c r="D108" s="103">
        <f t="shared" si="9"/>
        <v>3.332972526550293E-3</v>
      </c>
      <c r="E108" s="103">
        <f>+E106-E107</f>
        <v>3.3328533172607422E-3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91" t="s">
        <v>110</v>
      </c>
      <c r="B113" s="291"/>
      <c r="C113" s="291"/>
      <c r="D113" s="291"/>
      <c r="E113" s="291"/>
      <c r="F113" s="90"/>
    </row>
    <row r="114" spans="1:6" ht="15" customHeight="1" x14ac:dyDescent="0.25">
      <c r="A114" s="291" t="s">
        <v>109</v>
      </c>
      <c r="B114" s="291"/>
      <c r="C114" s="291"/>
      <c r="D114" s="291"/>
      <c r="E114" s="291"/>
      <c r="F114" s="90"/>
    </row>
    <row r="115" spans="1:6" ht="15" customHeight="1" x14ac:dyDescent="0.25">
      <c r="A115" s="292" t="s">
        <v>52</v>
      </c>
      <c r="B115" s="292"/>
      <c r="C115" s="292"/>
      <c r="D115" s="292"/>
      <c r="E115" s="292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45" t="s">
        <v>33</v>
      </c>
      <c r="C117" s="45" t="s">
        <v>34</v>
      </c>
      <c r="D117" s="45" t="s">
        <v>141</v>
      </c>
      <c r="E117" s="12" t="s">
        <v>135</v>
      </c>
      <c r="F117" s="235">
        <f>+E73+E88+E105+E120</f>
        <v>3798310832.0033331</v>
      </c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0</v>
      </c>
      <c r="C119" s="94">
        <f>B123</f>
        <v>0</v>
      </c>
      <c r="D119" s="94">
        <f>C123</f>
        <v>0</v>
      </c>
      <c r="E119" s="94">
        <f>+B119</f>
        <v>0</v>
      </c>
      <c r="F119" s="90"/>
    </row>
    <row r="120" spans="1:6" ht="15" customHeight="1" x14ac:dyDescent="0.25">
      <c r="A120" s="108" t="s">
        <v>16</v>
      </c>
      <c r="B120" s="94">
        <f>+B149</f>
        <v>265650000</v>
      </c>
      <c r="C120" s="94">
        <f t="shared" ref="C120:D120" si="10">+C149</f>
        <v>242550000</v>
      </c>
      <c r="D120" s="94">
        <f t="shared" si="10"/>
        <v>348150000</v>
      </c>
      <c r="E120" s="94">
        <f>SUM(B120:D120)</f>
        <v>856350000</v>
      </c>
      <c r="F120" s="90"/>
    </row>
    <row r="121" spans="1:6" ht="15" customHeight="1" x14ac:dyDescent="0.25">
      <c r="A121" s="90" t="s">
        <v>17</v>
      </c>
      <c r="B121" s="94">
        <f>SUM(B119:B120)</f>
        <v>265650000</v>
      </c>
      <c r="C121" s="94">
        <f t="shared" ref="C121:D121" si="11">SUM(C119:C120)</f>
        <v>242550000</v>
      </c>
      <c r="D121" s="94">
        <f t="shared" si="11"/>
        <v>348150000</v>
      </c>
      <c r="E121" s="94">
        <f>SUM(E119:E120)</f>
        <v>856350000</v>
      </c>
      <c r="F121" s="90"/>
    </row>
    <row r="122" spans="1:6" ht="15" customHeight="1" x14ac:dyDescent="0.25">
      <c r="A122" s="90" t="s">
        <v>18</v>
      </c>
      <c r="B122" s="94">
        <f>+B60</f>
        <v>265650000</v>
      </c>
      <c r="C122" s="94">
        <f>+C60</f>
        <v>242550000</v>
      </c>
      <c r="D122" s="94">
        <f>+D60</f>
        <v>348150000</v>
      </c>
      <c r="E122" s="94">
        <f>+SUM(B122:D122)</f>
        <v>856350000</v>
      </c>
      <c r="F122" s="96"/>
    </row>
    <row r="123" spans="1:6" ht="15" customHeight="1" x14ac:dyDescent="0.25">
      <c r="A123" s="97" t="s">
        <v>19</v>
      </c>
      <c r="B123" s="103">
        <f>B121-B122</f>
        <v>0</v>
      </c>
      <c r="C123" s="103">
        <f>C121-C122</f>
        <v>0</v>
      </c>
      <c r="D123" s="103">
        <f>D121-D122</f>
        <v>0</v>
      </c>
      <c r="E123" s="103">
        <f>+E121-E122</f>
        <v>0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163</v>
      </c>
      <c r="B132" s="90"/>
      <c r="C132" s="90"/>
      <c r="D132" s="90"/>
      <c r="E132" s="90"/>
      <c r="F132" s="90"/>
    </row>
    <row r="133" spans="1:6" ht="15" customHeight="1" x14ac:dyDescent="0.25">
      <c r="A133" s="289" t="s">
        <v>137</v>
      </c>
      <c r="B133" s="290"/>
      <c r="C133" s="90"/>
      <c r="D133" s="90"/>
      <c r="E133" s="90"/>
      <c r="F133" s="90"/>
    </row>
    <row r="134" spans="1:6" ht="15" customHeight="1" x14ac:dyDescent="0.25">
      <c r="A134" s="105" t="s">
        <v>111</v>
      </c>
      <c r="B134" s="106">
        <f>+'II T'!E76</f>
        <v>0</v>
      </c>
      <c r="C134" s="228"/>
      <c r="D134" s="90"/>
      <c r="E134" s="90"/>
      <c r="F134" s="90"/>
    </row>
    <row r="135" spans="1:6" ht="15" customHeight="1" x14ac:dyDescent="0.25">
      <c r="A135" s="105" t="s">
        <v>112</v>
      </c>
      <c r="B135" s="106">
        <f>+'II T'!E91</f>
        <v>0</v>
      </c>
      <c r="C135" s="228"/>
      <c r="D135" s="90"/>
      <c r="E135" s="90"/>
      <c r="F135" s="90"/>
    </row>
    <row r="136" spans="1:6" ht="15" customHeight="1" x14ac:dyDescent="0.25">
      <c r="A136" s="105" t="s">
        <v>81</v>
      </c>
      <c r="B136" s="267">
        <f>+'II T'!E108</f>
        <v>0</v>
      </c>
      <c r="C136" s="90"/>
      <c r="D136" s="90"/>
      <c r="E136" s="90"/>
      <c r="F136" s="90"/>
    </row>
    <row r="137" spans="1:6" ht="15" customHeight="1" x14ac:dyDescent="0.25">
      <c r="A137" s="105" t="s">
        <v>82</v>
      </c>
      <c r="B137" s="106">
        <f>+'II T'!E123</f>
        <v>0</v>
      </c>
      <c r="C137" s="90"/>
      <c r="D137" s="90"/>
      <c r="E137" s="90"/>
      <c r="F137" s="90"/>
    </row>
    <row r="138" spans="1:6" ht="15" customHeight="1" x14ac:dyDescent="0.25">
      <c r="A138" s="105" t="s">
        <v>113</v>
      </c>
      <c r="B138" s="106">
        <v>0</v>
      </c>
      <c r="C138" s="90"/>
      <c r="D138" s="90"/>
      <c r="E138" s="90"/>
      <c r="F138" s="90"/>
    </row>
    <row r="139" spans="1:6" ht="15" customHeight="1" x14ac:dyDescent="0.25">
      <c r="A139" s="225" t="s">
        <v>142</v>
      </c>
      <c r="B139" s="226">
        <f>SUM(B134:B138)</f>
        <v>0</v>
      </c>
      <c r="C139" s="90"/>
      <c r="D139" s="90"/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29" customFormat="1" ht="15" customHeight="1" x14ac:dyDescent="0.25"/>
    <row r="144" spans="1:6" ht="15" customHeight="1" x14ac:dyDescent="0.25">
      <c r="B144" s="96" t="s">
        <v>136</v>
      </c>
    </row>
    <row r="145" spans="1:5" ht="15" customHeight="1" x14ac:dyDescent="0.25">
      <c r="A145" s="216" t="s">
        <v>115</v>
      </c>
      <c r="B145" s="216" t="s">
        <v>138</v>
      </c>
      <c r="C145" s="216" t="s">
        <v>139</v>
      </c>
      <c r="D145" s="216" t="s">
        <v>140</v>
      </c>
      <c r="E145" s="216" t="s">
        <v>135</v>
      </c>
    </row>
    <row r="146" spans="1:5" ht="15" customHeight="1" x14ac:dyDescent="0.25">
      <c r="A146" s="217" t="s">
        <v>117</v>
      </c>
      <c r="B146" s="221">
        <v>304380000</v>
      </c>
      <c r="C146" s="221">
        <v>305640000</v>
      </c>
      <c r="D146" s="221">
        <v>284400000</v>
      </c>
      <c r="E146" s="221">
        <f>+B146+C146+D146</f>
        <v>894420000</v>
      </c>
    </row>
    <row r="147" spans="1:5" ht="15" customHeight="1" x14ac:dyDescent="0.25">
      <c r="A147" s="217" t="s">
        <v>118</v>
      </c>
      <c r="B147" s="221">
        <v>87480000</v>
      </c>
      <c r="C147" s="221">
        <v>101592000</v>
      </c>
      <c r="D147" s="221">
        <v>84888000</v>
      </c>
      <c r="E147" s="221">
        <f t="shared" ref="E147:E149" si="12">+B147+C147+D147</f>
        <v>273960000</v>
      </c>
    </row>
    <row r="148" spans="1:5" ht="15" customHeight="1" x14ac:dyDescent="0.25">
      <c r="A148" s="218" t="s">
        <v>114</v>
      </c>
      <c r="B148" s="222">
        <v>611061503.66666663</v>
      </c>
      <c r="C148" s="222">
        <v>602773666.66666663</v>
      </c>
      <c r="D148" s="222">
        <v>559745661.66999996</v>
      </c>
      <c r="E148" s="221">
        <f t="shared" si="12"/>
        <v>1773580832.0033331</v>
      </c>
    </row>
    <row r="149" spans="1:5" ht="15" customHeight="1" x14ac:dyDescent="0.25">
      <c r="A149" s="217" t="s">
        <v>83</v>
      </c>
      <c r="B149" s="234">
        <v>265650000</v>
      </c>
      <c r="C149" s="233">
        <v>242550000</v>
      </c>
      <c r="D149" s="233">
        <v>348150000</v>
      </c>
      <c r="E149" s="221">
        <f t="shared" si="12"/>
        <v>856350000</v>
      </c>
    </row>
    <row r="150" spans="1:5" ht="15" customHeight="1" x14ac:dyDescent="0.25">
      <c r="A150" s="217"/>
      <c r="B150" s="221"/>
      <c r="C150" s="221"/>
      <c r="D150" s="221"/>
      <c r="E150" s="221"/>
    </row>
    <row r="151" spans="1:5" ht="15" customHeight="1" thickBot="1" x14ac:dyDescent="0.3">
      <c r="A151" s="219"/>
      <c r="B151" s="223"/>
      <c r="C151" s="223"/>
      <c r="D151" s="223"/>
      <c r="E151" s="223"/>
    </row>
    <row r="152" spans="1:5" ht="15" customHeight="1" thickBot="1" x14ac:dyDescent="0.3">
      <c r="A152" s="220"/>
      <c r="B152" s="224">
        <f>SUM(B146:B151)</f>
        <v>1268571503.6666665</v>
      </c>
      <c r="C152" s="224">
        <f t="shared" ref="C152:E152" si="13">SUM(C146:C151)</f>
        <v>1252555666.6666665</v>
      </c>
      <c r="D152" s="224">
        <f t="shared" si="13"/>
        <v>1277183661.6700001</v>
      </c>
      <c r="E152" s="224">
        <f t="shared" si="13"/>
        <v>3798310832.0033331</v>
      </c>
    </row>
    <row r="155" spans="1:5" ht="15" customHeight="1" x14ac:dyDescent="0.25">
      <c r="A155" s="216" t="s">
        <v>115</v>
      </c>
      <c r="B155" s="227" t="s">
        <v>123</v>
      </c>
    </row>
    <row r="156" spans="1:5" ht="15" customHeight="1" x14ac:dyDescent="0.25">
      <c r="A156" s="217" t="s">
        <v>117</v>
      </c>
      <c r="B156" s="217">
        <v>1870</v>
      </c>
    </row>
    <row r="157" spans="1:5" ht="15" customHeight="1" x14ac:dyDescent="0.25">
      <c r="A157" s="217" t="s">
        <v>118</v>
      </c>
      <c r="B157" s="217">
        <v>1354</v>
      </c>
    </row>
    <row r="158" spans="1:5" ht="15" customHeight="1" x14ac:dyDescent="0.25">
      <c r="A158" s="218" t="s">
        <v>114</v>
      </c>
      <c r="B158" s="218">
        <v>13573</v>
      </c>
    </row>
    <row r="159" spans="1:5" ht="15" customHeight="1" x14ac:dyDescent="0.25">
      <c r="A159" s="217" t="s">
        <v>83</v>
      </c>
      <c r="B159" s="217">
        <f>494+209</f>
        <v>703</v>
      </c>
    </row>
    <row r="160" spans="1:5" ht="15" customHeight="1" x14ac:dyDescent="0.25">
      <c r="A160" s="217"/>
      <c r="B160" s="217"/>
    </row>
    <row r="161" spans="1:8" ht="15" customHeight="1" thickBot="1" x14ac:dyDescent="0.3">
      <c r="A161" s="219"/>
      <c r="B161" s="219"/>
    </row>
    <row r="162" spans="1:8" ht="15" customHeight="1" thickBot="1" x14ac:dyDescent="0.3">
      <c r="A162" s="220" t="s">
        <v>127</v>
      </c>
      <c r="B162" s="220">
        <f>SUM(B156:B161)</f>
        <v>17500</v>
      </c>
    </row>
    <row r="163" spans="1:8" ht="15" customHeight="1" x14ac:dyDescent="0.25">
      <c r="H163" s="231"/>
    </row>
  </sheetData>
  <mergeCells count="27"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6:A18"/>
    <mergeCell ref="A1:F1"/>
    <mergeCell ref="A7:F7"/>
    <mergeCell ref="A8:F8"/>
    <mergeCell ref="A9:F9"/>
    <mergeCell ref="A13:A15"/>
  </mergeCells>
  <phoneticPr fontId="17" type="noConversion"/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3"/>
  <sheetViews>
    <sheetView zoomScale="85" zoomScaleNormal="85" workbookViewId="0">
      <selection sqref="A1:F1"/>
    </sheetView>
  </sheetViews>
  <sheetFormatPr baseColWidth="10" defaultColWidth="11.5703125" defaultRowHeight="15" customHeight="1" x14ac:dyDescent="0.25"/>
  <cols>
    <col min="1" max="1" width="72.42578125" style="85" customWidth="1"/>
    <col min="2" max="2" width="27.5703125" style="85" customWidth="1"/>
    <col min="3" max="3" width="18.28515625" style="85" bestFit="1" customWidth="1"/>
    <col min="4" max="4" width="21.85546875" style="85" customWidth="1"/>
    <col min="5" max="5" width="22.85546875" style="85" customWidth="1"/>
    <col min="6" max="6" width="16.28515625" style="85" bestFit="1" customWidth="1"/>
    <col min="7" max="7" width="15.42578125" style="85" customWidth="1"/>
    <col min="8" max="8" width="27.28515625" style="85" bestFit="1" customWidth="1"/>
    <col min="9" max="9" width="11.5703125" style="85"/>
    <col min="10" max="10" width="14.28515625" style="85" bestFit="1" customWidth="1"/>
    <col min="11" max="16384" width="11.5703125" style="85"/>
  </cols>
  <sheetData>
    <row r="1" spans="1:6" ht="15" customHeight="1" x14ac:dyDescent="0.25">
      <c r="A1" s="283" t="s">
        <v>20</v>
      </c>
      <c r="B1" s="283"/>
      <c r="C1" s="283"/>
      <c r="D1" s="283"/>
      <c r="E1" s="283"/>
      <c r="F1" s="283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61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165</v>
      </c>
      <c r="C5" s="5"/>
      <c r="D5" s="5"/>
      <c r="E5" s="5"/>
      <c r="F5" s="5"/>
    </row>
    <row r="7" spans="1:6" ht="15" customHeight="1" x14ac:dyDescent="0.25">
      <c r="A7" s="283" t="s">
        <v>9</v>
      </c>
      <c r="B7" s="283"/>
      <c r="C7" s="283"/>
      <c r="D7" s="283"/>
      <c r="E7" s="283"/>
      <c r="F7" s="283"/>
    </row>
    <row r="8" spans="1:6" ht="15" customHeight="1" x14ac:dyDescent="0.25">
      <c r="A8" s="283" t="s">
        <v>12</v>
      </c>
      <c r="B8" s="283"/>
      <c r="C8" s="283"/>
      <c r="D8" s="283"/>
      <c r="E8" s="283"/>
      <c r="F8" s="283"/>
    </row>
    <row r="9" spans="1:6" ht="15" customHeight="1" x14ac:dyDescent="0.25">
      <c r="A9" s="284" t="s">
        <v>50</v>
      </c>
      <c r="B9" s="284"/>
      <c r="C9" s="284"/>
      <c r="D9" s="284"/>
      <c r="E9" s="284"/>
      <c r="F9" s="284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5" t="s">
        <v>64</v>
      </c>
      <c r="B11" s="45"/>
      <c r="C11" s="232" t="s">
        <v>36</v>
      </c>
      <c r="D11" s="232" t="s">
        <v>37</v>
      </c>
      <c r="E11" s="232" t="s">
        <v>38</v>
      </c>
      <c r="F11" s="232" t="s">
        <v>143</v>
      </c>
    </row>
    <row r="13" spans="1:6" x14ac:dyDescent="0.25">
      <c r="A13" s="285" t="s">
        <v>87</v>
      </c>
      <c r="B13" s="117" t="s">
        <v>58</v>
      </c>
      <c r="C13" s="118">
        <f>+('III T'!E13-C15)+5</f>
        <v>74</v>
      </c>
      <c r="D13" s="118">
        <f>+(C13-D15)+60</f>
        <v>134</v>
      </c>
      <c r="E13" s="118">
        <f>+(D13-E15)+0</f>
        <v>128</v>
      </c>
      <c r="F13" s="119">
        <f>E13</f>
        <v>128</v>
      </c>
    </row>
    <row r="14" spans="1:6" ht="15" customHeight="1" x14ac:dyDescent="0.25">
      <c r="A14" s="286"/>
      <c r="B14" s="120" t="s">
        <v>59</v>
      </c>
      <c r="C14" s="121">
        <v>1662</v>
      </c>
      <c r="D14" s="121">
        <v>1601</v>
      </c>
      <c r="E14" s="121">
        <v>1501</v>
      </c>
      <c r="F14" s="122">
        <f t="shared" ref="F14:F24" si="0">AVERAGE(C14:E14)</f>
        <v>1588</v>
      </c>
    </row>
    <row r="15" spans="1:6" ht="15" customHeight="1" x14ac:dyDescent="0.25">
      <c r="A15" s="287"/>
      <c r="B15" s="123" t="s">
        <v>60</v>
      </c>
      <c r="C15" s="124">
        <v>86</v>
      </c>
      <c r="D15" s="124">
        <v>0</v>
      </c>
      <c r="E15" s="124">
        <v>6</v>
      </c>
      <c r="F15" s="125">
        <f t="shared" si="0"/>
        <v>30.666666666666668</v>
      </c>
    </row>
    <row r="16" spans="1:6" x14ac:dyDescent="0.25">
      <c r="A16" s="288" t="s">
        <v>24</v>
      </c>
      <c r="B16" s="117" t="s">
        <v>58</v>
      </c>
      <c r="C16" s="118">
        <f>+('III T'!E16-C18)+77</f>
        <v>289</v>
      </c>
      <c r="D16" s="118">
        <f>+(C16-D18)+61</f>
        <v>334</v>
      </c>
      <c r="E16" s="118">
        <f>+(D16-E18)+21</f>
        <v>253</v>
      </c>
      <c r="F16" s="119">
        <f>E16</f>
        <v>253</v>
      </c>
    </row>
    <row r="17" spans="1:6" ht="15" customHeight="1" x14ac:dyDescent="0.25">
      <c r="A17" s="286"/>
      <c r="B17" s="120" t="s">
        <v>59</v>
      </c>
      <c r="C17" s="121">
        <v>1232</v>
      </c>
      <c r="D17" s="121">
        <v>1248</v>
      </c>
      <c r="E17" s="121">
        <v>1283</v>
      </c>
      <c r="F17" s="122">
        <f t="shared" si="0"/>
        <v>1254.3333333333333</v>
      </c>
    </row>
    <row r="18" spans="1:6" ht="15" customHeight="1" x14ac:dyDescent="0.25">
      <c r="A18" s="287"/>
      <c r="B18" s="123" t="s">
        <v>60</v>
      </c>
      <c r="C18" s="124">
        <v>100</v>
      </c>
      <c r="D18" s="124">
        <v>16</v>
      </c>
      <c r="E18" s="124">
        <v>102</v>
      </c>
      <c r="F18" s="125">
        <f t="shared" si="0"/>
        <v>72.666666666666671</v>
      </c>
    </row>
    <row r="19" spans="1:6" x14ac:dyDescent="0.25">
      <c r="A19" s="288" t="s">
        <v>101</v>
      </c>
      <c r="B19" s="117" t="s">
        <v>58</v>
      </c>
      <c r="C19" s="118">
        <f>+('III T'!E19-C21)+1362</f>
        <v>1496</v>
      </c>
      <c r="D19" s="118">
        <f>+(C19-D21)+11031</f>
        <v>12527</v>
      </c>
      <c r="E19" s="118">
        <f>+(D19-E21)+25</f>
        <v>25</v>
      </c>
      <c r="F19" s="119">
        <f>E19</f>
        <v>25</v>
      </c>
    </row>
    <row r="20" spans="1:6" ht="15" customHeight="1" x14ac:dyDescent="0.25">
      <c r="A20" s="286"/>
      <c r="B20" s="120" t="s">
        <v>59</v>
      </c>
      <c r="C20" s="124">
        <v>9802</v>
      </c>
      <c r="D20" s="121">
        <v>0</v>
      </c>
      <c r="E20" s="121">
        <v>10947</v>
      </c>
      <c r="F20" s="122">
        <f t="shared" si="0"/>
        <v>6916.333333333333</v>
      </c>
    </row>
    <row r="21" spans="1:6" ht="15" customHeight="1" x14ac:dyDescent="0.25">
      <c r="A21" s="287"/>
      <c r="B21" s="123" t="s">
        <v>60</v>
      </c>
      <c r="C21" s="124">
        <v>700</v>
      </c>
      <c r="D21" s="124">
        <v>0</v>
      </c>
      <c r="E21" s="185">
        <v>12527</v>
      </c>
      <c r="F21" s="125">
        <f t="shared" si="0"/>
        <v>4409</v>
      </c>
    </row>
    <row r="22" spans="1:6" ht="15" customHeight="1" x14ac:dyDescent="0.25">
      <c r="A22" s="288" t="s">
        <v>124</v>
      </c>
      <c r="B22" s="126" t="s">
        <v>58</v>
      </c>
      <c r="C22" s="118">
        <f>+('III T'!E22-C24)+18</f>
        <v>143</v>
      </c>
      <c r="D22" s="118">
        <f>+(C22-D24)+17</f>
        <v>160</v>
      </c>
      <c r="E22" s="118">
        <f>+(D22-E24)+82</f>
        <v>242</v>
      </c>
      <c r="F22" s="119">
        <f>E22</f>
        <v>242</v>
      </c>
    </row>
    <row r="23" spans="1:6" ht="15" customHeight="1" x14ac:dyDescent="0.25">
      <c r="A23" s="286"/>
      <c r="B23" s="128" t="s">
        <v>59</v>
      </c>
      <c r="C23" s="121">
        <v>776</v>
      </c>
      <c r="D23" s="121">
        <v>781</v>
      </c>
      <c r="E23" s="121">
        <v>718</v>
      </c>
      <c r="F23" s="129">
        <f t="shared" si="0"/>
        <v>758.33333333333337</v>
      </c>
    </row>
    <row r="24" spans="1:6" ht="15" customHeight="1" x14ac:dyDescent="0.25">
      <c r="A24" s="287"/>
      <c r="B24" s="130" t="s">
        <v>60</v>
      </c>
      <c r="C24" s="124">
        <v>0</v>
      </c>
      <c r="D24" s="124">
        <v>0</v>
      </c>
      <c r="E24" s="124">
        <v>0</v>
      </c>
      <c r="F24" s="131">
        <f t="shared" si="0"/>
        <v>0</v>
      </c>
    </row>
    <row r="25" spans="1:6" ht="15" customHeight="1" thickBot="1" x14ac:dyDescent="0.3">
      <c r="A25" s="10" t="s">
        <v>13</v>
      </c>
      <c r="B25" s="10" t="s">
        <v>51</v>
      </c>
      <c r="C25" s="58">
        <f>+C14+C15+C17+C18+C20+C21+C23+C24</f>
        <v>14358</v>
      </c>
      <c r="D25" s="58">
        <f>+D14+D15+D17+D18+D20+D21+D23+D24</f>
        <v>3646</v>
      </c>
      <c r="E25" s="58">
        <f>+E14+E15+E17+E18+E20+E21+E23+E24</f>
        <v>27084</v>
      </c>
      <c r="F25" s="60">
        <f>AVERAGE(C25:E25)</f>
        <v>15029.333333333334</v>
      </c>
    </row>
    <row r="26" spans="1:6" ht="15" customHeight="1" thickTop="1" x14ac:dyDescent="0.25">
      <c r="A26" s="46"/>
      <c r="B26" s="8"/>
      <c r="C26" s="8"/>
      <c r="D26" s="8"/>
      <c r="E26" s="8"/>
      <c r="F26" s="8"/>
    </row>
    <row r="27" spans="1:6" ht="15" customHeight="1" x14ac:dyDescent="0.25">
      <c r="A27" s="85" t="s">
        <v>72</v>
      </c>
    </row>
    <row r="28" spans="1:6" ht="15" customHeight="1" x14ac:dyDescent="0.25">
      <c r="C28" s="85">
        <f>7*12</f>
        <v>84</v>
      </c>
      <c r="D28" s="85">
        <f>500000*C28</f>
        <v>42000000</v>
      </c>
    </row>
    <row r="30" spans="1:6" ht="15" customHeight="1" x14ac:dyDescent="0.25">
      <c r="A30" s="284" t="s">
        <v>14</v>
      </c>
      <c r="B30" s="284"/>
      <c r="C30" s="284"/>
      <c r="D30" s="284"/>
      <c r="E30" s="284"/>
      <c r="F30" s="284"/>
    </row>
    <row r="31" spans="1:6" ht="15" customHeight="1" x14ac:dyDescent="0.25">
      <c r="A31" s="283" t="s">
        <v>31</v>
      </c>
      <c r="B31" s="283"/>
      <c r="C31" s="283"/>
      <c r="D31" s="283"/>
      <c r="E31" s="283"/>
      <c r="F31" s="283"/>
    </row>
    <row r="32" spans="1:6" ht="15" customHeight="1" x14ac:dyDescent="0.25">
      <c r="A32" s="284" t="s">
        <v>52</v>
      </c>
      <c r="B32" s="284"/>
      <c r="C32" s="284"/>
      <c r="D32" s="284"/>
      <c r="E32" s="284"/>
      <c r="F32" s="284"/>
    </row>
    <row r="33" spans="1:8" s="8" customFormat="1" ht="15" customHeight="1" x14ac:dyDescent="0.25">
      <c r="A33" s="237"/>
      <c r="B33" s="237"/>
      <c r="C33" s="237"/>
      <c r="D33" s="237"/>
      <c r="E33" s="237"/>
      <c r="F33" s="237"/>
    </row>
    <row r="34" spans="1:8" ht="15" customHeight="1" thickBot="1" x14ac:dyDescent="0.3">
      <c r="A34" s="12" t="s">
        <v>64</v>
      </c>
      <c r="B34" s="12"/>
      <c r="C34" s="232" t="s">
        <v>36</v>
      </c>
      <c r="D34" s="232" t="s">
        <v>37</v>
      </c>
      <c r="E34" s="232" t="s">
        <v>38</v>
      </c>
      <c r="F34" s="232" t="s">
        <v>143</v>
      </c>
    </row>
    <row r="35" spans="1:8" ht="15" customHeight="1" x14ac:dyDescent="0.25">
      <c r="C35" s="2"/>
      <c r="D35" s="2"/>
      <c r="E35" s="2"/>
      <c r="F35" s="2"/>
    </row>
    <row r="36" spans="1:8" ht="15" customHeight="1" x14ac:dyDescent="0.25">
      <c r="A36" s="187" t="s">
        <v>133</v>
      </c>
      <c r="B36" s="188" t="s">
        <v>56</v>
      </c>
      <c r="C36" s="239">
        <v>299160000</v>
      </c>
      <c r="D36" s="239">
        <v>288000000</v>
      </c>
      <c r="E36" s="239">
        <v>500580000</v>
      </c>
      <c r="F36" s="240">
        <f t="shared" ref="F36:F43" si="1">SUM(C36:E36)</f>
        <v>1087740000</v>
      </c>
    </row>
    <row r="37" spans="1:8" ht="15" customHeight="1" x14ac:dyDescent="0.25">
      <c r="A37" s="191"/>
      <c r="B37" s="192" t="s">
        <v>55</v>
      </c>
      <c r="C37" s="241">
        <v>15480000</v>
      </c>
      <c r="D37" s="241">
        <v>0</v>
      </c>
      <c r="E37" s="241">
        <v>1080000</v>
      </c>
      <c r="F37" s="242">
        <f t="shared" si="1"/>
        <v>16560000</v>
      </c>
      <c r="H37" s="85">
        <f>SUM(F36:F37)</f>
        <v>1104300000</v>
      </c>
    </row>
    <row r="38" spans="1:8" ht="15" customHeight="1" x14ac:dyDescent="0.25">
      <c r="A38" s="132" t="s">
        <v>24</v>
      </c>
      <c r="B38" s="133" t="s">
        <v>56</v>
      </c>
      <c r="C38" s="243">
        <v>88704000</v>
      </c>
      <c r="D38" s="243">
        <v>89856000</v>
      </c>
      <c r="E38" s="243">
        <v>125951116.35000007</v>
      </c>
      <c r="F38" s="244">
        <f t="shared" si="1"/>
        <v>304511116.35000008</v>
      </c>
    </row>
    <row r="39" spans="1:8" ht="15" customHeight="1" x14ac:dyDescent="0.25">
      <c r="A39" s="135"/>
      <c r="B39" s="136" t="s">
        <v>55</v>
      </c>
      <c r="C39" s="245">
        <v>7200000</v>
      </c>
      <c r="D39" s="245">
        <v>1152000</v>
      </c>
      <c r="E39" s="245">
        <v>7344000</v>
      </c>
      <c r="F39" s="246">
        <f t="shared" si="1"/>
        <v>15696000</v>
      </c>
    </row>
    <row r="40" spans="1:8" ht="15" customHeight="1" x14ac:dyDescent="0.25">
      <c r="A40" s="195" t="s">
        <v>101</v>
      </c>
      <c r="B40" s="196" t="s">
        <v>56</v>
      </c>
      <c r="C40" s="247">
        <v>540668688.66999996</v>
      </c>
      <c r="D40" s="247">
        <v>0</v>
      </c>
      <c r="E40" s="247">
        <v>588707565.66999996</v>
      </c>
      <c r="F40" s="248">
        <f t="shared" si="1"/>
        <v>1129376254.3399999</v>
      </c>
      <c r="H40" s="203"/>
    </row>
    <row r="41" spans="1:8" ht="15" customHeight="1" x14ac:dyDescent="0.25">
      <c r="A41" s="199"/>
      <c r="B41" s="200" t="s">
        <v>55</v>
      </c>
      <c r="C41" s="249">
        <v>25757089.169999998</v>
      </c>
      <c r="D41" s="249">
        <v>0</v>
      </c>
      <c r="E41" s="249">
        <v>682149560.49999988</v>
      </c>
      <c r="F41" s="250">
        <f t="shared" si="1"/>
        <v>707906649.66999984</v>
      </c>
    </row>
    <row r="42" spans="1:8" ht="15" customHeight="1" x14ac:dyDescent="0.25">
      <c r="A42" s="138" t="s">
        <v>100</v>
      </c>
      <c r="B42" s="139" t="s">
        <v>56</v>
      </c>
      <c r="C42" s="243">
        <v>136600000</v>
      </c>
      <c r="D42" s="243">
        <v>243650000</v>
      </c>
      <c r="E42" s="243">
        <v>265700000</v>
      </c>
      <c r="F42" s="244">
        <f t="shared" si="1"/>
        <v>645950000</v>
      </c>
    </row>
    <row r="43" spans="1:8" ht="15" customHeight="1" x14ac:dyDescent="0.25">
      <c r="A43" s="140"/>
      <c r="B43" s="141" t="s">
        <v>55</v>
      </c>
      <c r="C43" s="245">
        <v>0</v>
      </c>
      <c r="D43" s="245">
        <v>0</v>
      </c>
      <c r="E43" s="245">
        <v>0</v>
      </c>
      <c r="F43" s="246">
        <f t="shared" si="1"/>
        <v>0</v>
      </c>
      <c r="H43" s="203"/>
    </row>
    <row r="44" spans="1:8" ht="15" customHeight="1" x14ac:dyDescent="0.25">
      <c r="A44" s="213"/>
      <c r="B44" s="214"/>
      <c r="C44" s="251"/>
      <c r="D44" s="251"/>
      <c r="E44" s="251"/>
      <c r="F44" s="251"/>
      <c r="H44" s="203"/>
    </row>
    <row r="45" spans="1:8" ht="15" customHeight="1" thickBot="1" x14ac:dyDescent="0.3">
      <c r="A45" s="10" t="s">
        <v>13</v>
      </c>
      <c r="B45" s="10"/>
      <c r="C45" s="252">
        <f>SUM(C36:C43)</f>
        <v>1113569777.8399999</v>
      </c>
      <c r="D45" s="252">
        <f>SUM(D36:D43)</f>
        <v>622658000</v>
      </c>
      <c r="E45" s="252">
        <f>SUM(E36:E43)</f>
        <v>2171512242.52</v>
      </c>
      <c r="F45" s="252">
        <f>SUM(F36:F43)</f>
        <v>3907740020.3599997</v>
      </c>
    </row>
    <row r="46" spans="1:8" ht="15" customHeight="1" thickTop="1" x14ac:dyDescent="0.25">
      <c r="A46" s="8" t="s">
        <v>42</v>
      </c>
    </row>
    <row r="47" spans="1:8" ht="15" customHeight="1" x14ac:dyDescent="0.25">
      <c r="A47" s="85" t="s">
        <v>73</v>
      </c>
    </row>
    <row r="48" spans="1:8" ht="15" customHeight="1" x14ac:dyDescent="0.25">
      <c r="A48" s="13"/>
    </row>
    <row r="49" spans="1:5" ht="15" customHeight="1" x14ac:dyDescent="0.25">
      <c r="A49" s="13"/>
    </row>
    <row r="50" spans="1:5" ht="15" customHeight="1" x14ac:dyDescent="0.25">
      <c r="A50" s="13"/>
    </row>
    <row r="51" spans="1:5" ht="15" customHeight="1" x14ac:dyDescent="0.25">
      <c r="A51" s="283" t="s">
        <v>15</v>
      </c>
      <c r="B51" s="283"/>
      <c r="C51" s="283"/>
      <c r="D51" s="283"/>
      <c r="E51" s="283"/>
    </row>
    <row r="52" spans="1:5" ht="15" customHeight="1" x14ac:dyDescent="0.25">
      <c r="A52" s="283" t="s">
        <v>32</v>
      </c>
      <c r="B52" s="283"/>
      <c r="C52" s="283"/>
      <c r="D52" s="283"/>
      <c r="E52" s="283"/>
    </row>
    <row r="53" spans="1:5" ht="15" customHeight="1" x14ac:dyDescent="0.25">
      <c r="A53" s="284" t="s">
        <v>52</v>
      </c>
      <c r="B53" s="284"/>
      <c r="C53" s="284"/>
      <c r="D53" s="284"/>
      <c r="E53" s="284"/>
    </row>
    <row r="54" spans="1:5" ht="15" customHeight="1" x14ac:dyDescent="0.25">
      <c r="A54" s="7"/>
      <c r="B54" s="7"/>
      <c r="C54" s="7"/>
      <c r="D54" s="7"/>
      <c r="E54" s="7"/>
    </row>
    <row r="55" spans="1:5" ht="15" customHeight="1" thickBot="1" x14ac:dyDescent="0.3">
      <c r="A55" s="12" t="s">
        <v>10</v>
      </c>
      <c r="B55" s="232" t="s">
        <v>36</v>
      </c>
      <c r="C55" s="232" t="s">
        <v>37</v>
      </c>
      <c r="D55" s="232" t="s">
        <v>38</v>
      </c>
      <c r="E55" s="232" t="s">
        <v>144</v>
      </c>
    </row>
    <row r="56" spans="1:5" ht="15" customHeight="1" x14ac:dyDescent="0.25">
      <c r="B56" s="57"/>
      <c r="C56" s="57"/>
      <c r="D56" s="57"/>
      <c r="E56" s="57"/>
    </row>
    <row r="57" spans="1:5" ht="15" customHeight="1" x14ac:dyDescent="0.25">
      <c r="A57" s="85" t="s">
        <v>102</v>
      </c>
      <c r="B57" s="56">
        <f>SUM(C36:C37)</f>
        <v>314640000</v>
      </c>
      <c r="C57" s="56">
        <f>SUM(D36:D37)</f>
        <v>288000000</v>
      </c>
      <c r="D57" s="56">
        <f>SUM(E36:E37)</f>
        <v>501660000</v>
      </c>
      <c r="E57" s="56">
        <f t="shared" ref="E57:E60" si="2">SUM(B57:D57)</f>
        <v>1104300000</v>
      </c>
    </row>
    <row r="58" spans="1:5" ht="15" customHeight="1" x14ac:dyDescent="0.25">
      <c r="A58" s="85" t="s">
        <v>103</v>
      </c>
      <c r="B58" s="56">
        <f>SUM(C38:C39)</f>
        <v>95904000</v>
      </c>
      <c r="C58" s="56">
        <f>SUM(D38:D39)</f>
        <v>91008000</v>
      </c>
      <c r="D58" s="56">
        <f>SUM(E38:E39)</f>
        <v>133295116.35000007</v>
      </c>
      <c r="E58" s="56">
        <f t="shared" si="2"/>
        <v>320207116.35000008</v>
      </c>
    </row>
    <row r="59" spans="1:5" ht="15" customHeight="1" x14ac:dyDescent="0.25">
      <c r="A59" s="85" t="s">
        <v>104</v>
      </c>
      <c r="B59" s="56">
        <f>SUM(C40:C41)</f>
        <v>566425777.83999991</v>
      </c>
      <c r="C59" s="56">
        <f>SUM(D40:D41)</f>
        <v>0</v>
      </c>
      <c r="D59" s="56">
        <f>SUM(E40:E41)</f>
        <v>1270857126.1699998</v>
      </c>
      <c r="E59" s="56">
        <f t="shared" si="2"/>
        <v>1837282904.0099998</v>
      </c>
    </row>
    <row r="60" spans="1:5" ht="15" customHeight="1" x14ac:dyDescent="0.25">
      <c r="A60" s="85" t="s">
        <v>105</v>
      </c>
      <c r="B60" s="56">
        <f>SUM(C42:C43)</f>
        <v>136600000</v>
      </c>
      <c r="C60" s="56">
        <f>SUM(D42:D43)</f>
        <v>243650000</v>
      </c>
      <c r="D60" s="56">
        <f>SUM(E42:E43)</f>
        <v>265700000</v>
      </c>
      <c r="E60" s="56">
        <f t="shared" si="2"/>
        <v>645950000</v>
      </c>
    </row>
    <row r="61" spans="1:5" ht="15" customHeight="1" x14ac:dyDescent="0.25">
      <c r="B61" s="57"/>
      <c r="C61" s="57"/>
      <c r="D61" s="57"/>
      <c r="E61" s="57"/>
    </row>
    <row r="62" spans="1:5" ht="15" customHeight="1" thickBot="1" x14ac:dyDescent="0.3">
      <c r="A62" s="10" t="s">
        <v>13</v>
      </c>
      <c r="B62" s="58">
        <f>SUM(B57:B61)</f>
        <v>1113569777.8399999</v>
      </c>
      <c r="C62" s="58">
        <f>SUM(C57:C61)</f>
        <v>622658000</v>
      </c>
      <c r="D62" s="58">
        <f>SUM(D57:D61)</f>
        <v>2171512242.52</v>
      </c>
      <c r="E62" s="58">
        <f>SUM(E57:E61)</f>
        <v>3907740020.3599997</v>
      </c>
    </row>
    <row r="63" spans="1:5" ht="15" customHeight="1" thickTop="1" x14ac:dyDescent="0.25">
      <c r="A63" s="85" t="s">
        <v>72</v>
      </c>
    </row>
    <row r="66" spans="1:9" ht="15" customHeight="1" x14ac:dyDescent="0.25">
      <c r="A66" s="291" t="s">
        <v>44</v>
      </c>
      <c r="B66" s="291"/>
      <c r="C66" s="291"/>
      <c r="D66" s="291"/>
      <c r="E66" s="291"/>
      <c r="F66" s="90"/>
    </row>
    <row r="67" spans="1:9" ht="15" customHeight="1" x14ac:dyDescent="0.25">
      <c r="A67" s="291" t="s">
        <v>108</v>
      </c>
      <c r="B67" s="291"/>
      <c r="C67" s="291"/>
      <c r="D67" s="291"/>
      <c r="E67" s="291"/>
      <c r="F67" s="90"/>
    </row>
    <row r="68" spans="1:9" ht="15" customHeight="1" x14ac:dyDescent="0.25">
      <c r="A68" s="292" t="s">
        <v>52</v>
      </c>
      <c r="B68" s="292"/>
      <c r="C68" s="292"/>
      <c r="D68" s="292"/>
      <c r="E68" s="292"/>
      <c r="F68" s="90"/>
    </row>
    <row r="69" spans="1:9" ht="15" customHeight="1" x14ac:dyDescent="0.25">
      <c r="A69" s="91"/>
      <c r="B69" s="91"/>
      <c r="C69" s="91"/>
      <c r="D69" s="91"/>
      <c r="E69" s="91"/>
      <c r="F69" s="90"/>
    </row>
    <row r="70" spans="1:9" ht="15" customHeight="1" thickBot="1" x14ac:dyDescent="0.3">
      <c r="A70" s="92" t="s">
        <v>10</v>
      </c>
      <c r="B70" s="232" t="s">
        <v>36</v>
      </c>
      <c r="C70" s="232" t="s">
        <v>37</v>
      </c>
      <c r="D70" s="232" t="s">
        <v>38</v>
      </c>
      <c r="E70" s="232" t="s">
        <v>144</v>
      </c>
      <c r="F70" s="90"/>
    </row>
    <row r="71" spans="1:9" ht="15" customHeight="1" x14ac:dyDescent="0.25">
      <c r="A71" s="90"/>
      <c r="B71" s="93"/>
      <c r="C71" s="93"/>
      <c r="D71" s="93"/>
      <c r="E71" s="93"/>
      <c r="F71" s="90"/>
    </row>
    <row r="72" spans="1:9" ht="15" customHeight="1" x14ac:dyDescent="0.25">
      <c r="A72" s="90" t="s">
        <v>62</v>
      </c>
      <c r="B72" s="94">
        <f>+$B$134</f>
        <v>0</v>
      </c>
      <c r="C72" s="94">
        <f>B76</f>
        <v>0</v>
      </c>
      <c r="D72" s="94">
        <f>C76</f>
        <v>0</v>
      </c>
      <c r="E72" s="94">
        <f>B72</f>
        <v>0</v>
      </c>
      <c r="F72" s="90"/>
    </row>
    <row r="73" spans="1:9" ht="15" customHeight="1" x14ac:dyDescent="0.25">
      <c r="A73" s="90" t="s">
        <v>16</v>
      </c>
      <c r="B73" s="94">
        <f>+B146</f>
        <v>314640000</v>
      </c>
      <c r="C73" s="94">
        <f t="shared" ref="C73:D73" si="3">+C146</f>
        <v>288000000</v>
      </c>
      <c r="D73" s="94">
        <f t="shared" si="3"/>
        <v>501660000</v>
      </c>
      <c r="E73" s="94">
        <f>+SUM(B73:D73)</f>
        <v>1104300000</v>
      </c>
      <c r="F73" s="90"/>
      <c r="G73" s="42"/>
      <c r="H73" s="42"/>
      <c r="I73" s="42"/>
    </row>
    <row r="74" spans="1:9" ht="15" customHeight="1" x14ac:dyDescent="0.25">
      <c r="A74" s="90" t="s">
        <v>17</v>
      </c>
      <c r="B74" s="94">
        <f>SUM(B72:B73)</f>
        <v>314640000</v>
      </c>
      <c r="C74" s="94">
        <f t="shared" ref="C74:D74" si="4">SUM(C72:C73)</f>
        <v>288000000</v>
      </c>
      <c r="D74" s="94">
        <f t="shared" si="4"/>
        <v>501660000</v>
      </c>
      <c r="E74" s="94">
        <f>+E72+E73</f>
        <v>1104300000</v>
      </c>
      <c r="F74" s="90"/>
    </row>
    <row r="75" spans="1:9" ht="15" customHeight="1" x14ac:dyDescent="0.25">
      <c r="A75" s="90" t="s">
        <v>18</v>
      </c>
      <c r="B75" s="95">
        <f>B57</f>
        <v>314640000</v>
      </c>
      <c r="C75" s="95">
        <f>C57</f>
        <v>288000000</v>
      </c>
      <c r="D75" s="95">
        <f>D57</f>
        <v>501660000</v>
      </c>
      <c r="E75" s="94">
        <f>+SUM(B75:D75)</f>
        <v>1104300000</v>
      </c>
      <c r="F75" s="96"/>
    </row>
    <row r="76" spans="1:9" ht="15" customHeight="1" x14ac:dyDescent="0.25">
      <c r="A76" s="97" t="s">
        <v>19</v>
      </c>
      <c r="B76" s="98">
        <f>B74-B75</f>
        <v>0</v>
      </c>
      <c r="C76" s="98">
        <f>C74-C75</f>
        <v>0</v>
      </c>
      <c r="D76" s="98">
        <f>D74-D75</f>
        <v>0</v>
      </c>
      <c r="E76" s="98">
        <f>+E74-E75</f>
        <v>0</v>
      </c>
      <c r="F76" s="90"/>
    </row>
    <row r="77" spans="1:9" ht="15" customHeight="1" thickBot="1" x14ac:dyDescent="0.3">
      <c r="A77" s="99"/>
      <c r="B77" s="100"/>
      <c r="C77" s="100"/>
      <c r="D77" s="100"/>
      <c r="E77" s="100"/>
      <c r="F77" s="90"/>
    </row>
    <row r="78" spans="1:9" ht="15" customHeight="1" thickTop="1" x14ac:dyDescent="0.25">
      <c r="A78" s="90" t="s">
        <v>72</v>
      </c>
      <c r="B78" s="90"/>
      <c r="C78" s="90"/>
      <c r="D78" s="90"/>
      <c r="E78" s="90"/>
      <c r="F78" s="90"/>
    </row>
    <row r="79" spans="1:9" ht="15" customHeight="1" x14ac:dyDescent="0.25">
      <c r="A79" s="101"/>
      <c r="B79" s="90"/>
      <c r="C79" s="90"/>
      <c r="D79" s="90"/>
      <c r="E79" s="90"/>
      <c r="F79" s="90"/>
    </row>
    <row r="80" spans="1:9" ht="15" customHeight="1" x14ac:dyDescent="0.25">
      <c r="A80" s="101"/>
      <c r="B80" s="90"/>
      <c r="C80" s="90"/>
      <c r="D80" s="90"/>
      <c r="E80" s="90"/>
      <c r="F80" s="90"/>
    </row>
    <row r="81" spans="1:6" ht="15" customHeight="1" x14ac:dyDescent="0.25">
      <c r="A81" s="291" t="s">
        <v>45</v>
      </c>
      <c r="B81" s="291"/>
      <c r="C81" s="291"/>
      <c r="D81" s="291"/>
      <c r="E81" s="291"/>
      <c r="F81" s="90"/>
    </row>
    <row r="82" spans="1:6" ht="15" customHeight="1" x14ac:dyDescent="0.25">
      <c r="A82" s="291" t="s">
        <v>106</v>
      </c>
      <c r="B82" s="291"/>
      <c r="C82" s="291"/>
      <c r="D82" s="291"/>
      <c r="E82" s="291"/>
      <c r="F82" s="90"/>
    </row>
    <row r="83" spans="1:6" ht="15" customHeight="1" x14ac:dyDescent="0.25">
      <c r="A83" s="292" t="s">
        <v>52</v>
      </c>
      <c r="B83" s="292"/>
      <c r="C83" s="292"/>
      <c r="D83" s="292"/>
      <c r="E83" s="292"/>
      <c r="F83" s="90"/>
    </row>
    <row r="84" spans="1:6" ht="15" customHeight="1" x14ac:dyDescent="0.25">
      <c r="A84" s="91"/>
      <c r="B84" s="91"/>
      <c r="C84" s="91"/>
      <c r="D84" s="91"/>
      <c r="E84" s="91"/>
      <c r="F84" s="90"/>
    </row>
    <row r="85" spans="1:6" ht="15" customHeight="1" thickBot="1" x14ac:dyDescent="0.3">
      <c r="A85" s="92" t="s">
        <v>10</v>
      </c>
      <c r="B85" s="232" t="s">
        <v>36</v>
      </c>
      <c r="C85" s="232" t="s">
        <v>37</v>
      </c>
      <c r="D85" s="232" t="s">
        <v>38</v>
      </c>
      <c r="E85" s="232" t="s">
        <v>144</v>
      </c>
      <c r="F85" s="90"/>
    </row>
    <row r="86" spans="1:6" ht="15" customHeight="1" x14ac:dyDescent="0.25">
      <c r="A86" s="90"/>
      <c r="B86" s="93"/>
      <c r="C86" s="93"/>
      <c r="D86" s="93"/>
      <c r="E86" s="93"/>
      <c r="F86" s="90"/>
    </row>
    <row r="87" spans="1:6" ht="15" customHeight="1" x14ac:dyDescent="0.25">
      <c r="A87" s="90" t="s">
        <v>62</v>
      </c>
      <c r="B87" s="94">
        <f>+$B$135</f>
        <v>0</v>
      </c>
      <c r="C87" s="94">
        <f>B91</f>
        <v>0</v>
      </c>
      <c r="D87" s="94">
        <f>C91</f>
        <v>0</v>
      </c>
      <c r="E87" s="94">
        <f>B87</f>
        <v>0</v>
      </c>
      <c r="F87" s="90"/>
    </row>
    <row r="88" spans="1:6" ht="15" customHeight="1" x14ac:dyDescent="0.25">
      <c r="A88" s="90" t="s">
        <v>16</v>
      </c>
      <c r="B88" s="94">
        <f>+B147</f>
        <v>95904000</v>
      </c>
      <c r="C88" s="94">
        <f t="shared" ref="C88:D88" si="5">+C147</f>
        <v>91008000</v>
      </c>
      <c r="D88" s="94">
        <f t="shared" si="5"/>
        <v>133295116.35000007</v>
      </c>
      <c r="E88" s="94">
        <f>+SUM(B88:D88)</f>
        <v>320207116.35000008</v>
      </c>
      <c r="F88" s="90"/>
    </row>
    <row r="89" spans="1:6" ht="15" customHeight="1" x14ac:dyDescent="0.25">
      <c r="A89" s="90" t="s">
        <v>17</v>
      </c>
      <c r="B89" s="94">
        <f>B87+B88</f>
        <v>95904000</v>
      </c>
      <c r="C89" s="94">
        <f t="shared" ref="C89:D89" si="6">C87+C88</f>
        <v>91008000</v>
      </c>
      <c r="D89" s="94">
        <f t="shared" si="6"/>
        <v>133295116.35000007</v>
      </c>
      <c r="E89" s="94">
        <f>+E87+E88</f>
        <v>320207116.35000008</v>
      </c>
      <c r="F89" s="90"/>
    </row>
    <row r="90" spans="1:6" ht="15" customHeight="1" x14ac:dyDescent="0.25">
      <c r="A90" s="90" t="s">
        <v>18</v>
      </c>
      <c r="B90" s="95">
        <f>+B58</f>
        <v>95904000</v>
      </c>
      <c r="C90" s="95">
        <f>+C58</f>
        <v>91008000</v>
      </c>
      <c r="D90" s="95">
        <f>+D58</f>
        <v>133295116.35000007</v>
      </c>
      <c r="E90" s="94">
        <f>+SUM(B90:D90)</f>
        <v>320207116.35000008</v>
      </c>
      <c r="F90" s="90"/>
    </row>
    <row r="91" spans="1:6" ht="15" customHeight="1" x14ac:dyDescent="0.25">
      <c r="A91" s="97" t="s">
        <v>19</v>
      </c>
      <c r="B91" s="98">
        <f>B89-B90</f>
        <v>0</v>
      </c>
      <c r="C91" s="98">
        <f>C89-C90</f>
        <v>0</v>
      </c>
      <c r="D91" s="98">
        <f>D89-D90</f>
        <v>0</v>
      </c>
      <c r="E91" s="98">
        <f>+E89-E90</f>
        <v>0</v>
      </c>
      <c r="F91" s="90"/>
    </row>
    <row r="92" spans="1:6" ht="15" customHeight="1" thickBot="1" x14ac:dyDescent="0.3">
      <c r="A92" s="99"/>
      <c r="B92" s="100"/>
      <c r="C92" s="100"/>
      <c r="D92" s="100"/>
      <c r="E92" s="100"/>
      <c r="F92" s="90"/>
    </row>
    <row r="93" spans="1:6" ht="15" customHeight="1" thickTop="1" x14ac:dyDescent="0.25">
      <c r="A93" s="90" t="s">
        <v>72</v>
      </c>
      <c r="B93" s="90"/>
      <c r="C93" s="90"/>
      <c r="D93" s="90"/>
      <c r="E93" s="90"/>
      <c r="F93" s="90"/>
    </row>
    <row r="94" spans="1:6" ht="15" customHeight="1" x14ac:dyDescent="0.25">
      <c r="A94" s="101"/>
      <c r="B94" s="90"/>
      <c r="C94" s="90"/>
      <c r="D94" s="90"/>
      <c r="E94" s="90"/>
      <c r="F94" s="90"/>
    </row>
    <row r="95" spans="1:6" ht="15" customHeight="1" x14ac:dyDescent="0.25">
      <c r="A95" s="101"/>
      <c r="B95" s="90"/>
      <c r="C95" s="90"/>
      <c r="D95" s="90"/>
      <c r="E95" s="90"/>
      <c r="F95" s="90"/>
    </row>
    <row r="96" spans="1:6" ht="15" customHeight="1" x14ac:dyDescent="0.25">
      <c r="A96" s="101"/>
      <c r="B96" s="90"/>
      <c r="C96" s="90"/>
      <c r="D96" s="90"/>
      <c r="E96" s="90"/>
      <c r="F96" s="90"/>
    </row>
    <row r="97" spans="1:10" ht="15" customHeight="1" x14ac:dyDescent="0.25">
      <c r="A97" s="90"/>
      <c r="B97" s="90"/>
      <c r="C97" s="90"/>
      <c r="D97" s="90"/>
      <c r="E97" s="90"/>
      <c r="F97" s="90"/>
    </row>
    <row r="98" spans="1:10" ht="15" customHeight="1" x14ac:dyDescent="0.25">
      <c r="A98" s="291" t="s">
        <v>107</v>
      </c>
      <c r="B98" s="291"/>
      <c r="C98" s="291"/>
      <c r="D98" s="291"/>
      <c r="E98" s="291"/>
      <c r="F98" s="90"/>
    </row>
    <row r="99" spans="1:10" ht="15" customHeight="1" x14ac:dyDescent="0.25">
      <c r="A99" s="291" t="s">
        <v>49</v>
      </c>
      <c r="B99" s="291"/>
      <c r="C99" s="291"/>
      <c r="D99" s="291"/>
      <c r="E99" s="291"/>
      <c r="F99" s="90"/>
      <c r="H99" s="43"/>
      <c r="J99" s="13"/>
    </row>
    <row r="100" spans="1:10" ht="15" customHeight="1" x14ac:dyDescent="0.25">
      <c r="A100" s="292" t="s">
        <v>52</v>
      </c>
      <c r="B100" s="292"/>
      <c r="C100" s="292"/>
      <c r="D100" s="292"/>
      <c r="E100" s="292"/>
      <c r="F100" s="102"/>
    </row>
    <row r="101" spans="1:10" ht="15" customHeight="1" x14ac:dyDescent="0.25">
      <c r="A101" s="91"/>
      <c r="B101" s="91"/>
      <c r="C101" s="91"/>
      <c r="D101" s="91"/>
      <c r="E101" s="91"/>
      <c r="F101" s="90"/>
    </row>
    <row r="102" spans="1:10" ht="15" customHeight="1" thickBot="1" x14ac:dyDescent="0.3">
      <c r="A102" s="92" t="s">
        <v>10</v>
      </c>
      <c r="B102" s="232" t="s">
        <v>36</v>
      </c>
      <c r="C102" s="232" t="s">
        <v>37</v>
      </c>
      <c r="D102" s="232" t="s">
        <v>38</v>
      </c>
      <c r="E102" s="232" t="s">
        <v>144</v>
      </c>
      <c r="F102" s="90"/>
    </row>
    <row r="103" spans="1:10" ht="15" customHeight="1" x14ac:dyDescent="0.25">
      <c r="A103" s="90"/>
      <c r="B103" s="93"/>
      <c r="C103" s="93"/>
      <c r="D103" s="93"/>
      <c r="E103" s="93"/>
      <c r="F103" s="90"/>
    </row>
    <row r="104" spans="1:10" ht="15" customHeight="1" x14ac:dyDescent="0.25">
      <c r="A104" s="90" t="s">
        <v>62</v>
      </c>
      <c r="B104" s="94">
        <f>+B136</f>
        <v>0</v>
      </c>
      <c r="C104" s="94">
        <f>B108</f>
        <v>0</v>
      </c>
      <c r="D104" s="94">
        <f>C108</f>
        <v>0</v>
      </c>
      <c r="E104" s="94">
        <f>+B104</f>
        <v>0</v>
      </c>
      <c r="F104" s="90"/>
    </row>
    <row r="105" spans="1:10" ht="15" customHeight="1" x14ac:dyDescent="0.25">
      <c r="A105" s="108" t="s">
        <v>16</v>
      </c>
      <c r="B105" s="94">
        <f>+B148</f>
        <v>566425777.84000003</v>
      </c>
      <c r="C105" s="94">
        <f t="shared" ref="C105:D105" si="7">+C148</f>
        <v>0</v>
      </c>
      <c r="D105" s="94">
        <f t="shared" si="7"/>
        <v>1270857126.1700001</v>
      </c>
      <c r="E105" s="94">
        <f>SUM(B105:D105)</f>
        <v>1837282904.0100002</v>
      </c>
      <c r="F105" s="90"/>
      <c r="G105" s="42"/>
      <c r="H105" s="42"/>
      <c r="I105" s="42"/>
    </row>
    <row r="106" spans="1:10" ht="15" customHeight="1" x14ac:dyDescent="0.25">
      <c r="A106" s="90" t="s">
        <v>17</v>
      </c>
      <c r="B106" s="94">
        <f>SUM(B104:B105)</f>
        <v>566425777.84000003</v>
      </c>
      <c r="C106" s="94">
        <f t="shared" ref="C106:D106" si="8">SUM(C104:C105)</f>
        <v>0</v>
      </c>
      <c r="D106" s="94">
        <f t="shared" si="8"/>
        <v>1270857126.1700001</v>
      </c>
      <c r="E106" s="94">
        <f>SUM(E104:E105)</f>
        <v>1837282904.0100002</v>
      </c>
      <c r="F106" s="90"/>
    </row>
    <row r="107" spans="1:10" ht="15" customHeight="1" x14ac:dyDescent="0.25">
      <c r="A107" s="90" t="s">
        <v>18</v>
      </c>
      <c r="B107" s="94">
        <f>+B59</f>
        <v>566425777.83999991</v>
      </c>
      <c r="C107" s="94">
        <f>+C59</f>
        <v>0</v>
      </c>
      <c r="D107" s="94">
        <f>+D59</f>
        <v>1270857126.1699998</v>
      </c>
      <c r="E107" s="94">
        <f>+SUM(B107:D107)</f>
        <v>1837282904.0099998</v>
      </c>
      <c r="F107" s="96"/>
    </row>
    <row r="108" spans="1:10" ht="15" customHeight="1" x14ac:dyDescent="0.25">
      <c r="A108" s="97" t="s">
        <v>19</v>
      </c>
      <c r="B108" s="103">
        <f>B106-B107</f>
        <v>0</v>
      </c>
      <c r="C108" s="103">
        <f t="shared" ref="C108:D108" si="9">C106-C107</f>
        <v>0</v>
      </c>
      <c r="D108" s="103">
        <f t="shared" si="9"/>
        <v>0</v>
      </c>
      <c r="E108" s="103">
        <f>+E106-E107</f>
        <v>0</v>
      </c>
      <c r="F108" s="90"/>
    </row>
    <row r="109" spans="1:10" ht="15" customHeight="1" thickBot="1" x14ac:dyDescent="0.3">
      <c r="A109" s="99"/>
      <c r="B109" s="104"/>
      <c r="C109" s="99"/>
      <c r="D109" s="99"/>
      <c r="E109" s="99"/>
      <c r="F109" s="90"/>
    </row>
    <row r="110" spans="1:10" ht="15" customHeight="1" thickTop="1" x14ac:dyDescent="0.25">
      <c r="A110" s="90" t="s">
        <v>72</v>
      </c>
      <c r="B110" s="90"/>
      <c r="C110" s="90"/>
      <c r="D110" s="90"/>
      <c r="E110" s="90"/>
      <c r="F110" s="90"/>
    </row>
    <row r="111" spans="1:10" ht="15" customHeight="1" x14ac:dyDescent="0.25">
      <c r="A111" s="90"/>
      <c r="B111" s="90"/>
      <c r="C111" s="90"/>
      <c r="D111" s="90"/>
      <c r="E111" s="90"/>
      <c r="F111" s="90"/>
    </row>
    <row r="112" spans="1:10" ht="15" customHeight="1" x14ac:dyDescent="0.25">
      <c r="A112" s="90"/>
      <c r="B112" s="90"/>
      <c r="C112" s="90"/>
      <c r="D112" s="90"/>
      <c r="E112" s="90"/>
      <c r="F112" s="90"/>
    </row>
    <row r="113" spans="1:6" ht="15" customHeight="1" x14ac:dyDescent="0.25">
      <c r="A113" s="291" t="s">
        <v>110</v>
      </c>
      <c r="B113" s="291"/>
      <c r="C113" s="291"/>
      <c r="D113" s="291"/>
      <c r="E113" s="291"/>
      <c r="F113" s="90"/>
    </row>
    <row r="114" spans="1:6" ht="15" customHeight="1" x14ac:dyDescent="0.25">
      <c r="A114" s="291" t="s">
        <v>109</v>
      </c>
      <c r="B114" s="291"/>
      <c r="C114" s="291"/>
      <c r="D114" s="291"/>
      <c r="E114" s="291"/>
      <c r="F114" s="90"/>
    </row>
    <row r="115" spans="1:6" ht="15" customHeight="1" x14ac:dyDescent="0.25">
      <c r="A115" s="292" t="s">
        <v>52</v>
      </c>
      <c r="B115" s="292"/>
      <c r="C115" s="292"/>
      <c r="D115" s="292"/>
      <c r="E115" s="292"/>
      <c r="F115" s="102"/>
    </row>
    <row r="116" spans="1:6" ht="15" customHeight="1" x14ac:dyDescent="0.25">
      <c r="A116" s="91"/>
      <c r="B116" s="91"/>
      <c r="C116" s="91"/>
      <c r="D116" s="91"/>
      <c r="E116" s="91"/>
      <c r="F116" s="102" t="s">
        <v>54</v>
      </c>
    </row>
    <row r="117" spans="1:6" ht="15" customHeight="1" thickBot="1" x14ac:dyDescent="0.3">
      <c r="A117" s="92" t="s">
        <v>10</v>
      </c>
      <c r="B117" s="232" t="s">
        <v>36</v>
      </c>
      <c r="C117" s="232" t="s">
        <v>37</v>
      </c>
      <c r="D117" s="232" t="s">
        <v>38</v>
      </c>
      <c r="E117" s="232" t="s">
        <v>144</v>
      </c>
      <c r="F117" s="235"/>
    </row>
    <row r="118" spans="1:6" ht="15" customHeight="1" x14ac:dyDescent="0.25">
      <c r="A118" s="90"/>
      <c r="B118" s="93"/>
      <c r="C118" s="93"/>
      <c r="D118" s="93"/>
      <c r="E118" s="93"/>
      <c r="F118" s="90"/>
    </row>
    <row r="119" spans="1:6" ht="15" customHeight="1" x14ac:dyDescent="0.25">
      <c r="A119" s="90" t="s">
        <v>62</v>
      </c>
      <c r="B119" s="94">
        <f>+$B$137</f>
        <v>0</v>
      </c>
      <c r="C119" s="94">
        <f>B123</f>
        <v>0</v>
      </c>
      <c r="D119" s="94">
        <f>C123</f>
        <v>0</v>
      </c>
      <c r="E119" s="94">
        <f>+B119</f>
        <v>0</v>
      </c>
      <c r="F119" s="90"/>
    </row>
    <row r="120" spans="1:6" ht="15" customHeight="1" x14ac:dyDescent="0.25">
      <c r="A120" s="108" t="s">
        <v>16</v>
      </c>
      <c r="B120" s="94">
        <f>+B149</f>
        <v>136600000</v>
      </c>
      <c r="C120" s="94">
        <f t="shared" ref="C120:D120" si="10">+C149</f>
        <v>243650000</v>
      </c>
      <c r="D120" s="94">
        <f t="shared" si="10"/>
        <v>265700000</v>
      </c>
      <c r="E120" s="94">
        <f>SUM(B120:D120)</f>
        <v>645950000</v>
      </c>
      <c r="F120" s="90"/>
    </row>
    <row r="121" spans="1:6" ht="15" customHeight="1" x14ac:dyDescent="0.25">
      <c r="A121" s="90" t="s">
        <v>17</v>
      </c>
      <c r="B121" s="94">
        <f>SUM(B119:B120)</f>
        <v>136600000</v>
      </c>
      <c r="C121" s="94">
        <f t="shared" ref="C121:D121" si="11">SUM(C119:C120)</f>
        <v>243650000</v>
      </c>
      <c r="D121" s="94">
        <f t="shared" si="11"/>
        <v>265700000</v>
      </c>
      <c r="E121" s="94">
        <f>SUM(E119:E120)</f>
        <v>645950000</v>
      </c>
      <c r="F121" s="90"/>
    </row>
    <row r="122" spans="1:6" ht="15" customHeight="1" x14ac:dyDescent="0.25">
      <c r="A122" s="90" t="s">
        <v>18</v>
      </c>
      <c r="B122" s="94">
        <f>+B60</f>
        <v>136600000</v>
      </c>
      <c r="C122" s="94">
        <f>+C60</f>
        <v>243650000</v>
      </c>
      <c r="D122" s="94">
        <f>+D60</f>
        <v>265700000</v>
      </c>
      <c r="E122" s="94">
        <f>+SUM(B122:D122)</f>
        <v>645950000</v>
      </c>
      <c r="F122" s="96"/>
    </row>
    <row r="123" spans="1:6" ht="15" customHeight="1" x14ac:dyDescent="0.25">
      <c r="A123" s="97" t="s">
        <v>19</v>
      </c>
      <c r="B123" s="103">
        <f>B121-B122</f>
        <v>0</v>
      </c>
      <c r="C123" s="103">
        <f>C121-C122</f>
        <v>0</v>
      </c>
      <c r="D123" s="103">
        <f>D121-D122</f>
        <v>0</v>
      </c>
      <c r="E123" s="103">
        <f>+E121-E122</f>
        <v>0</v>
      </c>
      <c r="F123" s="90"/>
    </row>
    <row r="124" spans="1:6" ht="15" customHeight="1" thickBot="1" x14ac:dyDescent="0.3">
      <c r="A124" s="99"/>
      <c r="B124" s="104"/>
      <c r="C124" s="99"/>
      <c r="D124" s="99"/>
      <c r="E124" s="99"/>
      <c r="F124" s="90"/>
    </row>
    <row r="125" spans="1:6" ht="15" customHeight="1" thickTop="1" x14ac:dyDescent="0.25">
      <c r="A125" s="90" t="s">
        <v>72</v>
      </c>
      <c r="B125" s="90"/>
      <c r="C125" s="90"/>
      <c r="D125" s="90"/>
      <c r="E125" s="90"/>
      <c r="F125" s="90"/>
    </row>
    <row r="126" spans="1:6" ht="15" customHeight="1" x14ac:dyDescent="0.25">
      <c r="A126" s="90"/>
      <c r="B126" s="90"/>
      <c r="C126" s="90"/>
      <c r="D126" s="90"/>
      <c r="E126" s="90"/>
      <c r="F126" s="90"/>
    </row>
    <row r="127" spans="1:6" ht="15" customHeight="1" x14ac:dyDescent="0.25">
      <c r="A127" s="90"/>
      <c r="B127" s="90"/>
      <c r="C127" s="90"/>
      <c r="D127" s="90"/>
      <c r="E127" s="90"/>
      <c r="F127" s="90"/>
    </row>
    <row r="128" spans="1:6" ht="15" customHeight="1" x14ac:dyDescent="0.25">
      <c r="A128" s="90" t="s">
        <v>72</v>
      </c>
      <c r="B128" s="90"/>
      <c r="C128" s="90"/>
      <c r="D128" s="90"/>
      <c r="E128" s="90"/>
      <c r="F128" s="90"/>
    </row>
    <row r="129" spans="1:6" ht="15" customHeight="1" x14ac:dyDescent="0.25">
      <c r="A129" s="90"/>
      <c r="B129" s="90"/>
      <c r="C129" s="90"/>
      <c r="D129" s="90"/>
      <c r="E129" s="90"/>
      <c r="F129" s="90"/>
    </row>
    <row r="130" spans="1:6" ht="33" customHeight="1" x14ac:dyDescent="0.25">
      <c r="A130" s="90"/>
      <c r="B130" s="90"/>
      <c r="C130" s="90"/>
      <c r="D130" s="90"/>
      <c r="E130" s="90"/>
      <c r="F130" s="90"/>
    </row>
    <row r="131" spans="1:6" ht="15" customHeight="1" x14ac:dyDescent="0.25">
      <c r="A131" s="90"/>
      <c r="B131" s="90"/>
      <c r="C131" s="90"/>
      <c r="D131" s="90"/>
      <c r="E131" s="90"/>
      <c r="F131" s="90"/>
    </row>
    <row r="132" spans="1:6" ht="15" customHeight="1" x14ac:dyDescent="0.25">
      <c r="A132" s="96" t="s">
        <v>170</v>
      </c>
      <c r="B132" s="90"/>
      <c r="C132" s="90"/>
      <c r="D132" s="90"/>
      <c r="E132" s="90"/>
      <c r="F132" s="90"/>
    </row>
    <row r="133" spans="1:6" ht="15" customHeight="1" x14ac:dyDescent="0.25">
      <c r="A133" s="289" t="s">
        <v>166</v>
      </c>
      <c r="B133" s="290"/>
      <c r="C133" s="90"/>
      <c r="D133" s="256" t="s">
        <v>167</v>
      </c>
      <c r="E133" s="90"/>
      <c r="F133" s="90"/>
    </row>
    <row r="134" spans="1:6" ht="15" customHeight="1" x14ac:dyDescent="0.25">
      <c r="A134" s="105" t="s">
        <v>111</v>
      </c>
      <c r="B134" s="106">
        <f>+'III T'!E76</f>
        <v>0</v>
      </c>
      <c r="C134" s="228"/>
      <c r="D134" s="254">
        <f>+E76</f>
        <v>0</v>
      </c>
      <c r="E134" s="253"/>
      <c r="F134" s="90"/>
    </row>
    <row r="135" spans="1:6" ht="15" customHeight="1" x14ac:dyDescent="0.25">
      <c r="A135" s="105" t="s">
        <v>112</v>
      </c>
      <c r="B135" s="106">
        <f>+'III T'!E91</f>
        <v>0</v>
      </c>
      <c r="C135" s="228"/>
      <c r="D135" s="254">
        <f>+E91</f>
        <v>0</v>
      </c>
      <c r="E135" s="253"/>
      <c r="F135" s="90"/>
    </row>
    <row r="136" spans="1:6" ht="15" customHeight="1" x14ac:dyDescent="0.25">
      <c r="A136" s="105" t="s">
        <v>81</v>
      </c>
      <c r="B136" s="106">
        <v>0</v>
      </c>
      <c r="C136" s="90"/>
      <c r="D136" s="254">
        <f>+E108</f>
        <v>0</v>
      </c>
      <c r="E136" s="90"/>
      <c r="F136" s="90"/>
    </row>
    <row r="137" spans="1:6" ht="15" customHeight="1" x14ac:dyDescent="0.25">
      <c r="A137" s="105" t="s">
        <v>82</v>
      </c>
      <c r="B137" s="106">
        <f>+'III T'!E123</f>
        <v>0</v>
      </c>
      <c r="C137" s="90"/>
      <c r="D137" s="254">
        <f>+E123</f>
        <v>0</v>
      </c>
      <c r="E137" s="90"/>
      <c r="F137" s="90"/>
    </row>
    <row r="138" spans="1:6" ht="15" customHeight="1" x14ac:dyDescent="0.25">
      <c r="A138" s="105" t="s">
        <v>113</v>
      </c>
      <c r="B138" s="106">
        <v>0</v>
      </c>
      <c r="C138" s="90"/>
      <c r="D138" s="254"/>
      <c r="E138" s="90"/>
      <c r="F138" s="90"/>
    </row>
    <row r="139" spans="1:6" ht="15" customHeight="1" thickBot="1" x14ac:dyDescent="0.3">
      <c r="A139" s="225" t="s">
        <v>145</v>
      </c>
      <c r="B139" s="226">
        <f>SUM(B134:B138)</f>
        <v>0</v>
      </c>
      <c r="C139" s="90"/>
      <c r="D139" s="255">
        <f>SUM(D134:D138)</f>
        <v>0</v>
      </c>
      <c r="E139" s="90"/>
      <c r="F139" s="90"/>
    </row>
    <row r="140" spans="1:6" ht="15" customHeight="1" x14ac:dyDescent="0.25">
      <c r="A140" s="90"/>
      <c r="B140" s="90"/>
      <c r="C140" s="90"/>
      <c r="D140" s="90"/>
      <c r="E140" s="90"/>
      <c r="F140" s="90"/>
    </row>
    <row r="141" spans="1:6" ht="15" customHeight="1" x14ac:dyDescent="0.25">
      <c r="B141" s="183"/>
    </row>
    <row r="142" spans="1:6" s="229" customFormat="1" ht="15" customHeight="1" x14ac:dyDescent="0.25"/>
    <row r="144" spans="1:6" ht="15" customHeight="1" x14ac:dyDescent="0.25">
      <c r="B144" s="96" t="s">
        <v>168</v>
      </c>
    </row>
    <row r="145" spans="1:5" ht="15" customHeight="1" x14ac:dyDescent="0.25">
      <c r="A145" s="216" t="s">
        <v>115</v>
      </c>
      <c r="B145" s="216" t="s">
        <v>36</v>
      </c>
      <c r="C145" s="216" t="s">
        <v>37</v>
      </c>
      <c r="D145" s="216" t="s">
        <v>38</v>
      </c>
      <c r="E145" s="216" t="s">
        <v>144</v>
      </c>
    </row>
    <row r="146" spans="1:5" ht="15" customHeight="1" x14ac:dyDescent="0.25">
      <c r="A146" s="217" t="s">
        <v>117</v>
      </c>
      <c r="B146" s="221">
        <v>314640000</v>
      </c>
      <c r="C146" s="221">
        <v>288000000</v>
      </c>
      <c r="D146" s="221">
        <v>501660000</v>
      </c>
      <c r="E146" s="221">
        <f>+B146+C146+D146</f>
        <v>1104300000</v>
      </c>
    </row>
    <row r="147" spans="1:5" ht="15" customHeight="1" x14ac:dyDescent="0.25">
      <c r="A147" s="217" t="s">
        <v>118</v>
      </c>
      <c r="B147" s="221">
        <v>95904000</v>
      </c>
      <c r="C147" s="221">
        <v>91008000</v>
      </c>
      <c r="D147" s="221">
        <v>133295116.35000007</v>
      </c>
      <c r="E147" s="221">
        <f t="shared" ref="E147:E149" si="12">+B147+C147+D147</f>
        <v>320207116.35000008</v>
      </c>
    </row>
    <row r="148" spans="1:5" ht="15" customHeight="1" x14ac:dyDescent="0.25">
      <c r="A148" s="218" t="s">
        <v>114</v>
      </c>
      <c r="B148" s="222">
        <v>566425777.84000003</v>
      </c>
      <c r="C148" s="222">
        <v>0</v>
      </c>
      <c r="D148" s="222">
        <v>1270857126.1700001</v>
      </c>
      <c r="E148" s="221">
        <f t="shared" si="12"/>
        <v>1837282904.0100002</v>
      </c>
    </row>
    <row r="149" spans="1:5" ht="15" customHeight="1" x14ac:dyDescent="0.25">
      <c r="A149" s="217" t="s">
        <v>83</v>
      </c>
      <c r="B149" s="234">
        <v>136600000</v>
      </c>
      <c r="C149" s="233">
        <v>243650000</v>
      </c>
      <c r="D149" s="233">
        <v>265700000</v>
      </c>
      <c r="E149" s="221">
        <f t="shared" si="12"/>
        <v>645950000</v>
      </c>
    </row>
    <row r="150" spans="1:5" ht="15" customHeight="1" x14ac:dyDescent="0.25">
      <c r="A150" s="217"/>
      <c r="B150" s="221"/>
      <c r="C150" s="221"/>
      <c r="D150" s="221"/>
      <c r="E150" s="221"/>
    </row>
    <row r="151" spans="1:5" ht="15" customHeight="1" thickBot="1" x14ac:dyDescent="0.3">
      <c r="A151" s="219"/>
      <c r="B151" s="223"/>
      <c r="C151" s="223"/>
      <c r="D151" s="223"/>
      <c r="E151" s="223"/>
    </row>
    <row r="152" spans="1:5" ht="15" customHeight="1" thickBot="1" x14ac:dyDescent="0.3">
      <c r="A152" s="220"/>
      <c r="B152" s="224">
        <f>SUM(B146:B151)</f>
        <v>1113569777.8400002</v>
      </c>
      <c r="C152" s="224">
        <f t="shared" ref="C152:E152" si="13">SUM(C146:C151)</f>
        <v>622658000</v>
      </c>
      <c r="D152" s="224">
        <f t="shared" si="13"/>
        <v>2171512242.52</v>
      </c>
      <c r="E152" s="224">
        <f t="shared" si="13"/>
        <v>3907740020.3600006</v>
      </c>
    </row>
    <row r="155" spans="1:5" ht="15" customHeight="1" x14ac:dyDescent="0.25">
      <c r="A155" s="216" t="s">
        <v>115</v>
      </c>
      <c r="B155" s="227" t="s">
        <v>123</v>
      </c>
    </row>
    <row r="156" spans="1:5" ht="15" customHeight="1" x14ac:dyDescent="0.25">
      <c r="A156" s="217" t="s">
        <v>117</v>
      </c>
      <c r="B156" s="277">
        <v>0</v>
      </c>
    </row>
    <row r="157" spans="1:5" ht="15" customHeight="1" x14ac:dyDescent="0.25">
      <c r="A157" s="217" t="s">
        <v>118</v>
      </c>
      <c r="B157" s="277">
        <v>0</v>
      </c>
    </row>
    <row r="158" spans="1:5" ht="15" customHeight="1" x14ac:dyDescent="0.25">
      <c r="A158" s="218" t="s">
        <v>114</v>
      </c>
      <c r="B158" s="278">
        <v>0</v>
      </c>
    </row>
    <row r="159" spans="1:5" ht="15" customHeight="1" x14ac:dyDescent="0.25">
      <c r="A159" s="217" t="s">
        <v>83</v>
      </c>
      <c r="B159" s="277">
        <v>0</v>
      </c>
    </row>
    <row r="160" spans="1:5" ht="15" customHeight="1" x14ac:dyDescent="0.25">
      <c r="A160" s="217"/>
      <c r="B160" s="277"/>
    </row>
    <row r="161" spans="1:8" ht="15" customHeight="1" thickBot="1" x14ac:dyDescent="0.3">
      <c r="A161" s="219"/>
      <c r="B161" s="279"/>
    </row>
    <row r="162" spans="1:8" ht="15" customHeight="1" thickBot="1" x14ac:dyDescent="0.3">
      <c r="A162" s="220" t="s">
        <v>169</v>
      </c>
      <c r="B162" s="280">
        <f>SUM(B156:B161)</f>
        <v>0</v>
      </c>
    </row>
    <row r="163" spans="1:8" ht="15" customHeight="1" x14ac:dyDescent="0.25">
      <c r="H163" s="231"/>
    </row>
  </sheetData>
  <mergeCells count="27">
    <mergeCell ref="A16:A18"/>
    <mergeCell ref="A1:F1"/>
    <mergeCell ref="A7:F7"/>
    <mergeCell ref="A8:F8"/>
    <mergeCell ref="A9:F9"/>
    <mergeCell ref="A13:A15"/>
    <mergeCell ref="A81:E81"/>
    <mergeCell ref="A19:A21"/>
    <mergeCell ref="A22:A24"/>
    <mergeCell ref="A30:F30"/>
    <mergeCell ref="A31:F31"/>
    <mergeCell ref="A32:F32"/>
    <mergeCell ref="A51:E51"/>
    <mergeCell ref="A52:E52"/>
    <mergeCell ref="A53:E53"/>
    <mergeCell ref="A66:E66"/>
    <mergeCell ref="A67:E67"/>
    <mergeCell ref="A68:E68"/>
    <mergeCell ref="A114:E114"/>
    <mergeCell ref="A115:E115"/>
    <mergeCell ref="A133:B133"/>
    <mergeCell ref="A82:E82"/>
    <mergeCell ref="A83:E83"/>
    <mergeCell ref="A98:E98"/>
    <mergeCell ref="A99:E99"/>
    <mergeCell ref="A100:E100"/>
    <mergeCell ref="A113:E113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27"/>
  <sheetViews>
    <sheetView zoomScale="90" zoomScaleNormal="90" workbookViewId="0">
      <selection activeCell="E108" sqref="E108"/>
    </sheetView>
  </sheetViews>
  <sheetFormatPr baseColWidth="10" defaultColWidth="11.5703125" defaultRowHeight="15" x14ac:dyDescent="0.25"/>
  <cols>
    <col min="1" max="1" width="65.5703125" style="21" customWidth="1"/>
    <col min="2" max="2" width="23.28515625" style="15" customWidth="1"/>
    <col min="3" max="3" width="18.5703125" style="15" customWidth="1"/>
    <col min="4" max="4" width="16.85546875" style="15" bestFit="1" customWidth="1"/>
    <col min="5" max="5" width="17.42578125" style="15" customWidth="1"/>
    <col min="6" max="6" width="11.5703125" style="15"/>
    <col min="7" max="7" width="15.140625" style="15" bestFit="1" customWidth="1"/>
    <col min="8" max="8" width="13.5703125" style="15" bestFit="1" customWidth="1"/>
    <col min="9" max="9" width="14.28515625" style="15" bestFit="1" customWidth="1"/>
    <col min="10" max="16384" width="11.5703125" style="15"/>
  </cols>
  <sheetData>
    <row r="1" spans="1:6" ht="15" customHeight="1" x14ac:dyDescent="0.25">
      <c r="A1" s="294" t="s">
        <v>20</v>
      </c>
      <c r="B1" s="294"/>
      <c r="C1" s="294"/>
      <c r="D1" s="294"/>
      <c r="E1" s="294"/>
    </row>
    <row r="2" spans="1:6" ht="15" customHeight="1" x14ac:dyDescent="0.25">
      <c r="A2" s="3" t="s">
        <v>0</v>
      </c>
      <c r="B2" s="4" t="s">
        <v>22</v>
      </c>
      <c r="C2" s="16"/>
      <c r="D2" s="16"/>
    </row>
    <row r="3" spans="1:6" ht="15" customHeight="1" x14ac:dyDescent="0.25">
      <c r="A3" s="3" t="s">
        <v>1</v>
      </c>
      <c r="B3" s="4" t="s">
        <v>21</v>
      </c>
      <c r="C3" s="16"/>
      <c r="D3" s="16"/>
    </row>
    <row r="4" spans="1:6" ht="15" customHeight="1" x14ac:dyDescent="0.25">
      <c r="A4" s="3" t="s">
        <v>11</v>
      </c>
      <c r="B4" s="16" t="s">
        <v>61</v>
      </c>
      <c r="C4" s="16"/>
      <c r="D4" s="16"/>
    </row>
    <row r="5" spans="1:6" ht="15" customHeight="1" x14ac:dyDescent="0.25">
      <c r="A5" s="3" t="s">
        <v>53</v>
      </c>
      <c r="B5" s="17" t="s">
        <v>147</v>
      </c>
      <c r="C5" s="16"/>
      <c r="D5" s="16"/>
    </row>
    <row r="6" spans="1:6" ht="15" customHeight="1" x14ac:dyDescent="0.25"/>
    <row r="7" spans="1:6" ht="15" customHeight="1" x14ac:dyDescent="0.25">
      <c r="A7" s="294" t="s">
        <v>9</v>
      </c>
      <c r="B7" s="294"/>
      <c r="C7" s="294"/>
      <c r="D7" s="294"/>
      <c r="E7" s="294"/>
    </row>
    <row r="8" spans="1:6" ht="15" customHeight="1" x14ac:dyDescent="0.25">
      <c r="A8" s="294" t="s">
        <v>12</v>
      </c>
      <c r="B8" s="294"/>
      <c r="C8" s="294"/>
      <c r="D8" s="294"/>
      <c r="E8" s="294"/>
    </row>
    <row r="9" spans="1:6" ht="15" customHeight="1" x14ac:dyDescent="0.25">
      <c r="A9" s="295" t="s">
        <v>50</v>
      </c>
      <c r="B9" s="295"/>
      <c r="C9" s="295"/>
      <c r="D9" s="295"/>
      <c r="E9" s="295"/>
    </row>
    <row r="10" spans="1:6" ht="15" customHeight="1" x14ac:dyDescent="0.25">
      <c r="A10" s="293"/>
      <c r="B10" s="293"/>
      <c r="C10" s="293"/>
      <c r="D10" s="293"/>
      <c r="E10" s="293"/>
    </row>
    <row r="11" spans="1:6" ht="15" customHeight="1" thickBot="1" x14ac:dyDescent="0.3">
      <c r="A11" s="40" t="s">
        <v>64</v>
      </c>
      <c r="B11" s="33"/>
      <c r="C11" s="33" t="s">
        <v>6</v>
      </c>
      <c r="D11" s="33" t="s">
        <v>30</v>
      </c>
      <c r="E11" s="45" t="s">
        <v>68</v>
      </c>
      <c r="F11" s="37"/>
    </row>
    <row r="12" spans="1:6" ht="15" customHeight="1" x14ac:dyDescent="0.25">
      <c r="F12" s="28"/>
    </row>
    <row r="13" spans="1:6" ht="15" customHeight="1" x14ac:dyDescent="0.25">
      <c r="A13" s="296" t="s">
        <v>23</v>
      </c>
      <c r="B13" s="151" t="s">
        <v>58</v>
      </c>
      <c r="C13" s="152">
        <f>+'I T'!F13</f>
        <v>123</v>
      </c>
      <c r="D13" s="152">
        <f>+'II T'!F13</f>
        <v>85</v>
      </c>
      <c r="E13" s="153">
        <f>D13</f>
        <v>85</v>
      </c>
      <c r="F13" s="53"/>
    </row>
    <row r="14" spans="1:6" ht="15" customHeight="1" x14ac:dyDescent="0.25">
      <c r="A14" s="296"/>
      <c r="B14" s="151" t="s">
        <v>59</v>
      </c>
      <c r="C14" s="152">
        <f>+'I T'!F14</f>
        <v>1496</v>
      </c>
      <c r="D14" s="152">
        <f>+'II T'!F14</f>
        <v>1591.3333333333333</v>
      </c>
      <c r="E14" s="153">
        <f t="shared" ref="E14:E27" si="0">+(C14+D14)/2</f>
        <v>1543.6666666666665</v>
      </c>
      <c r="F14" s="28"/>
    </row>
    <row r="15" spans="1:6" ht="15" customHeight="1" x14ac:dyDescent="0.25">
      <c r="A15" s="296"/>
      <c r="B15" s="151" t="s">
        <v>60</v>
      </c>
      <c r="C15" s="152">
        <f>+'I T'!F15</f>
        <v>95.666666666666671</v>
      </c>
      <c r="D15" s="152">
        <f>+'II T'!F15</f>
        <v>86</v>
      </c>
      <c r="E15" s="153">
        <f t="shared" si="0"/>
        <v>90.833333333333343</v>
      </c>
      <c r="F15" s="28"/>
    </row>
    <row r="16" spans="1:6" ht="15" customHeight="1" x14ac:dyDescent="0.25">
      <c r="A16" s="297" t="s">
        <v>24</v>
      </c>
      <c r="B16" s="158" t="s">
        <v>58</v>
      </c>
      <c r="C16" s="159">
        <f>+'I T'!F16</f>
        <v>279</v>
      </c>
      <c r="D16" s="159">
        <f>+'II T'!F16</f>
        <v>174</v>
      </c>
      <c r="E16" s="160">
        <f>D16</f>
        <v>174</v>
      </c>
      <c r="F16" s="53"/>
    </row>
    <row r="17" spans="1:6" ht="15" customHeight="1" x14ac:dyDescent="0.25">
      <c r="A17" s="297"/>
      <c r="B17" s="158" t="s">
        <v>59</v>
      </c>
      <c r="C17" s="159">
        <f>+'I T'!F17</f>
        <v>1145.6666666666667</v>
      </c>
      <c r="D17" s="159">
        <f>+'II T'!F17</f>
        <v>1236.6666666666667</v>
      </c>
      <c r="E17" s="160">
        <f t="shared" si="0"/>
        <v>1191.1666666666667</v>
      </c>
      <c r="F17" s="28"/>
    </row>
    <row r="18" spans="1:6" ht="15" customHeight="1" x14ac:dyDescent="0.25">
      <c r="A18" s="297"/>
      <c r="B18" s="158" t="s">
        <v>60</v>
      </c>
      <c r="C18" s="159">
        <f>+'I T'!F18</f>
        <v>97.666666666666671</v>
      </c>
      <c r="D18" s="159">
        <f>+'II T'!F18</f>
        <v>122</v>
      </c>
      <c r="E18" s="160">
        <f t="shared" si="0"/>
        <v>109.83333333333334</v>
      </c>
      <c r="F18" s="28"/>
    </row>
    <row r="19" spans="1:6" ht="15" customHeight="1" x14ac:dyDescent="0.25">
      <c r="A19" s="298" t="s">
        <v>25</v>
      </c>
      <c r="B19" s="151" t="s">
        <v>58</v>
      </c>
      <c r="C19" s="152">
        <f>+'I T'!F19</f>
        <v>461</v>
      </c>
      <c r="D19" s="152">
        <f>+'II T'!F19</f>
        <v>132</v>
      </c>
      <c r="E19" s="153">
        <f>D19</f>
        <v>132</v>
      </c>
      <c r="F19" s="53"/>
    </row>
    <row r="20" spans="1:6" ht="15" customHeight="1" x14ac:dyDescent="0.25">
      <c r="A20" s="298"/>
      <c r="B20" s="151" t="s">
        <v>59</v>
      </c>
      <c r="C20" s="152">
        <f>+'I T'!F20</f>
        <v>10042.333333333334</v>
      </c>
      <c r="D20" s="152">
        <f>+'II T'!F20</f>
        <v>10897.666666666666</v>
      </c>
      <c r="E20" s="152">
        <f t="shared" si="0"/>
        <v>10470</v>
      </c>
      <c r="F20" s="28"/>
    </row>
    <row r="21" spans="1:6" ht="15" customHeight="1" x14ac:dyDescent="0.25">
      <c r="A21" s="298"/>
      <c r="B21" s="151" t="s">
        <v>60</v>
      </c>
      <c r="C21" s="152">
        <f>+'I T'!F21</f>
        <v>733.33333333333337</v>
      </c>
      <c r="D21" s="152">
        <f>+'II T'!F21</f>
        <v>342.33333333333331</v>
      </c>
      <c r="E21" s="152">
        <f t="shared" si="0"/>
        <v>537.83333333333337</v>
      </c>
      <c r="F21" s="28"/>
    </row>
    <row r="22" spans="1:6" ht="15" customHeight="1" x14ac:dyDescent="0.25">
      <c r="A22" s="154" t="s">
        <v>75</v>
      </c>
      <c r="B22" s="155" t="s">
        <v>58</v>
      </c>
      <c r="C22" s="156">
        <f>+'I T'!F22</f>
        <v>39</v>
      </c>
      <c r="D22" s="156">
        <f>+'II T'!F22</f>
        <v>124</v>
      </c>
      <c r="E22" s="156">
        <f>D22</f>
        <v>124</v>
      </c>
      <c r="F22" s="28"/>
    </row>
    <row r="23" spans="1:6" ht="15" customHeight="1" x14ac:dyDescent="0.25">
      <c r="A23" s="157"/>
      <c r="B23" s="155" t="s">
        <v>59</v>
      </c>
      <c r="C23" s="156">
        <f>+'I T'!F23</f>
        <v>644.66666666666663</v>
      </c>
      <c r="D23" s="156">
        <f>+'II T'!F23</f>
        <v>645</v>
      </c>
      <c r="E23" s="156">
        <f t="shared" si="0"/>
        <v>644.83333333333326</v>
      </c>
      <c r="F23" s="28"/>
    </row>
    <row r="24" spans="1:6" ht="15" customHeight="1" x14ac:dyDescent="0.25">
      <c r="A24" s="157"/>
      <c r="B24" s="155" t="s">
        <v>60</v>
      </c>
      <c r="C24" s="156">
        <f>+'I T'!F24</f>
        <v>24</v>
      </c>
      <c r="D24" s="156">
        <f>+'II T'!F24</f>
        <v>16.333333333333332</v>
      </c>
      <c r="E24" s="156">
        <f t="shared" si="0"/>
        <v>20.166666666666664</v>
      </c>
      <c r="F24" s="28"/>
    </row>
    <row r="25" spans="1:6" ht="15" customHeight="1" x14ac:dyDescent="0.25">
      <c r="A25" s="69"/>
      <c r="B25" s="8"/>
      <c r="F25" s="28"/>
    </row>
    <row r="26" spans="1:6" ht="15" customHeight="1" x14ac:dyDescent="0.25">
      <c r="A26" s="23"/>
      <c r="F26" s="28"/>
    </row>
    <row r="27" spans="1:6" ht="15" customHeight="1" thickBot="1" x14ac:dyDescent="0.3">
      <c r="A27" s="24" t="s">
        <v>13</v>
      </c>
      <c r="B27" s="25"/>
      <c r="C27" s="25">
        <f>+C14+C15+C17+C18+C20+C21+C23+C24</f>
        <v>14279.333333333334</v>
      </c>
      <c r="D27" s="25">
        <f>+D14+D15+D17+D18+D20+D21+D23+D24</f>
        <v>14937.333333333334</v>
      </c>
      <c r="E27" s="25">
        <f t="shared" si="0"/>
        <v>14608.333333333334</v>
      </c>
      <c r="F27" s="28"/>
    </row>
    <row r="28" spans="1:6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6" ht="15" customHeight="1" x14ac:dyDescent="0.25">
      <c r="A29" s="52" t="s">
        <v>72</v>
      </c>
    </row>
    <row r="30" spans="1:6" ht="15" customHeight="1" x14ac:dyDescent="0.25">
      <c r="A30" s="1"/>
    </row>
    <row r="31" spans="1:6" ht="15" customHeight="1" x14ac:dyDescent="0.25"/>
    <row r="32" spans="1:6" ht="15" customHeight="1" x14ac:dyDescent="0.25">
      <c r="A32" s="295" t="s">
        <v>14</v>
      </c>
      <c r="B32" s="295"/>
      <c r="C32" s="295"/>
      <c r="D32" s="295"/>
      <c r="E32" s="295"/>
    </row>
    <row r="33" spans="1:5" ht="15" customHeight="1" x14ac:dyDescent="0.25">
      <c r="A33" s="294" t="s">
        <v>31</v>
      </c>
      <c r="B33" s="294"/>
      <c r="C33" s="294"/>
      <c r="D33" s="294"/>
      <c r="E33" s="294"/>
    </row>
    <row r="34" spans="1:5" ht="15" customHeight="1" x14ac:dyDescent="0.25">
      <c r="A34" s="295" t="s">
        <v>52</v>
      </c>
      <c r="B34" s="295"/>
      <c r="C34" s="295"/>
      <c r="D34" s="295"/>
      <c r="E34" s="295"/>
    </row>
    <row r="35" spans="1:5" ht="15" customHeight="1" x14ac:dyDescent="0.25">
      <c r="A35" s="293"/>
      <c r="B35" s="293"/>
      <c r="C35" s="293"/>
      <c r="D35" s="293"/>
    </row>
    <row r="36" spans="1:5" ht="15" customHeight="1" thickBot="1" x14ac:dyDescent="0.3">
      <c r="A36" s="40" t="s">
        <v>64</v>
      </c>
      <c r="B36" s="19"/>
      <c r="C36" s="19" t="s">
        <v>6</v>
      </c>
      <c r="D36" s="19" t="s">
        <v>30</v>
      </c>
      <c r="E36" s="19" t="s">
        <v>41</v>
      </c>
    </row>
    <row r="37" spans="1:5" ht="15" customHeight="1" x14ac:dyDescent="0.25"/>
    <row r="38" spans="1:5" ht="15" customHeight="1" x14ac:dyDescent="0.25">
      <c r="A38" s="23" t="s">
        <v>23</v>
      </c>
      <c r="B38" s="15" t="s">
        <v>56</v>
      </c>
      <c r="C38" s="15">
        <f>+'I T'!F36</f>
        <v>807840000</v>
      </c>
      <c r="D38" s="86">
        <f>+'II T'!F36</f>
        <v>859320000</v>
      </c>
      <c r="E38" s="15">
        <f t="shared" ref="E38:E43" si="1">+C38+D38</f>
        <v>1667160000</v>
      </c>
    </row>
    <row r="39" spans="1:5" ht="15" customHeight="1" x14ac:dyDescent="0.25">
      <c r="A39" s="23"/>
      <c r="B39" s="15" t="s">
        <v>55</v>
      </c>
      <c r="C39" s="15">
        <f>+'I T'!F37</f>
        <v>51660000</v>
      </c>
      <c r="D39" s="86">
        <f>+'II T'!F37</f>
        <v>46440000</v>
      </c>
      <c r="E39" s="15">
        <f t="shared" si="1"/>
        <v>98100000</v>
      </c>
    </row>
    <row r="40" spans="1:5" ht="15" customHeight="1" x14ac:dyDescent="0.25">
      <c r="A40" s="23" t="s">
        <v>24</v>
      </c>
      <c r="B40" s="15" t="s">
        <v>56</v>
      </c>
      <c r="C40" s="15">
        <f>+'I T'!F38</f>
        <v>247464000</v>
      </c>
      <c r="D40" s="86">
        <f>+'II T'!F38</f>
        <v>267120000</v>
      </c>
      <c r="E40" s="15">
        <f t="shared" si="1"/>
        <v>514584000</v>
      </c>
    </row>
    <row r="41" spans="1:5" ht="15" customHeight="1" x14ac:dyDescent="0.25">
      <c r="A41" s="23"/>
      <c r="B41" s="15" t="s">
        <v>55</v>
      </c>
      <c r="C41" s="15">
        <f>+'I T'!F39</f>
        <v>21096000</v>
      </c>
      <c r="D41" s="86">
        <f>+'II T'!F39</f>
        <v>26352000</v>
      </c>
      <c r="E41" s="15">
        <f t="shared" si="1"/>
        <v>47448000</v>
      </c>
    </row>
    <row r="42" spans="1:5" ht="15" customHeight="1" x14ac:dyDescent="0.25">
      <c r="A42" s="23" t="s">
        <v>25</v>
      </c>
      <c r="B42" s="15" t="s">
        <v>56</v>
      </c>
      <c r="C42" s="15">
        <f>+'I T'!F40</f>
        <v>1628105139.3400002</v>
      </c>
      <c r="D42" s="86">
        <f>+'II T'!F40</f>
        <v>1773770147.0066667</v>
      </c>
      <c r="E42" s="15">
        <f t="shared" si="1"/>
        <v>3401875286.3466668</v>
      </c>
    </row>
    <row r="43" spans="1:5" ht="15" customHeight="1" x14ac:dyDescent="0.25">
      <c r="A43" s="23"/>
      <c r="B43" s="15" t="s">
        <v>55</v>
      </c>
      <c r="C43" s="15">
        <f>+'I T'!F41</f>
        <v>135298683.66</v>
      </c>
      <c r="D43" s="86">
        <f>+'II T'!F41</f>
        <v>47884570</v>
      </c>
      <c r="E43" s="15">
        <f t="shared" si="1"/>
        <v>183183253.66</v>
      </c>
    </row>
    <row r="44" spans="1:5" ht="15" customHeight="1" x14ac:dyDescent="0.25">
      <c r="A44" s="70" t="s">
        <v>75</v>
      </c>
      <c r="B44" s="49" t="s">
        <v>56</v>
      </c>
      <c r="C44" s="74">
        <f>+'I T'!F42</f>
        <v>695200000</v>
      </c>
      <c r="D44" s="74">
        <f>+'II T'!F42</f>
        <v>686650000</v>
      </c>
      <c r="E44" s="74">
        <f>+C44+D44</f>
        <v>1381850000</v>
      </c>
    </row>
    <row r="45" spans="1:5" ht="15" customHeight="1" x14ac:dyDescent="0.25">
      <c r="A45" s="70"/>
      <c r="B45" s="49" t="s">
        <v>55</v>
      </c>
      <c r="C45" s="74">
        <f>+'I T'!F43</f>
        <v>35200000</v>
      </c>
      <c r="D45" s="74">
        <f>+'II T'!F43</f>
        <v>17600000</v>
      </c>
      <c r="E45" s="74">
        <f>+C45+D45</f>
        <v>52800000</v>
      </c>
    </row>
    <row r="46" spans="1:5" ht="15" customHeight="1" thickBot="1" x14ac:dyDescent="0.3">
      <c r="A46" s="24" t="s">
        <v>13</v>
      </c>
      <c r="B46" s="25"/>
      <c r="C46" s="25">
        <f>SUM(C38:C45)</f>
        <v>3621863823</v>
      </c>
      <c r="D46" s="25">
        <f>SUM(D38:D45)</f>
        <v>3725136717.0066667</v>
      </c>
      <c r="E46" s="25">
        <f>SUM(E38:E45)</f>
        <v>7347000540.0066662</v>
      </c>
    </row>
    <row r="47" spans="1:5" ht="15" customHeight="1" thickTop="1" x14ac:dyDescent="0.25">
      <c r="A47" s="27" t="s">
        <v>42</v>
      </c>
      <c r="E47" s="28"/>
    </row>
    <row r="48" spans="1:5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1" spans="1:5" ht="15" customHeight="1" x14ac:dyDescent="0.25"/>
    <row r="52" spans="1:5" ht="15" customHeight="1" x14ac:dyDescent="0.25">
      <c r="A52" s="294" t="s">
        <v>15</v>
      </c>
      <c r="B52" s="294"/>
      <c r="C52" s="294"/>
      <c r="D52" s="294"/>
    </row>
    <row r="53" spans="1:5" ht="15" customHeight="1" x14ac:dyDescent="0.25">
      <c r="A53" s="294" t="s">
        <v>32</v>
      </c>
      <c r="B53" s="294"/>
      <c r="C53" s="294"/>
      <c r="D53" s="294"/>
    </row>
    <row r="54" spans="1:5" ht="15" customHeight="1" x14ac:dyDescent="0.25">
      <c r="A54" s="295" t="s">
        <v>52</v>
      </c>
      <c r="B54" s="295"/>
      <c r="C54" s="295"/>
      <c r="D54" s="295"/>
    </row>
    <row r="55" spans="1:5" ht="15" customHeight="1" x14ac:dyDescent="0.25">
      <c r="A55" s="293"/>
      <c r="B55" s="293"/>
      <c r="C55" s="293"/>
      <c r="D55" s="293"/>
    </row>
    <row r="56" spans="1:5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41</v>
      </c>
      <c r="E56" s="37"/>
    </row>
    <row r="57" spans="1:5" ht="15" customHeight="1" x14ac:dyDescent="0.25">
      <c r="E57" s="28"/>
    </row>
    <row r="58" spans="1:5" ht="15" customHeight="1" x14ac:dyDescent="0.25">
      <c r="A58" s="112" t="s">
        <v>148</v>
      </c>
      <c r="B58" s="15">
        <f>+'I T'!E57</f>
        <v>859500000</v>
      </c>
      <c r="C58" s="86">
        <f>+'II T'!E57</f>
        <v>905760000</v>
      </c>
      <c r="D58" s="15">
        <f>+B58+C58</f>
        <v>1765260000</v>
      </c>
      <c r="E58" s="28"/>
    </row>
    <row r="59" spans="1:5" s="86" customFormat="1" ht="15" customHeight="1" x14ac:dyDescent="0.25">
      <c r="A59" s="112" t="s">
        <v>149</v>
      </c>
      <c r="B59" s="86">
        <f>+'I T'!E58</f>
        <v>268560000</v>
      </c>
      <c r="C59" s="86">
        <f>+'II T'!E58</f>
        <v>293472000</v>
      </c>
      <c r="D59" s="86">
        <f>+B59+C59</f>
        <v>562032000</v>
      </c>
      <c r="E59" s="28"/>
    </row>
    <row r="60" spans="1:5" ht="15" customHeight="1" x14ac:dyDescent="0.25">
      <c r="A60" s="21" t="s">
        <v>43</v>
      </c>
      <c r="B60" s="15">
        <f>+'I T'!E59</f>
        <v>1763403823</v>
      </c>
      <c r="C60" s="86">
        <f>+'II T'!E59</f>
        <v>1821654717.0066667</v>
      </c>
      <c r="D60" s="15">
        <f>+B60+C60</f>
        <v>3585058540.0066667</v>
      </c>
      <c r="E60" s="28"/>
    </row>
    <row r="61" spans="1:5" ht="15" customHeight="1" x14ac:dyDescent="0.25">
      <c r="A61" s="82" t="s">
        <v>76</v>
      </c>
      <c r="B61" s="15">
        <f>+'I T'!E60</f>
        <v>730400000</v>
      </c>
      <c r="C61" s="86">
        <f>+'II T'!E60</f>
        <v>704250000</v>
      </c>
      <c r="D61" s="15">
        <f>+B61+C61</f>
        <v>1434650000</v>
      </c>
      <c r="E61" s="28"/>
    </row>
    <row r="62" spans="1:5" ht="15" customHeight="1" x14ac:dyDescent="0.25">
      <c r="E62" s="28"/>
    </row>
    <row r="63" spans="1:5" ht="15" customHeight="1" x14ac:dyDescent="0.25">
      <c r="E63" s="28"/>
    </row>
    <row r="64" spans="1:5" ht="15" customHeight="1" thickBot="1" x14ac:dyDescent="0.3">
      <c r="A64" s="24" t="s">
        <v>13</v>
      </c>
      <c r="B64" s="25">
        <f>SUM(B58:B63)</f>
        <v>3621863823</v>
      </c>
      <c r="C64" s="25">
        <f>SUM(C58:C63)</f>
        <v>3725136717.0066667</v>
      </c>
      <c r="D64" s="25">
        <f>SUM(D58:D63)</f>
        <v>7347000540.0066662</v>
      </c>
      <c r="E64" s="28"/>
    </row>
    <row r="65" spans="1:5" ht="15" customHeight="1" thickTop="1" x14ac:dyDescent="0.25">
      <c r="A65" s="52" t="s">
        <v>72</v>
      </c>
    </row>
    <row r="66" spans="1:5" ht="15" customHeight="1" x14ac:dyDescent="0.25">
      <c r="A66" s="1"/>
    </row>
    <row r="67" spans="1:5" ht="15" customHeight="1" x14ac:dyDescent="0.25"/>
    <row r="68" spans="1:5" ht="15" customHeight="1" x14ac:dyDescent="0.25">
      <c r="A68" s="294" t="s">
        <v>44</v>
      </c>
      <c r="B68" s="294"/>
      <c r="C68" s="294"/>
      <c r="D68" s="294"/>
    </row>
    <row r="69" spans="1:5" ht="15" customHeight="1" x14ac:dyDescent="0.25">
      <c r="A69" s="283" t="s">
        <v>108</v>
      </c>
      <c r="B69" s="283"/>
      <c r="C69" s="283"/>
      <c r="D69" s="283"/>
      <c r="E69" s="283"/>
    </row>
    <row r="70" spans="1:5" ht="15" customHeight="1" x14ac:dyDescent="0.25">
      <c r="A70" s="295" t="s">
        <v>52</v>
      </c>
      <c r="B70" s="295"/>
      <c r="C70" s="295"/>
      <c r="D70" s="295"/>
    </row>
    <row r="71" spans="1:5" ht="15" customHeight="1" x14ac:dyDescent="0.25">
      <c r="A71" s="293"/>
      <c r="B71" s="293"/>
      <c r="C71" s="293"/>
      <c r="D71" s="293"/>
    </row>
    <row r="72" spans="1:5" ht="15" customHeight="1" thickBot="1" x14ac:dyDescent="0.3">
      <c r="A72" s="32" t="s">
        <v>10</v>
      </c>
      <c r="B72" s="33" t="s">
        <v>6</v>
      </c>
      <c r="C72" s="33" t="s">
        <v>30</v>
      </c>
      <c r="D72" s="33" t="s">
        <v>41</v>
      </c>
      <c r="E72" s="37"/>
    </row>
    <row r="73" spans="1:5" ht="15" customHeight="1" x14ac:dyDescent="0.25">
      <c r="E73" s="28"/>
    </row>
    <row r="74" spans="1:5" ht="15" customHeight="1" x14ac:dyDescent="0.25">
      <c r="A74" s="15" t="s">
        <v>62</v>
      </c>
      <c r="B74" s="15">
        <f>+'I T'!E72</f>
        <v>0</v>
      </c>
      <c r="C74" s="86">
        <f>+'II T'!E72</f>
        <v>0</v>
      </c>
      <c r="D74" s="15">
        <f>B74</f>
        <v>0</v>
      </c>
      <c r="E74" s="28"/>
    </row>
    <row r="75" spans="1:5" ht="15" customHeight="1" x14ac:dyDescent="0.25">
      <c r="A75" s="15" t="s">
        <v>16</v>
      </c>
      <c r="B75" s="15">
        <f>+'I T'!E73</f>
        <v>859500000</v>
      </c>
      <c r="C75" s="86">
        <f>+'II T'!E73</f>
        <v>905760000</v>
      </c>
      <c r="D75" s="15">
        <f>+B75+C75</f>
        <v>1765260000</v>
      </c>
      <c r="E75" s="28"/>
    </row>
    <row r="76" spans="1:5" ht="15" customHeight="1" x14ac:dyDescent="0.25">
      <c r="A76" s="15" t="s">
        <v>17</v>
      </c>
      <c r="B76" s="15">
        <f>+'I T'!E74</f>
        <v>859500000</v>
      </c>
      <c r="C76" s="86">
        <f>+'II T'!E74</f>
        <v>905760000</v>
      </c>
      <c r="D76" s="15">
        <f>+D74+D75</f>
        <v>1765260000</v>
      </c>
      <c r="E76" s="28"/>
    </row>
    <row r="77" spans="1:5" ht="15" customHeight="1" x14ac:dyDescent="0.25">
      <c r="A77" s="15" t="s">
        <v>18</v>
      </c>
      <c r="B77" s="15">
        <f>+'I T'!E75</f>
        <v>859500000</v>
      </c>
      <c r="C77" s="86">
        <f>+'II T'!E75</f>
        <v>905760000</v>
      </c>
      <c r="D77" s="15">
        <f>+B77+C77</f>
        <v>1765260000</v>
      </c>
      <c r="E77" s="28"/>
    </row>
    <row r="78" spans="1:5" ht="15" customHeight="1" x14ac:dyDescent="0.25">
      <c r="A78" s="28" t="s">
        <v>19</v>
      </c>
      <c r="B78" s="28">
        <f>+'I T'!E76</f>
        <v>0</v>
      </c>
      <c r="C78" s="28">
        <f>+'II T'!E76</f>
        <v>0</v>
      </c>
      <c r="D78" s="28">
        <f>+D76-D77</f>
        <v>0</v>
      </c>
      <c r="E78" s="28"/>
    </row>
    <row r="79" spans="1:5" ht="15" customHeight="1" thickBot="1" x14ac:dyDescent="0.3">
      <c r="A79" s="25"/>
      <c r="B79" s="25"/>
      <c r="C79" s="25"/>
      <c r="D79" s="25"/>
      <c r="E79" s="28"/>
    </row>
    <row r="80" spans="1:5" ht="15" customHeight="1" thickTop="1" x14ac:dyDescent="0.25">
      <c r="A80" s="52" t="s">
        <v>72</v>
      </c>
    </row>
    <row r="81" spans="1:5" ht="15" customHeight="1" x14ac:dyDescent="0.25">
      <c r="A81" s="1"/>
    </row>
    <row r="82" spans="1:5" s="86" customFormat="1" ht="15" customHeight="1" x14ac:dyDescent="0.25">
      <c r="A82" s="85"/>
    </row>
    <row r="83" spans="1:5" s="86" customFormat="1" ht="15" customHeight="1" x14ac:dyDescent="0.25">
      <c r="A83" s="294" t="s">
        <v>45</v>
      </c>
      <c r="B83" s="294"/>
      <c r="C83" s="294"/>
      <c r="D83" s="294"/>
    </row>
    <row r="84" spans="1:5" s="86" customFormat="1" ht="15" customHeight="1" x14ac:dyDescent="0.25">
      <c r="A84" s="283" t="s">
        <v>106</v>
      </c>
      <c r="B84" s="283"/>
      <c r="C84" s="283"/>
      <c r="D84" s="283"/>
      <c r="E84" s="283"/>
    </row>
    <row r="85" spans="1:5" s="86" customFormat="1" ht="15" customHeight="1" x14ac:dyDescent="0.25">
      <c r="A85" s="295" t="s">
        <v>52</v>
      </c>
      <c r="B85" s="295"/>
      <c r="C85" s="295"/>
      <c r="D85" s="295"/>
    </row>
    <row r="86" spans="1:5" s="86" customFormat="1" ht="15" customHeight="1" x14ac:dyDescent="0.25">
      <c r="A86" s="293"/>
      <c r="B86" s="293"/>
      <c r="C86" s="293"/>
      <c r="D86" s="293"/>
    </row>
    <row r="87" spans="1:5" s="86" customFormat="1" ht="15" customHeight="1" thickBot="1" x14ac:dyDescent="0.3">
      <c r="A87" s="32" t="s">
        <v>10</v>
      </c>
      <c r="B87" s="33" t="s">
        <v>6</v>
      </c>
      <c r="C87" s="33" t="s">
        <v>30</v>
      </c>
      <c r="D87" s="33" t="s">
        <v>41</v>
      </c>
      <c r="E87" s="37"/>
    </row>
    <row r="88" spans="1:5" s="86" customFormat="1" ht="15" customHeight="1" x14ac:dyDescent="0.25">
      <c r="A88" s="87"/>
      <c r="E88" s="28"/>
    </row>
    <row r="89" spans="1:5" s="86" customFormat="1" ht="15" customHeight="1" x14ac:dyDescent="0.25">
      <c r="A89" s="86" t="s">
        <v>62</v>
      </c>
      <c r="B89" s="86">
        <f>+'I T'!E87</f>
        <v>0</v>
      </c>
      <c r="C89" s="86">
        <f>+'II T'!E87</f>
        <v>0</v>
      </c>
      <c r="D89" s="86">
        <f>B89</f>
        <v>0</v>
      </c>
      <c r="E89" s="28"/>
    </row>
    <row r="90" spans="1:5" s="86" customFormat="1" ht="15" customHeight="1" x14ac:dyDescent="0.25">
      <c r="A90" s="86" t="s">
        <v>16</v>
      </c>
      <c r="B90" s="86">
        <f>+'I T'!E88</f>
        <v>268560000</v>
      </c>
      <c r="C90" s="86">
        <f>+'II T'!E88</f>
        <v>293472000</v>
      </c>
      <c r="D90" s="86">
        <f>+B90+C90</f>
        <v>562032000</v>
      </c>
      <c r="E90" s="28"/>
    </row>
    <row r="91" spans="1:5" s="86" customFormat="1" ht="15" customHeight="1" x14ac:dyDescent="0.25">
      <c r="A91" s="86" t="s">
        <v>17</v>
      </c>
      <c r="B91" s="86">
        <f>+'I T'!E89</f>
        <v>268560000</v>
      </c>
      <c r="C91" s="86">
        <f>+'II T'!E89</f>
        <v>293472000</v>
      </c>
      <c r="D91" s="86">
        <f>+D89+D90</f>
        <v>562032000</v>
      </c>
      <c r="E91" s="28"/>
    </row>
    <row r="92" spans="1:5" s="86" customFormat="1" ht="15" customHeight="1" x14ac:dyDescent="0.25">
      <c r="A92" s="208" t="s">
        <v>18</v>
      </c>
      <c r="B92" s="208">
        <f>+'I T'!E90</f>
        <v>268560000</v>
      </c>
      <c r="C92" s="208">
        <f>+'II T'!E90</f>
        <v>293472000</v>
      </c>
      <c r="D92" s="208">
        <f>+B92+C92</f>
        <v>562032000</v>
      </c>
      <c r="E92" s="28"/>
    </row>
    <row r="93" spans="1:5" s="86" customFormat="1" ht="15" customHeight="1" x14ac:dyDescent="0.25">
      <c r="A93" s="28" t="s">
        <v>19</v>
      </c>
      <c r="B93" s="28">
        <f>+'I T'!E91</f>
        <v>0</v>
      </c>
      <c r="C93" s="28">
        <f>+'II T'!E91</f>
        <v>0</v>
      </c>
      <c r="D93" s="28">
        <f>+D91-D92</f>
        <v>0</v>
      </c>
      <c r="E93" s="28"/>
    </row>
    <row r="94" spans="1:5" s="86" customFormat="1" ht="15" customHeight="1" thickBot="1" x14ac:dyDescent="0.3">
      <c r="A94" s="25"/>
      <c r="B94" s="25"/>
      <c r="C94" s="25"/>
      <c r="D94" s="25"/>
      <c r="E94" s="28"/>
    </row>
    <row r="95" spans="1:5" s="86" customFormat="1" ht="15" customHeight="1" thickTop="1" x14ac:dyDescent="0.25">
      <c r="A95" s="85" t="s">
        <v>72</v>
      </c>
    </row>
    <row r="96" spans="1:5" ht="15" customHeight="1" x14ac:dyDescent="0.25">
      <c r="A96" s="15"/>
      <c r="E96" s="16"/>
    </row>
    <row r="97" spans="1:5" ht="15" customHeight="1" x14ac:dyDescent="0.25">
      <c r="A97" s="294" t="s">
        <v>107</v>
      </c>
      <c r="B97" s="294"/>
      <c r="C97" s="294"/>
      <c r="D97" s="294"/>
      <c r="E97" s="16"/>
    </row>
    <row r="98" spans="1:5" x14ac:dyDescent="0.25">
      <c r="A98" s="294" t="s">
        <v>48</v>
      </c>
      <c r="B98" s="294"/>
      <c r="C98" s="294"/>
      <c r="D98" s="294"/>
      <c r="E98" s="16"/>
    </row>
    <row r="99" spans="1:5" x14ac:dyDescent="0.25">
      <c r="A99" s="295" t="s">
        <v>52</v>
      </c>
      <c r="B99" s="295"/>
      <c r="C99" s="295"/>
      <c r="D99" s="295"/>
      <c r="E99" s="16"/>
    </row>
    <row r="100" spans="1:5" x14ac:dyDescent="0.25">
      <c r="A100" s="293"/>
      <c r="B100" s="293"/>
      <c r="C100" s="293"/>
      <c r="D100" s="293"/>
    </row>
    <row r="101" spans="1:5" ht="15.75" thickBot="1" x14ac:dyDescent="0.3">
      <c r="A101" s="32" t="s">
        <v>10</v>
      </c>
      <c r="B101" s="33" t="s">
        <v>6</v>
      </c>
      <c r="C101" s="33" t="s">
        <v>30</v>
      </c>
      <c r="D101" s="33" t="s">
        <v>41</v>
      </c>
    </row>
    <row r="103" spans="1:5" x14ac:dyDescent="0.25">
      <c r="A103" s="15" t="s">
        <v>62</v>
      </c>
      <c r="B103" s="15">
        <f>+'I T'!E104</f>
        <v>0</v>
      </c>
      <c r="C103" s="86">
        <f>+'II T'!E104</f>
        <v>0</v>
      </c>
      <c r="D103" s="15">
        <f>B103</f>
        <v>0</v>
      </c>
    </row>
    <row r="104" spans="1:5" x14ac:dyDescent="0.25">
      <c r="A104" s="15" t="s">
        <v>16</v>
      </c>
      <c r="B104" s="86">
        <f>+'I T'!E105</f>
        <v>1763403823</v>
      </c>
      <c r="C104" s="86">
        <f>+'II T'!E105</f>
        <v>1821654717.0066667</v>
      </c>
      <c r="D104" s="15">
        <f>+B104+C104</f>
        <v>3585058540.0066667</v>
      </c>
    </row>
    <row r="105" spans="1:5" x14ac:dyDescent="0.25">
      <c r="A105" s="15" t="s">
        <v>17</v>
      </c>
      <c r="B105" s="86">
        <f>+'I T'!E106</f>
        <v>1763403823</v>
      </c>
      <c r="C105" s="86">
        <f>+'II T'!E106</f>
        <v>1821654717.0066667</v>
      </c>
      <c r="D105" s="15">
        <f>SUM(D103:D104)</f>
        <v>3585058540.0066667</v>
      </c>
      <c r="E105" s="86"/>
    </row>
    <row r="106" spans="1:5" x14ac:dyDescent="0.25">
      <c r="A106" s="15" t="s">
        <v>18</v>
      </c>
      <c r="B106" s="86">
        <f>+'I T'!E107</f>
        <v>1763403823</v>
      </c>
      <c r="C106" s="86">
        <f>+'II T'!E107</f>
        <v>1821654717.0066667</v>
      </c>
      <c r="D106" s="15">
        <f>SUM(B106:C106)</f>
        <v>3585058540.0066667</v>
      </c>
      <c r="E106" s="86"/>
    </row>
    <row r="107" spans="1:5" x14ac:dyDescent="0.25">
      <c r="A107" s="28" t="s">
        <v>19</v>
      </c>
      <c r="B107" s="86">
        <f>+'I T'!E108</f>
        <v>0</v>
      </c>
      <c r="C107" s="86">
        <f>+'II T'!E108</f>
        <v>0</v>
      </c>
      <c r="D107" s="28">
        <f>+D105-D106</f>
        <v>0</v>
      </c>
    </row>
    <row r="108" spans="1:5" ht="15.75" thickBot="1" x14ac:dyDescent="0.3">
      <c r="A108" s="25"/>
      <c r="B108" s="25"/>
      <c r="C108" s="25"/>
      <c r="D108" s="25"/>
    </row>
    <row r="109" spans="1:5" ht="15.75" thickTop="1" x14ac:dyDescent="0.25">
      <c r="A109" s="52" t="s">
        <v>72</v>
      </c>
    </row>
    <row r="110" spans="1:5" s="86" customFormat="1" x14ac:dyDescent="0.25">
      <c r="A110" s="85"/>
    </row>
    <row r="111" spans="1:5" s="86" customFormat="1" x14ac:dyDescent="0.25">
      <c r="A111" s="85"/>
    </row>
    <row r="112" spans="1:5" s="86" customFormat="1" x14ac:dyDescent="0.25">
      <c r="A112" s="294" t="s">
        <v>110</v>
      </c>
      <c r="B112" s="294"/>
      <c r="C112" s="294"/>
      <c r="D112" s="294"/>
    </row>
    <row r="113" spans="1:5" s="86" customFormat="1" x14ac:dyDescent="0.25">
      <c r="A113" s="294" t="s">
        <v>109</v>
      </c>
      <c r="B113" s="294"/>
      <c r="C113" s="294"/>
      <c r="D113" s="294"/>
      <c r="E113" s="16"/>
    </row>
    <row r="114" spans="1:5" s="86" customFormat="1" x14ac:dyDescent="0.25">
      <c r="A114" s="295" t="s">
        <v>52</v>
      </c>
      <c r="B114" s="295"/>
      <c r="C114" s="295"/>
      <c r="D114" s="295"/>
      <c r="E114" s="16"/>
    </row>
    <row r="115" spans="1:5" s="86" customFormat="1" x14ac:dyDescent="0.25">
      <c r="A115" s="293"/>
      <c r="B115" s="293"/>
      <c r="C115" s="293"/>
      <c r="D115" s="293"/>
    </row>
    <row r="116" spans="1:5" s="86" customFormat="1" ht="15.75" thickBot="1" x14ac:dyDescent="0.3">
      <c r="A116" s="32" t="s">
        <v>10</v>
      </c>
      <c r="B116" s="33" t="s">
        <v>6</v>
      </c>
      <c r="C116" s="33" t="s">
        <v>30</v>
      </c>
      <c r="D116" s="33" t="s">
        <v>41</v>
      </c>
    </row>
    <row r="117" spans="1:5" s="86" customFormat="1" x14ac:dyDescent="0.25">
      <c r="A117" s="87"/>
    </row>
    <row r="118" spans="1:5" s="86" customFormat="1" x14ac:dyDescent="0.25">
      <c r="A118" s="86" t="s">
        <v>62</v>
      </c>
      <c r="B118" s="86">
        <f>+'I T'!E119</f>
        <v>0</v>
      </c>
      <c r="C118" s="86">
        <f>+'II T'!E119</f>
        <v>0</v>
      </c>
      <c r="D118" s="86">
        <f>B118</f>
        <v>0</v>
      </c>
    </row>
    <row r="119" spans="1:5" s="86" customFormat="1" x14ac:dyDescent="0.25">
      <c r="A119" s="86" t="s">
        <v>16</v>
      </c>
      <c r="B119" s="86">
        <f>+'I T'!E120</f>
        <v>730400000</v>
      </c>
      <c r="C119" s="86">
        <f>+'II T'!E120</f>
        <v>704250000</v>
      </c>
      <c r="D119" s="86">
        <f>+B119+C119</f>
        <v>1434650000</v>
      </c>
    </row>
    <row r="120" spans="1:5" s="86" customFormat="1" x14ac:dyDescent="0.25">
      <c r="A120" s="86" t="s">
        <v>17</v>
      </c>
      <c r="B120" s="86">
        <f>+'I T'!E121</f>
        <v>730400000</v>
      </c>
      <c r="C120" s="86">
        <f>+'II T'!E121</f>
        <v>704250000</v>
      </c>
      <c r="D120" s="86">
        <f>SUM(D118:D119)</f>
        <v>1434650000</v>
      </c>
    </row>
    <row r="121" spans="1:5" s="86" customFormat="1" x14ac:dyDescent="0.25">
      <c r="A121" s="86" t="s">
        <v>18</v>
      </c>
      <c r="B121" s="86">
        <f>+'I T'!E122</f>
        <v>730400000</v>
      </c>
      <c r="C121" s="86">
        <f>+'II T'!E122</f>
        <v>704250000</v>
      </c>
      <c r="D121" s="86">
        <f>SUM(B121:C121)</f>
        <v>1434650000</v>
      </c>
    </row>
    <row r="122" spans="1:5" s="86" customFormat="1" x14ac:dyDescent="0.25">
      <c r="A122" s="28" t="s">
        <v>19</v>
      </c>
      <c r="B122" s="86">
        <f>+'I T'!E123</f>
        <v>0</v>
      </c>
      <c r="C122" s="86">
        <f>+'II T'!E123</f>
        <v>0</v>
      </c>
      <c r="D122" s="28">
        <f>+D120-D121</f>
        <v>0</v>
      </c>
    </row>
    <row r="123" spans="1:5" s="86" customFormat="1" ht="15.75" thickBot="1" x14ac:dyDescent="0.3">
      <c r="A123" s="25"/>
      <c r="B123" s="25"/>
      <c r="C123" s="25"/>
      <c r="D123" s="25"/>
    </row>
    <row r="124" spans="1:5" s="86" customFormat="1" ht="15.75" thickTop="1" x14ac:dyDescent="0.25">
      <c r="A124" s="85" t="s">
        <v>72</v>
      </c>
    </row>
    <row r="125" spans="1:5" x14ac:dyDescent="0.25">
      <c r="A125" s="39"/>
    </row>
    <row r="126" spans="1:5" x14ac:dyDescent="0.25">
      <c r="A126" s="39"/>
    </row>
    <row r="127" spans="1:5" x14ac:dyDescent="0.25">
      <c r="A127" s="112" t="s">
        <v>150</v>
      </c>
    </row>
  </sheetData>
  <mergeCells count="32">
    <mergeCell ref="A115:D115"/>
    <mergeCell ref="A112:D112"/>
    <mergeCell ref="A1:E1"/>
    <mergeCell ref="A13:A15"/>
    <mergeCell ref="A16:A18"/>
    <mergeCell ref="A32:E32"/>
    <mergeCell ref="A33:E33"/>
    <mergeCell ref="A34:E34"/>
    <mergeCell ref="A9:E9"/>
    <mergeCell ref="A98:D98"/>
    <mergeCell ref="A7:E7"/>
    <mergeCell ref="A8:E8"/>
    <mergeCell ref="A10:E10"/>
    <mergeCell ref="A54:D54"/>
    <mergeCell ref="A19:A21"/>
    <mergeCell ref="A83:D83"/>
    <mergeCell ref="A113:D113"/>
    <mergeCell ref="A114:D114"/>
    <mergeCell ref="A85:D85"/>
    <mergeCell ref="A86:D86"/>
    <mergeCell ref="A100:D100"/>
    <mergeCell ref="A35:D35"/>
    <mergeCell ref="A52:D52"/>
    <mergeCell ref="A53:D53"/>
    <mergeCell ref="A55:D55"/>
    <mergeCell ref="A99:D99"/>
    <mergeCell ref="A68:D68"/>
    <mergeCell ref="A71:D71"/>
    <mergeCell ref="A97:D97"/>
    <mergeCell ref="A70:D70"/>
    <mergeCell ref="A69:E69"/>
    <mergeCell ref="A84:E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4"/>
  <sheetViews>
    <sheetView zoomScale="85" zoomScaleNormal="85" workbookViewId="0">
      <selection sqref="A1:E1"/>
    </sheetView>
  </sheetViews>
  <sheetFormatPr baseColWidth="10" defaultColWidth="11.5703125" defaultRowHeight="15" x14ac:dyDescent="0.25"/>
  <cols>
    <col min="1" max="1" width="67.5703125" style="21" customWidth="1"/>
    <col min="2" max="2" width="24.85546875" style="15" customWidth="1"/>
    <col min="3" max="3" width="25" style="15" customWidth="1"/>
    <col min="4" max="4" width="21.140625" style="15" customWidth="1"/>
    <col min="5" max="6" width="17.85546875" style="15" bestFit="1" customWidth="1"/>
    <col min="7" max="7" width="17.140625" style="15" customWidth="1"/>
    <col min="8" max="16384" width="11.5703125" style="15"/>
  </cols>
  <sheetData>
    <row r="1" spans="1:7" ht="15" customHeight="1" x14ac:dyDescent="0.25">
      <c r="A1" s="294" t="s">
        <v>20</v>
      </c>
      <c r="B1" s="294"/>
      <c r="C1" s="294"/>
      <c r="D1" s="294"/>
      <c r="E1" s="294"/>
    </row>
    <row r="2" spans="1:7" ht="15" customHeight="1" x14ac:dyDescent="0.25">
      <c r="A2" s="3" t="s">
        <v>0</v>
      </c>
      <c r="B2" s="38" t="s">
        <v>22</v>
      </c>
      <c r="C2" s="17"/>
      <c r="D2" s="17"/>
      <c r="E2" s="23"/>
    </row>
    <row r="3" spans="1:7" ht="15" customHeight="1" x14ac:dyDescent="0.25">
      <c r="A3" s="3" t="s">
        <v>1</v>
      </c>
      <c r="B3" s="38" t="s">
        <v>21</v>
      </c>
      <c r="C3" s="38"/>
      <c r="D3" s="38"/>
      <c r="E3" s="23"/>
    </row>
    <row r="4" spans="1:7" ht="15" customHeight="1" x14ac:dyDescent="0.25">
      <c r="A4" s="3" t="s">
        <v>11</v>
      </c>
      <c r="B4" s="17" t="s">
        <v>61</v>
      </c>
      <c r="C4" s="17"/>
      <c r="D4" s="17"/>
      <c r="E4" s="23"/>
    </row>
    <row r="5" spans="1:7" ht="15" customHeight="1" x14ac:dyDescent="0.25">
      <c r="A5" s="3" t="s">
        <v>2</v>
      </c>
      <c r="B5" s="44">
        <v>2021</v>
      </c>
      <c r="C5" s="17"/>
      <c r="D5" s="17"/>
      <c r="E5" s="23"/>
    </row>
    <row r="6" spans="1:7" ht="15" customHeight="1" x14ac:dyDescent="0.25"/>
    <row r="7" spans="1:7" ht="15" customHeight="1" x14ac:dyDescent="0.25">
      <c r="A7" s="294" t="s">
        <v>9</v>
      </c>
      <c r="B7" s="294"/>
      <c r="C7" s="294"/>
      <c r="D7" s="294"/>
      <c r="E7" s="294"/>
      <c r="F7" s="294"/>
      <c r="G7" s="294"/>
    </row>
    <row r="8" spans="1:7" ht="15" customHeight="1" x14ac:dyDescent="0.25">
      <c r="A8" s="294" t="s">
        <v>12</v>
      </c>
      <c r="B8" s="294"/>
      <c r="C8" s="294"/>
      <c r="D8" s="294"/>
      <c r="E8" s="294"/>
      <c r="F8" s="294"/>
      <c r="G8" s="294"/>
    </row>
    <row r="9" spans="1:7" ht="15" customHeight="1" x14ac:dyDescent="0.25">
      <c r="A9" s="295" t="s">
        <v>50</v>
      </c>
      <c r="B9" s="295"/>
      <c r="C9" s="295"/>
      <c r="D9" s="295"/>
      <c r="E9" s="295"/>
      <c r="F9" s="295"/>
      <c r="G9" s="295"/>
    </row>
    <row r="10" spans="1:7" ht="15" customHeight="1" x14ac:dyDescent="0.25">
      <c r="A10" s="293"/>
      <c r="B10" s="293"/>
      <c r="C10" s="293"/>
      <c r="D10" s="293"/>
      <c r="E10" s="293"/>
      <c r="F10" s="293"/>
      <c r="G10" s="293"/>
    </row>
    <row r="11" spans="1:7" ht="15" customHeight="1" thickBot="1" x14ac:dyDescent="0.3">
      <c r="A11" s="40" t="s">
        <v>64</v>
      </c>
      <c r="B11" s="33"/>
      <c r="C11" s="33" t="s">
        <v>6</v>
      </c>
      <c r="D11" s="33" t="s">
        <v>30</v>
      </c>
      <c r="E11" s="33" t="s">
        <v>35</v>
      </c>
      <c r="F11" s="33" t="s">
        <v>39</v>
      </c>
      <c r="G11" s="47" t="s">
        <v>67</v>
      </c>
    </row>
    <row r="12" spans="1:7" ht="15" customHeight="1" x14ac:dyDescent="0.25">
      <c r="F12" s="28"/>
    </row>
    <row r="13" spans="1:7" ht="15" customHeight="1" x14ac:dyDescent="0.25">
      <c r="A13" s="300" t="s">
        <v>23</v>
      </c>
      <c r="B13" s="8" t="s">
        <v>58</v>
      </c>
      <c r="C13" s="15">
        <f>+'I T'!F13</f>
        <v>123</v>
      </c>
      <c r="D13" s="86">
        <f>+'II T'!F13</f>
        <v>85</v>
      </c>
      <c r="E13" s="86">
        <f>+'III T'!F13</f>
        <v>155</v>
      </c>
      <c r="F13" s="86">
        <f>+'IV T'!F13</f>
        <v>128</v>
      </c>
      <c r="G13" s="55">
        <f>F13</f>
        <v>128</v>
      </c>
    </row>
    <row r="14" spans="1:7" ht="15" customHeight="1" x14ac:dyDescent="0.25">
      <c r="A14" s="300"/>
      <c r="B14" s="8" t="s">
        <v>59</v>
      </c>
      <c r="C14" s="15">
        <f>+'I T'!F14</f>
        <v>1496</v>
      </c>
      <c r="D14" s="86">
        <f>+'II T'!F14</f>
        <v>1591.3333333333333</v>
      </c>
      <c r="E14" s="86">
        <f>+'III T'!F14</f>
        <v>1638</v>
      </c>
      <c r="F14" s="86">
        <f>+'IV T'!F14</f>
        <v>1588</v>
      </c>
      <c r="G14" s="55">
        <f t="shared" ref="G14:G27" si="0">+(+C14+D14+E14+F14)/4</f>
        <v>1578.3333333333333</v>
      </c>
    </row>
    <row r="15" spans="1:7" ht="15" customHeight="1" x14ac:dyDescent="0.25">
      <c r="A15" s="300"/>
      <c r="B15" s="8" t="s">
        <v>60</v>
      </c>
      <c r="C15" s="15">
        <f>+'I T'!F15</f>
        <v>95.666666666666671</v>
      </c>
      <c r="D15" s="86">
        <f>+'II T'!F15</f>
        <v>86</v>
      </c>
      <c r="E15" s="86">
        <f>+'III T'!F15</f>
        <v>18.666666666666668</v>
      </c>
      <c r="F15" s="86">
        <f>+'IV T'!F15</f>
        <v>30.666666666666668</v>
      </c>
      <c r="G15" s="55">
        <f t="shared" si="0"/>
        <v>57.75</v>
      </c>
    </row>
    <row r="16" spans="1:7" ht="15" customHeight="1" x14ac:dyDescent="0.25">
      <c r="A16" s="300" t="s">
        <v>24</v>
      </c>
      <c r="B16" s="8" t="s">
        <v>58</v>
      </c>
      <c r="C16" s="15">
        <f>+'I T'!F16</f>
        <v>279</v>
      </c>
      <c r="D16" s="86">
        <f>+'II T'!F16</f>
        <v>174</v>
      </c>
      <c r="E16" s="86">
        <f>+'III T'!F16</f>
        <v>312</v>
      </c>
      <c r="F16" s="86">
        <f>+'IV T'!F16</f>
        <v>253</v>
      </c>
      <c r="G16" s="55">
        <f>F16</f>
        <v>253</v>
      </c>
    </row>
    <row r="17" spans="1:7" ht="15" customHeight="1" x14ac:dyDescent="0.25">
      <c r="A17" s="300"/>
      <c r="B17" s="8" t="s">
        <v>59</v>
      </c>
      <c r="C17" s="15">
        <f>+'I T'!F17</f>
        <v>1145.6666666666667</v>
      </c>
      <c r="D17" s="86">
        <f>+'II T'!F17</f>
        <v>1236.6666666666667</v>
      </c>
      <c r="E17" s="86">
        <f>+'III T'!F17</f>
        <v>1226.6666666666667</v>
      </c>
      <c r="F17" s="86">
        <f>+'IV T'!F17</f>
        <v>1254.3333333333333</v>
      </c>
      <c r="G17" s="55">
        <f t="shared" si="0"/>
        <v>1215.8333333333333</v>
      </c>
    </row>
    <row r="18" spans="1:7" ht="15" customHeight="1" x14ac:dyDescent="0.25">
      <c r="A18" s="300"/>
      <c r="B18" s="8" t="s">
        <v>60</v>
      </c>
      <c r="C18" s="15">
        <f>+'I T'!F18</f>
        <v>97.666666666666671</v>
      </c>
      <c r="D18" s="86">
        <f>+'II T'!F18</f>
        <v>122</v>
      </c>
      <c r="E18" s="86">
        <f>+'III T'!F18</f>
        <v>41.666666666666664</v>
      </c>
      <c r="F18" s="86">
        <f>+'IV T'!F18</f>
        <v>72.666666666666671</v>
      </c>
      <c r="G18" s="55">
        <f t="shared" si="0"/>
        <v>83.500000000000014</v>
      </c>
    </row>
    <row r="19" spans="1:7" ht="15" customHeight="1" x14ac:dyDescent="0.25">
      <c r="A19" s="301" t="s">
        <v>25</v>
      </c>
      <c r="B19" s="8" t="s">
        <v>58</v>
      </c>
      <c r="C19" s="15">
        <f>+'I T'!F19</f>
        <v>461</v>
      </c>
      <c r="D19" s="86">
        <f>+'II T'!F19</f>
        <v>132</v>
      </c>
      <c r="E19" s="86">
        <f>+'III T'!F19</f>
        <v>834</v>
      </c>
      <c r="F19" s="86">
        <f>+'IV T'!F19</f>
        <v>25</v>
      </c>
      <c r="G19" s="55">
        <f>F19</f>
        <v>25</v>
      </c>
    </row>
    <row r="20" spans="1:7" ht="15" customHeight="1" x14ac:dyDescent="0.25">
      <c r="A20" s="301"/>
      <c r="B20" s="8" t="s">
        <v>59</v>
      </c>
      <c r="C20" s="15">
        <f>+'I T'!F20</f>
        <v>10042.333333333334</v>
      </c>
      <c r="D20" s="86">
        <f>+'II T'!F20</f>
        <v>10897.666666666666</v>
      </c>
      <c r="E20" s="86">
        <f>+'III T'!F20</f>
        <v>10910.666666666666</v>
      </c>
      <c r="F20" s="86">
        <f>+'IV T'!F20</f>
        <v>6916.333333333333</v>
      </c>
      <c r="G20" s="15">
        <f t="shared" si="0"/>
        <v>9691.75</v>
      </c>
    </row>
    <row r="21" spans="1:7" ht="15" customHeight="1" x14ac:dyDescent="0.25">
      <c r="A21" s="301"/>
      <c r="B21" s="8" t="s">
        <v>60</v>
      </c>
      <c r="C21" s="15">
        <f>+'I T'!F21</f>
        <v>733.33333333333337</v>
      </c>
      <c r="D21" s="86">
        <f>+'II T'!F21</f>
        <v>342.33333333333331</v>
      </c>
      <c r="E21" s="86">
        <f>+'III T'!F21</f>
        <v>44</v>
      </c>
      <c r="F21" s="86">
        <f>+'IV T'!F21</f>
        <v>4409</v>
      </c>
      <c r="G21" s="15">
        <f t="shared" si="0"/>
        <v>1382.1666666666667</v>
      </c>
    </row>
    <row r="22" spans="1:7" ht="15" customHeight="1" x14ac:dyDescent="0.25">
      <c r="A22" s="73" t="s">
        <v>75</v>
      </c>
      <c r="B22" s="71" t="s">
        <v>58</v>
      </c>
      <c r="C22" s="74">
        <f>+'I T'!F22</f>
        <v>39</v>
      </c>
      <c r="D22" s="74">
        <f>+'II T'!F22</f>
        <v>124</v>
      </c>
      <c r="E22" s="74">
        <f>+'III T'!F22</f>
        <v>125</v>
      </c>
      <c r="F22" s="74">
        <f>+'IV T'!F22</f>
        <v>242</v>
      </c>
      <c r="G22" s="74">
        <f>F22</f>
        <v>242</v>
      </c>
    </row>
    <row r="23" spans="1:7" ht="15" customHeight="1" x14ac:dyDescent="0.25">
      <c r="A23" s="72"/>
      <c r="B23" s="71" t="s">
        <v>59</v>
      </c>
      <c r="C23" s="74">
        <f>+'I T'!F23</f>
        <v>644.66666666666663</v>
      </c>
      <c r="D23" s="74">
        <f>+'II T'!F23</f>
        <v>645</v>
      </c>
      <c r="E23" s="74">
        <f>+'III T'!F23</f>
        <v>712</v>
      </c>
      <c r="F23" s="74">
        <f>+'IV T'!F23</f>
        <v>758.33333333333337</v>
      </c>
      <c r="G23" s="74">
        <f>+(+C23+D23+E23+F23)</f>
        <v>2760</v>
      </c>
    </row>
    <row r="24" spans="1:7" ht="15" customHeight="1" x14ac:dyDescent="0.25">
      <c r="A24" s="72"/>
      <c r="B24" s="71" t="s">
        <v>60</v>
      </c>
      <c r="C24" s="74">
        <f>+'I T'!F24</f>
        <v>24</v>
      </c>
      <c r="D24" s="74">
        <f>+'II T'!F24</f>
        <v>16.333333333333332</v>
      </c>
      <c r="E24" s="74">
        <f>+'III T'!F24</f>
        <v>15.333333333333334</v>
      </c>
      <c r="F24" s="74">
        <f>+'IV T'!F24</f>
        <v>0</v>
      </c>
      <c r="G24" s="74">
        <f>+(+C24+D24+E24+F24)</f>
        <v>55.666666666666664</v>
      </c>
    </row>
    <row r="25" spans="1:7" ht="15" customHeight="1" x14ac:dyDescent="0.25">
      <c r="A25" s="69"/>
      <c r="B25" s="8"/>
      <c r="F25" s="28"/>
    </row>
    <row r="26" spans="1:7" ht="15" customHeight="1" x14ac:dyDescent="0.25">
      <c r="A26" s="23"/>
      <c r="F26" s="28"/>
      <c r="G26" s="15">
        <f>+(+C26+D26+E26+F26)/4</f>
        <v>0</v>
      </c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14279.333333333334</v>
      </c>
      <c r="D27" s="25">
        <f>+D14+D15+D17+D18+D20+D21+D23+D24</f>
        <v>14937.333333333334</v>
      </c>
      <c r="E27" s="25">
        <f>+E14+E15+E17+E18+E20+E21+E23+E24</f>
        <v>14607</v>
      </c>
      <c r="F27" s="25">
        <f>+F14+F15+F17+F18+F20+F21+F23+F24</f>
        <v>15029.333333333334</v>
      </c>
      <c r="G27" s="25">
        <f t="shared" si="0"/>
        <v>14713.250000000002</v>
      </c>
    </row>
    <row r="28" spans="1:7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7" ht="15" customHeight="1" x14ac:dyDescent="0.25">
      <c r="A29" s="52" t="s">
        <v>72</v>
      </c>
    </row>
    <row r="30" spans="1:7" ht="15" customHeight="1" x14ac:dyDescent="0.25">
      <c r="A30" s="1"/>
    </row>
    <row r="31" spans="1:7" ht="15" customHeight="1" x14ac:dyDescent="0.25">
      <c r="A31" s="1"/>
    </row>
    <row r="32" spans="1:7" ht="15" customHeight="1" x14ac:dyDescent="0.25">
      <c r="A32" s="295" t="s">
        <v>14</v>
      </c>
      <c r="B32" s="295"/>
      <c r="C32" s="295"/>
      <c r="D32" s="295"/>
      <c r="E32" s="295"/>
      <c r="F32" s="295"/>
    </row>
    <row r="33" spans="1:7" ht="15" customHeight="1" x14ac:dyDescent="0.25">
      <c r="A33" s="294" t="s">
        <v>31</v>
      </c>
      <c r="B33" s="294"/>
      <c r="C33" s="294"/>
      <c r="D33" s="294"/>
      <c r="E33" s="294"/>
      <c r="F33" s="294"/>
    </row>
    <row r="34" spans="1:7" ht="15" customHeight="1" x14ac:dyDescent="0.25">
      <c r="A34" s="295" t="s">
        <v>52</v>
      </c>
      <c r="B34" s="295"/>
      <c r="C34" s="295"/>
      <c r="D34" s="295"/>
      <c r="E34" s="295"/>
      <c r="F34" s="295"/>
      <c r="G34" s="295"/>
    </row>
    <row r="35" spans="1:7" ht="15" customHeight="1" x14ac:dyDescent="0.25">
      <c r="A35" s="293"/>
      <c r="B35" s="293"/>
      <c r="C35" s="293"/>
      <c r="D35" s="293"/>
      <c r="E35" s="293"/>
      <c r="F35" s="293"/>
    </row>
    <row r="36" spans="1:7" ht="15" customHeight="1" thickBot="1" x14ac:dyDescent="0.3">
      <c r="A36" s="40" t="s">
        <v>64</v>
      </c>
      <c r="B36" s="19"/>
      <c r="C36" s="19" t="s">
        <v>6</v>
      </c>
      <c r="D36" s="19" t="s">
        <v>30</v>
      </c>
      <c r="E36" s="19" t="s">
        <v>35</v>
      </c>
      <c r="F36" s="19" t="s">
        <v>39</v>
      </c>
      <c r="G36" s="19" t="s">
        <v>40</v>
      </c>
    </row>
    <row r="37" spans="1:7" ht="15" customHeight="1" x14ac:dyDescent="0.25"/>
    <row r="38" spans="1:7" ht="15" customHeight="1" x14ac:dyDescent="0.25">
      <c r="A38" s="258" t="s">
        <v>132</v>
      </c>
      <c r="B38" s="15" t="s">
        <v>56</v>
      </c>
      <c r="C38" s="15">
        <f>+'I T'!F36</f>
        <v>807840000</v>
      </c>
      <c r="D38" s="86">
        <f>+'II T'!F36</f>
        <v>859320000</v>
      </c>
      <c r="E38" s="86">
        <f>+'III T'!F36</f>
        <v>884340000</v>
      </c>
      <c r="F38" s="86">
        <f>+'IV T'!F36</f>
        <v>1087740000</v>
      </c>
      <c r="G38" s="15">
        <f t="shared" ref="G38:G45" si="1">SUM(C38:F38)</f>
        <v>3639240000</v>
      </c>
    </row>
    <row r="39" spans="1:7" ht="15" customHeight="1" x14ac:dyDescent="0.25">
      <c r="A39" s="23"/>
      <c r="B39" s="15" t="s">
        <v>55</v>
      </c>
      <c r="C39" s="15">
        <f>+'I T'!F37</f>
        <v>51660000</v>
      </c>
      <c r="D39" s="86">
        <f>+'II T'!F37</f>
        <v>46440000</v>
      </c>
      <c r="E39" s="86">
        <f>+'III T'!F37</f>
        <v>10080000</v>
      </c>
      <c r="F39" s="86">
        <f>+'IV T'!F37</f>
        <v>16560000</v>
      </c>
      <c r="G39" s="15">
        <f t="shared" si="1"/>
        <v>124740000</v>
      </c>
    </row>
    <row r="40" spans="1:7" ht="15" customHeight="1" x14ac:dyDescent="0.25">
      <c r="A40" s="23" t="s">
        <v>24</v>
      </c>
      <c r="B40" s="15" t="s">
        <v>56</v>
      </c>
      <c r="C40" s="15">
        <f>+'I T'!F38</f>
        <v>247464000</v>
      </c>
      <c r="D40" s="86">
        <f>+'II T'!F38</f>
        <v>267120000</v>
      </c>
      <c r="E40" s="86">
        <f>+'III T'!F38</f>
        <v>264960000</v>
      </c>
      <c r="F40" s="86">
        <f>+'IV T'!F38</f>
        <v>304511116.35000008</v>
      </c>
      <c r="G40" s="15">
        <f t="shared" si="1"/>
        <v>1084055116.3500001</v>
      </c>
    </row>
    <row r="41" spans="1:7" ht="15" customHeight="1" x14ac:dyDescent="0.25">
      <c r="A41" s="23"/>
      <c r="B41" s="15" t="s">
        <v>55</v>
      </c>
      <c r="C41" s="15">
        <f>+'I T'!F39</f>
        <v>21096000</v>
      </c>
      <c r="D41" s="86">
        <f>+'II T'!F39</f>
        <v>26352000</v>
      </c>
      <c r="E41" s="86">
        <f>+'III T'!F39</f>
        <v>9000000</v>
      </c>
      <c r="F41" s="86">
        <f>+'IV T'!F39</f>
        <v>15696000</v>
      </c>
      <c r="G41" s="15">
        <f t="shared" si="1"/>
        <v>72144000</v>
      </c>
    </row>
    <row r="42" spans="1:7" ht="15" customHeight="1" x14ac:dyDescent="0.25">
      <c r="A42" s="299" t="s">
        <v>25</v>
      </c>
      <c r="B42" s="15" t="s">
        <v>56</v>
      </c>
      <c r="C42" s="15">
        <f>+'I T'!F40</f>
        <v>1628105139.3400002</v>
      </c>
      <c r="D42" s="86">
        <f>+'II T'!F40</f>
        <v>1773770147.0066667</v>
      </c>
      <c r="E42" s="86">
        <f>+'III T'!F40</f>
        <v>1765292995.0000002</v>
      </c>
      <c r="F42" s="86">
        <f>+'IV T'!F40</f>
        <v>1129376254.3399999</v>
      </c>
      <c r="G42" s="15">
        <f t="shared" si="1"/>
        <v>6296544535.6866674</v>
      </c>
    </row>
    <row r="43" spans="1:7" ht="15" customHeight="1" x14ac:dyDescent="0.25">
      <c r="A43" s="299"/>
      <c r="B43" s="15" t="s">
        <v>55</v>
      </c>
      <c r="C43" s="15">
        <f>+'I T'!F41</f>
        <v>135298683.66</v>
      </c>
      <c r="D43" s="86">
        <f>+'II T'!F41</f>
        <v>47884570</v>
      </c>
      <c r="E43" s="86">
        <f>+'III T'!F41</f>
        <v>8287837</v>
      </c>
      <c r="F43" s="86">
        <f>+'IV T'!F41</f>
        <v>707906649.66999984</v>
      </c>
      <c r="G43" s="15">
        <f t="shared" si="1"/>
        <v>899377740.3299998</v>
      </c>
    </row>
    <row r="44" spans="1:7" ht="15" customHeight="1" x14ac:dyDescent="0.25">
      <c r="A44" s="70" t="s">
        <v>75</v>
      </c>
      <c r="B44" s="49" t="s">
        <v>56</v>
      </c>
      <c r="C44" s="15">
        <f>+'I T'!F42</f>
        <v>695200000</v>
      </c>
      <c r="D44" s="86">
        <f>+'II T'!F42</f>
        <v>686650000</v>
      </c>
      <c r="E44" s="86">
        <f>+'III T'!F42</f>
        <v>833250000</v>
      </c>
      <c r="F44" s="86">
        <f>+'IV T'!F42</f>
        <v>645950000</v>
      </c>
      <c r="G44" s="15">
        <f t="shared" si="1"/>
        <v>2861050000</v>
      </c>
    </row>
    <row r="45" spans="1:7" ht="15" customHeight="1" x14ac:dyDescent="0.25">
      <c r="A45" s="70"/>
      <c r="B45" s="49" t="s">
        <v>55</v>
      </c>
      <c r="C45" s="15">
        <f>+'I T'!F43</f>
        <v>35200000</v>
      </c>
      <c r="D45" s="86">
        <f>+'II T'!F43</f>
        <v>17600000</v>
      </c>
      <c r="E45" s="86">
        <f>+'III T'!F43</f>
        <v>23100000</v>
      </c>
      <c r="F45" s="86">
        <f>+'IV T'!F43</f>
        <v>0</v>
      </c>
      <c r="G45" s="15">
        <f t="shared" si="1"/>
        <v>75900000</v>
      </c>
    </row>
    <row r="46" spans="1:7" ht="15" customHeight="1" thickBot="1" x14ac:dyDescent="0.3">
      <c r="A46" s="24" t="s">
        <v>13</v>
      </c>
      <c r="B46" s="25"/>
      <c r="C46" s="25">
        <f>SUM(C38:C45)</f>
        <v>3621863823</v>
      </c>
      <c r="D46" s="25">
        <f>SUM(D38:D45)</f>
        <v>3725136717.0066667</v>
      </c>
      <c r="E46" s="25">
        <f>SUM(E38:E45)</f>
        <v>3798310832</v>
      </c>
      <c r="F46" s="25">
        <f>SUM(F38:F45)</f>
        <v>3907740020.3599997</v>
      </c>
      <c r="G46" s="25">
        <f>SUM(G38:G45)</f>
        <v>15053051392.366667</v>
      </c>
    </row>
    <row r="47" spans="1:7" ht="15" customHeight="1" thickTop="1" x14ac:dyDescent="0.25">
      <c r="A47" s="27" t="s">
        <v>42</v>
      </c>
    </row>
    <row r="48" spans="1:7" ht="15" customHeight="1" x14ac:dyDescent="0.25">
      <c r="A48" s="52" t="s">
        <v>72</v>
      </c>
    </row>
    <row r="49" spans="1:7" ht="15" customHeight="1" x14ac:dyDescent="0.25">
      <c r="A49" s="1"/>
    </row>
    <row r="50" spans="1:7" ht="15" customHeight="1" x14ac:dyDescent="0.25">
      <c r="A50" s="1"/>
    </row>
    <row r="51" spans="1:7" ht="15" customHeight="1" x14ac:dyDescent="0.25"/>
    <row r="52" spans="1:7" ht="15" customHeight="1" x14ac:dyDescent="0.25">
      <c r="A52" s="295" t="s">
        <v>15</v>
      </c>
      <c r="B52" s="295"/>
      <c r="C52" s="295"/>
      <c r="D52" s="295"/>
      <c r="E52" s="295"/>
      <c r="F52" s="295"/>
    </row>
    <row r="53" spans="1:7" ht="15" customHeight="1" x14ac:dyDescent="0.25">
      <c r="A53" s="294" t="s">
        <v>46</v>
      </c>
      <c r="B53" s="294"/>
      <c r="C53" s="294"/>
      <c r="D53" s="294"/>
      <c r="E53" s="294"/>
      <c r="F53" s="294"/>
    </row>
    <row r="54" spans="1:7" ht="15" customHeight="1" x14ac:dyDescent="0.25">
      <c r="A54" s="295" t="s">
        <v>52</v>
      </c>
      <c r="B54" s="295"/>
      <c r="C54" s="295"/>
      <c r="D54" s="295"/>
      <c r="E54" s="295"/>
      <c r="F54" s="295"/>
      <c r="G54" s="35"/>
    </row>
    <row r="55" spans="1:7" ht="15" customHeight="1" x14ac:dyDescent="0.25">
      <c r="A55" s="293"/>
      <c r="B55" s="293"/>
      <c r="C55" s="293"/>
      <c r="D55" s="293"/>
      <c r="E55" s="293"/>
      <c r="F55" s="293"/>
      <c r="G55" s="28"/>
    </row>
    <row r="56" spans="1:7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35</v>
      </c>
      <c r="E56" s="33" t="s">
        <v>39</v>
      </c>
      <c r="F56" s="33" t="s">
        <v>40</v>
      </c>
    </row>
    <row r="57" spans="1:7" ht="15" customHeight="1" x14ac:dyDescent="0.25"/>
    <row r="58" spans="1:7" ht="15" customHeight="1" x14ac:dyDescent="0.25">
      <c r="A58" s="112" t="s">
        <v>151</v>
      </c>
      <c r="B58" s="15">
        <f>+'I T'!E57</f>
        <v>859500000</v>
      </c>
      <c r="C58" s="86">
        <f>+'II T'!E57</f>
        <v>905760000</v>
      </c>
      <c r="D58" s="15">
        <f>+'III T'!E57</f>
        <v>894420000</v>
      </c>
      <c r="E58" s="15">
        <f>+'IV T'!E57</f>
        <v>1104300000</v>
      </c>
      <c r="F58" s="15">
        <f>SUM(B58:E58)</f>
        <v>3763980000</v>
      </c>
    </row>
    <row r="59" spans="1:7" s="86" customFormat="1" ht="15" customHeight="1" x14ac:dyDescent="0.25">
      <c r="A59" s="112" t="s">
        <v>152</v>
      </c>
      <c r="B59" s="86">
        <f>+'I T'!E58</f>
        <v>268560000</v>
      </c>
      <c r="C59" s="86">
        <f>+'II T'!E58</f>
        <v>293472000</v>
      </c>
      <c r="D59" s="86">
        <f>+'III T'!E58</f>
        <v>273960000</v>
      </c>
      <c r="E59" s="86">
        <f>+'IV T'!E58</f>
        <v>320207116.35000008</v>
      </c>
      <c r="F59" s="86">
        <f>SUM(B59:E59)</f>
        <v>1156199116.3500001</v>
      </c>
    </row>
    <row r="60" spans="1:7" ht="15" customHeight="1" x14ac:dyDescent="0.25">
      <c r="A60" s="21" t="s">
        <v>43</v>
      </c>
      <c r="B60" s="15">
        <f>+'I T'!E59</f>
        <v>1763403823</v>
      </c>
      <c r="C60" s="86">
        <f>+'II T'!E59</f>
        <v>1821654717.0066667</v>
      </c>
      <c r="D60" s="86">
        <f>+'III T'!E59</f>
        <v>1773580832.0000002</v>
      </c>
      <c r="E60" s="86">
        <f>+'IV T'!E59</f>
        <v>1837282904.0099998</v>
      </c>
      <c r="F60" s="15">
        <f>SUM(B60:E60)</f>
        <v>7195922276.0166664</v>
      </c>
    </row>
    <row r="61" spans="1:7" ht="15" customHeight="1" x14ac:dyDescent="0.25">
      <c r="A61" s="87" t="s">
        <v>83</v>
      </c>
      <c r="B61" s="15">
        <f>+'I T'!E60</f>
        <v>730400000</v>
      </c>
      <c r="C61" s="86">
        <f>+'II T'!E60</f>
        <v>704250000</v>
      </c>
      <c r="D61" s="86">
        <f>+'III T'!E60</f>
        <v>856350000</v>
      </c>
      <c r="E61" s="86">
        <f>+'IV T'!E60</f>
        <v>645950000</v>
      </c>
      <c r="F61" s="15">
        <f>SUM(B61:E61)</f>
        <v>2936950000</v>
      </c>
    </row>
    <row r="62" spans="1:7" ht="15" customHeight="1" x14ac:dyDescent="0.25"/>
    <row r="63" spans="1:7" ht="15" customHeight="1" x14ac:dyDescent="0.25"/>
    <row r="64" spans="1:7" ht="15" customHeight="1" thickBot="1" x14ac:dyDescent="0.3">
      <c r="A64" s="24" t="s">
        <v>13</v>
      </c>
      <c r="B64" s="25">
        <f>SUM(B58:B63)</f>
        <v>3621863823</v>
      </c>
      <c r="C64" s="25">
        <f>SUM(C58:C63)</f>
        <v>3725136717.0066667</v>
      </c>
      <c r="D64" s="25">
        <f>SUM(D58:D63)</f>
        <v>3798310832</v>
      </c>
      <c r="E64" s="25">
        <f>SUM(E58:E63)</f>
        <v>3907740020.3599997</v>
      </c>
      <c r="F64" s="25">
        <f>SUM(F58:F63)</f>
        <v>15053051392.366667</v>
      </c>
    </row>
    <row r="65" spans="1:7" ht="15" customHeight="1" thickTop="1" x14ac:dyDescent="0.25">
      <c r="A65" s="52" t="s">
        <v>72</v>
      </c>
    </row>
    <row r="66" spans="1:7" ht="15" customHeight="1" x14ac:dyDescent="0.25">
      <c r="A66" s="1"/>
    </row>
    <row r="67" spans="1:7" ht="15" customHeight="1" x14ac:dyDescent="0.25"/>
    <row r="68" spans="1:7" ht="15" customHeight="1" x14ac:dyDescent="0.25">
      <c r="A68" s="294" t="s">
        <v>44</v>
      </c>
      <c r="B68" s="294"/>
      <c r="C68" s="294"/>
      <c r="D68" s="294"/>
      <c r="E68" s="294"/>
      <c r="F68" s="294"/>
    </row>
    <row r="69" spans="1:7" ht="15" customHeight="1" x14ac:dyDescent="0.25">
      <c r="A69" s="283" t="s">
        <v>108</v>
      </c>
      <c r="B69" s="283"/>
      <c r="C69" s="283"/>
      <c r="D69" s="283"/>
      <c r="E69" s="283"/>
      <c r="F69" s="283"/>
    </row>
    <row r="70" spans="1:7" ht="15" customHeight="1" x14ac:dyDescent="0.25">
      <c r="A70" s="295" t="s">
        <v>52</v>
      </c>
      <c r="B70" s="295"/>
      <c r="C70" s="295"/>
      <c r="D70" s="295"/>
      <c r="E70" s="295"/>
      <c r="F70" s="295"/>
    </row>
    <row r="71" spans="1:7" ht="15" customHeight="1" x14ac:dyDescent="0.25">
      <c r="A71" s="36"/>
      <c r="B71" s="36"/>
      <c r="C71" s="36"/>
      <c r="D71" s="36"/>
      <c r="E71" s="36"/>
      <c r="F71" s="36"/>
      <c r="G71" s="107"/>
    </row>
    <row r="72" spans="1:7" ht="15" customHeight="1" thickBot="1" x14ac:dyDescent="0.3">
      <c r="A72" s="32" t="s">
        <v>10</v>
      </c>
      <c r="B72" s="33" t="s">
        <v>6</v>
      </c>
      <c r="C72" s="33" t="s">
        <v>30</v>
      </c>
      <c r="D72" s="33" t="s">
        <v>35</v>
      </c>
      <c r="E72" s="33" t="s">
        <v>39</v>
      </c>
      <c r="F72" s="33" t="s">
        <v>40</v>
      </c>
      <c r="G72" s="33" t="s">
        <v>40</v>
      </c>
    </row>
    <row r="73" spans="1:7" ht="15" customHeight="1" x14ac:dyDescent="0.25"/>
    <row r="74" spans="1:7" ht="15" customHeight="1" x14ac:dyDescent="0.25">
      <c r="A74" s="15" t="s">
        <v>62</v>
      </c>
      <c r="B74" s="15">
        <f>+'I T'!E72</f>
        <v>0</v>
      </c>
      <c r="C74" s="86">
        <f>+'II T'!E72</f>
        <v>0</v>
      </c>
      <c r="D74" s="15">
        <f>+'III T'!E72</f>
        <v>0</v>
      </c>
      <c r="E74" s="15">
        <f>+'IV T'!E72</f>
        <v>0</v>
      </c>
      <c r="F74" s="87">
        <f>B74</f>
        <v>0</v>
      </c>
    </row>
    <row r="75" spans="1:7" ht="15" customHeight="1" x14ac:dyDescent="0.25">
      <c r="A75" s="15" t="s">
        <v>16</v>
      </c>
      <c r="B75" s="15">
        <f>+'I T'!E73</f>
        <v>859500000</v>
      </c>
      <c r="C75" s="86">
        <f>+'II T'!E73</f>
        <v>905760000</v>
      </c>
      <c r="D75" s="86">
        <f>+'III T'!E73</f>
        <v>894420000</v>
      </c>
      <c r="E75" s="86">
        <f>+'IV T'!E73</f>
        <v>1104300000</v>
      </c>
      <c r="F75" s="89">
        <f>SUM(B75:E75)</f>
        <v>3763980000</v>
      </c>
    </row>
    <row r="76" spans="1:7" ht="15" customHeight="1" x14ac:dyDescent="0.25">
      <c r="A76" s="15" t="s">
        <v>17</v>
      </c>
      <c r="B76" s="15">
        <f>+'I T'!E74</f>
        <v>859500000</v>
      </c>
      <c r="C76" s="86">
        <f>+'II T'!E74</f>
        <v>905760000</v>
      </c>
      <c r="D76" s="86">
        <f>+'III T'!E74</f>
        <v>894420000</v>
      </c>
      <c r="E76" s="86">
        <f>+'IV T'!E74</f>
        <v>1104300000</v>
      </c>
      <c r="F76" s="15">
        <f>SUM(F74:F75)</f>
        <v>3763980000</v>
      </c>
    </row>
    <row r="77" spans="1:7" ht="15" customHeight="1" x14ac:dyDescent="0.25">
      <c r="A77" s="15" t="s">
        <v>18</v>
      </c>
      <c r="B77" s="15">
        <f>+'I T'!E75</f>
        <v>859500000</v>
      </c>
      <c r="C77" s="86">
        <f>+'II T'!E75</f>
        <v>905760000</v>
      </c>
      <c r="D77" s="86">
        <f>+'III T'!E75</f>
        <v>894420000</v>
      </c>
      <c r="E77" s="86">
        <f>+'IV T'!E75</f>
        <v>1104300000</v>
      </c>
      <c r="F77" s="15">
        <f>SUM(B77:E77)</f>
        <v>3763980000</v>
      </c>
    </row>
    <row r="78" spans="1:7" ht="15" customHeight="1" x14ac:dyDescent="0.25">
      <c r="A78" s="28" t="s">
        <v>19</v>
      </c>
      <c r="B78" s="28">
        <f>+'I T'!E76</f>
        <v>0</v>
      </c>
      <c r="C78" s="86">
        <f>+'II T'!E76</f>
        <v>0</v>
      </c>
      <c r="D78" s="86">
        <f>+'III T'!E76</f>
        <v>0</v>
      </c>
      <c r="E78" s="86">
        <f>+'IV T'!E76</f>
        <v>0</v>
      </c>
      <c r="F78" s="260">
        <f>+F76-F77</f>
        <v>0</v>
      </c>
      <c r="G78" s="110"/>
    </row>
    <row r="79" spans="1:7" ht="15" customHeight="1" thickBot="1" x14ac:dyDescent="0.3">
      <c r="A79" s="25"/>
      <c r="B79" s="25"/>
      <c r="C79" s="25"/>
      <c r="D79" s="25"/>
      <c r="E79" s="25"/>
      <c r="F79" s="25"/>
    </row>
    <row r="80" spans="1:7" ht="15" customHeight="1" thickTop="1" x14ac:dyDescent="0.25">
      <c r="A80" s="52" t="s">
        <v>72</v>
      </c>
    </row>
    <row r="81" spans="1:7" ht="15" customHeight="1" x14ac:dyDescent="0.25">
      <c r="A81" s="1"/>
    </row>
    <row r="82" spans="1:7" s="86" customFormat="1" ht="15" customHeight="1" x14ac:dyDescent="0.25">
      <c r="A82" s="85"/>
    </row>
    <row r="83" spans="1:7" s="86" customFormat="1" ht="15" customHeight="1" x14ac:dyDescent="0.25">
      <c r="A83" s="294" t="s">
        <v>45</v>
      </c>
      <c r="B83" s="294"/>
      <c r="C83" s="294"/>
      <c r="D83" s="294"/>
      <c r="E83" s="294"/>
      <c r="F83" s="294"/>
    </row>
    <row r="84" spans="1:7" s="86" customFormat="1" ht="15" customHeight="1" x14ac:dyDescent="0.25">
      <c r="A84" s="283" t="s">
        <v>106</v>
      </c>
      <c r="B84" s="283"/>
      <c r="C84" s="283"/>
      <c r="D84" s="283"/>
      <c r="E84" s="283"/>
      <c r="F84" s="283"/>
    </row>
    <row r="85" spans="1:7" s="86" customFormat="1" ht="15" customHeight="1" x14ac:dyDescent="0.25">
      <c r="A85" s="295" t="s">
        <v>52</v>
      </c>
      <c r="B85" s="295"/>
      <c r="C85" s="295"/>
      <c r="D85" s="295"/>
      <c r="E85" s="295"/>
      <c r="F85" s="295"/>
    </row>
    <row r="86" spans="1:7" s="86" customFormat="1" ht="15" customHeight="1" x14ac:dyDescent="0.25">
      <c r="A86" s="238"/>
      <c r="B86" s="238"/>
      <c r="C86" s="238"/>
      <c r="D86" s="238"/>
      <c r="E86" s="238"/>
      <c r="F86" s="238"/>
      <c r="G86" s="238"/>
    </row>
    <row r="87" spans="1:7" s="86" customFormat="1" ht="15" customHeight="1" thickBot="1" x14ac:dyDescent="0.3">
      <c r="A87" s="32" t="s">
        <v>10</v>
      </c>
      <c r="B87" s="33" t="s">
        <v>6</v>
      </c>
      <c r="C87" s="33" t="s">
        <v>30</v>
      </c>
      <c r="D87" s="33" t="s">
        <v>35</v>
      </c>
      <c r="E87" s="33" t="s">
        <v>39</v>
      </c>
      <c r="F87" s="33" t="s">
        <v>40</v>
      </c>
      <c r="G87" s="33" t="s">
        <v>40</v>
      </c>
    </row>
    <row r="88" spans="1:7" s="86" customFormat="1" ht="15" customHeight="1" x14ac:dyDescent="0.25">
      <c r="A88" s="87"/>
    </row>
    <row r="89" spans="1:7" s="86" customFormat="1" ht="15" customHeight="1" x14ac:dyDescent="0.25">
      <c r="A89" s="86" t="s">
        <v>62</v>
      </c>
      <c r="B89" s="86">
        <f>+'I T'!E87</f>
        <v>0</v>
      </c>
      <c r="C89" s="86">
        <f>+'II T'!E87</f>
        <v>0</v>
      </c>
      <c r="D89" s="86">
        <f>+'III T'!E87</f>
        <v>0</v>
      </c>
      <c r="E89" s="86">
        <f>+'IV T'!E87</f>
        <v>0</v>
      </c>
      <c r="F89" s="87">
        <f>B89</f>
        <v>0</v>
      </c>
    </row>
    <row r="90" spans="1:7" s="86" customFormat="1" ht="15" customHeight="1" x14ac:dyDescent="0.25">
      <c r="A90" s="86" t="s">
        <v>16</v>
      </c>
      <c r="B90" s="86">
        <f>+'I T'!E88</f>
        <v>268560000</v>
      </c>
      <c r="C90" s="86">
        <f>+'II T'!E88</f>
        <v>293472000</v>
      </c>
      <c r="D90" s="86">
        <f>+'III T'!E88</f>
        <v>273960000</v>
      </c>
      <c r="E90" s="86">
        <f>+'IV T'!E88</f>
        <v>320207116.35000008</v>
      </c>
      <c r="F90" s="89">
        <f>SUM(B90:E90)</f>
        <v>1156199116.3500001</v>
      </c>
    </row>
    <row r="91" spans="1:7" s="86" customFormat="1" ht="15" customHeight="1" x14ac:dyDescent="0.25">
      <c r="A91" s="86" t="s">
        <v>17</v>
      </c>
      <c r="B91" s="86">
        <f>+'I T'!E89</f>
        <v>268560000</v>
      </c>
      <c r="C91" s="86">
        <f>+'II T'!E89</f>
        <v>293472000</v>
      </c>
      <c r="D91" s="86">
        <f>+'III T'!E89</f>
        <v>273960000</v>
      </c>
      <c r="E91" s="86">
        <f>+'IV T'!E89</f>
        <v>320207116.35000008</v>
      </c>
      <c r="F91" s="86">
        <f>SUM(F89:F90)</f>
        <v>1156199116.3500001</v>
      </c>
    </row>
    <row r="92" spans="1:7" s="86" customFormat="1" ht="15" customHeight="1" x14ac:dyDescent="0.25">
      <c r="A92" s="86" t="s">
        <v>18</v>
      </c>
      <c r="B92" s="86">
        <f>+'I T'!E90</f>
        <v>268560000</v>
      </c>
      <c r="C92" s="86">
        <f>+'II T'!E90</f>
        <v>293472000</v>
      </c>
      <c r="D92" s="86">
        <f>+'III T'!E90</f>
        <v>273960000</v>
      </c>
      <c r="E92" s="86">
        <f>+'IV T'!E90</f>
        <v>320207116.35000008</v>
      </c>
      <c r="F92" s="86">
        <f>SUM(B92:E92)</f>
        <v>1156199116.3500001</v>
      </c>
    </row>
    <row r="93" spans="1:7" s="86" customFormat="1" ht="15" customHeight="1" x14ac:dyDescent="0.25">
      <c r="A93" s="28" t="s">
        <v>19</v>
      </c>
      <c r="B93" s="28">
        <f>+'I T'!E91</f>
        <v>0</v>
      </c>
      <c r="C93" s="86">
        <f>+'II T'!E91</f>
        <v>0</v>
      </c>
      <c r="D93" s="86">
        <f>+'III T'!E91</f>
        <v>0</v>
      </c>
      <c r="E93" s="86">
        <f>+'IV T'!E91</f>
        <v>0</v>
      </c>
      <c r="F93" s="260">
        <f>+F91-F92</f>
        <v>0</v>
      </c>
      <c r="G93" s="110"/>
    </row>
    <row r="94" spans="1:7" s="86" customFormat="1" ht="15" customHeight="1" thickBot="1" x14ac:dyDescent="0.3">
      <c r="A94" s="25"/>
      <c r="B94" s="25"/>
      <c r="C94" s="25"/>
      <c r="D94" s="25"/>
      <c r="E94" s="25"/>
      <c r="F94" s="25"/>
    </row>
    <row r="95" spans="1:7" s="86" customFormat="1" ht="15" customHeight="1" thickTop="1" x14ac:dyDescent="0.25">
      <c r="A95" s="85" t="s">
        <v>72</v>
      </c>
    </row>
    <row r="96" spans="1:7" s="86" customFormat="1" ht="15" customHeight="1" x14ac:dyDescent="0.25">
      <c r="A96" s="85"/>
    </row>
    <row r="97" spans="1:7" s="86" customFormat="1" ht="15" customHeight="1" x14ac:dyDescent="0.25"/>
    <row r="98" spans="1:7" s="86" customFormat="1" x14ac:dyDescent="0.25">
      <c r="A98" s="294" t="s">
        <v>107</v>
      </c>
      <c r="B98" s="294"/>
      <c r="C98" s="294"/>
      <c r="D98" s="294"/>
      <c r="E98" s="294"/>
      <c r="F98" s="294"/>
    </row>
    <row r="99" spans="1:7" s="86" customFormat="1" x14ac:dyDescent="0.25">
      <c r="A99" s="294" t="s">
        <v>48</v>
      </c>
      <c r="B99" s="294"/>
      <c r="C99" s="294"/>
      <c r="D99" s="294"/>
      <c r="E99" s="294"/>
      <c r="F99" s="294"/>
    </row>
    <row r="100" spans="1:7" s="86" customFormat="1" x14ac:dyDescent="0.25">
      <c r="A100" s="295" t="s">
        <v>52</v>
      </c>
      <c r="B100" s="295"/>
      <c r="C100" s="295"/>
      <c r="D100" s="295"/>
      <c r="E100" s="295"/>
      <c r="F100" s="295"/>
      <c r="G100" s="16"/>
    </row>
    <row r="101" spans="1:7" s="86" customFormat="1" x14ac:dyDescent="0.25">
      <c r="A101" s="293"/>
      <c r="B101" s="293"/>
      <c r="C101" s="293"/>
      <c r="D101" s="293"/>
      <c r="E101" s="293"/>
      <c r="F101" s="293"/>
    </row>
    <row r="102" spans="1:7" ht="15.75" thickBot="1" x14ac:dyDescent="0.3">
      <c r="A102" s="32" t="s">
        <v>10</v>
      </c>
      <c r="B102" s="33" t="s">
        <v>6</v>
      </c>
      <c r="C102" s="33" t="s">
        <v>30</v>
      </c>
      <c r="D102" s="33" t="s">
        <v>35</v>
      </c>
      <c r="E102" s="33" t="s">
        <v>39</v>
      </c>
      <c r="F102" s="33" t="s">
        <v>40</v>
      </c>
    </row>
    <row r="104" spans="1:7" x14ac:dyDescent="0.25">
      <c r="A104" s="15" t="s">
        <v>62</v>
      </c>
      <c r="B104" s="86">
        <f>+'I T'!E104</f>
        <v>0</v>
      </c>
      <c r="C104" s="86">
        <f>+'II T'!E104</f>
        <v>0</v>
      </c>
      <c r="D104" s="86">
        <f>+'III T'!E104</f>
        <v>0</v>
      </c>
      <c r="E104" s="86">
        <f>+'IV T'!E104</f>
        <v>0</v>
      </c>
      <c r="F104" s="152">
        <f>+B104</f>
        <v>0</v>
      </c>
    </row>
    <row r="105" spans="1:7" x14ac:dyDescent="0.25">
      <c r="A105" s="15" t="s">
        <v>93</v>
      </c>
      <c r="B105" s="86">
        <f>+'I T'!E105</f>
        <v>1763403823</v>
      </c>
      <c r="C105" s="86">
        <f>+'II T'!E105</f>
        <v>1821654717.0066667</v>
      </c>
      <c r="D105" s="86">
        <f>+'III T'!E105</f>
        <v>1773580832.0033331</v>
      </c>
      <c r="E105" s="86">
        <f>+'IV T'!E105</f>
        <v>1837282904.0100002</v>
      </c>
      <c r="F105" s="86">
        <f>+SUM(B105:E105)</f>
        <v>7195922276.0200005</v>
      </c>
    </row>
    <row r="106" spans="1:7" x14ac:dyDescent="0.25">
      <c r="A106" s="15" t="s">
        <v>17</v>
      </c>
      <c r="B106" s="86">
        <f>+'I T'!E106</f>
        <v>1763403823</v>
      </c>
      <c r="C106" s="86">
        <f>+'II T'!E106</f>
        <v>1821654717.0066667</v>
      </c>
      <c r="D106" s="86">
        <f>+'III T'!E106</f>
        <v>1773580832.0033331</v>
      </c>
      <c r="E106" s="86">
        <f>+'IV T'!E106</f>
        <v>1837282904.0100002</v>
      </c>
      <c r="F106" s="86">
        <f>SUM(F104:F105)</f>
        <v>7195922276.0200005</v>
      </c>
    </row>
    <row r="107" spans="1:7" x14ac:dyDescent="0.25">
      <c r="A107" s="15" t="s">
        <v>18</v>
      </c>
      <c r="B107" s="86">
        <f>+'I T'!E107</f>
        <v>1763403823</v>
      </c>
      <c r="C107" s="86">
        <f>+'II T'!E107</f>
        <v>1821654717.0066667</v>
      </c>
      <c r="D107" s="86">
        <f>+'III T'!E107</f>
        <v>1773580832.0000002</v>
      </c>
      <c r="E107" s="86">
        <f>+'IV T'!E107</f>
        <v>1837282904.0099998</v>
      </c>
      <c r="F107" s="86">
        <f>+SUM(B107:E107)</f>
        <v>7195922276.0166664</v>
      </c>
      <c r="G107" s="86"/>
    </row>
    <row r="108" spans="1:7" x14ac:dyDescent="0.25">
      <c r="A108" s="28" t="s">
        <v>19</v>
      </c>
      <c r="B108" s="28">
        <f>+'I T'!E108</f>
        <v>0</v>
      </c>
      <c r="C108" s="86">
        <f>+'II T'!E108</f>
        <v>0</v>
      </c>
      <c r="D108" s="86">
        <f>+'III T'!E108</f>
        <v>3.3328533172607422E-3</v>
      </c>
      <c r="E108" s="86">
        <f>+'IV T'!E108</f>
        <v>0</v>
      </c>
      <c r="F108" s="281">
        <f>+F106-F107</f>
        <v>3.33404541015625E-3</v>
      </c>
      <c r="G108" s="86"/>
    </row>
    <row r="109" spans="1:7" ht="15.75" thickBot="1" x14ac:dyDescent="0.3">
      <c r="A109" s="25"/>
      <c r="B109" s="25"/>
      <c r="C109" s="25"/>
      <c r="D109" s="25"/>
      <c r="E109" s="25"/>
      <c r="F109" s="25"/>
      <c r="G109" s="86"/>
    </row>
    <row r="110" spans="1:7" ht="15.75" thickTop="1" x14ac:dyDescent="0.25">
      <c r="A110" s="15"/>
      <c r="G110" s="86"/>
    </row>
    <row r="111" spans="1:7" s="86" customFormat="1" x14ac:dyDescent="0.25"/>
    <row r="112" spans="1:7" s="86" customFormat="1" x14ac:dyDescent="0.25">
      <c r="A112" s="294" t="s">
        <v>110</v>
      </c>
      <c r="B112" s="294"/>
      <c r="C112" s="294"/>
      <c r="D112" s="294"/>
      <c r="E112" s="294"/>
      <c r="F112" s="294"/>
    </row>
    <row r="113" spans="1:7" s="86" customFormat="1" x14ac:dyDescent="0.25">
      <c r="A113" s="294" t="s">
        <v>109</v>
      </c>
      <c r="B113" s="294"/>
      <c r="C113" s="294"/>
      <c r="D113" s="294"/>
      <c r="E113" s="294"/>
      <c r="F113" s="294"/>
    </row>
    <row r="114" spans="1:7" s="86" customFormat="1" x14ac:dyDescent="0.25">
      <c r="A114" s="295" t="s">
        <v>52</v>
      </c>
      <c r="B114" s="295"/>
      <c r="C114" s="295"/>
      <c r="D114" s="295"/>
      <c r="E114" s="295"/>
      <c r="F114" s="295"/>
      <c r="G114" s="16"/>
    </row>
    <row r="115" spans="1:7" s="86" customFormat="1" x14ac:dyDescent="0.25">
      <c r="A115" s="293"/>
      <c r="B115" s="293"/>
      <c r="C115" s="293"/>
      <c r="D115" s="293"/>
      <c r="E115" s="293"/>
      <c r="F115" s="293"/>
    </row>
    <row r="116" spans="1:7" s="86" customFormat="1" ht="15.75" thickBot="1" x14ac:dyDescent="0.3">
      <c r="A116" s="32" t="s">
        <v>10</v>
      </c>
      <c r="B116" s="33" t="s">
        <v>6</v>
      </c>
      <c r="C116" s="33" t="s">
        <v>30</v>
      </c>
      <c r="D116" s="33" t="s">
        <v>35</v>
      </c>
      <c r="E116" s="33" t="s">
        <v>39</v>
      </c>
      <c r="F116" s="33" t="s">
        <v>40</v>
      </c>
    </row>
    <row r="117" spans="1:7" s="86" customFormat="1" x14ac:dyDescent="0.25">
      <c r="A117" s="87"/>
    </row>
    <row r="118" spans="1:7" s="86" customFormat="1" x14ac:dyDescent="0.25">
      <c r="A118" s="86" t="s">
        <v>62</v>
      </c>
      <c r="B118" s="86">
        <f>+'I T'!E119</f>
        <v>0</v>
      </c>
      <c r="C118" s="86">
        <f>+'II T'!E119</f>
        <v>0</v>
      </c>
      <c r="D118" s="86">
        <f>+'III T'!E119</f>
        <v>0</v>
      </c>
      <c r="E118" s="86">
        <f>+'IV T'!E119</f>
        <v>0</v>
      </c>
      <c r="F118" s="152">
        <f>+B118</f>
        <v>0</v>
      </c>
    </row>
    <row r="119" spans="1:7" s="86" customFormat="1" x14ac:dyDescent="0.25">
      <c r="A119" s="86" t="s">
        <v>93</v>
      </c>
      <c r="B119" s="86">
        <f>+'I T'!E120</f>
        <v>730400000</v>
      </c>
      <c r="C119" s="86">
        <f>+'II T'!E120</f>
        <v>704250000</v>
      </c>
      <c r="D119" s="86">
        <f>+'III T'!E120</f>
        <v>856350000</v>
      </c>
      <c r="E119" s="86">
        <f>+'IV T'!E120</f>
        <v>645950000</v>
      </c>
      <c r="F119" s="86">
        <f>+SUM(B119:E119)</f>
        <v>2936950000</v>
      </c>
    </row>
    <row r="120" spans="1:7" s="86" customFormat="1" x14ac:dyDescent="0.25">
      <c r="A120" s="86" t="s">
        <v>17</v>
      </c>
      <c r="B120" s="86">
        <f>+'I T'!E121</f>
        <v>730400000</v>
      </c>
      <c r="C120" s="86">
        <f>+'II T'!E121</f>
        <v>704250000</v>
      </c>
      <c r="D120" s="86">
        <f>+'III T'!E121</f>
        <v>856350000</v>
      </c>
      <c r="E120" s="86">
        <f>+'IV T'!E121</f>
        <v>645950000</v>
      </c>
      <c r="F120" s="86">
        <f>SUM(F118:F119)</f>
        <v>2936950000</v>
      </c>
    </row>
    <row r="121" spans="1:7" s="86" customFormat="1" x14ac:dyDescent="0.25">
      <c r="A121" s="86" t="s">
        <v>18</v>
      </c>
      <c r="B121" s="86">
        <f>+'I T'!E122</f>
        <v>730400000</v>
      </c>
      <c r="C121" s="86">
        <f>+'II T'!E122</f>
        <v>704250000</v>
      </c>
      <c r="D121" s="86">
        <f>+'III T'!E122</f>
        <v>856350000</v>
      </c>
      <c r="E121" s="86">
        <f>+'IV T'!E122</f>
        <v>645950000</v>
      </c>
      <c r="F121" s="86">
        <f>+SUM(B121:E121)</f>
        <v>2936950000</v>
      </c>
    </row>
    <row r="122" spans="1:7" s="86" customFormat="1" x14ac:dyDescent="0.25">
      <c r="A122" s="28" t="s">
        <v>19</v>
      </c>
      <c r="B122" s="86">
        <f>+'I T'!E123</f>
        <v>0</v>
      </c>
      <c r="C122" s="86">
        <f>+'II T'!E123</f>
        <v>0</v>
      </c>
      <c r="D122" s="86">
        <f>+'III T'!E123</f>
        <v>0</v>
      </c>
      <c r="E122" s="86">
        <f>+'IV T'!E123</f>
        <v>0</v>
      </c>
      <c r="F122" s="205">
        <f>+F120-F121</f>
        <v>0</v>
      </c>
    </row>
    <row r="123" spans="1:7" s="86" customFormat="1" ht="15.75" thickBot="1" x14ac:dyDescent="0.3">
      <c r="A123" s="25"/>
      <c r="B123" s="25"/>
      <c r="C123" s="25"/>
      <c r="D123" s="25"/>
      <c r="E123" s="25"/>
      <c r="F123" s="25"/>
    </row>
    <row r="124" spans="1:7" ht="15.75" thickTop="1" x14ac:dyDescent="0.25">
      <c r="A124" s="52" t="s">
        <v>72</v>
      </c>
      <c r="B124" s="86"/>
      <c r="C124" s="86"/>
      <c r="D124" s="86"/>
      <c r="E124" s="86"/>
      <c r="F124" s="86"/>
      <c r="G124" s="86"/>
    </row>
    <row r="125" spans="1:7" x14ac:dyDescent="0.25">
      <c r="A125" s="15"/>
      <c r="F125" s="86"/>
      <c r="G125" s="86"/>
    </row>
    <row r="126" spans="1:7" s="86" customFormat="1" x14ac:dyDescent="0.25"/>
    <row r="127" spans="1:7" x14ac:dyDescent="0.25">
      <c r="C127" s="86"/>
      <c r="D127" s="86"/>
    </row>
    <row r="128" spans="1:7" x14ac:dyDescent="0.25">
      <c r="A128" s="112" t="s">
        <v>171</v>
      </c>
      <c r="C128" s="89"/>
      <c r="D128" s="89"/>
    </row>
    <row r="129" spans="1:6" x14ac:dyDescent="0.25">
      <c r="A129" s="116" t="s">
        <v>85</v>
      </c>
      <c r="B129" s="116" t="s">
        <v>86</v>
      </c>
      <c r="C129" s="89"/>
      <c r="D129" s="89"/>
      <c r="E129" s="86"/>
      <c r="F129" s="86"/>
    </row>
    <row r="130" spans="1:6" x14ac:dyDescent="0.25">
      <c r="A130" s="259" t="s">
        <v>154</v>
      </c>
      <c r="B130" s="275">
        <f>+F78</f>
        <v>0</v>
      </c>
      <c r="C130" s="89"/>
      <c r="D130" s="89"/>
      <c r="E130" s="86"/>
      <c r="F130" s="86"/>
    </row>
    <row r="131" spans="1:6" s="86" customFormat="1" x14ac:dyDescent="0.25">
      <c r="A131" s="259" t="s">
        <v>153</v>
      </c>
      <c r="B131" s="275">
        <f>+F93</f>
        <v>0</v>
      </c>
      <c r="C131" s="89"/>
      <c r="D131" s="89"/>
    </row>
    <row r="132" spans="1:6" x14ac:dyDescent="0.25">
      <c r="A132" s="259" t="s">
        <v>155</v>
      </c>
      <c r="B132" s="282">
        <f>+F108</f>
        <v>3.33404541015625E-3</v>
      </c>
      <c r="C132" s="89"/>
      <c r="D132" s="89"/>
      <c r="E132" s="86"/>
      <c r="F132" s="86"/>
    </row>
    <row r="133" spans="1:6" ht="15.75" thickBot="1" x14ac:dyDescent="0.3">
      <c r="A133" s="114" t="s">
        <v>84</v>
      </c>
      <c r="B133" s="276">
        <f>+F122</f>
        <v>0</v>
      </c>
      <c r="C133" s="89"/>
      <c r="D133" s="89"/>
      <c r="E133" s="86"/>
      <c r="F133" s="86"/>
    </row>
    <row r="134" spans="1:6" ht="15.75" thickBot="1" x14ac:dyDescent="0.3">
      <c r="A134" s="186" t="s">
        <v>13</v>
      </c>
      <c r="B134" s="206">
        <f>SUM(B130:B133)</f>
        <v>3.33404541015625E-3</v>
      </c>
      <c r="C134" s="89"/>
      <c r="D134" s="89"/>
      <c r="E134" s="86"/>
      <c r="F134" s="86"/>
    </row>
    <row r="135" spans="1:6" x14ac:dyDescent="0.25">
      <c r="A135" s="87"/>
      <c r="B135" s="86"/>
      <c r="C135" s="89"/>
      <c r="D135" s="89"/>
      <c r="E135" s="86"/>
      <c r="F135" s="86"/>
    </row>
    <row r="136" spans="1:6" ht="45" customHeight="1" x14ac:dyDescent="0.25">
      <c r="A136" s="302"/>
      <c r="B136" s="303"/>
      <c r="C136" s="89"/>
      <c r="D136" s="89"/>
      <c r="E136" s="86"/>
      <c r="F136" s="86"/>
    </row>
    <row r="137" spans="1:6" x14ac:dyDescent="0.25">
      <c r="A137" s="87"/>
      <c r="B137" s="86"/>
      <c r="C137" s="89"/>
      <c r="D137" s="89"/>
      <c r="E137" s="86"/>
      <c r="F137" s="86"/>
    </row>
    <row r="138" spans="1:6" s="86" customFormat="1" ht="45" customHeight="1" x14ac:dyDescent="0.25">
      <c r="A138" s="302"/>
      <c r="B138" s="303"/>
      <c r="C138" s="89"/>
      <c r="D138" s="89"/>
    </row>
    <row r="139" spans="1:6" x14ac:dyDescent="0.25">
      <c r="A139" s="87"/>
      <c r="B139" s="86"/>
      <c r="C139" s="89"/>
      <c r="D139" s="89"/>
      <c r="E139" s="86"/>
      <c r="F139" s="86"/>
    </row>
    <row r="140" spans="1:6" x14ac:dyDescent="0.25">
      <c r="A140" s="87"/>
      <c r="B140" s="86"/>
      <c r="C140" s="89"/>
      <c r="D140" s="89"/>
      <c r="E140" s="86"/>
      <c r="F140" s="86"/>
    </row>
    <row r="141" spans="1:6" x14ac:dyDescent="0.25">
      <c r="A141" s="87"/>
      <c r="B141" s="86"/>
      <c r="C141" s="89"/>
      <c r="D141" s="89"/>
      <c r="E141" s="86"/>
      <c r="F141" s="86"/>
    </row>
    <row r="142" spans="1:6" x14ac:dyDescent="0.25">
      <c r="A142" s="87"/>
      <c r="B142" s="86"/>
      <c r="C142" s="89"/>
      <c r="D142" s="89"/>
      <c r="E142" s="86"/>
      <c r="F142" s="86"/>
    </row>
    <row r="143" spans="1:6" x14ac:dyDescent="0.25">
      <c r="A143" s="87"/>
      <c r="B143" s="86"/>
      <c r="C143" s="89"/>
      <c r="D143" s="89"/>
      <c r="E143" s="86"/>
      <c r="F143" s="86"/>
    </row>
    <row r="144" spans="1:6" x14ac:dyDescent="0.25">
      <c r="A144" s="87"/>
      <c r="B144" s="86"/>
      <c r="C144" s="89"/>
      <c r="D144" s="89"/>
      <c r="E144" s="86"/>
      <c r="F144" s="86"/>
    </row>
  </sheetData>
  <mergeCells count="33">
    <mergeCell ref="A138:B138"/>
    <mergeCell ref="A112:F112"/>
    <mergeCell ref="A113:F113"/>
    <mergeCell ref="A114:F114"/>
    <mergeCell ref="A115:F115"/>
    <mergeCell ref="A136:B136"/>
    <mergeCell ref="A13:A15"/>
    <mergeCell ref="A16:A18"/>
    <mergeCell ref="A19:A21"/>
    <mergeCell ref="A9:G9"/>
    <mergeCell ref="A1:E1"/>
    <mergeCell ref="A7:G7"/>
    <mergeCell ref="A8:G8"/>
    <mergeCell ref="A10:G10"/>
    <mergeCell ref="A34:G34"/>
    <mergeCell ref="A54:F54"/>
    <mergeCell ref="A70:F70"/>
    <mergeCell ref="A32:F32"/>
    <mergeCell ref="A33:F33"/>
    <mergeCell ref="A101:F101"/>
    <mergeCell ref="A35:F35"/>
    <mergeCell ref="A52:F52"/>
    <mergeCell ref="A53:F53"/>
    <mergeCell ref="A55:F55"/>
    <mergeCell ref="A68:F68"/>
    <mergeCell ref="A69:F69"/>
    <mergeCell ref="A100:F100"/>
    <mergeCell ref="A42:A43"/>
    <mergeCell ref="A98:F98"/>
    <mergeCell ref="A99:F99"/>
    <mergeCell ref="A84:F84"/>
    <mergeCell ref="A85:F85"/>
    <mergeCell ref="A83:F83"/>
  </mergeCells>
  <pageMargins left="0.70866141732283472" right="0.70866141732283472" top="0.74803149606299213" bottom="0.74803149606299213" header="0.31496062992125984" footer="0.31496062992125984"/>
  <pageSetup scale="3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00"/>
  <sheetViews>
    <sheetView zoomScaleNormal="100" workbookViewId="0">
      <selection activeCell="F13" sqref="F1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5" style="15" customWidth="1"/>
    <col min="3" max="3" width="16.5703125" style="15" customWidth="1"/>
    <col min="4" max="4" width="20.5703125" style="15" customWidth="1"/>
    <col min="5" max="5" width="16.85546875" style="15" bestFit="1" customWidth="1"/>
    <col min="6" max="6" width="25.28515625" style="15" customWidth="1"/>
    <col min="7" max="7" width="7.42578125" style="15" customWidth="1"/>
    <col min="8" max="8" width="15.140625" style="15" bestFit="1" customWidth="1"/>
    <col min="9" max="9" width="13.7109375" style="15" bestFit="1" customWidth="1"/>
    <col min="10" max="13" width="19.28515625" style="15" customWidth="1"/>
    <col min="14" max="16384" width="11.5703125" style="15"/>
  </cols>
  <sheetData>
    <row r="1" spans="1:10" ht="15" customHeight="1" x14ac:dyDescent="0.25">
      <c r="A1" s="294" t="s">
        <v>20</v>
      </c>
      <c r="B1" s="294"/>
      <c r="C1" s="294"/>
      <c r="D1" s="294"/>
      <c r="E1" s="294"/>
      <c r="F1" s="294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126</v>
      </c>
      <c r="C5" s="16"/>
      <c r="D5" s="16"/>
      <c r="E5" s="16"/>
      <c r="F5" s="16"/>
    </row>
    <row r="7" spans="1:10" ht="15" customHeight="1" x14ac:dyDescent="0.25">
      <c r="A7" s="294" t="s">
        <v>9</v>
      </c>
      <c r="B7" s="294"/>
      <c r="C7" s="294"/>
      <c r="D7" s="294"/>
      <c r="E7" s="294"/>
      <c r="F7" s="294"/>
    </row>
    <row r="8" spans="1:10" ht="15" customHeight="1" x14ac:dyDescent="0.25">
      <c r="A8" s="294" t="s">
        <v>12</v>
      </c>
      <c r="B8" s="294"/>
      <c r="C8" s="294"/>
      <c r="D8" s="294"/>
      <c r="E8" s="294"/>
      <c r="F8" s="294"/>
    </row>
    <row r="9" spans="1:10" ht="15" customHeight="1" x14ac:dyDescent="0.25">
      <c r="A9" s="295" t="s">
        <v>50</v>
      </c>
      <c r="B9" s="295"/>
      <c r="C9" s="295"/>
      <c r="D9" s="295"/>
      <c r="E9" s="295"/>
      <c r="F9" s="295"/>
    </row>
    <row r="10" spans="1:10" s="28" customFormat="1" ht="15" customHeight="1" x14ac:dyDescent="0.25">
      <c r="A10" s="295"/>
      <c r="B10" s="295"/>
      <c r="C10" s="295"/>
      <c r="D10" s="295"/>
      <c r="E10" s="295"/>
      <c r="F10" s="295"/>
    </row>
    <row r="11" spans="1:10" ht="15" customHeight="1" thickBot="1" x14ac:dyDescent="0.3">
      <c r="A11" s="12" t="s">
        <v>64</v>
      </c>
      <c r="B11" s="19"/>
      <c r="C11" s="20" t="s">
        <v>27</v>
      </c>
      <c r="D11" s="20" t="s">
        <v>28</v>
      </c>
      <c r="E11" s="20" t="s">
        <v>29</v>
      </c>
      <c r="F11" s="20" t="s">
        <v>71</v>
      </c>
    </row>
    <row r="12" spans="1:10" x14ac:dyDescent="0.25">
      <c r="C12" s="22"/>
      <c r="D12" s="22"/>
      <c r="E12" s="22"/>
      <c r="F12" s="22"/>
    </row>
    <row r="13" spans="1:10" x14ac:dyDescent="0.25">
      <c r="A13" s="304" t="s">
        <v>132</v>
      </c>
      <c r="B13" s="142" t="s">
        <v>58</v>
      </c>
      <c r="C13" s="143">
        <f>+('I T'!E13-'2 T no usar'!C15)+82</f>
        <v>-253</v>
      </c>
      <c r="D13" s="143">
        <f>+(C13-D15)+344</f>
        <v>43</v>
      </c>
      <c r="E13" s="143">
        <f>+(D13-E15)+187</f>
        <v>17</v>
      </c>
      <c r="F13" s="143">
        <f>E13</f>
        <v>17</v>
      </c>
      <c r="H13" s="51"/>
      <c r="I13" s="51"/>
      <c r="J13" s="51"/>
    </row>
    <row r="14" spans="1:10" ht="15" customHeight="1" x14ac:dyDescent="0.25">
      <c r="A14" s="304"/>
      <c r="B14" s="142" t="s">
        <v>59</v>
      </c>
      <c r="C14" s="144">
        <v>1610</v>
      </c>
      <c r="D14" s="144">
        <v>1248</v>
      </c>
      <c r="E14" s="144">
        <v>1442</v>
      </c>
      <c r="F14" s="144">
        <f>AVERAGE(C14:E14)</f>
        <v>1433.3333333333333</v>
      </c>
      <c r="H14" s="51"/>
      <c r="I14" s="51"/>
      <c r="J14" s="51"/>
    </row>
    <row r="15" spans="1:10" ht="15" customHeight="1" x14ac:dyDescent="0.25">
      <c r="A15" s="304"/>
      <c r="B15" s="142" t="s">
        <v>60</v>
      </c>
      <c r="C15" s="144">
        <v>458</v>
      </c>
      <c r="D15" s="144">
        <v>48</v>
      </c>
      <c r="E15" s="144">
        <v>213</v>
      </c>
      <c r="F15" s="144">
        <f>AVERAGE(C15:E15)</f>
        <v>239.66666666666666</v>
      </c>
      <c r="H15" s="51"/>
      <c r="I15" s="51"/>
      <c r="J15" s="51"/>
    </row>
    <row r="16" spans="1:10" x14ac:dyDescent="0.25">
      <c r="A16" s="300" t="s">
        <v>24</v>
      </c>
      <c r="B16" s="8" t="s">
        <v>58</v>
      </c>
      <c r="C16" s="63">
        <f>+('I T'!E16-'2 T no usar'!C18)+69</f>
        <v>142</v>
      </c>
      <c r="D16" s="63">
        <f>+(C16-D18)+208</f>
        <v>312</v>
      </c>
      <c r="E16" s="63">
        <f>+(D16-E18)+126</f>
        <v>200</v>
      </c>
      <c r="F16" s="63">
        <f>E16</f>
        <v>200</v>
      </c>
      <c r="H16" s="51"/>
      <c r="I16" s="51"/>
      <c r="J16" s="51"/>
    </row>
    <row r="17" spans="1:10" ht="15" customHeight="1" x14ac:dyDescent="0.25">
      <c r="A17" s="300"/>
      <c r="B17" s="8" t="s">
        <v>59</v>
      </c>
      <c r="C17" s="62">
        <v>1109</v>
      </c>
      <c r="D17" s="62">
        <v>926</v>
      </c>
      <c r="E17" s="62">
        <v>957</v>
      </c>
      <c r="F17" s="62">
        <f>AVERAGE(C17:E17)</f>
        <v>997.33333333333337</v>
      </c>
      <c r="H17" s="51"/>
      <c r="I17" s="51"/>
      <c r="J17" s="51"/>
    </row>
    <row r="18" spans="1:10" ht="15" customHeight="1" x14ac:dyDescent="0.25">
      <c r="A18" s="300"/>
      <c r="B18" s="8" t="s">
        <v>60</v>
      </c>
      <c r="C18" s="62">
        <v>206</v>
      </c>
      <c r="D18" s="62">
        <v>38</v>
      </c>
      <c r="E18" s="62">
        <v>238</v>
      </c>
      <c r="F18" s="62">
        <f>AVERAGE(C18:E18)</f>
        <v>160.66666666666666</v>
      </c>
      <c r="H18" s="51"/>
      <c r="I18" s="51"/>
      <c r="J18" s="51"/>
    </row>
    <row r="19" spans="1:10" x14ac:dyDescent="0.25">
      <c r="A19" s="305" t="s">
        <v>25</v>
      </c>
      <c r="B19" s="142" t="s">
        <v>58</v>
      </c>
      <c r="C19" s="143">
        <f>+('I T'!E19-'2 T no usar'!C21)+413</f>
        <v>-532</v>
      </c>
      <c r="D19" s="143">
        <f>+(C19-D21)+943</f>
        <v>341</v>
      </c>
      <c r="E19" s="143">
        <f>+(D19-E21)+774</f>
        <v>807</v>
      </c>
      <c r="F19" s="143">
        <f>E19</f>
        <v>807</v>
      </c>
      <c r="H19" s="51"/>
      <c r="I19" s="51"/>
      <c r="J19" s="51"/>
    </row>
    <row r="20" spans="1:10" ht="15" customHeight="1" x14ac:dyDescent="0.25">
      <c r="A20" s="305"/>
      <c r="B20" s="142" t="s">
        <v>59</v>
      </c>
      <c r="C20" s="144">
        <v>10558</v>
      </c>
      <c r="D20" s="144">
        <v>10081</v>
      </c>
      <c r="E20" s="144">
        <v>10342</v>
      </c>
      <c r="F20" s="144">
        <f>AVERAGE(C20:E20)</f>
        <v>10327</v>
      </c>
      <c r="H20" s="51"/>
      <c r="I20" s="51"/>
      <c r="J20" s="51"/>
    </row>
    <row r="21" spans="1:10" ht="15" customHeight="1" x14ac:dyDescent="0.25">
      <c r="A21" s="305"/>
      <c r="B21" s="142" t="s">
        <v>60</v>
      </c>
      <c r="C21" s="144">
        <v>1406</v>
      </c>
      <c r="D21" s="144">
        <v>70</v>
      </c>
      <c r="E21" s="144">
        <v>308</v>
      </c>
      <c r="F21" s="144">
        <f>AVERAGE(C21:E21)</f>
        <v>594.66666666666663</v>
      </c>
      <c r="H21" s="51"/>
      <c r="I21" s="51"/>
      <c r="J21" s="51"/>
    </row>
    <row r="22" spans="1:10" ht="15" customHeight="1" x14ac:dyDescent="0.25">
      <c r="A22" s="73" t="s">
        <v>75</v>
      </c>
      <c r="B22" s="71" t="s">
        <v>58</v>
      </c>
      <c r="C22" s="63">
        <f>+('I T'!E22-'2 T no usar'!C24)+355</f>
        <v>352</v>
      </c>
      <c r="D22" s="63">
        <f>+(C22-D24)+365</f>
        <v>717</v>
      </c>
      <c r="E22" s="63">
        <f>+(D22-E24)+334</f>
        <v>1050</v>
      </c>
      <c r="F22" s="63">
        <f>E22</f>
        <v>1050</v>
      </c>
      <c r="H22" s="68"/>
      <c r="I22" s="68"/>
      <c r="J22" s="68"/>
    </row>
    <row r="23" spans="1:10" ht="15" customHeight="1" x14ac:dyDescent="0.25">
      <c r="A23" s="72"/>
      <c r="B23" s="71" t="s">
        <v>59</v>
      </c>
      <c r="C23" s="62">
        <v>262</v>
      </c>
      <c r="D23" s="62">
        <v>252</v>
      </c>
      <c r="E23" s="62">
        <v>283</v>
      </c>
      <c r="F23" s="62">
        <f>AVERAGE(C23:E23)</f>
        <v>265.66666666666669</v>
      </c>
      <c r="H23" s="68"/>
      <c r="I23" s="68"/>
      <c r="J23" s="68"/>
    </row>
    <row r="24" spans="1:10" ht="15" customHeight="1" x14ac:dyDescent="0.25">
      <c r="A24" s="72"/>
      <c r="B24" s="71" t="s">
        <v>60</v>
      </c>
      <c r="C24" s="62">
        <v>42</v>
      </c>
      <c r="D24" s="62">
        <v>0</v>
      </c>
      <c r="E24" s="62">
        <v>1</v>
      </c>
      <c r="F24" s="62">
        <f>AVERAGE(C24:E24)</f>
        <v>14.333333333333334</v>
      </c>
      <c r="H24" s="68"/>
      <c r="I24" s="68"/>
      <c r="J24" s="68"/>
    </row>
    <row r="25" spans="1:10" ht="15" customHeight="1" x14ac:dyDescent="0.25">
      <c r="A25" s="69"/>
      <c r="B25" s="8"/>
      <c r="C25" s="62"/>
      <c r="D25" s="62"/>
      <c r="E25" s="62"/>
      <c r="F25" s="62"/>
      <c r="H25" s="68"/>
      <c r="I25" s="68"/>
      <c r="J25" s="68"/>
    </row>
    <row r="26" spans="1:10" ht="15" customHeight="1" x14ac:dyDescent="0.25">
      <c r="C26" s="61"/>
      <c r="D26" s="61"/>
      <c r="E26" s="61"/>
      <c r="F26" s="61"/>
    </row>
    <row r="27" spans="1:10" ht="15" customHeight="1" thickBot="1" x14ac:dyDescent="0.3">
      <c r="A27" s="24" t="s">
        <v>13</v>
      </c>
      <c r="B27" s="25" t="s">
        <v>51</v>
      </c>
      <c r="C27" s="64">
        <f>+C14+C15+C17+C18+C20+C23+C24+C21</f>
        <v>15651</v>
      </c>
      <c r="D27" s="64">
        <f>+D14+D15+D17+D18+D20+D23+D24+D21</f>
        <v>12663</v>
      </c>
      <c r="E27" s="64">
        <f>+E14+E15+E17+E18+E20+E23+E24+E21</f>
        <v>13784</v>
      </c>
      <c r="F27" s="64">
        <f>AVERAGE(C27:E27)</f>
        <v>14032.666666666666</v>
      </c>
    </row>
    <row r="28" spans="1:10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10" ht="15" customHeight="1" x14ac:dyDescent="0.25">
      <c r="A29" s="52" t="s">
        <v>72</v>
      </c>
    </row>
    <row r="30" spans="1:10" ht="15" customHeight="1" x14ac:dyDescent="0.25">
      <c r="A30" s="1"/>
    </row>
    <row r="32" spans="1:10" ht="15" customHeight="1" x14ac:dyDescent="0.25">
      <c r="A32" s="295" t="s">
        <v>14</v>
      </c>
      <c r="B32" s="295"/>
      <c r="C32" s="295"/>
      <c r="D32" s="295"/>
      <c r="E32" s="295"/>
      <c r="F32" s="295"/>
    </row>
    <row r="33" spans="1:12" ht="15" customHeight="1" x14ac:dyDescent="0.25">
      <c r="A33" s="294" t="s">
        <v>31</v>
      </c>
      <c r="B33" s="294"/>
      <c r="C33" s="294"/>
      <c r="D33" s="294"/>
      <c r="E33" s="294"/>
      <c r="F33" s="294"/>
    </row>
    <row r="34" spans="1:12" ht="15" customHeight="1" x14ac:dyDescent="0.25">
      <c r="A34" s="295" t="s">
        <v>52</v>
      </c>
      <c r="B34" s="295"/>
      <c r="C34" s="295"/>
      <c r="D34" s="295"/>
      <c r="E34" s="295"/>
      <c r="F34" s="295"/>
    </row>
    <row r="35" spans="1:12" ht="15" customHeight="1" x14ac:dyDescent="0.25">
      <c r="A35" s="293"/>
      <c r="B35" s="293"/>
      <c r="C35" s="293"/>
      <c r="D35" s="293"/>
      <c r="E35" s="293"/>
    </row>
    <row r="36" spans="1:12" ht="15" customHeight="1" thickBot="1" x14ac:dyDescent="0.3">
      <c r="A36" s="40" t="s">
        <v>64</v>
      </c>
      <c r="B36" s="19"/>
      <c r="C36" s="20" t="s">
        <v>27</v>
      </c>
      <c r="D36" s="20" t="s">
        <v>28</v>
      </c>
      <c r="E36" s="20" t="s">
        <v>29</v>
      </c>
      <c r="F36" s="20" t="s">
        <v>30</v>
      </c>
    </row>
    <row r="37" spans="1:12" ht="15" customHeight="1" x14ac:dyDescent="0.25">
      <c r="C37" s="29"/>
      <c r="D37" s="29"/>
      <c r="E37" s="29"/>
      <c r="F37" s="29"/>
      <c r="J37" s="113"/>
      <c r="L37" s="86"/>
    </row>
    <row r="38" spans="1:12" ht="15" customHeight="1" x14ac:dyDescent="0.25">
      <c r="A38" s="145" t="s">
        <v>23</v>
      </c>
      <c r="B38" s="146" t="s">
        <v>56</v>
      </c>
      <c r="C38" s="147">
        <v>305658556</v>
      </c>
      <c r="D38" s="147">
        <v>252866241</v>
      </c>
      <c r="E38" s="147">
        <v>253403112</v>
      </c>
      <c r="F38" s="147">
        <f t="shared" ref="F38:F45" si="0">SUM(C38:E38)</f>
        <v>811927909</v>
      </c>
      <c r="J38" s="113"/>
    </row>
    <row r="39" spans="1:12" ht="15" customHeight="1" x14ac:dyDescent="0.25">
      <c r="A39" s="145"/>
      <c r="B39" s="146" t="s">
        <v>55</v>
      </c>
      <c r="C39" s="147">
        <v>104331931</v>
      </c>
      <c r="D39" s="147">
        <v>10200549</v>
      </c>
      <c r="E39" s="147">
        <v>39728454</v>
      </c>
      <c r="F39" s="147">
        <f t="shared" si="0"/>
        <v>154260934</v>
      </c>
    </row>
    <row r="40" spans="1:12" ht="15" customHeight="1" x14ac:dyDescent="0.25">
      <c r="A40" s="23" t="s">
        <v>24</v>
      </c>
      <c r="B40" s="15" t="s">
        <v>56</v>
      </c>
      <c r="C40" s="66">
        <v>88833262</v>
      </c>
      <c r="D40" s="148">
        <v>73872624</v>
      </c>
      <c r="E40" s="66">
        <v>68503974</v>
      </c>
      <c r="F40" s="65">
        <f t="shared" si="0"/>
        <v>231209860</v>
      </c>
    </row>
    <row r="41" spans="1:12" ht="15" customHeight="1" x14ac:dyDescent="0.25">
      <c r="A41" s="23"/>
      <c r="B41" s="15" t="s">
        <v>55</v>
      </c>
      <c r="C41" s="66">
        <v>15032220</v>
      </c>
      <c r="D41" s="66">
        <v>2934862</v>
      </c>
      <c r="E41" s="66">
        <v>17967082</v>
      </c>
      <c r="F41" s="65">
        <f t="shared" si="0"/>
        <v>35934164</v>
      </c>
    </row>
    <row r="42" spans="1:12" ht="15" customHeight="1" x14ac:dyDescent="0.25">
      <c r="A42" s="145" t="s">
        <v>25</v>
      </c>
      <c r="B42" s="146" t="s">
        <v>56</v>
      </c>
      <c r="C42" s="147">
        <v>582258227</v>
      </c>
      <c r="D42" s="147">
        <v>552645712</v>
      </c>
      <c r="E42" s="147">
        <v>624780920.97000003</v>
      </c>
      <c r="F42" s="147">
        <f t="shared" si="0"/>
        <v>1759684859.97</v>
      </c>
    </row>
    <row r="43" spans="1:12" ht="15" customHeight="1" x14ac:dyDescent="0.25">
      <c r="A43" s="145"/>
      <c r="B43" s="146" t="s">
        <v>55</v>
      </c>
      <c r="C43" s="147">
        <v>46506195</v>
      </c>
      <c r="D43" s="147">
        <v>5616417</v>
      </c>
      <c r="E43" s="147">
        <v>13450358</v>
      </c>
      <c r="F43" s="147">
        <f t="shared" si="0"/>
        <v>65572970</v>
      </c>
    </row>
    <row r="44" spans="1:12" ht="15" customHeight="1" x14ac:dyDescent="0.25">
      <c r="A44" s="70" t="s">
        <v>75</v>
      </c>
      <c r="B44" s="49" t="s">
        <v>56</v>
      </c>
      <c r="C44" s="66">
        <v>113750000</v>
      </c>
      <c r="D44" s="66">
        <v>109900000</v>
      </c>
      <c r="E44" s="66">
        <v>115100000</v>
      </c>
      <c r="F44" s="65">
        <f t="shared" si="0"/>
        <v>338750000</v>
      </c>
    </row>
    <row r="45" spans="1:12" ht="15" customHeight="1" x14ac:dyDescent="0.25">
      <c r="A45" s="70"/>
      <c r="B45" s="49" t="s">
        <v>55</v>
      </c>
      <c r="C45" s="65">
        <v>21200000</v>
      </c>
      <c r="D45" s="65">
        <v>0</v>
      </c>
      <c r="E45" s="65">
        <v>550000</v>
      </c>
      <c r="F45" s="65">
        <f t="shared" si="0"/>
        <v>21750000</v>
      </c>
    </row>
    <row r="46" spans="1:12" ht="15" customHeight="1" thickBot="1" x14ac:dyDescent="0.3">
      <c r="A46" s="24" t="s">
        <v>13</v>
      </c>
      <c r="B46" s="25"/>
      <c r="C46" s="67">
        <f>SUM(C38:C45)</f>
        <v>1277570391</v>
      </c>
      <c r="D46" s="67">
        <f>SUM(D38:D45)</f>
        <v>1008036405</v>
      </c>
      <c r="E46" s="67">
        <f>SUM(E38:E45)</f>
        <v>1133483900.97</v>
      </c>
      <c r="F46" s="67">
        <f>SUM(F38:F45)</f>
        <v>3419090696.9700003</v>
      </c>
    </row>
    <row r="47" spans="1:12" ht="15" customHeight="1" thickTop="1" x14ac:dyDescent="0.25">
      <c r="A47" s="27" t="s">
        <v>42</v>
      </c>
    </row>
    <row r="48" spans="1:12" ht="15" customHeight="1" x14ac:dyDescent="0.25">
      <c r="A48" s="52" t="s">
        <v>72</v>
      </c>
    </row>
    <row r="49" spans="1:5" ht="15" customHeight="1" x14ac:dyDescent="0.25">
      <c r="A49" s="30"/>
    </row>
    <row r="50" spans="1:5" ht="15" customHeight="1" x14ac:dyDescent="0.25">
      <c r="A50" s="30"/>
    </row>
    <row r="51" spans="1:5" ht="15" customHeight="1" x14ac:dyDescent="0.25">
      <c r="A51" s="30"/>
    </row>
    <row r="52" spans="1:5" ht="15" customHeight="1" x14ac:dyDescent="0.25">
      <c r="A52" s="294" t="s">
        <v>15</v>
      </c>
      <c r="B52" s="294"/>
      <c r="C52" s="294"/>
      <c r="D52" s="294"/>
      <c r="E52" s="294"/>
    </row>
    <row r="53" spans="1:5" ht="15" customHeight="1" x14ac:dyDescent="0.25">
      <c r="A53" s="294" t="s">
        <v>32</v>
      </c>
      <c r="B53" s="294"/>
      <c r="C53" s="294"/>
      <c r="D53" s="294"/>
      <c r="E53" s="294"/>
    </row>
    <row r="54" spans="1:5" ht="15" customHeight="1" x14ac:dyDescent="0.25">
      <c r="A54" s="293" t="s">
        <v>52</v>
      </c>
      <c r="B54" s="293"/>
      <c r="C54" s="293"/>
      <c r="D54" s="293"/>
      <c r="E54" s="293"/>
    </row>
    <row r="55" spans="1:5" ht="15" customHeight="1" x14ac:dyDescent="0.25">
      <c r="A55" s="293"/>
      <c r="B55" s="293"/>
      <c r="C55" s="293"/>
      <c r="D55" s="293"/>
      <c r="E55" s="293"/>
    </row>
    <row r="56" spans="1:5" ht="15" customHeight="1" thickBot="1" x14ac:dyDescent="0.3">
      <c r="A56" s="18" t="s">
        <v>10</v>
      </c>
      <c r="B56" s="20" t="s">
        <v>27</v>
      </c>
      <c r="C56" s="20" t="s">
        <v>28</v>
      </c>
      <c r="D56" s="20" t="s">
        <v>29</v>
      </c>
      <c r="E56" s="20" t="s">
        <v>30</v>
      </c>
    </row>
    <row r="57" spans="1:5" ht="15" customHeight="1" x14ac:dyDescent="0.25">
      <c r="B57" s="22"/>
      <c r="C57" s="22"/>
      <c r="D57" s="22"/>
      <c r="E57" s="22"/>
    </row>
    <row r="58" spans="1:5" ht="15" customHeight="1" x14ac:dyDescent="0.25">
      <c r="A58" s="21" t="s">
        <v>26</v>
      </c>
      <c r="B58" s="62">
        <f>SUM(C38:C41)</f>
        <v>513855969</v>
      </c>
      <c r="C58" s="62">
        <f t="shared" ref="C58:D58" si="1">SUM(D38:D41)</f>
        <v>339874276</v>
      </c>
      <c r="D58" s="62">
        <f t="shared" si="1"/>
        <v>379602622</v>
      </c>
      <c r="E58" s="22">
        <f>SUM(B58:D58)</f>
        <v>1233332867</v>
      </c>
    </row>
    <row r="59" spans="1:5" ht="15" customHeight="1" x14ac:dyDescent="0.25">
      <c r="A59" s="21" t="s">
        <v>43</v>
      </c>
      <c r="B59" s="62">
        <f>SUM(C42:C43)</f>
        <v>628764422</v>
      </c>
      <c r="C59" s="62">
        <f t="shared" ref="C59:D59" si="2">SUM(D42:D43)</f>
        <v>558262129</v>
      </c>
      <c r="D59" s="62">
        <f t="shared" si="2"/>
        <v>638231278.97000003</v>
      </c>
      <c r="E59" s="88">
        <f t="shared" ref="E59:E61" si="3">SUM(B59:D59)</f>
        <v>1825257829.97</v>
      </c>
    </row>
    <row r="60" spans="1:5" ht="15" customHeight="1" x14ac:dyDescent="0.25">
      <c r="A60" s="80" t="s">
        <v>76</v>
      </c>
      <c r="B60" s="75">
        <f>SUM(C44:C45)</f>
        <v>134950000</v>
      </c>
      <c r="C60" s="75">
        <f t="shared" ref="C60:D60" si="4">SUM(D44:D45)</f>
        <v>109900000</v>
      </c>
      <c r="D60" s="75">
        <f t="shared" si="4"/>
        <v>115650000</v>
      </c>
      <c r="E60" s="88">
        <f t="shared" si="3"/>
        <v>360500000</v>
      </c>
    </row>
    <row r="61" spans="1:5" ht="15" customHeight="1" x14ac:dyDescent="0.25">
      <c r="A61" s="21" t="s">
        <v>7</v>
      </c>
      <c r="B61" s="61"/>
      <c r="C61" s="61"/>
      <c r="D61" s="61"/>
      <c r="E61" s="88">
        <f t="shared" si="3"/>
        <v>0</v>
      </c>
    </row>
    <row r="62" spans="1:5" ht="15" customHeight="1" x14ac:dyDescent="0.25">
      <c r="A62" s="21" t="s">
        <v>8</v>
      </c>
      <c r="B62" s="61"/>
      <c r="C62" s="61"/>
      <c r="D62" s="61"/>
      <c r="E62" s="22">
        <f>SUM(B62:D62)</f>
        <v>0</v>
      </c>
    </row>
    <row r="63" spans="1:5" ht="15" customHeight="1" thickBot="1" x14ac:dyDescent="0.3">
      <c r="A63" s="24" t="s">
        <v>13</v>
      </c>
      <c r="B63" s="64">
        <f>SUM(B58:B62)</f>
        <v>1277570391</v>
      </c>
      <c r="C63" s="64">
        <f>SUM(C58:C62)</f>
        <v>1008036405</v>
      </c>
      <c r="D63" s="64">
        <f>SUM(D58:D62)</f>
        <v>1133483900.97</v>
      </c>
      <c r="E63" s="26">
        <f>SUM(E58:E62)</f>
        <v>3419090696.9700003</v>
      </c>
    </row>
    <row r="64" spans="1:5" ht="15" customHeight="1" thickTop="1" x14ac:dyDescent="0.25">
      <c r="A64" s="52" t="s">
        <v>72</v>
      </c>
    </row>
    <row r="65" spans="1:13" ht="15" customHeight="1" x14ac:dyDescent="0.25">
      <c r="A65" s="1"/>
    </row>
    <row r="67" spans="1:13" ht="15" customHeight="1" x14ac:dyDescent="0.25">
      <c r="A67" s="294" t="s">
        <v>44</v>
      </c>
      <c r="B67" s="294"/>
      <c r="C67" s="294"/>
      <c r="D67" s="294"/>
      <c r="E67" s="294"/>
    </row>
    <row r="68" spans="1:13" ht="15" customHeight="1" x14ac:dyDescent="0.25">
      <c r="A68" s="283" t="s">
        <v>78</v>
      </c>
      <c r="B68" s="283"/>
      <c r="C68" s="283"/>
      <c r="D68" s="283"/>
      <c r="E68" s="283"/>
    </row>
    <row r="69" spans="1:13" ht="15" customHeight="1" x14ac:dyDescent="0.25">
      <c r="A69" s="295" t="s">
        <v>52</v>
      </c>
      <c r="B69" s="295"/>
      <c r="C69" s="295"/>
      <c r="D69" s="295"/>
      <c r="E69" s="295"/>
    </row>
    <row r="70" spans="1:13" ht="15" customHeight="1" x14ac:dyDescent="0.25">
      <c r="A70" s="293"/>
      <c r="B70" s="293"/>
      <c r="C70" s="293"/>
      <c r="D70" s="293"/>
      <c r="E70" s="293"/>
    </row>
    <row r="71" spans="1:13" ht="15" customHeight="1" thickBot="1" x14ac:dyDescent="0.3">
      <c r="A71" s="32" t="s">
        <v>10</v>
      </c>
      <c r="B71" s="34" t="s">
        <v>27</v>
      </c>
      <c r="C71" s="34" t="s">
        <v>28</v>
      </c>
      <c r="D71" s="34" t="s">
        <v>29</v>
      </c>
      <c r="E71" s="34" t="s">
        <v>30</v>
      </c>
    </row>
    <row r="72" spans="1:13" ht="15" customHeight="1" x14ac:dyDescent="0.25">
      <c r="B72" s="22"/>
      <c r="C72" s="22"/>
      <c r="D72" s="22"/>
      <c r="E72" s="22"/>
      <c r="I72" s="86"/>
      <c r="J72" s="86"/>
      <c r="K72" s="86"/>
      <c r="L72" s="86"/>
      <c r="M72" s="86"/>
    </row>
    <row r="73" spans="1:13" ht="15" customHeight="1" x14ac:dyDescent="0.25">
      <c r="A73" s="15" t="s">
        <v>62</v>
      </c>
      <c r="B73" s="61">
        <f>'I T'!E76</f>
        <v>0</v>
      </c>
      <c r="C73" s="61">
        <f>B77</f>
        <v>-91554302</v>
      </c>
      <c r="D73" s="61">
        <f>C77</f>
        <v>-9126911</v>
      </c>
      <c r="E73" s="61">
        <f>B73</f>
        <v>0</v>
      </c>
      <c r="I73" s="86"/>
      <c r="J73" s="86"/>
      <c r="K73" s="86"/>
      <c r="L73" s="86"/>
      <c r="M73" s="86"/>
    </row>
    <row r="74" spans="1:13" ht="15" customHeight="1" x14ac:dyDescent="0.25">
      <c r="A74" s="15" t="s">
        <v>16</v>
      </c>
      <c r="B74" s="115">
        <v>422301667</v>
      </c>
      <c r="C74" s="115">
        <v>422301667</v>
      </c>
      <c r="D74" s="115">
        <v>422301667</v>
      </c>
      <c r="E74" s="83">
        <f>SUM(B74:D74)</f>
        <v>1266905001</v>
      </c>
      <c r="G74" s="42"/>
      <c r="H74" s="42"/>
      <c r="I74" s="86"/>
      <c r="J74" s="86"/>
      <c r="K74" s="86"/>
      <c r="L74" s="86"/>
      <c r="M74" s="86"/>
    </row>
    <row r="75" spans="1:13" ht="15" customHeight="1" x14ac:dyDescent="0.25">
      <c r="A75" s="15" t="s">
        <v>17</v>
      </c>
      <c r="B75" s="61">
        <f>+B73+B74</f>
        <v>422301667</v>
      </c>
      <c r="C75" s="61">
        <f>+C73+C74</f>
        <v>330747365</v>
      </c>
      <c r="D75" s="61">
        <f>+D73+D74</f>
        <v>413174756</v>
      </c>
      <c r="E75" s="61">
        <f>+E73+E74</f>
        <v>1266905001</v>
      </c>
      <c r="G75" s="39"/>
      <c r="H75" s="39"/>
      <c r="I75" s="86"/>
      <c r="J75" s="86"/>
      <c r="K75" s="86"/>
      <c r="L75" s="86"/>
      <c r="M75" s="86"/>
    </row>
    <row r="76" spans="1:13" ht="15" customHeight="1" x14ac:dyDescent="0.25">
      <c r="A76" s="15" t="s">
        <v>18</v>
      </c>
      <c r="B76" s="76">
        <f>B58</f>
        <v>513855969</v>
      </c>
      <c r="C76" s="76">
        <f>C58</f>
        <v>339874276</v>
      </c>
      <c r="D76" s="76">
        <f>D58</f>
        <v>379602622</v>
      </c>
      <c r="E76" s="62">
        <f>SUM(B76:D76)</f>
        <v>1233332867</v>
      </c>
      <c r="F76" s="31"/>
      <c r="G76" s="39"/>
      <c r="H76" s="39"/>
      <c r="I76" s="86"/>
      <c r="J76" s="86"/>
      <c r="K76" s="86"/>
      <c r="L76" s="86"/>
      <c r="M76" s="86"/>
    </row>
    <row r="77" spans="1:13" ht="15" customHeight="1" x14ac:dyDescent="0.25">
      <c r="A77" s="28" t="s">
        <v>19</v>
      </c>
      <c r="B77" s="77">
        <f>+B75-B76</f>
        <v>-91554302</v>
      </c>
      <c r="C77" s="77">
        <f>+C75-C76</f>
        <v>-9126911</v>
      </c>
      <c r="D77" s="77">
        <f>+D75-D76</f>
        <v>33572134</v>
      </c>
      <c r="E77" s="77">
        <f>+E75-E76</f>
        <v>33572134</v>
      </c>
      <c r="G77" s="39"/>
      <c r="H77" s="39"/>
      <c r="I77" s="86"/>
      <c r="J77" s="86"/>
      <c r="K77" s="86"/>
      <c r="L77" s="86"/>
      <c r="M77" s="86"/>
    </row>
    <row r="78" spans="1:13" ht="15" customHeight="1" thickBot="1" x14ac:dyDescent="0.3">
      <c r="A78" s="25"/>
      <c r="B78" s="26"/>
      <c r="C78" s="26"/>
      <c r="D78" s="26"/>
      <c r="E78" s="26"/>
      <c r="G78" s="39"/>
      <c r="H78" s="39"/>
      <c r="I78" s="86"/>
      <c r="J78" s="86"/>
      <c r="K78" s="86"/>
      <c r="L78" s="86"/>
      <c r="M78" s="86"/>
    </row>
    <row r="79" spans="1:13" ht="15" customHeight="1" thickTop="1" x14ac:dyDescent="0.25">
      <c r="A79" s="52" t="s">
        <v>72</v>
      </c>
      <c r="G79" s="39"/>
      <c r="H79" s="39"/>
      <c r="I79" s="39"/>
    </row>
    <row r="80" spans="1:13" ht="15" customHeight="1" x14ac:dyDescent="0.25">
      <c r="A80" s="1"/>
      <c r="G80" s="39"/>
      <c r="H80" s="39"/>
      <c r="I80" s="39"/>
    </row>
    <row r="81" spans="1:9" ht="15" customHeight="1" x14ac:dyDescent="0.25">
      <c r="A81" s="15"/>
      <c r="G81" s="39"/>
      <c r="H81" s="39"/>
      <c r="I81" s="39"/>
    </row>
    <row r="82" spans="1:9" ht="15" customHeight="1" x14ac:dyDescent="0.25">
      <c r="A82" s="294" t="s">
        <v>45</v>
      </c>
      <c r="B82" s="294"/>
      <c r="C82" s="294"/>
      <c r="D82" s="294"/>
      <c r="E82" s="294"/>
      <c r="F82" s="16" t="s">
        <v>54</v>
      </c>
      <c r="G82" s="39"/>
      <c r="H82" s="39"/>
      <c r="I82" s="30"/>
    </row>
    <row r="83" spans="1:9" ht="15" customHeight="1" x14ac:dyDescent="0.25">
      <c r="A83" s="294" t="s">
        <v>49</v>
      </c>
      <c r="B83" s="294"/>
      <c r="C83" s="294"/>
      <c r="D83" s="294"/>
      <c r="E83" s="294"/>
      <c r="F83" s="41">
        <f>E74+E89+E90</f>
        <v>3949716900</v>
      </c>
      <c r="G83" s="39"/>
      <c r="H83" s="43"/>
      <c r="I83" s="112" t="s">
        <v>89</v>
      </c>
    </row>
    <row r="84" spans="1:9" ht="15" customHeight="1" x14ac:dyDescent="0.25">
      <c r="A84" s="295" t="s">
        <v>52</v>
      </c>
      <c r="B84" s="295"/>
      <c r="C84" s="295"/>
      <c r="D84" s="295"/>
      <c r="E84" s="295"/>
      <c r="F84" s="41"/>
      <c r="G84" s="39"/>
      <c r="H84" s="39"/>
      <c r="I84" s="39"/>
    </row>
    <row r="85" spans="1:9" ht="15" customHeight="1" x14ac:dyDescent="0.25">
      <c r="A85" s="293"/>
      <c r="B85" s="293"/>
      <c r="C85" s="293"/>
      <c r="D85" s="293"/>
      <c r="E85" s="293"/>
      <c r="G85" s="39"/>
      <c r="H85" s="39"/>
      <c r="I85" s="39"/>
    </row>
    <row r="86" spans="1:9" ht="15" customHeight="1" thickBot="1" x14ac:dyDescent="0.3">
      <c r="A86" s="32" t="s">
        <v>10</v>
      </c>
      <c r="B86" s="34" t="s">
        <v>27</v>
      </c>
      <c r="C86" s="34" t="s">
        <v>28</v>
      </c>
      <c r="D86" s="34" t="s">
        <v>29</v>
      </c>
      <c r="E86" s="34" t="s">
        <v>30</v>
      </c>
      <c r="G86" s="39"/>
      <c r="H86" s="39"/>
      <c r="I86" s="39"/>
    </row>
    <row r="87" spans="1:9" ht="15" customHeight="1" x14ac:dyDescent="0.25">
      <c r="B87" s="22"/>
      <c r="C87" s="22"/>
      <c r="D87" s="22"/>
      <c r="E87" s="22"/>
      <c r="G87" s="39"/>
      <c r="H87" s="39"/>
      <c r="I87" s="39"/>
    </row>
    <row r="88" spans="1:9" ht="15" customHeight="1" x14ac:dyDescent="0.25">
      <c r="A88" s="15" t="s">
        <v>62</v>
      </c>
      <c r="B88" s="61">
        <f>'I T'!E108</f>
        <v>0</v>
      </c>
      <c r="C88" s="61">
        <f>B93</f>
        <v>130556211</v>
      </c>
      <c r="D88" s="61">
        <f>C93</f>
        <v>356664715</v>
      </c>
      <c r="E88" s="61">
        <f>+B88</f>
        <v>0</v>
      </c>
      <c r="G88" s="39"/>
      <c r="H88" s="39"/>
      <c r="I88" s="87"/>
    </row>
    <row r="89" spans="1:9" ht="15" customHeight="1" x14ac:dyDescent="0.25">
      <c r="A89" s="15" t="s">
        <v>16</v>
      </c>
      <c r="B89" s="109">
        <v>630820633</v>
      </c>
      <c r="C89" s="109">
        <v>630820633</v>
      </c>
      <c r="D89" s="109">
        <v>630820633</v>
      </c>
      <c r="E89" s="61">
        <f>SUM(B89:D89)</f>
        <v>1892461899</v>
      </c>
      <c r="G89" s="42"/>
      <c r="H89" s="42"/>
      <c r="I89" s="42"/>
    </row>
    <row r="90" spans="1:9" s="79" customFormat="1" ht="15" customHeight="1" x14ac:dyDescent="0.25">
      <c r="A90" s="82" t="s">
        <v>77</v>
      </c>
      <c r="B90" s="109">
        <v>263450000</v>
      </c>
      <c r="C90" s="109">
        <v>263450000</v>
      </c>
      <c r="D90" s="109">
        <v>263450000</v>
      </c>
      <c r="E90" s="81">
        <f>SUM(B90:D90)</f>
        <v>790350000</v>
      </c>
      <c r="G90" s="42"/>
      <c r="H90" s="42"/>
      <c r="I90" s="42"/>
    </row>
    <row r="91" spans="1:9" ht="15" customHeight="1" x14ac:dyDescent="0.25">
      <c r="A91" s="15" t="s">
        <v>17</v>
      </c>
      <c r="B91" s="61">
        <f>SUM(B88:B90)</f>
        <v>894270633</v>
      </c>
      <c r="C91" s="61">
        <f>SUM(C88:C90)</f>
        <v>1024826844</v>
      </c>
      <c r="D91" s="61">
        <f>SUM(D88:D90)</f>
        <v>1250935348</v>
      </c>
      <c r="E91" s="61">
        <f>SUM(E88:E90)</f>
        <v>2682811899</v>
      </c>
    </row>
    <row r="92" spans="1:9" ht="15" customHeight="1" x14ac:dyDescent="0.25">
      <c r="A92" s="15" t="s">
        <v>18</v>
      </c>
      <c r="B92" s="76">
        <f>B59+B60</f>
        <v>763714422</v>
      </c>
      <c r="C92" s="76">
        <f>C59+C60</f>
        <v>668162129</v>
      </c>
      <c r="D92" s="76">
        <f>D59+D60</f>
        <v>753881278.97000003</v>
      </c>
      <c r="E92" s="62">
        <f>SUM(B92:D92)</f>
        <v>2185757829.9700003</v>
      </c>
      <c r="F92" s="31"/>
    </row>
    <row r="93" spans="1:9" ht="15" customHeight="1" x14ac:dyDescent="0.25">
      <c r="A93" s="28" t="s">
        <v>19</v>
      </c>
      <c r="B93" s="77">
        <f>+B91-B92</f>
        <v>130556211</v>
      </c>
      <c r="C93" s="77">
        <f>+C91-C92</f>
        <v>356664715</v>
      </c>
      <c r="D93" s="77">
        <f>+D91-D92</f>
        <v>497054069.02999997</v>
      </c>
      <c r="E93" s="77">
        <f>+E91-E92</f>
        <v>497054069.02999973</v>
      </c>
    </row>
    <row r="94" spans="1:9" ht="15" customHeight="1" thickBot="1" x14ac:dyDescent="0.3">
      <c r="A94" s="25"/>
      <c r="B94" s="26"/>
      <c r="C94" s="26"/>
      <c r="D94" s="26"/>
      <c r="E94" s="26"/>
    </row>
    <row r="95" spans="1:9" ht="15" customHeight="1" thickTop="1" x14ac:dyDescent="0.25">
      <c r="A95" s="52" t="s">
        <v>72</v>
      </c>
    </row>
    <row r="96" spans="1:9" ht="36.75" customHeight="1" x14ac:dyDescent="0.25">
      <c r="A96" s="82" t="s">
        <v>79</v>
      </c>
    </row>
    <row r="98" spans="1:3" ht="15" customHeight="1" x14ac:dyDescent="0.25">
      <c r="A98" s="39"/>
    </row>
    <row r="99" spans="1:3" ht="15" customHeight="1" x14ac:dyDescent="0.25">
      <c r="A99" s="87" t="s">
        <v>80</v>
      </c>
      <c r="B99" s="86"/>
      <c r="C99" s="113"/>
    </row>
    <row r="100" spans="1:3" ht="15" customHeight="1" x14ac:dyDescent="0.25">
      <c r="A100" s="87"/>
    </row>
  </sheetData>
  <mergeCells count="24">
    <mergeCell ref="A13:A15"/>
    <mergeCell ref="A16:A18"/>
    <mergeCell ref="A19:A21"/>
    <mergeCell ref="A82:E82"/>
    <mergeCell ref="A83:E83"/>
    <mergeCell ref="A33:F33"/>
    <mergeCell ref="A34:F34"/>
    <mergeCell ref="A54:E54"/>
    <mergeCell ref="A85:E85"/>
    <mergeCell ref="A69:E69"/>
    <mergeCell ref="A84:E84"/>
    <mergeCell ref="A55:E55"/>
    <mergeCell ref="A1:F1"/>
    <mergeCell ref="A7:F7"/>
    <mergeCell ref="A8:F8"/>
    <mergeCell ref="A10:F10"/>
    <mergeCell ref="A35:E35"/>
    <mergeCell ref="A52:E52"/>
    <mergeCell ref="A53:E53"/>
    <mergeCell ref="A9:F9"/>
    <mergeCell ref="A32:F32"/>
    <mergeCell ref="A67:E67"/>
    <mergeCell ref="A68:E68"/>
    <mergeCell ref="A70:E70"/>
  </mergeCells>
  <printOptions horizontalCentered="1" verticalCentered="1"/>
  <pageMargins left="0.70866141732283472" right="1.18" top="0.3" bottom="0.2" header="0.31496062992125984" footer="0.31496062992125984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M107"/>
  <sheetViews>
    <sheetView zoomScale="90" zoomScaleNormal="90" workbookViewId="0">
      <selection activeCell="F83" sqref="F8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6.5703125" style="15" customWidth="1"/>
    <col min="3" max="3" width="16" style="15" bestFit="1" customWidth="1"/>
    <col min="4" max="4" width="19.140625" style="15" customWidth="1"/>
    <col min="5" max="5" width="17" style="15" bestFit="1" customWidth="1"/>
    <col min="6" max="6" width="21.42578125" style="15" customWidth="1"/>
    <col min="7" max="7" width="19.5703125" style="15" customWidth="1"/>
    <col min="8" max="8" width="17.7109375" style="15" bestFit="1" customWidth="1"/>
    <col min="9" max="10" width="16" style="15" bestFit="1" customWidth="1"/>
    <col min="11" max="11" width="17.5703125" style="15" bestFit="1" customWidth="1"/>
    <col min="12" max="12" width="5.140625" style="15" bestFit="1" customWidth="1"/>
    <col min="13" max="16384" width="11.5703125" style="15"/>
  </cols>
  <sheetData>
    <row r="1" spans="1:10" ht="15" customHeight="1" x14ac:dyDescent="0.25">
      <c r="A1" s="294" t="s">
        <v>20</v>
      </c>
      <c r="B1" s="294"/>
      <c r="C1" s="294"/>
      <c r="D1" s="294"/>
      <c r="E1" s="294"/>
      <c r="F1" s="294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90</v>
      </c>
      <c r="C5" s="16"/>
      <c r="D5" s="16"/>
      <c r="E5" s="16"/>
      <c r="F5" s="16"/>
    </row>
    <row r="7" spans="1:10" ht="15" customHeight="1" x14ac:dyDescent="0.25">
      <c r="A7" s="294" t="s">
        <v>9</v>
      </c>
      <c r="B7" s="294"/>
      <c r="C7" s="294"/>
      <c r="D7" s="294"/>
      <c r="E7" s="294"/>
      <c r="F7" s="294"/>
    </row>
    <row r="8" spans="1:10" ht="15" customHeight="1" x14ac:dyDescent="0.25">
      <c r="A8" s="294" t="s">
        <v>12</v>
      </c>
      <c r="B8" s="294"/>
      <c r="C8" s="294"/>
      <c r="D8" s="294"/>
      <c r="E8" s="294"/>
      <c r="F8" s="294"/>
    </row>
    <row r="9" spans="1:10" ht="15" customHeight="1" x14ac:dyDescent="0.25">
      <c r="A9" s="295" t="s">
        <v>50</v>
      </c>
      <c r="B9" s="295"/>
      <c r="C9" s="295"/>
      <c r="D9" s="295"/>
      <c r="E9" s="295"/>
      <c r="F9" s="295"/>
    </row>
    <row r="10" spans="1:10" ht="15" customHeight="1" x14ac:dyDescent="0.25">
      <c r="A10" s="293"/>
      <c r="B10" s="293"/>
      <c r="C10" s="293"/>
      <c r="D10" s="293"/>
      <c r="E10" s="293"/>
      <c r="F10" s="293"/>
      <c r="H10" s="86"/>
    </row>
    <row r="11" spans="1:10" ht="15" customHeight="1" thickBot="1" x14ac:dyDescent="0.3">
      <c r="A11" s="40" t="s">
        <v>64</v>
      </c>
      <c r="B11" s="33"/>
      <c r="C11" s="33" t="s">
        <v>33</v>
      </c>
      <c r="D11" s="33" t="s">
        <v>34</v>
      </c>
      <c r="E11" s="33" t="s">
        <v>57</v>
      </c>
      <c r="F11" s="45" t="s">
        <v>70</v>
      </c>
      <c r="H11" s="86"/>
    </row>
    <row r="12" spans="1:10" ht="15" customHeight="1" x14ac:dyDescent="0.25">
      <c r="H12" s="86"/>
    </row>
    <row r="13" spans="1:10" x14ac:dyDescent="0.25">
      <c r="A13" s="306" t="s">
        <v>23</v>
      </c>
      <c r="B13" s="149" t="s">
        <v>58</v>
      </c>
      <c r="C13" s="150">
        <f>+('2 T no usar'!E13-'3 T'!C15)+181</f>
        <v>57</v>
      </c>
      <c r="D13" s="150">
        <f>+(C13-D15)+243</f>
        <v>246</v>
      </c>
      <c r="E13" s="150">
        <f>+(D13-E15)+193</f>
        <v>311</v>
      </c>
      <c r="F13" s="150">
        <f>E13</f>
        <v>311</v>
      </c>
      <c r="H13" s="86"/>
      <c r="I13" s="87"/>
      <c r="J13" s="51"/>
    </row>
    <row r="14" spans="1:10" ht="15" customHeight="1" x14ac:dyDescent="0.25">
      <c r="A14" s="306"/>
      <c r="B14" s="149" t="s">
        <v>59</v>
      </c>
      <c r="C14" s="150">
        <v>1538</v>
      </c>
      <c r="D14" s="150">
        <v>1461</v>
      </c>
      <c r="E14" s="150">
        <v>1533</v>
      </c>
      <c r="F14" s="150">
        <f>AVERAGE(C14:E14)</f>
        <v>1510.6666666666667</v>
      </c>
      <c r="H14" s="86"/>
      <c r="I14" s="51"/>
      <c r="J14" s="51"/>
    </row>
    <row r="15" spans="1:10" ht="15" customHeight="1" x14ac:dyDescent="0.25">
      <c r="A15" s="306"/>
      <c r="B15" s="149" t="s">
        <v>60</v>
      </c>
      <c r="C15" s="161">
        <v>141</v>
      </c>
      <c r="D15" s="150">
        <v>54</v>
      </c>
      <c r="E15" s="161">
        <v>128</v>
      </c>
      <c r="F15" s="150">
        <f>AVERAGE(C15:E15)</f>
        <v>107.66666666666667</v>
      </c>
      <c r="G15" s="86"/>
      <c r="H15" s="86"/>
      <c r="J15" s="51"/>
    </row>
    <row r="16" spans="1:10" x14ac:dyDescent="0.25">
      <c r="A16" s="297" t="s">
        <v>24</v>
      </c>
      <c r="B16" s="158" t="s">
        <v>58</v>
      </c>
      <c r="C16" s="159">
        <f>+('2 T no usar'!E16-'3 T'!C18)+32</f>
        <v>137</v>
      </c>
      <c r="D16" s="159">
        <f>+(C16-D18)+38</f>
        <v>106</v>
      </c>
      <c r="E16" s="159">
        <f>+(D16-E18)+62</f>
        <v>130</v>
      </c>
      <c r="F16" s="159">
        <f>E16</f>
        <v>130</v>
      </c>
      <c r="H16" s="86"/>
      <c r="I16" s="87"/>
      <c r="J16" s="51"/>
    </row>
    <row r="17" spans="1:10" ht="15" customHeight="1" x14ac:dyDescent="0.25">
      <c r="A17" s="297"/>
      <c r="B17" s="158" t="s">
        <v>59</v>
      </c>
      <c r="C17" s="159">
        <v>1181</v>
      </c>
      <c r="D17" s="159">
        <v>1167</v>
      </c>
      <c r="E17" s="159">
        <v>1207</v>
      </c>
      <c r="F17" s="159">
        <f>AVERAGE(C17:E17)</f>
        <v>1185</v>
      </c>
      <c r="H17" s="86"/>
      <c r="I17" s="51"/>
      <c r="J17" s="51"/>
    </row>
    <row r="18" spans="1:10" ht="15" customHeight="1" x14ac:dyDescent="0.25">
      <c r="A18" s="297"/>
      <c r="B18" s="158" t="s">
        <v>60</v>
      </c>
      <c r="C18" s="159">
        <v>95</v>
      </c>
      <c r="D18" s="159">
        <v>69</v>
      </c>
      <c r="E18" s="159">
        <v>38</v>
      </c>
      <c r="F18" s="159">
        <f>AVERAGE(C18:E18)</f>
        <v>67.333333333333329</v>
      </c>
      <c r="G18" s="86"/>
      <c r="H18" s="86"/>
      <c r="J18" s="51"/>
    </row>
    <row r="19" spans="1:10" x14ac:dyDescent="0.25">
      <c r="A19" s="307" t="s">
        <v>25</v>
      </c>
      <c r="B19" s="149" t="s">
        <v>58</v>
      </c>
      <c r="C19" s="150">
        <f>+('2 T no usar'!E19-'3 T'!C21)+398</f>
        <v>733</v>
      </c>
      <c r="D19" s="150">
        <f>+(C19-D21)+838</f>
        <v>782</v>
      </c>
      <c r="E19" s="150">
        <f>+(D19-E21)+1559</f>
        <v>1877</v>
      </c>
      <c r="F19" s="150">
        <f>+E19</f>
        <v>1877</v>
      </c>
      <c r="H19" s="86"/>
      <c r="I19" s="87"/>
      <c r="J19" s="51"/>
    </row>
    <row r="20" spans="1:10" ht="15" customHeight="1" x14ac:dyDescent="0.25">
      <c r="A20" s="307"/>
      <c r="B20" s="149" t="s">
        <v>59</v>
      </c>
      <c r="C20" s="150">
        <v>10236</v>
      </c>
      <c r="D20" s="150">
        <v>9844</v>
      </c>
      <c r="E20" s="150">
        <v>9292</v>
      </c>
      <c r="F20" s="150">
        <f>AVERAGE(C20:E20)</f>
        <v>9790.6666666666661</v>
      </c>
      <c r="H20" s="86"/>
      <c r="I20" s="51"/>
      <c r="J20" s="51"/>
    </row>
    <row r="21" spans="1:10" ht="15" customHeight="1" x14ac:dyDescent="0.25">
      <c r="A21" s="307"/>
      <c r="B21" s="149" t="s">
        <v>60</v>
      </c>
      <c r="C21" s="150">
        <v>472</v>
      </c>
      <c r="D21" s="150">
        <v>789</v>
      </c>
      <c r="E21" s="150">
        <v>464</v>
      </c>
      <c r="F21" s="150">
        <f>AVERAGE(C21:E21)</f>
        <v>575</v>
      </c>
      <c r="G21" s="86"/>
      <c r="H21" s="86"/>
      <c r="I21" s="51"/>
      <c r="J21" s="51"/>
    </row>
    <row r="22" spans="1:10" ht="15" customHeight="1" x14ac:dyDescent="0.25">
      <c r="A22" s="154" t="s">
        <v>75</v>
      </c>
      <c r="B22" s="155" t="s">
        <v>58</v>
      </c>
      <c r="C22" s="150">
        <f>+('2 T no usar'!E22-'3 T'!C24)+325</f>
        <v>1357</v>
      </c>
      <c r="D22" s="150">
        <f>+(C22-D24)+0</f>
        <v>110</v>
      </c>
      <c r="E22" s="150">
        <f>+(D22-E24)+23</f>
        <v>-335</v>
      </c>
      <c r="F22" s="156">
        <f>E22</f>
        <v>-335</v>
      </c>
      <c r="H22" s="86"/>
      <c r="I22" s="87"/>
      <c r="J22" s="68"/>
    </row>
    <row r="23" spans="1:10" ht="15" customHeight="1" x14ac:dyDescent="0.25">
      <c r="A23" s="157"/>
      <c r="B23" s="155" t="s">
        <v>59</v>
      </c>
      <c r="C23" s="156">
        <v>292</v>
      </c>
      <c r="D23" s="156">
        <v>588</v>
      </c>
      <c r="E23" s="156">
        <v>655</v>
      </c>
      <c r="F23" s="156">
        <f>AVERAGE(C23:E23)</f>
        <v>511.66666666666669</v>
      </c>
      <c r="H23" s="86"/>
      <c r="I23" s="68"/>
      <c r="J23" s="68"/>
    </row>
    <row r="24" spans="1:10" ht="15" customHeight="1" x14ac:dyDescent="0.25">
      <c r="A24" s="157"/>
      <c r="B24" s="155" t="s">
        <v>60</v>
      </c>
      <c r="C24" s="156">
        <v>18</v>
      </c>
      <c r="D24" s="156">
        <v>1247</v>
      </c>
      <c r="E24" s="156">
        <v>468</v>
      </c>
      <c r="F24" s="156">
        <f>AVERAGE(C24:E24)</f>
        <v>577.66666666666663</v>
      </c>
      <c r="G24" s="86"/>
      <c r="H24" s="86"/>
      <c r="I24" s="68"/>
      <c r="J24" s="68"/>
    </row>
    <row r="25" spans="1:10" ht="15" customHeight="1" x14ac:dyDescent="0.25">
      <c r="A25" s="69"/>
      <c r="B25" s="8"/>
      <c r="H25" s="86"/>
      <c r="I25" s="68"/>
      <c r="J25" s="68"/>
    </row>
    <row r="26" spans="1:10" ht="15" customHeight="1" x14ac:dyDescent="0.25">
      <c r="H26" s="86"/>
      <c r="I26" s="51"/>
      <c r="J26" s="51"/>
    </row>
    <row r="27" spans="1:10" ht="15" customHeight="1" thickBot="1" x14ac:dyDescent="0.3">
      <c r="A27" s="24" t="s">
        <v>13</v>
      </c>
      <c r="B27" s="25" t="s">
        <v>51</v>
      </c>
      <c r="C27" s="25">
        <f>+C14+C15+C17+C18+C20+C21+C23+C24</f>
        <v>13973</v>
      </c>
      <c r="D27" s="25">
        <f>+D14+D15+D17+D18+D20+D21+D23+D24</f>
        <v>15219</v>
      </c>
      <c r="E27" s="25">
        <f>+E14+E15+E17+E18+E20+E21+E23+E24</f>
        <v>13785</v>
      </c>
      <c r="F27" s="25">
        <f>AVERAGE(C27:E27)</f>
        <v>14325.666666666666</v>
      </c>
    </row>
    <row r="28" spans="1:10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10" ht="15" customHeight="1" x14ac:dyDescent="0.25">
      <c r="A29" s="52" t="s">
        <v>72</v>
      </c>
    </row>
    <row r="30" spans="1:10" ht="15" customHeight="1" x14ac:dyDescent="0.25">
      <c r="A30" s="1"/>
      <c r="C30" s="89"/>
      <c r="D30" s="89"/>
      <c r="E30" s="89"/>
    </row>
    <row r="32" spans="1:10" ht="15" customHeight="1" x14ac:dyDescent="0.25">
      <c r="A32" s="295" t="s">
        <v>14</v>
      </c>
      <c r="B32" s="295"/>
      <c r="C32" s="295"/>
      <c r="D32" s="295"/>
      <c r="E32" s="295"/>
      <c r="F32" s="295"/>
    </row>
    <row r="33" spans="1:6" ht="15" customHeight="1" x14ac:dyDescent="0.25">
      <c r="A33" s="294" t="s">
        <v>31</v>
      </c>
      <c r="B33" s="294"/>
      <c r="C33" s="294"/>
      <c r="D33" s="294"/>
      <c r="E33" s="294"/>
      <c r="F33" s="294"/>
    </row>
    <row r="34" spans="1:6" ht="15" customHeight="1" x14ac:dyDescent="0.25">
      <c r="A34" s="295" t="s">
        <v>52</v>
      </c>
      <c r="B34" s="295"/>
      <c r="C34" s="295"/>
      <c r="D34" s="295"/>
      <c r="E34" s="295"/>
      <c r="F34" s="295"/>
    </row>
    <row r="35" spans="1:6" ht="15" customHeight="1" x14ac:dyDescent="0.25">
      <c r="A35" s="293"/>
      <c r="B35" s="293"/>
      <c r="C35" s="293"/>
      <c r="D35" s="293"/>
      <c r="E35" s="293"/>
    </row>
    <row r="36" spans="1:6" ht="15" customHeight="1" thickBot="1" x14ac:dyDescent="0.3">
      <c r="A36" s="40" t="s">
        <v>64</v>
      </c>
      <c r="B36" s="19"/>
      <c r="C36" s="19" t="s">
        <v>33</v>
      </c>
      <c r="D36" s="19" t="s">
        <v>34</v>
      </c>
      <c r="E36" s="19" t="s">
        <v>57</v>
      </c>
      <c r="F36" s="19" t="s">
        <v>35</v>
      </c>
    </row>
    <row r="38" spans="1:6" ht="15" customHeight="1" x14ac:dyDescent="0.25">
      <c r="A38" s="176" t="s">
        <v>23</v>
      </c>
      <c r="B38" s="177" t="s">
        <v>56</v>
      </c>
      <c r="C38" s="179">
        <v>269151328</v>
      </c>
      <c r="D38" s="179">
        <v>256266424</v>
      </c>
      <c r="E38" s="179">
        <v>268614457</v>
      </c>
      <c r="F38" s="177">
        <f t="shared" ref="F38:F45" si="0">SUM(C38:E38)</f>
        <v>794032209</v>
      </c>
    </row>
    <row r="39" spans="1:6" ht="15" customHeight="1" x14ac:dyDescent="0.25">
      <c r="A39" s="176"/>
      <c r="B39" s="177" t="s">
        <v>55</v>
      </c>
      <c r="C39" s="179">
        <v>25232937</v>
      </c>
      <c r="D39" s="179">
        <v>9663678</v>
      </c>
      <c r="E39" s="179">
        <v>22190668</v>
      </c>
      <c r="F39" s="177">
        <f t="shared" si="0"/>
        <v>57087283</v>
      </c>
    </row>
    <row r="40" spans="1:6" ht="15" customHeight="1" x14ac:dyDescent="0.25">
      <c r="A40" s="145" t="s">
        <v>24</v>
      </c>
      <c r="B40" s="146" t="s">
        <v>56</v>
      </c>
      <c r="C40" s="180">
        <v>84323596</v>
      </c>
      <c r="D40" s="180">
        <v>83393030</v>
      </c>
      <c r="E40" s="180">
        <v>85898400</v>
      </c>
      <c r="F40" s="146">
        <f t="shared" si="0"/>
        <v>253615026</v>
      </c>
    </row>
    <row r="41" spans="1:6" ht="15" customHeight="1" x14ac:dyDescent="0.25">
      <c r="A41" s="145"/>
      <c r="B41" s="146" t="s">
        <v>55</v>
      </c>
      <c r="C41" s="180">
        <v>6800290</v>
      </c>
      <c r="D41" s="180">
        <v>4294920</v>
      </c>
      <c r="E41" s="180">
        <v>2362206</v>
      </c>
      <c r="F41" s="146">
        <f t="shared" si="0"/>
        <v>13457416</v>
      </c>
    </row>
    <row r="42" spans="1:6" ht="15" customHeight="1" x14ac:dyDescent="0.25">
      <c r="A42" s="176" t="s">
        <v>25</v>
      </c>
      <c r="B42" s="177" t="s">
        <v>56</v>
      </c>
      <c r="C42" s="178">
        <v>585171730</v>
      </c>
      <c r="D42" s="178">
        <v>538676922</v>
      </c>
      <c r="E42" s="178">
        <v>518832649</v>
      </c>
      <c r="F42" s="177">
        <f t="shared" si="0"/>
        <v>1642681301</v>
      </c>
    </row>
    <row r="43" spans="1:6" ht="15" customHeight="1" x14ac:dyDescent="0.25">
      <c r="A43" s="176"/>
      <c r="B43" s="177" t="s">
        <v>55</v>
      </c>
      <c r="C43" s="178">
        <v>21332588</v>
      </c>
      <c r="D43" s="178">
        <v>33446574</v>
      </c>
      <c r="E43" s="178">
        <v>36249233</v>
      </c>
      <c r="F43" s="177">
        <f t="shared" si="0"/>
        <v>91028395</v>
      </c>
    </row>
    <row r="44" spans="1:6" ht="15" customHeight="1" x14ac:dyDescent="0.25">
      <c r="A44" s="174" t="s">
        <v>75</v>
      </c>
      <c r="B44" s="173" t="s">
        <v>56</v>
      </c>
      <c r="C44" s="173">
        <v>118400000</v>
      </c>
      <c r="D44" s="173">
        <v>237500000</v>
      </c>
      <c r="E44" s="173">
        <v>232400000</v>
      </c>
      <c r="F44" s="171">
        <f t="shared" si="0"/>
        <v>588300000</v>
      </c>
    </row>
    <row r="45" spans="1:6" ht="15" customHeight="1" x14ac:dyDescent="0.25">
      <c r="A45" s="174"/>
      <c r="B45" s="173" t="s">
        <v>55</v>
      </c>
      <c r="C45" s="175">
        <v>6600000</v>
      </c>
      <c r="D45" s="171">
        <v>457500000</v>
      </c>
      <c r="E45" s="171">
        <v>180400000</v>
      </c>
      <c r="F45" s="171">
        <f t="shared" si="0"/>
        <v>644500000</v>
      </c>
    </row>
    <row r="46" spans="1:6" ht="15" customHeight="1" thickBot="1" x14ac:dyDescent="0.3">
      <c r="A46" s="24" t="s">
        <v>13</v>
      </c>
      <c r="B46" s="25"/>
      <c r="C46" s="78">
        <f>SUM(C38:C45)</f>
        <v>1117012469</v>
      </c>
      <c r="D46" s="78">
        <f>SUM(D38:D45)</f>
        <v>1620741548</v>
      </c>
      <c r="E46" s="78">
        <f>SUM(E38:E45)</f>
        <v>1346947613</v>
      </c>
      <c r="F46" s="78">
        <f>SUM(F38:F45)</f>
        <v>4084701630</v>
      </c>
    </row>
    <row r="47" spans="1:6" ht="15" customHeight="1" thickTop="1" x14ac:dyDescent="0.25">
      <c r="A47" s="27" t="s">
        <v>42</v>
      </c>
    </row>
    <row r="48" spans="1:6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94" t="s">
        <v>15</v>
      </c>
      <c r="B52" s="294"/>
      <c r="C52" s="294"/>
      <c r="D52" s="294"/>
      <c r="E52" s="294"/>
    </row>
    <row r="53" spans="1:5" ht="15" customHeight="1" x14ac:dyDescent="0.25">
      <c r="A53" s="294" t="s">
        <v>32</v>
      </c>
      <c r="B53" s="294"/>
      <c r="C53" s="294"/>
      <c r="D53" s="294"/>
      <c r="E53" s="294"/>
    </row>
    <row r="54" spans="1:5" ht="15" customHeight="1" x14ac:dyDescent="0.25">
      <c r="A54" s="295" t="s">
        <v>52</v>
      </c>
      <c r="B54" s="295"/>
      <c r="C54" s="295"/>
      <c r="D54" s="295"/>
      <c r="E54" s="295"/>
    </row>
    <row r="55" spans="1:5" ht="15" customHeight="1" x14ac:dyDescent="0.25">
      <c r="A55" s="293"/>
      <c r="B55" s="293"/>
      <c r="C55" s="293"/>
      <c r="D55" s="293"/>
      <c r="E55" s="293"/>
    </row>
    <row r="56" spans="1:5" ht="15" customHeight="1" thickBot="1" x14ac:dyDescent="0.3">
      <c r="A56" s="32" t="s">
        <v>10</v>
      </c>
      <c r="B56" s="33" t="s">
        <v>33</v>
      </c>
      <c r="C56" s="33" t="s">
        <v>34</v>
      </c>
      <c r="D56" s="33" t="s">
        <v>57</v>
      </c>
      <c r="E56" s="33" t="s">
        <v>35</v>
      </c>
    </row>
    <row r="58" spans="1:5" ht="15" customHeight="1" x14ac:dyDescent="0.25">
      <c r="A58" s="21" t="s">
        <v>26</v>
      </c>
      <c r="B58" s="15">
        <f>SUM(C38:C41)</f>
        <v>385508151</v>
      </c>
      <c r="C58" s="86">
        <f t="shared" ref="C58:D58" si="1">SUM(D38:D41)</f>
        <v>353618052</v>
      </c>
      <c r="D58" s="86">
        <f t="shared" si="1"/>
        <v>379065731</v>
      </c>
      <c r="E58" s="15">
        <f>SUM(B58:D58)</f>
        <v>1118191934</v>
      </c>
    </row>
    <row r="59" spans="1:5" ht="15" customHeight="1" x14ac:dyDescent="0.25">
      <c r="A59" s="21" t="s">
        <v>43</v>
      </c>
      <c r="B59" s="15">
        <f>SUM(C42:C43)</f>
        <v>606504318</v>
      </c>
      <c r="C59" s="86">
        <f t="shared" ref="C59:D59" si="2">SUM(D42:D43)</f>
        <v>572123496</v>
      </c>
      <c r="D59" s="86">
        <f t="shared" si="2"/>
        <v>555081882</v>
      </c>
      <c r="E59" s="15">
        <f>SUM(B59:D59)</f>
        <v>1733709696</v>
      </c>
    </row>
    <row r="60" spans="1:5" ht="15" customHeight="1" x14ac:dyDescent="0.25">
      <c r="A60" s="82" t="s">
        <v>76</v>
      </c>
      <c r="B60" s="74">
        <f>SUM(C44:C45)</f>
        <v>125000000</v>
      </c>
      <c r="C60" s="74">
        <f t="shared" ref="C60:D60" si="3">SUM(D44:D45)</f>
        <v>695000000</v>
      </c>
      <c r="D60" s="74">
        <f t="shared" si="3"/>
        <v>412800000</v>
      </c>
      <c r="E60" s="74">
        <f>SUM(B60:D60)</f>
        <v>1232800000</v>
      </c>
    </row>
    <row r="61" spans="1:5" ht="15" customHeight="1" x14ac:dyDescent="0.25">
      <c r="A61" s="21" t="s">
        <v>7</v>
      </c>
      <c r="E61" s="15">
        <f>SUM(B61:D61)</f>
        <v>0</v>
      </c>
    </row>
    <row r="62" spans="1:5" ht="15" customHeight="1" x14ac:dyDescent="0.25">
      <c r="A62" s="21" t="s">
        <v>8</v>
      </c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1117012469</v>
      </c>
      <c r="C63" s="25">
        <f>SUM(C58:C62)</f>
        <v>1620741548</v>
      </c>
      <c r="D63" s="25">
        <f>SUM(D58:D62)</f>
        <v>1346947613</v>
      </c>
      <c r="E63" s="25">
        <f>SUM(E58:E62)</f>
        <v>4084701630</v>
      </c>
    </row>
    <row r="64" spans="1:5" ht="15" customHeight="1" thickTop="1" x14ac:dyDescent="0.25">
      <c r="A64" s="52" t="s">
        <v>72</v>
      </c>
    </row>
    <row r="65" spans="1:9" ht="15" customHeight="1" x14ac:dyDescent="0.25">
      <c r="A65" s="1"/>
    </row>
    <row r="67" spans="1:9" ht="15" customHeight="1" x14ac:dyDescent="0.25">
      <c r="A67" s="294" t="s">
        <v>44</v>
      </c>
      <c r="B67" s="294"/>
      <c r="C67" s="294"/>
      <c r="D67" s="294"/>
      <c r="E67" s="294"/>
    </row>
    <row r="68" spans="1:9" ht="15" customHeight="1" x14ac:dyDescent="0.25">
      <c r="A68" s="283" t="s">
        <v>78</v>
      </c>
      <c r="B68" s="283"/>
      <c r="C68" s="283"/>
      <c r="D68" s="283"/>
      <c r="E68" s="283"/>
      <c r="G68" s="86"/>
    </row>
    <row r="69" spans="1:9" ht="15" customHeight="1" x14ac:dyDescent="0.25">
      <c r="A69" s="295" t="s">
        <v>52</v>
      </c>
      <c r="B69" s="295"/>
      <c r="C69" s="295"/>
      <c r="D69" s="295"/>
      <c r="E69" s="295"/>
      <c r="G69" s="86"/>
    </row>
    <row r="70" spans="1:9" ht="15" customHeight="1" x14ac:dyDescent="0.25">
      <c r="A70" s="293"/>
      <c r="B70" s="293"/>
      <c r="C70" s="293"/>
      <c r="D70" s="293"/>
      <c r="E70" s="293"/>
      <c r="G70" s="86"/>
    </row>
    <row r="71" spans="1:9" ht="15" customHeight="1" thickBot="1" x14ac:dyDescent="0.3">
      <c r="A71" s="32" t="s">
        <v>10</v>
      </c>
      <c r="B71" s="33" t="s">
        <v>33</v>
      </c>
      <c r="C71" s="33" t="s">
        <v>34</v>
      </c>
      <c r="D71" s="33" t="s">
        <v>57</v>
      </c>
      <c r="E71" s="33" t="s">
        <v>35</v>
      </c>
      <c r="G71" s="86"/>
    </row>
    <row r="72" spans="1:9" ht="15" customHeight="1" x14ac:dyDescent="0.25">
      <c r="G72" s="86"/>
    </row>
    <row r="73" spans="1:9" ht="15" customHeight="1" x14ac:dyDescent="0.25">
      <c r="A73" s="15" t="s">
        <v>62</v>
      </c>
      <c r="B73" s="15">
        <f>'2 T no usar'!E77</f>
        <v>33572134</v>
      </c>
      <c r="C73" s="15">
        <f>B77</f>
        <v>70365650</v>
      </c>
      <c r="D73" s="15">
        <f>C77</f>
        <v>139049265</v>
      </c>
      <c r="E73" s="15">
        <f>B73</f>
        <v>33572134</v>
      </c>
      <c r="G73" s="86"/>
    </row>
    <row r="74" spans="1:9" ht="15" customHeight="1" x14ac:dyDescent="0.25">
      <c r="A74" s="15" t="s">
        <v>16</v>
      </c>
      <c r="B74" s="115">
        <v>422301667</v>
      </c>
      <c r="C74" s="115">
        <v>422301667</v>
      </c>
      <c r="D74" s="115">
        <v>422301667</v>
      </c>
      <c r="E74" s="15">
        <f>SUM(B74:D74)</f>
        <v>1266905001</v>
      </c>
      <c r="G74" s="86"/>
      <c r="H74" s="42"/>
      <c r="I74" s="42"/>
    </row>
    <row r="75" spans="1:9" ht="15" customHeight="1" x14ac:dyDescent="0.25">
      <c r="A75" s="15" t="s">
        <v>17</v>
      </c>
      <c r="B75" s="15">
        <f>+B73+B74</f>
        <v>455873801</v>
      </c>
      <c r="C75" s="15">
        <f>+C73+C74</f>
        <v>492667317</v>
      </c>
      <c r="D75" s="15">
        <f>+D73+D74</f>
        <v>561350932</v>
      </c>
      <c r="E75" s="15">
        <f>+E73+E74</f>
        <v>1300477135</v>
      </c>
      <c r="G75" s="86"/>
      <c r="H75" s="39"/>
      <c r="I75" s="39"/>
    </row>
    <row r="76" spans="1:9" ht="15" customHeight="1" x14ac:dyDescent="0.25">
      <c r="A76" s="15" t="s">
        <v>18</v>
      </c>
      <c r="B76" s="54">
        <f>B58</f>
        <v>385508151</v>
      </c>
      <c r="C76" s="54">
        <f>C58</f>
        <v>353618052</v>
      </c>
      <c r="D76" s="54">
        <f>D58</f>
        <v>379065731</v>
      </c>
      <c r="E76" s="21">
        <f>SUM(B76:D76)</f>
        <v>1118191934</v>
      </c>
      <c r="F76" s="31"/>
      <c r="G76" s="86"/>
      <c r="H76" s="39"/>
      <c r="I76" s="39"/>
    </row>
    <row r="77" spans="1:9" ht="15" customHeight="1" x14ac:dyDescent="0.25">
      <c r="A77" s="28" t="s">
        <v>19</v>
      </c>
      <c r="B77" s="28">
        <f>+B75-B76</f>
        <v>70365650</v>
      </c>
      <c r="C77" s="28">
        <f>+C75-C76</f>
        <v>139049265</v>
      </c>
      <c r="D77" s="28">
        <f>+D75-D76</f>
        <v>182285201</v>
      </c>
      <c r="E77" s="28">
        <f>+E75-E76</f>
        <v>182285201</v>
      </c>
      <c r="G77" s="86"/>
      <c r="H77" s="39"/>
      <c r="I77" s="39"/>
    </row>
    <row r="78" spans="1:9" ht="15" customHeight="1" thickBot="1" x14ac:dyDescent="0.3">
      <c r="A78" s="25"/>
      <c r="B78" s="25"/>
      <c r="C78" s="25"/>
      <c r="D78" s="25"/>
      <c r="E78" s="25"/>
      <c r="G78" s="86"/>
      <c r="H78" s="39"/>
      <c r="I78" s="39"/>
    </row>
    <row r="79" spans="1:9" ht="15" customHeight="1" thickTop="1" x14ac:dyDescent="0.25">
      <c r="A79" s="52" t="s">
        <v>72</v>
      </c>
      <c r="G79" s="86"/>
      <c r="H79" s="39"/>
      <c r="I79" s="39"/>
    </row>
    <row r="80" spans="1:9" ht="15" customHeight="1" x14ac:dyDescent="0.25">
      <c r="A80" s="1"/>
      <c r="G80" s="86"/>
      <c r="H80" s="39"/>
      <c r="I80" s="39"/>
    </row>
    <row r="81" spans="1:13" ht="15" customHeight="1" x14ac:dyDescent="0.25">
      <c r="A81" s="15"/>
      <c r="G81" s="86"/>
      <c r="H81" s="39"/>
      <c r="I81" s="39"/>
    </row>
    <row r="82" spans="1:13" ht="15" customHeight="1" x14ac:dyDescent="0.25">
      <c r="A82" s="294" t="s">
        <v>45</v>
      </c>
      <c r="B82" s="294"/>
      <c r="C82" s="294"/>
      <c r="D82" s="294"/>
      <c r="E82" s="294"/>
      <c r="F82" s="16" t="s">
        <v>54</v>
      </c>
      <c r="G82" s="39"/>
      <c r="H82" s="39"/>
      <c r="I82" s="39"/>
    </row>
    <row r="83" spans="1:13" ht="15" customHeight="1" x14ac:dyDescent="0.25">
      <c r="A83" s="294" t="s">
        <v>49</v>
      </c>
      <c r="B83" s="294"/>
      <c r="C83" s="294"/>
      <c r="D83" s="294"/>
      <c r="E83" s="294"/>
      <c r="F83" s="41"/>
      <c r="G83" s="39"/>
      <c r="H83" s="39"/>
      <c r="I83" s="30"/>
    </row>
    <row r="84" spans="1:13" ht="15" customHeight="1" x14ac:dyDescent="0.25">
      <c r="A84" s="295" t="s">
        <v>52</v>
      </c>
      <c r="B84" s="295"/>
      <c r="C84" s="295"/>
      <c r="D84" s="295"/>
      <c r="E84" s="295"/>
      <c r="F84" s="16"/>
      <c r="G84" s="39"/>
      <c r="H84" s="39"/>
      <c r="I84" s="39"/>
    </row>
    <row r="85" spans="1:13" ht="15" customHeight="1" x14ac:dyDescent="0.25">
      <c r="A85" s="293"/>
      <c r="B85" s="293"/>
      <c r="C85" s="293"/>
      <c r="D85" s="293"/>
      <c r="E85" s="293"/>
      <c r="G85" s="39"/>
      <c r="H85" s="39"/>
      <c r="I85" s="39"/>
    </row>
    <row r="86" spans="1:13" ht="15" customHeight="1" thickBot="1" x14ac:dyDescent="0.3">
      <c r="A86" s="32" t="s">
        <v>10</v>
      </c>
      <c r="B86" s="33" t="s">
        <v>33</v>
      </c>
      <c r="C86" s="33" t="s">
        <v>34</v>
      </c>
      <c r="D86" s="33" t="s">
        <v>57</v>
      </c>
      <c r="E86" s="33" t="s">
        <v>35</v>
      </c>
      <c r="G86" s="39"/>
      <c r="H86" s="39"/>
      <c r="I86" s="39"/>
    </row>
    <row r="87" spans="1:13" ht="15" customHeight="1" x14ac:dyDescent="0.25">
      <c r="G87" s="39"/>
      <c r="H87" s="39"/>
      <c r="I87" s="39"/>
    </row>
    <row r="88" spans="1:13" ht="15" customHeight="1" x14ac:dyDescent="0.25">
      <c r="A88" s="15" t="s">
        <v>62</v>
      </c>
      <c r="B88" s="15">
        <f>'2 T no usar'!E93</f>
        <v>497054069.02999973</v>
      </c>
      <c r="C88" s="15">
        <f>B93</f>
        <v>659820384.02999973</v>
      </c>
      <c r="D88" s="15">
        <f>C93</f>
        <v>286967521.02999973</v>
      </c>
      <c r="E88" s="15">
        <f>+B88</f>
        <v>497054069.02999973</v>
      </c>
      <c r="G88" s="39"/>
      <c r="H88" s="111"/>
      <c r="I88" s="39"/>
    </row>
    <row r="89" spans="1:13" ht="15" customHeight="1" x14ac:dyDescent="0.25">
      <c r="A89" s="15" t="s">
        <v>16</v>
      </c>
      <c r="B89" s="109">
        <v>630820633</v>
      </c>
      <c r="C89" s="109">
        <v>630820633</v>
      </c>
      <c r="D89" s="109">
        <v>630820633</v>
      </c>
      <c r="E89" s="15">
        <f>SUM(B89:D89)</f>
        <v>1892461899</v>
      </c>
      <c r="G89" s="42"/>
      <c r="H89" s="181"/>
      <c r="I89" s="181"/>
      <c r="J89" s="89"/>
      <c r="K89" s="89"/>
      <c r="L89" s="89"/>
      <c r="M89" s="89"/>
    </row>
    <row r="90" spans="1:13" s="79" customFormat="1" ht="15" customHeight="1" x14ac:dyDescent="0.25">
      <c r="A90" s="82" t="s">
        <v>77</v>
      </c>
      <c r="B90" s="109">
        <v>263450000</v>
      </c>
      <c r="C90" s="109">
        <v>263450000</v>
      </c>
      <c r="D90" s="109">
        <v>263450000</v>
      </c>
      <c r="E90" s="84">
        <f>SUM(B90:D90)</f>
        <v>790350000</v>
      </c>
      <c r="G90" s="42"/>
      <c r="H90" s="181"/>
      <c r="I90" s="181"/>
      <c r="J90" s="89"/>
      <c r="K90" s="89"/>
      <c r="L90" s="89"/>
      <c r="M90" s="89"/>
    </row>
    <row r="91" spans="1:13" ht="15" customHeight="1" x14ac:dyDescent="0.25">
      <c r="A91" s="15" t="s">
        <v>17</v>
      </c>
      <c r="B91" s="15">
        <f>SUM(B88:B90)</f>
        <v>1391324702.0299997</v>
      </c>
      <c r="C91" s="86">
        <f>SUM(C88:C90)</f>
        <v>1554091017.0299997</v>
      </c>
      <c r="D91" s="86">
        <f>SUM(D88:D90)</f>
        <v>1181238154.0299997</v>
      </c>
      <c r="E91" s="15">
        <f>SUM(E88:E90)</f>
        <v>3179865968.0299997</v>
      </c>
      <c r="F91" s="110"/>
      <c r="H91" s="89"/>
      <c r="I91" s="89"/>
      <c r="J91" s="89"/>
      <c r="K91" s="89"/>
      <c r="L91" s="89"/>
      <c r="M91" s="89"/>
    </row>
    <row r="92" spans="1:13" ht="15" customHeight="1" x14ac:dyDescent="0.25">
      <c r="A92" s="15" t="s">
        <v>18</v>
      </c>
      <c r="B92" s="54">
        <f>B59+B60</f>
        <v>731504318</v>
      </c>
      <c r="C92" s="54">
        <f>C59+C60</f>
        <v>1267123496</v>
      </c>
      <c r="D92" s="54">
        <f>D59+D60</f>
        <v>967881882</v>
      </c>
      <c r="E92" s="15">
        <f>SUM(B92:D92)</f>
        <v>2966509696</v>
      </c>
      <c r="F92" s="31"/>
      <c r="H92" s="89"/>
      <c r="I92" s="89"/>
      <c r="J92" s="89"/>
      <c r="K92" s="89"/>
      <c r="L92" s="89"/>
      <c r="M92" s="89"/>
    </row>
    <row r="93" spans="1:13" ht="15" customHeight="1" x14ac:dyDescent="0.25">
      <c r="A93" s="28" t="s">
        <v>19</v>
      </c>
      <c r="B93" s="28">
        <f>+B91-B92</f>
        <v>659820384.02999973</v>
      </c>
      <c r="C93" s="28">
        <f>+C91-C92</f>
        <v>286967521.02999973</v>
      </c>
      <c r="D93" s="28">
        <f>+D91-D92</f>
        <v>213356272.02999973</v>
      </c>
      <c r="E93" s="28">
        <f>+E91-E92</f>
        <v>213356272.02999973</v>
      </c>
      <c r="H93" s="89"/>
      <c r="I93" s="89"/>
      <c r="J93" s="89"/>
      <c r="K93" s="89"/>
      <c r="L93" s="89"/>
      <c r="M93" s="89"/>
    </row>
    <row r="94" spans="1:13" ht="15" customHeight="1" thickBot="1" x14ac:dyDescent="0.3">
      <c r="A94" s="25"/>
      <c r="B94" s="25"/>
      <c r="C94" s="25"/>
      <c r="D94" s="25"/>
      <c r="E94" s="25"/>
    </row>
    <row r="95" spans="1:13" ht="15" customHeight="1" thickTop="1" x14ac:dyDescent="0.25">
      <c r="A95" s="52" t="s">
        <v>72</v>
      </c>
      <c r="G95" s="110"/>
    </row>
    <row r="96" spans="1:13" ht="38.25" customHeight="1" x14ac:dyDescent="0.25">
      <c r="A96" s="85" t="s">
        <v>79</v>
      </c>
    </row>
    <row r="97" spans="1:7" ht="15" customHeight="1" x14ac:dyDescent="0.25">
      <c r="G97" s="110"/>
    </row>
    <row r="98" spans="1:7" ht="15" customHeight="1" x14ac:dyDescent="0.25">
      <c r="A98" s="68"/>
      <c r="C98" s="86"/>
      <c r="D98" s="113"/>
      <c r="G98" s="110"/>
    </row>
    <row r="99" spans="1:7" ht="15" customHeight="1" x14ac:dyDescent="0.25">
      <c r="A99" s="112" t="s">
        <v>91</v>
      </c>
      <c r="C99" s="86"/>
      <c r="D99" s="113"/>
    </row>
    <row r="100" spans="1:7" ht="15" customHeight="1" x14ac:dyDescent="0.25">
      <c r="A100" s="39"/>
      <c r="C100" s="86"/>
      <c r="D100" s="113"/>
    </row>
    <row r="101" spans="1:7" ht="15" customHeight="1" x14ac:dyDescent="0.25">
      <c r="B101" s="86"/>
      <c r="C101" s="86"/>
      <c r="D101" s="113"/>
      <c r="E101" s="86"/>
      <c r="F101" s="86"/>
    </row>
    <row r="102" spans="1:7" ht="15" customHeight="1" x14ac:dyDescent="0.25">
      <c r="B102" s="86"/>
      <c r="C102" s="86"/>
      <c r="D102" s="113"/>
      <c r="E102" s="86"/>
      <c r="F102" s="86"/>
    </row>
    <row r="103" spans="1:7" ht="15" customHeight="1" x14ac:dyDescent="0.25">
      <c r="B103" s="86"/>
      <c r="C103" s="86"/>
      <c r="D103" s="113"/>
      <c r="E103" s="86"/>
      <c r="F103" s="86"/>
    </row>
    <row r="104" spans="1:7" ht="15" customHeight="1" x14ac:dyDescent="0.25">
      <c r="B104" s="86"/>
      <c r="C104" s="86"/>
      <c r="D104" s="113"/>
      <c r="E104" s="86"/>
      <c r="F104" s="86"/>
    </row>
    <row r="105" spans="1:7" ht="15" customHeight="1" x14ac:dyDescent="0.25">
      <c r="B105" s="86"/>
      <c r="C105" s="86"/>
      <c r="D105" s="113"/>
      <c r="E105" s="86"/>
      <c r="F105" s="86"/>
    </row>
    <row r="106" spans="1:7" ht="15" customHeight="1" x14ac:dyDescent="0.25">
      <c r="B106" s="86"/>
      <c r="C106" s="86"/>
      <c r="D106" s="113"/>
      <c r="E106" s="86"/>
      <c r="F106" s="86"/>
    </row>
    <row r="107" spans="1:7" ht="15" customHeight="1" x14ac:dyDescent="0.25">
      <c r="B107" s="86"/>
      <c r="C107" s="86"/>
      <c r="D107" s="113"/>
      <c r="E107" s="86"/>
      <c r="F107" s="86"/>
    </row>
  </sheetData>
  <mergeCells count="24">
    <mergeCell ref="A33:F33"/>
    <mergeCell ref="A16:A18"/>
    <mergeCell ref="A7:F7"/>
    <mergeCell ref="A34:F34"/>
    <mergeCell ref="A8:F8"/>
    <mergeCell ref="A9:F9"/>
    <mergeCell ref="A32:F32"/>
    <mergeCell ref="A19:A21"/>
    <mergeCell ref="A67:E67"/>
    <mergeCell ref="A68:E68"/>
    <mergeCell ref="A1:F1"/>
    <mergeCell ref="A85:E85"/>
    <mergeCell ref="A54:E54"/>
    <mergeCell ref="A69:E69"/>
    <mergeCell ref="A84:E84"/>
    <mergeCell ref="A13:A15"/>
    <mergeCell ref="A10:F10"/>
    <mergeCell ref="A52:E52"/>
    <mergeCell ref="A53:E53"/>
    <mergeCell ref="A55:E55"/>
    <mergeCell ref="A35:E35"/>
    <mergeCell ref="A82:E82"/>
    <mergeCell ref="A83:E83"/>
    <mergeCell ref="A70:E70"/>
  </mergeCells>
  <printOptions horizontalCentered="1" verticalCentered="1"/>
  <pageMargins left="0.70866141732283472" right="1.18" top="0.3" bottom="0.2" header="0.31496062992125984" footer="0.31496062992125984"/>
  <pageSetup scale="4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M109"/>
  <sheetViews>
    <sheetView zoomScale="85" zoomScaleNormal="85" workbookViewId="0">
      <selection activeCell="F83" sqref="F83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4.42578125" style="15" customWidth="1"/>
    <col min="3" max="3" width="15.42578125" style="15" bestFit="1" customWidth="1"/>
    <col min="4" max="5" width="16.85546875" style="15" bestFit="1" customWidth="1"/>
    <col min="6" max="6" width="16.140625" style="15" customWidth="1"/>
    <col min="7" max="7" width="16.85546875" style="15" bestFit="1" customWidth="1"/>
    <col min="8" max="8" width="18.140625" style="15" customWidth="1"/>
    <col min="9" max="9" width="17.5703125" style="15" customWidth="1"/>
    <col min="10" max="10" width="15.28515625" style="15" customWidth="1"/>
    <col min="11" max="11" width="12.5703125" style="15" bestFit="1" customWidth="1"/>
    <col min="12" max="12" width="15.140625" style="15" bestFit="1" customWidth="1"/>
    <col min="13" max="16384" width="11.5703125" style="15"/>
  </cols>
  <sheetData>
    <row r="1" spans="1:8" ht="15" customHeight="1" x14ac:dyDescent="0.25">
      <c r="A1" s="294" t="s">
        <v>20</v>
      </c>
      <c r="B1" s="294"/>
      <c r="C1" s="294"/>
      <c r="D1" s="294"/>
      <c r="E1" s="294"/>
      <c r="F1" s="294"/>
    </row>
    <row r="2" spans="1:8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8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8" ht="15" customHeight="1" x14ac:dyDescent="0.25">
      <c r="A4" s="3" t="s">
        <v>11</v>
      </c>
      <c r="B4" s="16" t="s">
        <v>61</v>
      </c>
      <c r="C4" s="16"/>
      <c r="D4" s="16"/>
      <c r="E4" s="16"/>
      <c r="F4" s="16"/>
    </row>
    <row r="5" spans="1:8" ht="15" customHeight="1" x14ac:dyDescent="0.25">
      <c r="A5" s="3" t="s">
        <v>47</v>
      </c>
      <c r="B5" s="17" t="s">
        <v>94</v>
      </c>
      <c r="C5" s="16"/>
      <c r="D5" s="16"/>
      <c r="E5" s="16"/>
      <c r="F5" s="16"/>
    </row>
    <row r="7" spans="1:8" ht="15" customHeight="1" x14ac:dyDescent="0.25">
      <c r="A7" s="294" t="s">
        <v>9</v>
      </c>
      <c r="B7" s="294"/>
      <c r="C7" s="294"/>
      <c r="D7" s="294"/>
      <c r="E7" s="294"/>
      <c r="F7" s="294"/>
    </row>
    <row r="8" spans="1:8" ht="15" customHeight="1" x14ac:dyDescent="0.25">
      <c r="A8" s="294" t="s">
        <v>12</v>
      </c>
      <c r="B8" s="294"/>
      <c r="C8" s="294"/>
      <c r="D8" s="294"/>
      <c r="E8" s="294"/>
      <c r="F8" s="294"/>
    </row>
    <row r="9" spans="1:8" ht="15" customHeight="1" x14ac:dyDescent="0.25">
      <c r="A9" s="295" t="s">
        <v>50</v>
      </c>
      <c r="B9" s="295"/>
      <c r="C9" s="295"/>
      <c r="D9" s="295"/>
      <c r="E9" s="295"/>
      <c r="F9" s="295"/>
    </row>
    <row r="10" spans="1:8" ht="15" customHeight="1" x14ac:dyDescent="0.25">
      <c r="A10" s="36"/>
      <c r="B10" s="36"/>
      <c r="C10" s="36"/>
      <c r="D10" s="36"/>
      <c r="E10" s="36"/>
      <c r="F10" s="36"/>
    </row>
    <row r="11" spans="1:8" ht="15" customHeight="1" thickBot="1" x14ac:dyDescent="0.3">
      <c r="A11" s="40" t="s">
        <v>64</v>
      </c>
      <c r="B11" s="33"/>
      <c r="C11" s="33" t="s">
        <v>36</v>
      </c>
      <c r="D11" s="33" t="s">
        <v>37</v>
      </c>
      <c r="E11" s="33" t="s">
        <v>38</v>
      </c>
      <c r="F11" s="45" t="s">
        <v>69</v>
      </c>
    </row>
    <row r="12" spans="1:8" ht="15" customHeight="1" x14ac:dyDescent="0.25">
      <c r="H12" s="31"/>
    </row>
    <row r="13" spans="1:8" ht="30" x14ac:dyDescent="0.25">
      <c r="A13" s="309" t="s">
        <v>23</v>
      </c>
      <c r="B13" s="162" t="s">
        <v>58</v>
      </c>
      <c r="C13" s="163">
        <f>+('3 T'!E13-'4 T'!C15)+266</f>
        <v>78</v>
      </c>
      <c r="D13" s="163">
        <f>+(C13-D15)+114</f>
        <v>-76</v>
      </c>
      <c r="E13" s="163">
        <f>+(D13-E15)+36</f>
        <v>-374</v>
      </c>
      <c r="F13" s="164">
        <f>E13</f>
        <v>-374</v>
      </c>
      <c r="G13" s="31"/>
    </row>
    <row r="14" spans="1:8" ht="15" customHeight="1" x14ac:dyDescent="0.25">
      <c r="A14" s="309"/>
      <c r="B14" s="162" t="s">
        <v>59</v>
      </c>
      <c r="C14" s="163">
        <v>1445</v>
      </c>
      <c r="D14" s="163">
        <v>1619</v>
      </c>
      <c r="E14" s="163">
        <v>1696</v>
      </c>
      <c r="F14" s="164">
        <f>AVERAGE(C14:E14)</f>
        <v>1586.6666666666667</v>
      </c>
    </row>
    <row r="15" spans="1:8" ht="15" customHeight="1" x14ac:dyDescent="0.25">
      <c r="A15" s="309"/>
      <c r="B15" s="162" t="s">
        <v>60</v>
      </c>
      <c r="C15" s="163">
        <v>499</v>
      </c>
      <c r="D15" s="163">
        <v>268</v>
      </c>
      <c r="E15" s="163">
        <v>334</v>
      </c>
      <c r="F15" s="164">
        <f>AVERAGE(C15:E15)</f>
        <v>367</v>
      </c>
    </row>
    <row r="16" spans="1:8" ht="30" x14ac:dyDescent="0.25">
      <c r="A16" s="304" t="s">
        <v>24</v>
      </c>
      <c r="B16" s="142" t="s">
        <v>58</v>
      </c>
      <c r="C16" s="165">
        <f>+('3 T'!E16-'4 T'!C18)+105</f>
        <v>178</v>
      </c>
      <c r="D16" s="165">
        <f>+(C16-D18)+86</f>
        <v>191</v>
      </c>
      <c r="E16" s="165">
        <f>+(D16-E18)</f>
        <v>73</v>
      </c>
      <c r="F16" s="166">
        <f>E16</f>
        <v>73</v>
      </c>
      <c r="G16" s="31"/>
    </row>
    <row r="17" spans="1:7" ht="15" customHeight="1" x14ac:dyDescent="0.25">
      <c r="A17" s="304"/>
      <c r="B17" s="142" t="s">
        <v>59</v>
      </c>
      <c r="C17" s="165">
        <v>1168</v>
      </c>
      <c r="D17" s="165">
        <v>1190</v>
      </c>
      <c r="E17" s="165">
        <v>1278</v>
      </c>
      <c r="F17" s="166">
        <f>AVERAGE(C17:E17)</f>
        <v>1212</v>
      </c>
    </row>
    <row r="18" spans="1:7" ht="15" customHeight="1" x14ac:dyDescent="0.25">
      <c r="A18" s="304"/>
      <c r="B18" s="142" t="s">
        <v>60</v>
      </c>
      <c r="C18" s="165">
        <v>57</v>
      </c>
      <c r="D18" s="165">
        <v>73</v>
      </c>
      <c r="E18" s="165">
        <v>118</v>
      </c>
      <c r="F18" s="166">
        <f>AVERAGE(C18:E18)</f>
        <v>82.666666666666671</v>
      </c>
    </row>
    <row r="19" spans="1:7" ht="30" x14ac:dyDescent="0.25">
      <c r="A19" s="308" t="s">
        <v>25</v>
      </c>
      <c r="B19" s="162" t="s">
        <v>58</v>
      </c>
      <c r="C19" s="163">
        <f>+('3 T'!E19-'4 T'!C21)+865</f>
        <v>164</v>
      </c>
      <c r="D19" s="163">
        <f>+(C19-D21)+425</f>
        <v>-56</v>
      </c>
      <c r="E19" s="163">
        <f>+(D19-E21)-931+731</f>
        <v>-1120</v>
      </c>
      <c r="F19" s="164">
        <f>E19</f>
        <v>-1120</v>
      </c>
      <c r="G19" s="31"/>
    </row>
    <row r="20" spans="1:7" ht="15" customHeight="1" x14ac:dyDescent="0.25">
      <c r="A20" s="308"/>
      <c r="B20" s="162" t="s">
        <v>59</v>
      </c>
      <c r="C20" s="163">
        <v>10031</v>
      </c>
      <c r="D20" s="163">
        <v>9982</v>
      </c>
      <c r="E20" s="163">
        <v>11777</v>
      </c>
      <c r="F20" s="164">
        <f>AVERAGE(C20:E20)</f>
        <v>10596.666666666666</v>
      </c>
    </row>
    <row r="21" spans="1:7" ht="15" customHeight="1" x14ac:dyDescent="0.25">
      <c r="A21" s="308"/>
      <c r="B21" s="162" t="s">
        <v>60</v>
      </c>
      <c r="C21" s="163">
        <v>2578</v>
      </c>
      <c r="D21" s="163">
        <v>645</v>
      </c>
      <c r="E21" s="163">
        <v>864</v>
      </c>
      <c r="F21" s="167">
        <f>AVERAGE(C21:E21)</f>
        <v>1362.3333333333333</v>
      </c>
    </row>
    <row r="22" spans="1:7" ht="15" customHeight="1" x14ac:dyDescent="0.25">
      <c r="A22" s="168" t="s">
        <v>75</v>
      </c>
      <c r="B22" s="169" t="s">
        <v>58</v>
      </c>
      <c r="C22" s="170">
        <f>+('3 T'!E22-'4 T'!C24)+25</f>
        <v>-333</v>
      </c>
      <c r="D22" s="170">
        <f>+(C22-D24)+114</f>
        <v>-244</v>
      </c>
      <c r="E22" s="170">
        <f>+(D22-E24)+24</f>
        <v>-334</v>
      </c>
      <c r="F22" s="171">
        <f>E22</f>
        <v>-334</v>
      </c>
    </row>
    <row r="23" spans="1:7" ht="15" customHeight="1" x14ac:dyDescent="0.25">
      <c r="A23" s="170"/>
      <c r="B23" s="169" t="s">
        <v>59</v>
      </c>
      <c r="C23" s="170">
        <v>635</v>
      </c>
      <c r="D23" s="170">
        <v>552</v>
      </c>
      <c r="E23" s="170">
        <v>639</v>
      </c>
      <c r="F23" s="172">
        <f>AVERAGE(C23:E23)</f>
        <v>608.66666666666663</v>
      </c>
    </row>
    <row r="24" spans="1:7" ht="15" customHeight="1" x14ac:dyDescent="0.25">
      <c r="A24" s="170"/>
      <c r="B24" s="169" t="s">
        <v>60</v>
      </c>
      <c r="C24" s="170">
        <v>23</v>
      </c>
      <c r="D24" s="170">
        <v>25</v>
      </c>
      <c r="E24" s="170">
        <v>114</v>
      </c>
      <c r="F24" s="172">
        <f>AVERAGE(C24:E24)</f>
        <v>54</v>
      </c>
    </row>
    <row r="25" spans="1:7" ht="15" customHeight="1" x14ac:dyDescent="0.25">
      <c r="A25" s="69"/>
      <c r="B25" s="8"/>
      <c r="C25" s="48"/>
      <c r="D25" s="48"/>
      <c r="E25" s="48"/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16436</v>
      </c>
      <c r="D27" s="25">
        <f>+D14+D15+D17+D18+D20+D21+D23+D24</f>
        <v>14354</v>
      </c>
      <c r="E27" s="25">
        <f>+E14+E15+E17+E18+E20+E21+E23+E24</f>
        <v>16820</v>
      </c>
      <c r="F27" s="25">
        <f>AVERAGE(C27:E27)</f>
        <v>15870</v>
      </c>
    </row>
    <row r="28" spans="1:7" ht="15" customHeight="1" thickTop="1" x14ac:dyDescent="0.25">
      <c r="A28" s="46" t="s">
        <v>66</v>
      </c>
      <c r="B28" s="28"/>
      <c r="C28" s="28"/>
      <c r="D28" s="28"/>
      <c r="E28" s="28"/>
      <c r="F28" s="28"/>
    </row>
    <row r="29" spans="1:7" ht="15" customHeight="1" x14ac:dyDescent="0.25">
      <c r="A29" s="52" t="s">
        <v>74</v>
      </c>
    </row>
    <row r="30" spans="1:7" ht="15" customHeight="1" x14ac:dyDescent="0.25">
      <c r="A30" s="1"/>
    </row>
    <row r="32" spans="1:7" ht="15" customHeight="1" x14ac:dyDescent="0.25">
      <c r="A32" s="295" t="s">
        <v>14</v>
      </c>
      <c r="B32" s="295"/>
      <c r="C32" s="295"/>
      <c r="D32" s="295"/>
      <c r="E32" s="295"/>
      <c r="F32" s="295"/>
    </row>
    <row r="33" spans="1:10" ht="15" customHeight="1" x14ac:dyDescent="0.25">
      <c r="A33" s="294" t="s">
        <v>31</v>
      </c>
      <c r="B33" s="294"/>
      <c r="C33" s="294"/>
      <c r="D33" s="294"/>
      <c r="E33" s="294"/>
      <c r="F33" s="294"/>
    </row>
    <row r="34" spans="1:10" ht="15" customHeight="1" x14ac:dyDescent="0.25">
      <c r="A34" s="295" t="s">
        <v>52</v>
      </c>
      <c r="B34" s="295"/>
      <c r="C34" s="295"/>
      <c r="D34" s="295"/>
      <c r="E34" s="295"/>
      <c r="F34" s="295"/>
    </row>
    <row r="35" spans="1:10" ht="15" customHeight="1" x14ac:dyDescent="0.25">
      <c r="A35" s="293"/>
      <c r="B35" s="293"/>
      <c r="C35" s="293"/>
      <c r="D35" s="293"/>
      <c r="E35" s="293"/>
    </row>
    <row r="36" spans="1:10" ht="15" customHeight="1" thickBot="1" x14ac:dyDescent="0.3">
      <c r="A36" s="40" t="s">
        <v>64</v>
      </c>
      <c r="B36" s="19"/>
      <c r="C36" s="19" t="s">
        <v>36</v>
      </c>
      <c r="D36" s="19" t="s">
        <v>37</v>
      </c>
      <c r="E36" s="19" t="s">
        <v>38</v>
      </c>
      <c r="F36" s="19" t="s">
        <v>39</v>
      </c>
      <c r="H36" s="182"/>
    </row>
    <row r="38" spans="1:10" ht="15" customHeight="1" x14ac:dyDescent="0.25">
      <c r="A38" s="176" t="s">
        <v>23</v>
      </c>
      <c r="B38" s="177" t="s">
        <v>56</v>
      </c>
      <c r="C38" s="179">
        <v>253582069</v>
      </c>
      <c r="D38" s="179">
        <v>283288931</v>
      </c>
      <c r="E38" s="179">
        <v>378978776</v>
      </c>
      <c r="F38" s="177">
        <f t="shared" ref="F38:F45" si="0">SUM(C38:E38)</f>
        <v>915849776</v>
      </c>
      <c r="G38" s="89"/>
    </row>
    <row r="39" spans="1:10" ht="15" customHeight="1" x14ac:dyDescent="0.25">
      <c r="A39" s="176"/>
      <c r="B39" s="177" t="s">
        <v>55</v>
      </c>
      <c r="C39" s="179">
        <v>148892224</v>
      </c>
      <c r="D39" s="179">
        <v>45991949</v>
      </c>
      <c r="E39" s="179">
        <v>61561208</v>
      </c>
      <c r="F39" s="177">
        <f t="shared" si="0"/>
        <v>256445381</v>
      </c>
      <c r="G39" s="89"/>
    </row>
    <row r="40" spans="1:10" ht="15" customHeight="1" x14ac:dyDescent="0.25">
      <c r="A40" s="145" t="s">
        <v>24</v>
      </c>
      <c r="B40" s="146" t="s">
        <v>56</v>
      </c>
      <c r="C40" s="180">
        <v>83393030</v>
      </c>
      <c r="D40" s="180">
        <v>84967834</v>
      </c>
      <c r="E40" s="180">
        <v>120055900.61</v>
      </c>
      <c r="F40" s="146">
        <f t="shared" si="0"/>
        <v>288416764.61000001</v>
      </c>
      <c r="G40" s="89"/>
    </row>
    <row r="41" spans="1:10" ht="15" customHeight="1" x14ac:dyDescent="0.25">
      <c r="A41" s="145"/>
      <c r="B41" s="146" t="s">
        <v>55</v>
      </c>
      <c r="C41" s="180">
        <v>33715122</v>
      </c>
      <c r="D41" s="180">
        <v>5225486</v>
      </c>
      <c r="E41" s="180">
        <v>7730856</v>
      </c>
      <c r="F41" s="146">
        <f t="shared" si="0"/>
        <v>46671464</v>
      </c>
      <c r="G41" s="89"/>
      <c r="H41" s="89" t="s">
        <v>95</v>
      </c>
      <c r="I41" s="15">
        <f>+E42-I42</f>
        <v>1252910009.8</v>
      </c>
    </row>
    <row r="42" spans="1:10" ht="15" customHeight="1" x14ac:dyDescent="0.25">
      <c r="A42" s="176" t="s">
        <v>25</v>
      </c>
      <c r="B42" s="177" t="s">
        <v>56</v>
      </c>
      <c r="C42" s="184">
        <v>595576456</v>
      </c>
      <c r="D42" s="178">
        <v>620235825</v>
      </c>
      <c r="E42" s="210">
        <v>1303653874.7</v>
      </c>
      <c r="F42" s="177">
        <f t="shared" si="0"/>
        <v>2519466155.6999998</v>
      </c>
      <c r="H42" s="208" t="s">
        <v>96</v>
      </c>
      <c r="I42" s="209">
        <v>50743864.899999999</v>
      </c>
      <c r="J42" s="89"/>
    </row>
    <row r="43" spans="1:10" ht="15" customHeight="1" x14ac:dyDescent="0.25">
      <c r="A43" s="176"/>
      <c r="B43" s="177" t="s">
        <v>55</v>
      </c>
      <c r="C43" s="178">
        <v>292043708</v>
      </c>
      <c r="D43" s="178">
        <v>46083130</v>
      </c>
      <c r="E43" s="178">
        <v>81223761</v>
      </c>
      <c r="F43" s="177">
        <f t="shared" si="0"/>
        <v>419350599</v>
      </c>
      <c r="H43" s="89" t="s">
        <v>13</v>
      </c>
      <c r="I43" s="15">
        <f>+I41+I42</f>
        <v>1303653874.7</v>
      </c>
    </row>
    <row r="44" spans="1:10" ht="15" customHeight="1" x14ac:dyDescent="0.25">
      <c r="A44" s="174" t="s">
        <v>75</v>
      </c>
      <c r="B44" s="173" t="s">
        <v>56</v>
      </c>
      <c r="C44" s="173">
        <v>230400000</v>
      </c>
      <c r="D44" s="173">
        <v>206050000</v>
      </c>
      <c r="E44" s="173">
        <v>561306000</v>
      </c>
      <c r="F44" s="171">
        <f t="shared" si="0"/>
        <v>997756000</v>
      </c>
      <c r="H44" s="89"/>
    </row>
    <row r="45" spans="1:10" ht="15" customHeight="1" x14ac:dyDescent="0.25">
      <c r="A45" s="174"/>
      <c r="B45" s="173" t="s">
        <v>55</v>
      </c>
      <c r="C45" s="175">
        <v>8650000</v>
      </c>
      <c r="D45" s="171">
        <v>11550000</v>
      </c>
      <c r="E45" s="171">
        <v>44550000</v>
      </c>
      <c r="F45" s="171">
        <f t="shared" si="0"/>
        <v>64750000</v>
      </c>
      <c r="H45" s="89"/>
    </row>
    <row r="46" spans="1:10" ht="15" customHeight="1" thickBot="1" x14ac:dyDescent="0.3">
      <c r="A46" s="24" t="s">
        <v>13</v>
      </c>
      <c r="B46" s="25"/>
      <c r="C46" s="25">
        <f>SUM(C38:C45)</f>
        <v>1646252609</v>
      </c>
      <c r="D46" s="25">
        <f>SUM(D38:D45)</f>
        <v>1303393155</v>
      </c>
      <c r="E46" s="25">
        <f>SUM(E38:E45)</f>
        <v>2559060376.3099999</v>
      </c>
      <c r="F46" s="25">
        <f>SUM(F38:F45)</f>
        <v>5508706140.3099995</v>
      </c>
      <c r="H46" s="89"/>
    </row>
    <row r="47" spans="1:10" ht="15" customHeight="1" thickTop="1" x14ac:dyDescent="0.25">
      <c r="A47" s="27" t="s">
        <v>63</v>
      </c>
    </row>
    <row r="48" spans="1:10" ht="15" customHeight="1" x14ac:dyDescent="0.25">
      <c r="A48" s="52" t="s">
        <v>72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94" t="s">
        <v>15</v>
      </c>
      <c r="B52" s="294"/>
      <c r="C52" s="294"/>
      <c r="D52" s="294"/>
      <c r="E52" s="294"/>
    </row>
    <row r="53" spans="1:5" ht="15" customHeight="1" x14ac:dyDescent="0.25">
      <c r="A53" s="294" t="s">
        <v>32</v>
      </c>
      <c r="B53" s="294"/>
      <c r="C53" s="294"/>
      <c r="D53" s="294"/>
      <c r="E53" s="294"/>
    </row>
    <row r="54" spans="1:5" ht="15" customHeight="1" x14ac:dyDescent="0.25">
      <c r="A54" s="295" t="s">
        <v>52</v>
      </c>
      <c r="B54" s="295"/>
      <c r="C54" s="295"/>
      <c r="D54" s="295"/>
      <c r="E54" s="295"/>
    </row>
    <row r="55" spans="1:5" ht="15" customHeight="1" x14ac:dyDescent="0.25">
      <c r="A55" s="293"/>
      <c r="B55" s="293"/>
      <c r="C55" s="293"/>
      <c r="D55" s="293"/>
      <c r="E55" s="293"/>
    </row>
    <row r="56" spans="1:5" ht="15" customHeight="1" thickBot="1" x14ac:dyDescent="0.3">
      <c r="A56" s="32" t="s">
        <v>10</v>
      </c>
      <c r="B56" s="33" t="s">
        <v>36</v>
      </c>
      <c r="C56" s="33" t="s">
        <v>37</v>
      </c>
      <c r="D56" s="33" t="s">
        <v>38</v>
      </c>
      <c r="E56" s="33" t="s">
        <v>39</v>
      </c>
    </row>
    <row r="58" spans="1:5" ht="15" customHeight="1" x14ac:dyDescent="0.25">
      <c r="A58" s="21" t="s">
        <v>26</v>
      </c>
      <c r="B58" s="49">
        <f>SUM(C38:C41)</f>
        <v>519582445</v>
      </c>
      <c r="C58" s="49">
        <f t="shared" ref="C58:D58" si="1">SUM(D38:D41)</f>
        <v>419474200</v>
      </c>
      <c r="D58" s="49">
        <f t="shared" si="1"/>
        <v>568326740.61000001</v>
      </c>
      <c r="E58" s="15">
        <f>SUM(B58:D58)</f>
        <v>1507383385.6100001</v>
      </c>
    </row>
    <row r="59" spans="1:5" ht="15" customHeight="1" x14ac:dyDescent="0.25">
      <c r="A59" s="21" t="s">
        <v>43</v>
      </c>
      <c r="B59" s="49">
        <f>SUM(C42:C43)</f>
        <v>887620164</v>
      </c>
      <c r="C59" s="49">
        <f t="shared" ref="C59:D59" si="2">SUM(D42:D43)</f>
        <v>666318955</v>
      </c>
      <c r="D59" s="49">
        <f t="shared" si="2"/>
        <v>1384877635.7</v>
      </c>
      <c r="E59" s="15">
        <f>SUM(B59:D59)</f>
        <v>2938816754.6999998</v>
      </c>
    </row>
    <row r="60" spans="1:5" ht="15" customHeight="1" x14ac:dyDescent="0.25">
      <c r="A60" s="85" t="s">
        <v>76</v>
      </c>
      <c r="B60" s="49">
        <f>SUM(C44:C45)</f>
        <v>239050000</v>
      </c>
      <c r="C60" s="49">
        <f t="shared" ref="C60:D60" si="3">SUM(D44:D45)</f>
        <v>217600000</v>
      </c>
      <c r="D60" s="49">
        <f t="shared" si="3"/>
        <v>605856000</v>
      </c>
      <c r="E60" s="15">
        <f>SUM(B60:D60)</f>
        <v>1062506000</v>
      </c>
    </row>
    <row r="61" spans="1:5" ht="15" customHeight="1" x14ac:dyDescent="0.25">
      <c r="A61" s="21" t="s">
        <v>7</v>
      </c>
      <c r="B61" s="48"/>
      <c r="C61" s="48"/>
      <c r="D61" s="48"/>
      <c r="E61" s="15">
        <f>SUM(B61:D61)</f>
        <v>0</v>
      </c>
    </row>
    <row r="62" spans="1:5" ht="15" customHeight="1" x14ac:dyDescent="0.25">
      <c r="A62" s="21" t="s">
        <v>8</v>
      </c>
      <c r="B62" s="48"/>
      <c r="C62" s="48"/>
      <c r="D62" s="48"/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1646252609</v>
      </c>
      <c r="C63" s="25">
        <f>SUM(C58:C62)</f>
        <v>1303393155</v>
      </c>
      <c r="D63" s="25">
        <f>SUM(D58:D62)</f>
        <v>2559060376.3099999</v>
      </c>
      <c r="E63" s="25">
        <f>SUM(E58:E62)</f>
        <v>5508706140.3099995</v>
      </c>
    </row>
    <row r="64" spans="1:5" ht="15" customHeight="1" thickTop="1" x14ac:dyDescent="0.25">
      <c r="A64" s="52" t="s">
        <v>72</v>
      </c>
    </row>
    <row r="65" spans="1:10" ht="15" customHeight="1" x14ac:dyDescent="0.25">
      <c r="A65" s="1"/>
    </row>
    <row r="67" spans="1:10" ht="15" customHeight="1" x14ac:dyDescent="0.25">
      <c r="A67" s="294" t="s">
        <v>44</v>
      </c>
      <c r="B67" s="294"/>
      <c r="C67" s="294"/>
      <c r="D67" s="294"/>
      <c r="E67" s="294"/>
    </row>
    <row r="68" spans="1:10" ht="15" customHeight="1" x14ac:dyDescent="0.25">
      <c r="A68" s="283" t="s">
        <v>78</v>
      </c>
      <c r="B68" s="283"/>
      <c r="C68" s="283"/>
      <c r="D68" s="283"/>
      <c r="E68" s="283"/>
    </row>
    <row r="69" spans="1:10" ht="15" customHeight="1" x14ac:dyDescent="0.25">
      <c r="A69" s="295" t="s">
        <v>52</v>
      </c>
      <c r="B69" s="295"/>
      <c r="C69" s="295"/>
      <c r="D69" s="295"/>
      <c r="E69" s="295"/>
    </row>
    <row r="70" spans="1:10" ht="15" customHeight="1" x14ac:dyDescent="0.25">
      <c r="A70" s="293"/>
      <c r="B70" s="293"/>
      <c r="C70" s="293"/>
      <c r="D70" s="293"/>
      <c r="E70" s="293"/>
    </row>
    <row r="71" spans="1:10" ht="15" customHeight="1" thickBot="1" x14ac:dyDescent="0.3">
      <c r="A71" s="32" t="s">
        <v>10</v>
      </c>
      <c r="B71" s="33" t="s">
        <v>36</v>
      </c>
      <c r="C71" s="33" t="s">
        <v>37</v>
      </c>
      <c r="D71" s="33" t="s">
        <v>38</v>
      </c>
      <c r="E71" s="33" t="s">
        <v>39</v>
      </c>
      <c r="G71" s="86"/>
      <c r="H71" s="86"/>
      <c r="I71" s="86"/>
      <c r="J71" s="86"/>
    </row>
    <row r="72" spans="1:10" ht="15" customHeight="1" x14ac:dyDescent="0.25">
      <c r="G72" s="86"/>
      <c r="H72" s="86"/>
      <c r="I72" s="86"/>
      <c r="J72" s="86"/>
    </row>
    <row r="73" spans="1:10" ht="15" customHeight="1" x14ac:dyDescent="0.25">
      <c r="A73" s="15" t="s">
        <v>62</v>
      </c>
      <c r="B73" s="87">
        <f>'3 T'!E77</f>
        <v>182285201</v>
      </c>
      <c r="C73" s="87">
        <f>B77</f>
        <v>85004423</v>
      </c>
      <c r="D73" s="87">
        <f>C77</f>
        <v>87831890</v>
      </c>
      <c r="E73" s="15">
        <f>+B73</f>
        <v>182285201</v>
      </c>
      <c r="G73" s="86"/>
      <c r="H73" s="86"/>
      <c r="I73" s="86"/>
      <c r="J73" s="86"/>
    </row>
    <row r="74" spans="1:10" ht="15" customHeight="1" x14ac:dyDescent="0.25">
      <c r="A74" s="15" t="s">
        <v>16</v>
      </c>
      <c r="B74" s="62">
        <v>422301667</v>
      </c>
      <c r="C74" s="62">
        <v>422301667</v>
      </c>
      <c r="D74" s="62">
        <f>422301667+1155427.38</f>
        <v>423457094.38</v>
      </c>
      <c r="E74" s="15">
        <f>SUM(B74:D74)</f>
        <v>1268060428.3800001</v>
      </c>
      <c r="G74" s="86"/>
      <c r="H74" s="86"/>
      <c r="I74" s="86"/>
      <c r="J74" s="86"/>
    </row>
    <row r="75" spans="1:10" ht="15" customHeight="1" x14ac:dyDescent="0.25">
      <c r="A75" s="15" t="s">
        <v>17</v>
      </c>
      <c r="B75" s="15">
        <f>B73+B74</f>
        <v>604586868</v>
      </c>
      <c r="C75" s="15">
        <f>C73+C74</f>
        <v>507306090</v>
      </c>
      <c r="D75" s="15">
        <f>D73+D74</f>
        <v>511288984.38</v>
      </c>
      <c r="E75" s="15">
        <f>+E73+E74</f>
        <v>1450345629.3800001</v>
      </c>
      <c r="G75" s="86"/>
      <c r="H75" s="86"/>
      <c r="I75" s="86"/>
      <c r="J75" s="86"/>
    </row>
    <row r="76" spans="1:10" ht="15" customHeight="1" x14ac:dyDescent="0.25">
      <c r="A76" s="15" t="s">
        <v>18</v>
      </c>
      <c r="B76" s="54">
        <f>B58</f>
        <v>519582445</v>
      </c>
      <c r="C76" s="54">
        <f>C58</f>
        <v>419474200</v>
      </c>
      <c r="D76" s="54">
        <f>D58</f>
        <v>568326740.61000001</v>
      </c>
      <c r="E76" s="50">
        <f>SUM(B76:D76)</f>
        <v>1507383385.6100001</v>
      </c>
      <c r="F76" s="86"/>
      <c r="G76" s="89"/>
      <c r="H76" s="89"/>
      <c r="I76" s="86"/>
      <c r="J76" s="86"/>
    </row>
    <row r="77" spans="1:10" ht="15" customHeight="1" x14ac:dyDescent="0.25">
      <c r="A77" s="28" t="s">
        <v>19</v>
      </c>
      <c r="B77" s="28">
        <f>+B75-B76</f>
        <v>85004423</v>
      </c>
      <c r="C77" s="28">
        <f>+C75-C76</f>
        <v>87831890</v>
      </c>
      <c r="D77" s="27">
        <f>+D75-D76</f>
        <v>-57037756.230000019</v>
      </c>
      <c r="E77" s="53">
        <f>+E75-E76</f>
        <v>-57037756.230000019</v>
      </c>
      <c r="F77" s="86"/>
      <c r="G77" s="89"/>
      <c r="H77" s="89"/>
      <c r="I77" s="86"/>
      <c r="J77" s="86"/>
    </row>
    <row r="78" spans="1:10" ht="15" customHeight="1" thickBot="1" x14ac:dyDescent="0.3">
      <c r="A78" s="25"/>
      <c r="B78" s="25"/>
      <c r="C78" s="25"/>
      <c r="D78" s="25"/>
      <c r="E78" s="25"/>
      <c r="F78" s="89"/>
      <c r="G78" s="89"/>
      <c r="H78" s="89"/>
      <c r="I78" s="86"/>
      <c r="J78" s="86"/>
    </row>
    <row r="79" spans="1:10" ht="15" customHeight="1" thickTop="1" x14ac:dyDescent="0.25">
      <c r="A79" s="52" t="s">
        <v>72</v>
      </c>
      <c r="F79" s="89"/>
      <c r="G79" s="89"/>
      <c r="H79" s="89"/>
      <c r="I79" s="86"/>
      <c r="J79" s="86"/>
    </row>
    <row r="80" spans="1:10" ht="15" customHeight="1" x14ac:dyDescent="0.25">
      <c r="A80" s="1"/>
      <c r="F80" s="89"/>
      <c r="G80" s="89"/>
      <c r="H80" s="89"/>
      <c r="I80" s="86"/>
      <c r="J80" s="86"/>
    </row>
    <row r="81" spans="1:13" ht="15" customHeight="1" x14ac:dyDescent="0.25">
      <c r="A81" s="15"/>
      <c r="G81" s="86"/>
      <c r="H81" s="86"/>
      <c r="I81" s="86"/>
      <c r="J81" s="86"/>
    </row>
    <row r="82" spans="1:13" ht="15" customHeight="1" x14ac:dyDescent="0.25">
      <c r="A82" s="294" t="s">
        <v>45</v>
      </c>
      <c r="B82" s="294"/>
      <c r="C82" s="294"/>
      <c r="D82" s="294"/>
      <c r="E82" s="294"/>
      <c r="F82" s="16" t="s">
        <v>54</v>
      </c>
      <c r="G82" s="86"/>
      <c r="H82" s="86"/>
      <c r="I82" s="86"/>
      <c r="J82" s="86"/>
    </row>
    <row r="83" spans="1:13" ht="15" customHeight="1" x14ac:dyDescent="0.25">
      <c r="A83" s="294" t="s">
        <v>49</v>
      </c>
      <c r="B83" s="294"/>
      <c r="C83" s="294"/>
      <c r="D83" s="294"/>
      <c r="E83" s="294"/>
      <c r="F83" s="16">
        <f>E74+E89+E90</f>
        <v>4682462913.1700001</v>
      </c>
      <c r="G83" s="86"/>
      <c r="H83" s="86"/>
      <c r="I83" s="86"/>
      <c r="J83" s="86"/>
    </row>
    <row r="84" spans="1:13" ht="15" customHeight="1" x14ac:dyDescent="0.25">
      <c r="A84" s="295" t="s">
        <v>52</v>
      </c>
      <c r="B84" s="295"/>
      <c r="C84" s="295"/>
      <c r="D84" s="295"/>
      <c r="E84" s="295"/>
      <c r="F84" s="16"/>
      <c r="G84" s="86"/>
      <c r="H84" s="86"/>
      <c r="I84" s="86"/>
      <c r="J84" s="86"/>
    </row>
    <row r="85" spans="1:13" ht="15" customHeight="1" x14ac:dyDescent="0.25">
      <c r="A85" s="293"/>
      <c r="B85" s="293"/>
      <c r="C85" s="293"/>
      <c r="D85" s="293"/>
      <c r="E85" s="293"/>
      <c r="G85" s="86"/>
      <c r="H85" s="86"/>
      <c r="I85" s="86"/>
      <c r="J85" s="86"/>
    </row>
    <row r="86" spans="1:13" ht="15" customHeight="1" thickBot="1" x14ac:dyDescent="0.3">
      <c r="A86" s="32" t="s">
        <v>10</v>
      </c>
      <c r="B86" s="33" t="s">
        <v>36</v>
      </c>
      <c r="C86" s="33" t="s">
        <v>37</v>
      </c>
      <c r="D86" s="33" t="s">
        <v>38</v>
      </c>
      <c r="E86" s="33" t="s">
        <v>39</v>
      </c>
      <c r="G86" s="86"/>
      <c r="H86" s="86"/>
      <c r="I86" s="86"/>
      <c r="J86" s="86"/>
    </row>
    <row r="87" spans="1:13" ht="15" customHeight="1" x14ac:dyDescent="0.25">
      <c r="G87" s="86"/>
      <c r="H87" s="86"/>
      <c r="I87" s="86"/>
      <c r="J87" s="86"/>
    </row>
    <row r="88" spans="1:13" ht="15" customHeight="1" x14ac:dyDescent="0.25">
      <c r="A88" s="15" t="s">
        <v>62</v>
      </c>
      <c r="B88" s="87">
        <f>'3 T'!E93</f>
        <v>213356272.02999973</v>
      </c>
      <c r="C88" s="87">
        <f>B93</f>
        <v>-19043258.970000267</v>
      </c>
      <c r="D88" s="87">
        <f>C93</f>
        <v>-8691580.970000267</v>
      </c>
      <c r="E88" s="15">
        <f>+B88</f>
        <v>213356272.02999973</v>
      </c>
      <c r="G88" s="86"/>
      <c r="H88" s="86"/>
      <c r="I88" s="86"/>
      <c r="J88" s="86"/>
    </row>
    <row r="89" spans="1:13" ht="15" customHeight="1" x14ac:dyDescent="0.25">
      <c r="A89" s="113" t="s">
        <v>88</v>
      </c>
      <c r="B89" s="62">
        <v>630820633</v>
      </c>
      <c r="C89" s="62">
        <v>630820633</v>
      </c>
      <c r="D89" s="207">
        <f>630820633+(472036858.8+33044608.44)+50743864.9+60306010.98</f>
        <v>1246951976.1200001</v>
      </c>
      <c r="E89" s="15">
        <f>SUM(B89:D89)</f>
        <v>2508593242.1199999</v>
      </c>
      <c r="G89" s="86" t="s">
        <v>95</v>
      </c>
      <c r="H89" s="86">
        <f>+D89-H90</f>
        <v>1196208111.22</v>
      </c>
      <c r="I89" s="86"/>
      <c r="J89" s="86"/>
      <c r="L89" s="79"/>
    </row>
    <row r="90" spans="1:13" s="79" customFormat="1" ht="15" customHeight="1" x14ac:dyDescent="0.25">
      <c r="A90" s="82" t="s">
        <v>77</v>
      </c>
      <c r="B90" s="62">
        <v>263450000</v>
      </c>
      <c r="C90" s="62">
        <v>263450000</v>
      </c>
      <c r="D90" s="62">
        <f>263450000+115456000+3242.67</f>
        <v>378909242.67000002</v>
      </c>
      <c r="E90" s="79">
        <f>SUM(B90:D90)</f>
        <v>905809242.67000008</v>
      </c>
      <c r="F90" s="110"/>
      <c r="G90" s="211" t="s">
        <v>97</v>
      </c>
      <c r="H90" s="212">
        <v>50743864.899999999</v>
      </c>
      <c r="I90" s="86"/>
      <c r="J90" s="86"/>
      <c r="M90" s="113"/>
    </row>
    <row r="91" spans="1:13" ht="15" customHeight="1" x14ac:dyDescent="0.25">
      <c r="A91" s="15" t="s">
        <v>17</v>
      </c>
      <c r="B91" s="15">
        <f>SUM(B88:B90)</f>
        <v>1107626905.0299997</v>
      </c>
      <c r="C91" s="86">
        <f>SUM(C88:C90)</f>
        <v>875227374.02999973</v>
      </c>
      <c r="D91" s="86">
        <f>SUM(D88:D90)</f>
        <v>1617169637.8199999</v>
      </c>
      <c r="E91" s="15">
        <f>SUM(E88:E90)</f>
        <v>3627758756.8199997</v>
      </c>
      <c r="G91" s="89" t="s">
        <v>13</v>
      </c>
      <c r="H91" s="86">
        <f>+H89+H90</f>
        <v>1246951976.1200001</v>
      </c>
      <c r="I91" s="86"/>
      <c r="J91" s="86"/>
    </row>
    <row r="92" spans="1:13" ht="15" customHeight="1" x14ac:dyDescent="0.25">
      <c r="A92" s="15" t="s">
        <v>18</v>
      </c>
      <c r="B92" s="54">
        <f>B59+B60</f>
        <v>1126670164</v>
      </c>
      <c r="C92" s="54">
        <f>C59+C60</f>
        <v>883918955</v>
      </c>
      <c r="D92" s="54">
        <f>D59+D60</f>
        <v>1990733635.7</v>
      </c>
      <c r="E92" s="50">
        <f>SUM(B92:D92)</f>
        <v>4001322754.6999998</v>
      </c>
      <c r="F92" s="31"/>
      <c r="G92" s="89"/>
      <c r="H92" s="86"/>
      <c r="I92" s="86"/>
      <c r="J92" s="86"/>
    </row>
    <row r="93" spans="1:13" ht="15" customHeight="1" x14ac:dyDescent="0.25">
      <c r="A93" s="28" t="s">
        <v>19</v>
      </c>
      <c r="B93" s="28">
        <f>+B91-B92</f>
        <v>-19043258.970000267</v>
      </c>
      <c r="C93" s="28">
        <f>+C91-C92</f>
        <v>-8691580.970000267</v>
      </c>
      <c r="D93" s="27">
        <f>+D91-D92</f>
        <v>-373563997.88000011</v>
      </c>
      <c r="E93" s="53">
        <f>+E91-E92</f>
        <v>-373563997.88000011</v>
      </c>
      <c r="F93" s="31"/>
      <c r="G93" s="89"/>
      <c r="H93" s="86"/>
      <c r="I93" s="86"/>
      <c r="J93" s="86"/>
    </row>
    <row r="94" spans="1:13" ht="15" customHeight="1" thickBot="1" x14ac:dyDescent="0.3">
      <c r="A94" s="25"/>
      <c r="B94" s="25"/>
      <c r="C94" s="25"/>
      <c r="D94" s="25"/>
      <c r="E94" s="25"/>
      <c r="F94" s="31"/>
      <c r="G94" s="89"/>
      <c r="H94" s="86"/>
      <c r="I94" s="86"/>
      <c r="J94" s="86"/>
    </row>
    <row r="95" spans="1:13" ht="15" customHeight="1" thickTop="1" x14ac:dyDescent="0.25">
      <c r="A95" s="52" t="s">
        <v>72</v>
      </c>
      <c r="F95" s="31"/>
      <c r="G95" s="86"/>
      <c r="H95" s="86"/>
      <c r="I95" s="86"/>
      <c r="J95" s="86"/>
    </row>
    <row r="96" spans="1:13" ht="30" x14ac:dyDescent="0.25">
      <c r="A96" s="82" t="s">
        <v>79</v>
      </c>
      <c r="E96" s="89"/>
      <c r="F96" s="31"/>
      <c r="G96" s="86"/>
      <c r="H96" s="86"/>
      <c r="I96" s="86"/>
      <c r="J96" s="86"/>
    </row>
    <row r="97" spans="1:12" ht="15" customHeight="1" x14ac:dyDescent="0.25">
      <c r="E97" s="89"/>
      <c r="F97" s="31"/>
      <c r="G97" s="86"/>
      <c r="H97" s="86"/>
      <c r="I97" s="86"/>
      <c r="J97" s="86"/>
      <c r="L97" s="110"/>
    </row>
    <row r="98" spans="1:12" ht="15" customHeight="1" x14ac:dyDescent="0.25">
      <c r="A98" s="112" t="s">
        <v>92</v>
      </c>
      <c r="E98" s="89"/>
      <c r="F98" s="31"/>
      <c r="G98" s="86"/>
      <c r="H98" s="86"/>
      <c r="I98" s="86"/>
      <c r="J98" s="86"/>
    </row>
    <row r="99" spans="1:12" ht="17.25" customHeight="1" x14ac:dyDescent="0.25">
      <c r="A99" s="39"/>
      <c r="G99" s="86"/>
      <c r="H99" s="86"/>
      <c r="I99" s="86"/>
      <c r="J99" s="86"/>
    </row>
    <row r="100" spans="1:12" ht="15" customHeight="1" x14ac:dyDescent="0.25">
      <c r="A100" s="39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2" ht="15" customHeight="1" x14ac:dyDescent="0.25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2" ht="15" customHeight="1" x14ac:dyDescent="0.25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2" ht="15" customHeight="1" x14ac:dyDescent="0.25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2" ht="15" customHeight="1" x14ac:dyDescent="0.25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1:12" ht="15" customHeight="1" x14ac:dyDescent="0.25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1:12" ht="15" customHeight="1" x14ac:dyDescent="0.25">
      <c r="B106" s="86"/>
      <c r="C106" s="86"/>
      <c r="D106" s="86"/>
      <c r="E106" s="86"/>
      <c r="F106" s="86"/>
    </row>
    <row r="109" spans="1:12" ht="15" customHeight="1" x14ac:dyDescent="0.25">
      <c r="G109" s="86"/>
    </row>
  </sheetData>
  <mergeCells count="23">
    <mergeCell ref="A35:E35"/>
    <mergeCell ref="A1:F1"/>
    <mergeCell ref="A82:E82"/>
    <mergeCell ref="A83:E83"/>
    <mergeCell ref="A7:F7"/>
    <mergeCell ref="A8:F8"/>
    <mergeCell ref="A9:F9"/>
    <mergeCell ref="A19:A21"/>
    <mergeCell ref="A16:A18"/>
    <mergeCell ref="A13:A15"/>
    <mergeCell ref="A34:F34"/>
    <mergeCell ref="A33:F33"/>
    <mergeCell ref="A32:F32"/>
    <mergeCell ref="A54:E54"/>
    <mergeCell ref="A69:E69"/>
    <mergeCell ref="A85:E85"/>
    <mergeCell ref="A52:E52"/>
    <mergeCell ref="A53:E53"/>
    <mergeCell ref="A55:E55"/>
    <mergeCell ref="A67:E67"/>
    <mergeCell ref="A68:E68"/>
    <mergeCell ref="A70:E70"/>
    <mergeCell ref="A84:E84"/>
  </mergeCells>
  <printOptions horizontalCentered="1" verticalCentered="1"/>
  <pageMargins left="0.70866141732283472" right="1.18" top="0.3" bottom="0.2" header="0.31496062992125984" footer="0.31496062992125984"/>
  <pageSetup scale="33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83" sqref="F8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 T</vt:lpstr>
      <vt:lpstr>II T</vt:lpstr>
      <vt:lpstr>III T</vt:lpstr>
      <vt:lpstr>IV T</vt:lpstr>
      <vt:lpstr>I semestre</vt:lpstr>
      <vt:lpstr>Anual</vt:lpstr>
      <vt:lpstr>2 T no usar</vt:lpstr>
      <vt:lpstr>3 T</vt:lpstr>
      <vt:lpstr>4 T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2018-04-05T14:15:43Z</cp:lastPrinted>
  <dcterms:created xsi:type="dcterms:W3CDTF">2011-03-10T14:40:05Z</dcterms:created>
  <dcterms:modified xsi:type="dcterms:W3CDTF">2023-02-21T15:59:48Z</dcterms:modified>
</cp:coreProperties>
</file>