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Documentos de Respaldo\Año 2019\"/>
    </mc:Choice>
  </mc:AlternateContent>
  <bookViews>
    <workbookView xWindow="0" yWindow="0" windowWidth="28800" windowHeight="12030" tabRatio="698"/>
  </bookViews>
  <sheets>
    <sheet name="I T" sheetId="1" r:id="rId1"/>
    <sheet name="2 T" sheetId="3" r:id="rId2"/>
    <sheet name="3 T" sheetId="6" r:id="rId3"/>
    <sheet name="4 T" sheetId="8" r:id="rId4"/>
    <sheet name="semestral" sheetId="12" r:id="rId5"/>
    <sheet name=" anual" sheetId="10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8" l="1"/>
  <c r="B108" i="10" l="1"/>
  <c r="B107" i="10"/>
  <c r="C99" i="10"/>
  <c r="E76" i="8"/>
  <c r="D74" i="8" l="1"/>
  <c r="D90" i="8"/>
  <c r="D89" i="8"/>
  <c r="J57" i="1" l="1"/>
  <c r="J58" i="1" s="1"/>
  <c r="D22" i="1" l="1"/>
  <c r="E22" i="1" s="1"/>
  <c r="C22" i="3" s="1"/>
  <c r="D22" i="3" s="1"/>
  <c r="E22" i="3" s="1"/>
  <c r="C22" i="6" s="1"/>
  <c r="D22" i="6" s="1"/>
  <c r="D19" i="1" l="1"/>
  <c r="E19" i="1" s="1"/>
  <c r="C19" i="3" s="1"/>
  <c r="D19" i="3" s="1"/>
  <c r="E19" i="3" s="1"/>
  <c r="C19" i="6" s="1"/>
  <c r="D19" i="6" s="1"/>
  <c r="E19" i="6" s="1"/>
  <c r="C19" i="8" s="1"/>
  <c r="D19" i="8" s="1"/>
  <c r="E19" i="8" s="1"/>
  <c r="E16" i="1" l="1"/>
  <c r="C16" i="3" s="1"/>
  <c r="D16" i="3" s="1"/>
  <c r="E16" i="3" s="1"/>
  <c r="C16" i="6" s="1"/>
  <c r="D16" i="6" s="1"/>
  <c r="E16" i="6" s="1"/>
  <c r="C16" i="8" s="1"/>
  <c r="D16" i="8" s="1"/>
  <c r="E16" i="8" s="1"/>
  <c r="D16" i="1"/>
  <c r="D13" i="1"/>
  <c r="E13" i="1" s="1"/>
  <c r="C13" i="3" s="1"/>
  <c r="D13" i="3" s="1"/>
  <c r="E13" i="3" s="1"/>
  <c r="C13" i="6" s="1"/>
  <c r="D13" i="6" s="1"/>
  <c r="E13" i="6" s="1"/>
  <c r="C13" i="8" s="1"/>
  <c r="D13" i="8" s="1"/>
  <c r="E13" i="8" s="1"/>
  <c r="C90" i="1" l="1"/>
  <c r="C89" i="1"/>
  <c r="C74" i="1"/>
  <c r="E89" i="8" l="1"/>
  <c r="E90" i="8" l="1"/>
  <c r="B60" i="1" l="1"/>
  <c r="C60" i="1"/>
  <c r="D60" i="1"/>
  <c r="D59" i="1"/>
  <c r="C59" i="1"/>
  <c r="B59" i="1"/>
  <c r="D58" i="1"/>
  <c r="C58" i="1"/>
  <c r="B58" i="1"/>
  <c r="E22" i="6" l="1"/>
  <c r="F22" i="3"/>
  <c r="C92" i="1"/>
  <c r="E60" i="1"/>
  <c r="F22" i="1"/>
  <c r="C22" i="8" l="1"/>
  <c r="D22" i="8" s="1"/>
  <c r="E22" i="8" s="1"/>
  <c r="F22" i="8" s="1"/>
  <c r="F22" i="10" s="1"/>
  <c r="G22" i="10" s="1"/>
  <c r="B88" i="1"/>
  <c r="E88" i="1" s="1"/>
  <c r="B73" i="1"/>
  <c r="B75" i="1" s="1"/>
  <c r="E90" i="10"/>
  <c r="E89" i="10"/>
  <c r="E90" i="6"/>
  <c r="E89" i="6"/>
  <c r="D89" i="10" s="1"/>
  <c r="E90" i="3"/>
  <c r="C90" i="12" s="1"/>
  <c r="E89" i="3"/>
  <c r="C89" i="12" s="1"/>
  <c r="E90" i="1"/>
  <c r="B90" i="12" s="1"/>
  <c r="E89" i="1"/>
  <c r="B89" i="10" s="1"/>
  <c r="C58" i="8"/>
  <c r="C59" i="8"/>
  <c r="D59" i="8"/>
  <c r="C60" i="8"/>
  <c r="D60" i="8"/>
  <c r="B60" i="8"/>
  <c r="B59" i="8"/>
  <c r="B58" i="8"/>
  <c r="C58" i="6"/>
  <c r="C76" i="6" s="1"/>
  <c r="D58" i="6"/>
  <c r="D76" i="6" s="1"/>
  <c r="C59" i="6"/>
  <c r="D59" i="6"/>
  <c r="C60" i="6"/>
  <c r="D60" i="6"/>
  <c r="B60" i="6"/>
  <c r="B59" i="6"/>
  <c r="B58" i="6"/>
  <c r="E61" i="3"/>
  <c r="C58" i="3"/>
  <c r="C76" i="3" s="1"/>
  <c r="D58" i="3"/>
  <c r="D76" i="3" s="1"/>
  <c r="C59" i="3"/>
  <c r="D59" i="3"/>
  <c r="C60" i="3"/>
  <c r="D60" i="3"/>
  <c r="B60" i="3"/>
  <c r="B59" i="3"/>
  <c r="B58" i="3"/>
  <c r="D27" i="3"/>
  <c r="D92" i="1"/>
  <c r="B92" i="1"/>
  <c r="E74" i="3"/>
  <c r="B76" i="1"/>
  <c r="C76" i="1"/>
  <c r="D76" i="1"/>
  <c r="F24" i="8"/>
  <c r="F24" i="10" s="1"/>
  <c r="F24" i="1"/>
  <c r="C24" i="10" s="1"/>
  <c r="F24" i="3"/>
  <c r="D24" i="10" s="1"/>
  <c r="F23" i="8"/>
  <c r="F23" i="10" s="1"/>
  <c r="F23" i="1"/>
  <c r="C23" i="10" s="1"/>
  <c r="F23" i="3"/>
  <c r="F15" i="1"/>
  <c r="C15" i="10" s="1"/>
  <c r="F15" i="3"/>
  <c r="D15" i="12" s="1"/>
  <c r="F14" i="1"/>
  <c r="F14" i="3"/>
  <c r="D14" i="12" s="1"/>
  <c r="F44" i="8"/>
  <c r="F44" i="10" s="1"/>
  <c r="F44" i="1"/>
  <c r="C44" i="12" s="1"/>
  <c r="F44" i="3"/>
  <c r="D44" i="12" s="1"/>
  <c r="F45" i="8"/>
  <c r="F45" i="1"/>
  <c r="C45" i="12" s="1"/>
  <c r="F45" i="3"/>
  <c r="D45" i="12" s="1"/>
  <c r="F44" i="6"/>
  <c r="F45" i="6"/>
  <c r="E45" i="10" s="1"/>
  <c r="E46" i="3"/>
  <c r="F38" i="3"/>
  <c r="D38" i="12" s="1"/>
  <c r="F39" i="3"/>
  <c r="D39" i="12" s="1"/>
  <c r="F40" i="3"/>
  <c r="F41" i="3"/>
  <c r="D41" i="10" s="1"/>
  <c r="F42" i="3"/>
  <c r="D42" i="10" s="1"/>
  <c r="F43" i="3"/>
  <c r="D43" i="12" s="1"/>
  <c r="D46" i="3"/>
  <c r="C46" i="3"/>
  <c r="D46" i="1"/>
  <c r="E46" i="1"/>
  <c r="C46" i="1"/>
  <c r="F38" i="1"/>
  <c r="F39" i="1"/>
  <c r="C39" i="12" s="1"/>
  <c r="F40" i="1"/>
  <c r="C40" i="10" s="1"/>
  <c r="F41" i="1"/>
  <c r="C41" i="12" s="1"/>
  <c r="F42" i="1"/>
  <c r="C42" i="12" s="1"/>
  <c r="F43" i="1"/>
  <c r="C43" i="12" s="1"/>
  <c r="F17" i="3"/>
  <c r="D17" i="10" s="1"/>
  <c r="F18" i="3"/>
  <c r="D18" i="10" s="1"/>
  <c r="F20" i="3"/>
  <c r="D20" i="12" s="1"/>
  <c r="F21" i="3"/>
  <c r="D21" i="12" s="1"/>
  <c r="F14" i="6"/>
  <c r="E14" i="10" s="1"/>
  <c r="F15" i="6"/>
  <c r="E15" i="10" s="1"/>
  <c r="F17" i="6"/>
  <c r="E17" i="10" s="1"/>
  <c r="F18" i="6"/>
  <c r="E18" i="10" s="1"/>
  <c r="F20" i="6"/>
  <c r="E20" i="10" s="1"/>
  <c r="F21" i="6"/>
  <c r="E21" i="10" s="1"/>
  <c r="F14" i="8"/>
  <c r="F14" i="10" s="1"/>
  <c r="F15" i="8"/>
  <c r="F15" i="10" s="1"/>
  <c r="F20" i="8"/>
  <c r="F20" i="10" s="1"/>
  <c r="F21" i="8"/>
  <c r="F21" i="10" s="1"/>
  <c r="F17" i="8"/>
  <c r="F17" i="10" s="1"/>
  <c r="F18" i="8"/>
  <c r="F18" i="10" s="1"/>
  <c r="F17" i="1"/>
  <c r="C17" i="10" s="1"/>
  <c r="F18" i="1"/>
  <c r="C18" i="12" s="1"/>
  <c r="F20" i="1"/>
  <c r="F21" i="1"/>
  <c r="C21" i="12" s="1"/>
  <c r="F22" i="6"/>
  <c r="E22" i="10" s="1"/>
  <c r="F23" i="6"/>
  <c r="E23" i="10" s="1"/>
  <c r="F24" i="6"/>
  <c r="E24" i="10" s="1"/>
  <c r="D22" i="10"/>
  <c r="C22" i="10"/>
  <c r="D22" i="12"/>
  <c r="E22" i="12" s="1"/>
  <c r="D27" i="8"/>
  <c r="E27" i="8"/>
  <c r="C27" i="8"/>
  <c r="D27" i="6"/>
  <c r="E27" i="6"/>
  <c r="C27" i="6"/>
  <c r="E27" i="3"/>
  <c r="C27" i="3"/>
  <c r="D27" i="1"/>
  <c r="E27" i="1"/>
  <c r="C27" i="1"/>
  <c r="C76" i="8"/>
  <c r="B76" i="8"/>
  <c r="E74" i="6"/>
  <c r="E74" i="1"/>
  <c r="G26" i="10"/>
  <c r="E46" i="6"/>
  <c r="D46" i="6"/>
  <c r="C46" i="6"/>
  <c r="F39" i="6"/>
  <c r="F40" i="6"/>
  <c r="E40" i="10" s="1"/>
  <c r="F41" i="6"/>
  <c r="E41" i="10" s="1"/>
  <c r="F42" i="6"/>
  <c r="F43" i="6"/>
  <c r="D46" i="8"/>
  <c r="C46" i="8"/>
  <c r="F39" i="8"/>
  <c r="F39" i="10" s="1"/>
  <c r="F41" i="8"/>
  <c r="F41" i="10" s="1"/>
  <c r="F43" i="8"/>
  <c r="F43" i="10" s="1"/>
  <c r="F38" i="8"/>
  <c r="F42" i="8"/>
  <c r="F42" i="10" s="1"/>
  <c r="E61" i="8"/>
  <c r="E62" i="8"/>
  <c r="E74" i="8"/>
  <c r="E74" i="10" s="1"/>
  <c r="F38" i="6"/>
  <c r="E38" i="10" s="1"/>
  <c r="E61" i="6"/>
  <c r="E62" i="6"/>
  <c r="D43" i="10"/>
  <c r="E62" i="3"/>
  <c r="D41" i="12"/>
  <c r="D63" i="1"/>
  <c r="E59" i="1"/>
  <c r="E61" i="1"/>
  <c r="E62" i="1"/>
  <c r="C63" i="1"/>
  <c r="B63" i="1"/>
  <c r="E58" i="1"/>
  <c r="B58" i="12" s="1"/>
  <c r="C39" i="10"/>
  <c r="C38" i="10"/>
  <c r="C22" i="12"/>
  <c r="D45" i="10"/>
  <c r="D15" i="10"/>
  <c r="D14" i="10" l="1"/>
  <c r="F38" i="10"/>
  <c r="E58" i="6"/>
  <c r="B76" i="6"/>
  <c r="E76" i="6" s="1"/>
  <c r="D76" i="10" s="1"/>
  <c r="C74" i="12"/>
  <c r="F83" i="3"/>
  <c r="D21" i="10"/>
  <c r="D20" i="10"/>
  <c r="D39" i="10"/>
  <c r="D38" i="10"/>
  <c r="G38" i="10" s="1"/>
  <c r="D18" i="12"/>
  <c r="E18" i="12" s="1"/>
  <c r="B63" i="3"/>
  <c r="C23" i="12"/>
  <c r="C42" i="10"/>
  <c r="C24" i="12"/>
  <c r="C43" i="10"/>
  <c r="F83" i="1"/>
  <c r="C40" i="12"/>
  <c r="E76" i="1"/>
  <c r="B76" i="10" s="1"/>
  <c r="C41" i="10"/>
  <c r="B58" i="10"/>
  <c r="C15" i="12"/>
  <c r="E15" i="12" s="1"/>
  <c r="E73" i="1"/>
  <c r="E75" i="1" s="1"/>
  <c r="C21" i="10"/>
  <c r="B63" i="8"/>
  <c r="B92" i="8"/>
  <c r="E59" i="8"/>
  <c r="E59" i="10" s="1"/>
  <c r="E59" i="6"/>
  <c r="B63" i="6"/>
  <c r="D92" i="8"/>
  <c r="C63" i="8"/>
  <c r="F83" i="8"/>
  <c r="D90" i="10"/>
  <c r="E60" i="8"/>
  <c r="E60" i="10" s="1"/>
  <c r="F45" i="10"/>
  <c r="C92" i="8"/>
  <c r="F27" i="8"/>
  <c r="D74" i="10"/>
  <c r="E43" i="10"/>
  <c r="D92" i="6"/>
  <c r="E42" i="10"/>
  <c r="D63" i="6"/>
  <c r="E60" i="6"/>
  <c r="D60" i="10" s="1"/>
  <c r="C63" i="6"/>
  <c r="C92" i="6"/>
  <c r="B92" i="6"/>
  <c r="E44" i="10"/>
  <c r="D58" i="10"/>
  <c r="F27" i="6"/>
  <c r="F46" i="6"/>
  <c r="E39" i="10"/>
  <c r="E27" i="10"/>
  <c r="F27" i="10"/>
  <c r="C74" i="10"/>
  <c r="D92" i="3"/>
  <c r="D24" i="12"/>
  <c r="E60" i="3"/>
  <c r="D44" i="10"/>
  <c r="C92" i="3"/>
  <c r="D23" i="10"/>
  <c r="D23" i="12"/>
  <c r="F27" i="3"/>
  <c r="B92" i="3"/>
  <c r="E21" i="12"/>
  <c r="E59" i="3"/>
  <c r="D42" i="12"/>
  <c r="E42" i="12" s="1"/>
  <c r="E58" i="3"/>
  <c r="C58" i="12" s="1"/>
  <c r="D63" i="3"/>
  <c r="D17" i="12"/>
  <c r="C63" i="3"/>
  <c r="E45" i="12"/>
  <c r="E39" i="12"/>
  <c r="G41" i="10"/>
  <c r="E44" i="12"/>
  <c r="F46" i="3"/>
  <c r="D40" i="10"/>
  <c r="D40" i="12"/>
  <c r="B76" i="3"/>
  <c r="E76" i="3" s="1"/>
  <c r="G17" i="10"/>
  <c r="E41" i="12"/>
  <c r="G15" i="10"/>
  <c r="G24" i="10"/>
  <c r="E43" i="12"/>
  <c r="C90" i="10"/>
  <c r="D90" i="12"/>
  <c r="C89" i="10"/>
  <c r="F89" i="10" s="1"/>
  <c r="B90" i="10"/>
  <c r="B89" i="12"/>
  <c r="D89" i="12" s="1"/>
  <c r="B74" i="10"/>
  <c r="B74" i="12"/>
  <c r="B91" i="1"/>
  <c r="B93" i="1" s="1"/>
  <c r="C88" i="1" s="1"/>
  <c r="C91" i="1" s="1"/>
  <c r="C93" i="1" s="1"/>
  <c r="D88" i="1" s="1"/>
  <c r="D91" i="1" s="1"/>
  <c r="D93" i="1" s="1"/>
  <c r="B60" i="10"/>
  <c r="B60" i="12"/>
  <c r="E92" i="1"/>
  <c r="B92" i="10" s="1"/>
  <c r="B59" i="10"/>
  <c r="B59" i="12"/>
  <c r="E63" i="1"/>
  <c r="B77" i="1"/>
  <c r="C73" i="1" s="1"/>
  <c r="C75" i="1" s="1"/>
  <c r="C77" i="1" s="1"/>
  <c r="D73" i="1" s="1"/>
  <c r="D75" i="1" s="1"/>
  <c r="D77" i="1" s="1"/>
  <c r="B76" i="12"/>
  <c r="C45" i="10"/>
  <c r="C44" i="10"/>
  <c r="F19" i="1"/>
  <c r="C20" i="12"/>
  <c r="E20" i="12" s="1"/>
  <c r="C20" i="10"/>
  <c r="C18" i="10"/>
  <c r="G18" i="10" s="1"/>
  <c r="C17" i="12"/>
  <c r="F16" i="1"/>
  <c r="F27" i="1"/>
  <c r="F46" i="1"/>
  <c r="C38" i="12"/>
  <c r="C14" i="10"/>
  <c r="C14" i="12"/>
  <c r="F13" i="1"/>
  <c r="B88" i="10"/>
  <c r="F88" i="10" s="1"/>
  <c r="B88" i="12"/>
  <c r="D88" i="12" s="1"/>
  <c r="E91" i="1"/>
  <c r="D74" i="12" l="1"/>
  <c r="E83" i="12" s="1"/>
  <c r="G21" i="10"/>
  <c r="D27" i="10"/>
  <c r="G20" i="10"/>
  <c r="E23" i="12"/>
  <c r="G42" i="10"/>
  <c r="E40" i="12"/>
  <c r="G43" i="10"/>
  <c r="E24" i="12"/>
  <c r="E77" i="1"/>
  <c r="B77" i="12" s="1"/>
  <c r="B73" i="12"/>
  <c r="D73" i="12" s="1"/>
  <c r="B73" i="10"/>
  <c r="F73" i="10" s="1"/>
  <c r="G23" i="10"/>
  <c r="E92" i="8"/>
  <c r="E92" i="10" s="1"/>
  <c r="D59" i="10"/>
  <c r="D63" i="10" s="1"/>
  <c r="G45" i="10"/>
  <c r="E46" i="10"/>
  <c r="E92" i="6"/>
  <c r="D92" i="10" s="1"/>
  <c r="G44" i="10"/>
  <c r="E63" i="6"/>
  <c r="G39" i="10"/>
  <c r="F90" i="10"/>
  <c r="F91" i="10" s="1"/>
  <c r="F74" i="10"/>
  <c r="E92" i="3"/>
  <c r="C60" i="12"/>
  <c r="D60" i="12" s="1"/>
  <c r="C60" i="10"/>
  <c r="F60" i="10" s="1"/>
  <c r="D27" i="12"/>
  <c r="C59" i="10"/>
  <c r="C59" i="12"/>
  <c r="E63" i="3"/>
  <c r="C58" i="10"/>
  <c r="E17" i="12"/>
  <c r="D46" i="12"/>
  <c r="D46" i="10"/>
  <c r="C76" i="12"/>
  <c r="D76" i="12" s="1"/>
  <c r="C76" i="10"/>
  <c r="D58" i="12"/>
  <c r="D91" i="12"/>
  <c r="B75" i="12"/>
  <c r="B75" i="10"/>
  <c r="B92" i="12"/>
  <c r="B63" i="10"/>
  <c r="B63" i="12"/>
  <c r="C46" i="10"/>
  <c r="F19" i="3"/>
  <c r="C19" i="12"/>
  <c r="C19" i="10"/>
  <c r="F16" i="3"/>
  <c r="C16" i="12"/>
  <c r="C16" i="10"/>
  <c r="C46" i="12"/>
  <c r="E38" i="12"/>
  <c r="G14" i="10"/>
  <c r="C27" i="10"/>
  <c r="C27" i="12"/>
  <c r="E14" i="12"/>
  <c r="F13" i="3"/>
  <c r="C13" i="12"/>
  <c r="C13" i="10"/>
  <c r="E93" i="1"/>
  <c r="B91" i="12"/>
  <c r="B91" i="10"/>
  <c r="F75" i="10" l="1"/>
  <c r="D75" i="12"/>
  <c r="D77" i="12" s="1"/>
  <c r="G27" i="10"/>
  <c r="E46" i="12"/>
  <c r="B77" i="10"/>
  <c r="B73" i="3"/>
  <c r="B75" i="3" s="1"/>
  <c r="B77" i="3" s="1"/>
  <c r="C73" i="3" s="1"/>
  <c r="C75" i="3" s="1"/>
  <c r="C77" i="3" s="1"/>
  <c r="D73" i="3" s="1"/>
  <c r="D75" i="3" s="1"/>
  <c r="D77" i="3" s="1"/>
  <c r="F59" i="10"/>
  <c r="G83" i="10"/>
  <c r="C63" i="12"/>
  <c r="C92" i="10"/>
  <c r="F92" i="10" s="1"/>
  <c r="F93" i="10" s="1"/>
  <c r="C92" i="12"/>
  <c r="D92" i="12" s="1"/>
  <c r="D93" i="12" s="1"/>
  <c r="E27" i="12"/>
  <c r="D59" i="12"/>
  <c r="D63" i="12" s="1"/>
  <c r="C63" i="10"/>
  <c r="F19" i="8"/>
  <c r="F19" i="6"/>
  <c r="D19" i="10"/>
  <c r="D19" i="12"/>
  <c r="E19" i="12" s="1"/>
  <c r="D16" i="10"/>
  <c r="D16" i="12"/>
  <c r="E16" i="12" s="1"/>
  <c r="F16" i="6"/>
  <c r="F16" i="8"/>
  <c r="F16" i="10" s="1"/>
  <c r="G16" i="10" s="1"/>
  <c r="D13" i="10"/>
  <c r="D13" i="12"/>
  <c r="E13" i="12" s="1"/>
  <c r="F13" i="8"/>
  <c r="F13" i="10" s="1"/>
  <c r="G13" i="10" s="1"/>
  <c r="F13" i="6"/>
  <c r="B93" i="12"/>
  <c r="B88" i="3"/>
  <c r="B93" i="10"/>
  <c r="F19" i="10" l="1"/>
  <c r="G19" i="10" s="1"/>
  <c r="E73" i="3"/>
  <c r="C73" i="12" s="1"/>
  <c r="E19" i="10"/>
  <c r="E16" i="10"/>
  <c r="E13" i="10"/>
  <c r="B91" i="3"/>
  <c r="B93" i="3" s="1"/>
  <c r="C88" i="3" s="1"/>
  <c r="C91" i="3" s="1"/>
  <c r="C93" i="3" s="1"/>
  <c r="D88" i="3" s="1"/>
  <c r="D91" i="3" s="1"/>
  <c r="D93" i="3" s="1"/>
  <c r="E88" i="3"/>
  <c r="C73" i="10" l="1"/>
  <c r="E75" i="3"/>
  <c r="C75" i="12" s="1"/>
  <c r="E91" i="3"/>
  <c r="C88" i="12"/>
  <c r="C88" i="10"/>
  <c r="C75" i="10" l="1"/>
  <c r="E77" i="3"/>
  <c r="B73" i="6" s="1"/>
  <c r="E73" i="6" s="1"/>
  <c r="E93" i="3"/>
  <c r="C91" i="12"/>
  <c r="C91" i="10"/>
  <c r="B75" i="6" l="1"/>
  <c r="B77" i="6" s="1"/>
  <c r="C73" i="6" s="1"/>
  <c r="C75" i="6" s="1"/>
  <c r="C77" i="6" s="1"/>
  <c r="D73" i="6" s="1"/>
  <c r="D75" i="6" s="1"/>
  <c r="D77" i="6" s="1"/>
  <c r="C77" i="10"/>
  <c r="C77" i="12"/>
  <c r="B88" i="6"/>
  <c r="C93" i="12"/>
  <c r="C93" i="10"/>
  <c r="E75" i="6"/>
  <c r="D73" i="10"/>
  <c r="E88" i="6" l="1"/>
  <c r="B91" i="6"/>
  <c r="B93" i="6" s="1"/>
  <c r="C88" i="6" s="1"/>
  <c r="C91" i="6" s="1"/>
  <c r="C93" i="6" s="1"/>
  <c r="D88" i="6" s="1"/>
  <c r="D91" i="6" s="1"/>
  <c r="D93" i="6" s="1"/>
  <c r="E77" i="6"/>
  <c r="B73" i="8" s="1"/>
  <c r="D75" i="10"/>
  <c r="D88" i="10" l="1"/>
  <c r="E91" i="6"/>
  <c r="D77" i="10"/>
  <c r="E93" i="6" l="1"/>
  <c r="B88" i="8" s="1"/>
  <c r="D91" i="10"/>
  <c r="B75" i="8"/>
  <c r="B77" i="8" s="1"/>
  <c r="C73" i="8" s="1"/>
  <c r="C75" i="8" s="1"/>
  <c r="C77" i="8" s="1"/>
  <c r="D73" i="8" s="1"/>
  <c r="D75" i="8" s="1"/>
  <c r="E73" i="8"/>
  <c r="B91" i="8" l="1"/>
  <c r="E88" i="8"/>
  <c r="E91" i="8" s="1"/>
  <c r="E93" i="8" s="1"/>
  <c r="D93" i="10"/>
  <c r="E75" i="8"/>
  <c r="E73" i="10"/>
  <c r="B93" i="8" l="1"/>
  <c r="C88" i="8" s="1"/>
  <c r="E75" i="10"/>
  <c r="C91" i="8" l="1"/>
  <c r="C93" i="8" s="1"/>
  <c r="E88" i="10"/>
  <c r="D88" i="8" l="1"/>
  <c r="D91" i="8" s="1"/>
  <c r="D93" i="8" s="1"/>
  <c r="E91" i="10"/>
  <c r="E93" i="10" l="1"/>
  <c r="D58" i="8" l="1"/>
  <c r="D76" i="8" s="1"/>
  <c r="E46" i="8"/>
  <c r="F40" i="8"/>
  <c r="E58" i="8" l="1"/>
  <c r="E63" i="8" s="1"/>
  <c r="F40" i="10"/>
  <c r="F46" i="10" s="1"/>
  <c r="D77" i="8"/>
  <c r="D63" i="8"/>
  <c r="E58" i="10" l="1"/>
  <c r="E63" i="10" s="1"/>
  <c r="G40" i="10"/>
  <c r="G46" i="10" s="1"/>
  <c r="E76" i="10"/>
  <c r="F76" i="10" s="1"/>
  <c r="F77" i="10" s="1"/>
  <c r="B106" i="10" s="1"/>
  <c r="B109" i="10" s="1"/>
  <c r="E77" i="8"/>
  <c r="E77" i="10" l="1"/>
  <c r="F58" i="10"/>
  <c r="F63" i="10" s="1"/>
</calcChain>
</file>

<file path=xl/comments1.xml><?xml version="1.0" encoding="utf-8"?>
<comments xmlns="http://schemas.openxmlformats.org/spreadsheetml/2006/main">
  <authors>
    <author>aanchia</author>
  </authors>
  <commentList>
    <comment ref="D42" authorId="0" shapeId="0">
      <text>
        <r>
          <rPr>
            <b/>
            <sz val="9"/>
            <color indexed="81"/>
            <rFont val="Tahoma"/>
            <family val="2"/>
          </rPr>
          <t>aanchia:</t>
        </r>
        <r>
          <rPr>
            <sz val="9"/>
            <color indexed="81"/>
            <rFont val="Tahoma"/>
            <family val="2"/>
          </rPr>
          <t xml:space="preserve">
en el reporte no se incluyeron 6 millones de la Muni de cartago
se actualizo hoy 4-3-2019
</t>
        </r>
      </text>
    </comment>
  </commentList>
</comments>
</file>

<file path=xl/comments2.xml><?xml version="1.0" encoding="utf-8"?>
<comments xmlns="http://schemas.openxmlformats.org/spreadsheetml/2006/main">
  <authors>
    <author>aanchia</author>
  </authors>
  <commentList>
    <comment ref="A74" authorId="0" shapeId="0">
      <text>
        <r>
          <rPr>
            <b/>
            <sz val="9"/>
            <color indexed="81"/>
            <rFont val="Tahoma"/>
            <family val="2"/>
          </rPr>
          <t>aanchia: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aanchia</author>
  </authors>
  <commentList>
    <comment ref="F73" authorId="0" shapeId="0">
      <text>
        <r>
          <rPr>
            <b/>
            <sz val="9"/>
            <color indexed="81"/>
            <rFont val="Tahoma"/>
            <charset val="1"/>
          </rPr>
          <t>aanchia:</t>
        </r>
        <r>
          <rPr>
            <sz val="9"/>
            <color indexed="81"/>
            <rFont val="Tahoma"/>
            <charset val="1"/>
          </rPr>
          <t xml:space="preserve">
Para año 2019 se debe limpiar este ajuste en la columna. Ajustes corresponden a reintegros realizados por asociaciones</t>
        </r>
      </text>
    </comment>
    <comment ref="F88" authorId="0" shapeId="0">
      <text>
        <r>
          <rPr>
            <b/>
            <sz val="9"/>
            <color indexed="81"/>
            <rFont val="Tahoma"/>
            <charset val="1"/>
          </rPr>
          <t>aanchia:</t>
        </r>
        <r>
          <rPr>
            <sz val="9"/>
            <color indexed="81"/>
            <rFont val="Tahoma"/>
            <charset val="1"/>
          </rPr>
          <t xml:space="preserve">
aanchia:
Para año 2019 se debe limpiar este ajuste en la columna. Ajustes corresponden a reintegros realizados por asociaciones</t>
        </r>
      </text>
    </comment>
  </commentList>
</comments>
</file>

<file path=xl/sharedStrings.xml><?xml version="1.0" encoding="utf-8"?>
<sst xmlns="http://schemas.openxmlformats.org/spreadsheetml/2006/main" count="667" uniqueCount="120">
  <si>
    <t xml:space="preserve">Programa: </t>
  </si>
  <si>
    <t>Institución:</t>
  </si>
  <si>
    <t>Año:</t>
  </si>
  <si>
    <t>Enero</t>
  </si>
  <si>
    <t>Febrero</t>
  </si>
  <si>
    <t>Marzo</t>
  </si>
  <si>
    <t>I Trimestre</t>
  </si>
  <si>
    <t xml:space="preserve">4. </t>
  </si>
  <si>
    <t xml:space="preserve">5. </t>
  </si>
  <si>
    <t>Cuadro 1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</si>
  <si>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</si>
  <si>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</si>
  <si>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</si>
  <si>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</si>
  <si>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</si>
  <si>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</si>
  <si>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</si>
  <si>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</si>
  <si>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</si>
  <si>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</si>
  <si>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FODESAF</t>
  </si>
  <si>
    <t>Consejo Nacional de la Persona del Adulto Mayor (CONAPAM)</t>
  </si>
  <si>
    <t>Construyendo Lazos de Solidaridad</t>
  </si>
  <si>
    <t>Subsidio para la atención adultos mayores institucionalizados (OBS)</t>
  </si>
  <si>
    <t>Subsidio para la atención diurna de adultos mayores (centros diurnos)</t>
  </si>
  <si>
    <t>Subsidio para la atención domiciliar de adultos mayores (OBS, municipalidades)</t>
  </si>
  <si>
    <t>1. Transferencias corrientes</t>
  </si>
  <si>
    <t>Abril</t>
  </si>
  <si>
    <t>Mayo</t>
  </si>
  <si>
    <t>Junio</t>
  </si>
  <si>
    <t>II Trimestre</t>
  </si>
  <si>
    <t>Reporte de gastos efectivos por producto financiados por el Fondo de Desarrollo Social y Asignaciones Familiares</t>
  </si>
  <si>
    <t>Reporte de gastos efectivos por rubro financiados por el Fondo de Desarrollo Social y Asignaciones Familiares</t>
  </si>
  <si>
    <t>Julio</t>
  </si>
  <si>
    <t>Agosto</t>
  </si>
  <si>
    <t>III Trimestre</t>
  </si>
  <si>
    <t>Octubre</t>
  </si>
  <si>
    <t>Noviembre</t>
  </si>
  <si>
    <t>Diciembre</t>
  </si>
  <si>
    <t>IV Trimestre</t>
  </si>
  <si>
    <t>Anual</t>
  </si>
  <si>
    <t>I Semestre</t>
  </si>
  <si>
    <t>* El tercer porducto corresponde a red de cuido</t>
  </si>
  <si>
    <t>2. Transferencias corrientes (Red de Cuido)</t>
  </si>
  <si>
    <t>Cuadro 4.1</t>
  </si>
  <si>
    <t>Cuadro 4.2</t>
  </si>
  <si>
    <t>Reporte de gastos efectivos por objeto de gasto por el Fondo de Desarrollo Social y Asignaciones Familiares</t>
  </si>
  <si>
    <t>Periodo:</t>
  </si>
  <si>
    <t>Reporte de ingresos efectivos girados por el Fondo de Desarrollo Social y Asignaciones Familiares (Red de cuido)</t>
  </si>
  <si>
    <t>Reporte de ingresos efectivos girados por el Fondo de Desarrollo Social y Asignaciones Familiares (Red de Cuido)</t>
  </si>
  <si>
    <t>Unidad: Personas</t>
  </si>
  <si>
    <t>Pagados</t>
  </si>
  <si>
    <t>Unidad: Colones</t>
  </si>
  <si>
    <t>Período:</t>
  </si>
  <si>
    <t xml:space="preserve">Ingresos totales: </t>
  </si>
  <si>
    <t>Ingresos Totales:</t>
  </si>
  <si>
    <t>Compromisos cancelados</t>
  </si>
  <si>
    <t>Pagos del período</t>
  </si>
  <si>
    <t>Setiembre</t>
  </si>
  <si>
    <t xml:space="preserve">Compromisos acumulados </t>
  </si>
  <si>
    <t>Pagados en el mes</t>
  </si>
  <si>
    <t>Pago de compromisos</t>
  </si>
  <si>
    <r>
      <t>Dirección Área Técnica.</t>
    </r>
    <r>
      <rPr>
        <b/>
        <sz val="11"/>
        <color indexed="8"/>
        <rFont val="Calibri"/>
        <family val="2"/>
      </rPr>
      <t xml:space="preserve"> Departamento de Evaluación y Seguimiento</t>
    </r>
  </si>
  <si>
    <r>
      <t xml:space="preserve">1. Saldo en caja inicial  (5 </t>
    </r>
    <r>
      <rPr>
        <sz val="11"/>
        <color indexed="8"/>
        <rFont val="Calibri"/>
        <family val="2"/>
      </rPr>
      <t xml:space="preserve">t-1) </t>
    </r>
  </si>
  <si>
    <t>* El tercer producto corresponde a red de cuido</t>
  </si>
  <si>
    <t>Beneficio</t>
  </si>
  <si>
    <r>
      <t>I Trimestre</t>
    </r>
    <r>
      <rPr>
        <sz val="11"/>
        <color indexed="8"/>
        <rFont val="Calibri"/>
        <family val="2"/>
      </rPr>
      <t>¹</t>
    </r>
  </si>
  <si>
    <t>* El tercer porducto corresponde a red de cuido. 1/ El total de compromisos acumulados del trimestres son los pendientes de pago al último mes del período, los pagos realizados se promedian para obtener una aproximación de personas atendidas.</t>
  </si>
  <si>
    <t>Anual¹</t>
  </si>
  <si>
    <r>
      <t>I Semestre</t>
    </r>
    <r>
      <rPr>
        <sz val="11"/>
        <color indexed="8"/>
        <rFont val="Calibri"/>
        <family val="2"/>
      </rPr>
      <t>¹</t>
    </r>
  </si>
  <si>
    <r>
      <t>IV Trimestre</t>
    </r>
    <r>
      <rPr>
        <sz val="11"/>
        <color indexed="8"/>
        <rFont val="Calibri"/>
        <family val="2"/>
      </rPr>
      <t>¹</t>
    </r>
  </si>
  <si>
    <r>
      <t>III Trimestre</t>
    </r>
    <r>
      <rPr>
        <sz val="11"/>
        <color indexed="8"/>
        <rFont val="Calibri"/>
        <family val="2"/>
      </rPr>
      <t>¹</t>
    </r>
  </si>
  <si>
    <r>
      <t>II Trimestre</t>
    </r>
    <r>
      <rPr>
        <sz val="11"/>
        <color indexed="8"/>
        <rFont val="Calibri"/>
        <family val="2"/>
      </rPr>
      <t>¹</t>
    </r>
  </si>
  <si>
    <t>Fuente: Unidad de Fiscalizacion Operativa del CONAPAM</t>
  </si>
  <si>
    <t>Fuente:  Unidad de Fiscalizacion Operativa del CONAPAM</t>
  </si>
  <si>
    <t>Fuente:Unidad de Fiscalizacion Operativa del CONAPAM</t>
  </si>
  <si>
    <t>Subsidio para la atención domiciliar de adultos mayores (Abandonados)</t>
  </si>
  <si>
    <t>3. Transferencias corrientes (Red de Cuido Abandonados)</t>
  </si>
  <si>
    <t>Ingresos efectivos Abandonados</t>
  </si>
  <si>
    <t>Reporte de ingresos efectivos girados por el Fondo de Desarrollo Social y Asignaciones Familiares (Hogares y CD)</t>
  </si>
  <si>
    <t>Nota: El ingreso efectivo del cuadro 4.2 contiene el ingreso de la modalidad de Red de Cuido y Abandonados</t>
  </si>
  <si>
    <t xml:space="preserve">Fecha de actualización: </t>
  </si>
  <si>
    <r>
      <t xml:space="preserve">1. Saldo en caja inicial  (5 </t>
    </r>
    <r>
      <rPr>
        <sz val="11"/>
        <color indexed="8"/>
        <rFont val="Calibri"/>
        <family val="2"/>
      </rPr>
      <t>t-1)  (Hogares y CD)</t>
    </r>
  </si>
  <si>
    <r>
      <t xml:space="preserve">1. Saldo en caja inicial  (5 </t>
    </r>
    <r>
      <rPr>
        <sz val="11"/>
        <color indexed="8"/>
        <rFont val="Calibri"/>
        <family val="2"/>
      </rPr>
      <t>t-1)  (Red de Cuido)</t>
    </r>
  </si>
  <si>
    <r>
      <t xml:space="preserve">1. Saldo en caja inicial  (5 </t>
    </r>
    <r>
      <rPr>
        <sz val="11"/>
        <color indexed="8"/>
        <rFont val="Calibri"/>
        <family val="2"/>
      </rPr>
      <t>t-1)  (Abandonados)</t>
    </r>
  </si>
  <si>
    <t>2. Ingresos efectivos recibidos(red)</t>
  </si>
  <si>
    <t>Abandonados</t>
  </si>
  <si>
    <t xml:space="preserve">    Ley N° 8783 FODESAF  Necesidades Básicas </t>
  </si>
  <si>
    <t xml:space="preserve">    Ley N° 8783 FODESAF  Red de Cuido </t>
  </si>
  <si>
    <t xml:space="preserve">    Ley N° 8783 FODESAF Abandonados y Agredidos  </t>
  </si>
  <si>
    <t>Descripción</t>
  </si>
  <si>
    <t>Saldo Final Según Unidad F.</t>
  </si>
  <si>
    <t>Subsidio para la atención adultos mayores institucionalizados (OBS-Hogar)</t>
  </si>
  <si>
    <t>Mes</t>
  </si>
  <si>
    <t>Ley Nº 9188 Red de Cuido</t>
  </si>
  <si>
    <t>Ley Nº 9188   Necesidades Básicas</t>
  </si>
  <si>
    <t>Ley Nº 9188   Abandonados</t>
  </si>
  <si>
    <t>TOTAL                Ley Nº 9188</t>
  </si>
  <si>
    <t>Superavit año 2017</t>
  </si>
  <si>
    <t>Total superavit 2017</t>
  </si>
  <si>
    <t>Fecha de actualización: 31/05/2018</t>
  </si>
  <si>
    <t>2. Ingresos efectivos recibidos(red cuido)</t>
  </si>
  <si>
    <t>Fecha de actualización:  25-02-2019</t>
  </si>
  <si>
    <t xml:space="preserve"> Enero </t>
  </si>
  <si>
    <t xml:space="preserve"> Febrero </t>
  </si>
  <si>
    <t xml:space="preserve"> Marzo</t>
  </si>
  <si>
    <t>Primer Trimestre 2019</t>
  </si>
  <si>
    <t>Segundo Trimestre 2019</t>
  </si>
  <si>
    <t>S</t>
  </si>
  <si>
    <t>Tercer Trimestre 2019</t>
  </si>
  <si>
    <t>Fecha de actualización:  16-10-2019</t>
  </si>
  <si>
    <t>Fecha de actualización:  22-01-2020</t>
  </si>
  <si>
    <t>2. Ingresos efectivos recibidos(Red cuido)</t>
  </si>
  <si>
    <t>Remanente Red cuido</t>
  </si>
  <si>
    <t>Remanente Abandonados</t>
  </si>
  <si>
    <t>Nota 1: El remanente del cuadro 4.2 Está consolidando Red de Cuido y Abandonados. Los remanentes individuales quedarián de la siguiente forma.</t>
  </si>
  <si>
    <t>Remanentes al 31-12-2019</t>
  </si>
  <si>
    <t>Primer Semestre 2019</t>
  </si>
  <si>
    <t>Cuarto Trimestre 2019</t>
  </si>
  <si>
    <t xml:space="preserve">Nota: Acá se incluye el dato del nuevo producto.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</si>
</sst>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sz val="9"/>
      <color rgb="FF666666"/>
      <name val="Arial"/>
      <family val="2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7E9FD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4" fillId="0" borderId="0"/>
  </cellStyleXfs>
  <cellXfs count="255">
    <xf numFmtId="0" fontId="0" fillId="0" borderId="0" xfId="0"/>
    <xf numFmtId="165" fontId="3" fillId="0" borderId="0" xfId="1" applyNumberFormat="1" applyFont="1" applyFill="1" applyAlignment="1">
      <alignment wrapText="1"/>
    </xf>
    <xf numFmtId="165" fontId="3" fillId="0" borderId="0" xfId="1" applyNumberFormat="1" applyFont="1" applyFill="1" applyAlignment="1">
      <alignment horizontal="center" wrapText="1"/>
    </xf>
    <xf numFmtId="165" fontId="5" fillId="0" borderId="0" xfId="1" applyNumberFormat="1" applyFont="1" applyFill="1" applyAlignment="1">
      <alignment horizontal="right"/>
    </xf>
    <xf numFmtId="165" fontId="5" fillId="0" borderId="0" xfId="1" applyNumberFormat="1" applyFont="1" applyFill="1" applyBorder="1" applyAlignment="1">
      <alignment vertical="top"/>
    </xf>
    <xf numFmtId="165" fontId="5" fillId="0" borderId="0" xfId="1" applyNumberFormat="1" applyFont="1" applyFill="1" applyAlignment="1"/>
    <xf numFmtId="165" fontId="5" fillId="0" borderId="0" xfId="1" applyNumberFormat="1" applyFont="1" applyFill="1" applyAlignment="1">
      <alignment horizontal="left"/>
    </xf>
    <xf numFmtId="165" fontId="5" fillId="0" borderId="1" xfId="1" applyNumberFormat="1" applyFont="1" applyFill="1" applyBorder="1" applyAlignment="1">
      <alignment horizontal="center" wrapText="1"/>
    </xf>
    <xf numFmtId="165" fontId="3" fillId="0" borderId="0" xfId="1" applyNumberFormat="1" applyFont="1" applyFill="1" applyBorder="1" applyAlignment="1">
      <alignment wrapText="1"/>
    </xf>
    <xf numFmtId="165" fontId="3" fillId="0" borderId="2" xfId="1" applyNumberFormat="1" applyFont="1" applyFill="1" applyBorder="1" applyAlignment="1">
      <alignment horizontal="center" wrapText="1"/>
    </xf>
    <xf numFmtId="165" fontId="3" fillId="0" borderId="3" xfId="1" applyNumberFormat="1" applyFont="1" applyFill="1" applyBorder="1" applyAlignment="1">
      <alignment wrapText="1"/>
    </xf>
    <xf numFmtId="165" fontId="5" fillId="0" borderId="0" xfId="1" applyNumberFormat="1" applyFont="1" applyFill="1" applyBorder="1" applyAlignment="1">
      <alignment horizontal="center" wrapText="1"/>
    </xf>
    <xf numFmtId="165" fontId="3" fillId="0" borderId="4" xfId="1" applyNumberFormat="1" applyFont="1" applyFill="1" applyBorder="1" applyAlignment="1">
      <alignment horizontal="center" wrapText="1"/>
    </xf>
    <xf numFmtId="165" fontId="4" fillId="0" borderId="0" xfId="1" applyNumberFormat="1" applyFont="1" applyFill="1" applyAlignment="1"/>
    <xf numFmtId="165" fontId="3" fillId="0" borderId="4" xfId="1" applyNumberFormat="1" applyFont="1" applyFill="1" applyBorder="1" applyAlignment="1">
      <alignment horizontal="center" vertical="center" wrapText="1"/>
    </xf>
    <xf numFmtId="165" fontId="3" fillId="0" borderId="0" xfId="1" applyNumberFormat="1" applyFont="1"/>
    <xf numFmtId="165" fontId="5" fillId="0" borderId="0" xfId="1" applyNumberFormat="1" applyFont="1"/>
    <xf numFmtId="165" fontId="5" fillId="0" borderId="0" xfId="1" applyNumberFormat="1" applyFont="1" applyAlignment="1">
      <alignment horizontal="left"/>
    </xf>
    <xf numFmtId="165" fontId="3" fillId="0" borderId="4" xfId="1" applyNumberFormat="1" applyFont="1" applyFill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 vertical="center"/>
    </xf>
    <xf numFmtId="165" fontId="3" fillId="0" borderId="0" xfId="1" applyNumberFormat="1" applyFont="1" applyFill="1"/>
    <xf numFmtId="165" fontId="3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left"/>
    </xf>
    <xf numFmtId="165" fontId="3" fillId="0" borderId="3" xfId="1" applyNumberFormat="1" applyFont="1" applyFill="1" applyBorder="1"/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center" vertical="center"/>
    </xf>
    <xf numFmtId="165" fontId="3" fillId="0" borderId="0" xfId="1" applyNumberFormat="1" applyFont="1" applyFill="1" applyBorder="1"/>
    <xf numFmtId="165" fontId="3" fillId="0" borderId="0" xfId="1" applyNumberFormat="1" applyFont="1" applyBorder="1"/>
    <xf numFmtId="165" fontId="3" fillId="0" borderId="0" xfId="1" applyNumberFormat="1" applyFont="1" applyAlignment="1">
      <alignment vertical="center"/>
    </xf>
    <xf numFmtId="165" fontId="4" fillId="0" borderId="0" xfId="1" applyNumberFormat="1" applyFont="1" applyFill="1"/>
    <xf numFmtId="165" fontId="4" fillId="0" borderId="0" xfId="1" applyNumberFormat="1" applyFont="1"/>
    <xf numFmtId="165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5" fillId="0" borderId="0" xfId="1" applyNumberFormat="1" applyFont="1" applyFill="1" applyBorder="1" applyAlignment="1">
      <alignment horizontal="left" vertical="top"/>
    </xf>
    <xf numFmtId="165" fontId="3" fillId="0" borderId="0" xfId="1" applyNumberFormat="1" applyFont="1" applyFill="1"/>
    <xf numFmtId="165" fontId="3" fillId="0" borderId="2" xfId="1" applyNumberFormat="1" applyFont="1" applyFill="1" applyBorder="1" applyAlignment="1">
      <alignment horizontal="center" wrapText="1"/>
    </xf>
    <xf numFmtId="165" fontId="5" fillId="0" borderId="0" xfId="1" applyNumberFormat="1" applyFont="1" applyFill="1"/>
    <xf numFmtId="4" fontId="0" fillId="0" borderId="0" xfId="0" applyNumberFormat="1" applyFont="1" applyFill="1"/>
    <xf numFmtId="4" fontId="5" fillId="0" borderId="0" xfId="0" applyNumberFormat="1" applyFont="1" applyFill="1"/>
    <xf numFmtId="1" fontId="5" fillId="0" borderId="0" xfId="1" applyNumberFormat="1" applyFont="1" applyAlignment="1">
      <alignment horizontal="left"/>
    </xf>
    <xf numFmtId="165" fontId="3" fillId="0" borderId="2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/>
    <xf numFmtId="165" fontId="7" fillId="0" borderId="2" xfId="1" applyNumberFormat="1" applyFont="1" applyFill="1" applyBorder="1" applyAlignment="1">
      <alignment horizontal="center" wrapText="1"/>
    </xf>
    <xf numFmtId="0" fontId="0" fillId="0" borderId="0" xfId="0" applyFont="1"/>
    <xf numFmtId="4" fontId="0" fillId="0" borderId="0" xfId="0" applyNumberFormat="1" applyFont="1"/>
    <xf numFmtId="165" fontId="3" fillId="0" borderId="0" xfId="1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 applyAlignment="1">
      <alignment wrapText="1"/>
    </xf>
    <xf numFmtId="165" fontId="4" fillId="0" borderId="0" xfId="1" applyNumberFormat="1" applyFont="1" applyBorder="1"/>
    <xf numFmtId="165" fontId="8" fillId="0" borderId="0" xfId="1" applyNumberFormat="1" applyFont="1" applyFill="1"/>
    <xf numFmtId="165" fontId="8" fillId="0" borderId="0" xfId="1" applyNumberFormat="1" applyFont="1"/>
    <xf numFmtId="37" fontId="3" fillId="0" borderId="0" xfId="1" applyNumberFormat="1" applyFont="1" applyFill="1" applyAlignment="1">
      <alignment horizontal="right" vertical="center" wrapText="1"/>
    </xf>
    <xf numFmtId="165" fontId="3" fillId="0" borderId="0" xfId="1" applyNumberFormat="1" applyFont="1" applyFill="1" applyAlignment="1">
      <alignment horizontal="right" vertical="center" wrapText="1"/>
    </xf>
    <xf numFmtId="37" fontId="3" fillId="0" borderId="3" xfId="1" applyNumberFormat="1" applyFont="1" applyFill="1" applyBorder="1" applyAlignment="1">
      <alignment horizontal="right" vertical="center" wrapText="1"/>
    </xf>
    <xf numFmtId="37" fontId="3" fillId="0" borderId="3" xfId="1" applyNumberFormat="1" applyFont="1" applyFill="1" applyBorder="1" applyAlignment="1">
      <alignment horizontal="right" wrapText="1"/>
    </xf>
    <xf numFmtId="165" fontId="3" fillId="0" borderId="0" xfId="1" applyNumberFormat="1" applyFont="1" applyFill="1" applyAlignment="1">
      <alignment horizontal="right" wrapText="1"/>
    </xf>
    <xf numFmtId="165" fontId="3" fillId="0" borderId="3" xfId="1" applyNumberFormat="1" applyFont="1" applyFill="1" applyBorder="1" applyAlignment="1">
      <alignment horizontal="right" vertical="center" wrapText="1"/>
    </xf>
    <xf numFmtId="37" fontId="3" fillId="0" borderId="0" xfId="1" applyNumberFormat="1" applyFont="1" applyAlignment="1">
      <alignment horizontal="right" vertical="center"/>
    </xf>
    <xf numFmtId="37" fontId="3" fillId="0" borderId="0" xfId="1" applyNumberFormat="1" applyFont="1" applyFill="1" applyAlignment="1">
      <alignment horizontal="right" vertical="center"/>
    </xf>
    <xf numFmtId="37" fontId="3" fillId="0" borderId="0" xfId="1" applyNumberFormat="1" applyFont="1" applyFill="1" applyAlignment="1">
      <alignment horizontal="right"/>
    </xf>
    <xf numFmtId="37" fontId="3" fillId="0" borderId="3" xfId="1" applyNumberFormat="1" applyFont="1" applyBorder="1" applyAlignment="1">
      <alignment horizontal="right" vertical="center"/>
    </xf>
    <xf numFmtId="37" fontId="3" fillId="0" borderId="0" xfId="1" applyNumberFormat="1" applyFont="1" applyAlignment="1">
      <alignment vertical="center"/>
    </xf>
    <xf numFmtId="37" fontId="3" fillId="0" borderId="0" xfId="1" applyNumberFormat="1" applyFont="1" applyFill="1" applyAlignment="1">
      <alignment vertical="center"/>
    </xf>
    <xf numFmtId="37" fontId="3" fillId="0" borderId="3" xfId="1" applyNumberFormat="1" applyFont="1" applyBorder="1" applyAlignment="1">
      <alignment vertical="center"/>
    </xf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0" xfId="0" applyFont="1" applyFill="1"/>
    <xf numFmtId="0" fontId="10" fillId="0" borderId="0" xfId="0" applyFont="1" applyAlignment="1">
      <alignment horizontal="center"/>
    </xf>
    <xf numFmtId="37" fontId="3" fillId="0" borderId="0" xfId="1" applyNumberFormat="1" applyFont="1"/>
    <xf numFmtId="37" fontId="3" fillId="0" borderId="0" xfId="1" applyNumberFormat="1" applyFont="1" applyBorder="1"/>
    <xf numFmtId="3" fontId="3" fillId="0" borderId="0" xfId="1" applyNumberFormat="1" applyFont="1" applyAlignment="1">
      <alignment horizontal="right" vertical="center"/>
    </xf>
    <xf numFmtId="37" fontId="8" fillId="0" borderId="0" xfId="1" applyNumberFormat="1" applyFont="1" applyFill="1" applyAlignment="1">
      <alignment horizontal="right" vertical="center"/>
    </xf>
    <xf numFmtId="37" fontId="3" fillId="0" borderId="0" xfId="1" applyNumberFormat="1" applyFont="1" applyBorder="1" applyAlignment="1">
      <alignment horizontal="right" vertical="center"/>
    </xf>
    <xf numFmtId="37" fontId="3" fillId="0" borderId="3" xfId="1" applyNumberFormat="1" applyFont="1" applyBorder="1"/>
    <xf numFmtId="165" fontId="3" fillId="0" borderId="0" xfId="1" applyNumberFormat="1" applyFont="1"/>
    <xf numFmtId="165" fontId="3" fillId="0" borderId="0" xfId="1" applyNumberFormat="1" applyFont="1" applyFill="1" applyAlignment="1">
      <alignment wrapText="1"/>
    </xf>
    <xf numFmtId="37" fontId="3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wrapText="1"/>
    </xf>
    <xf numFmtId="37" fontId="3" fillId="0" borderId="0" xfId="1" applyNumberFormat="1" applyFont="1" applyAlignment="1">
      <alignment horizontal="right" vertical="center"/>
    </xf>
    <xf numFmtId="165" fontId="3" fillId="0" borderId="0" xfId="1" applyNumberFormat="1" applyFont="1"/>
    <xf numFmtId="165" fontId="3" fillId="0" borderId="0" xfId="1" applyNumberFormat="1" applyFont="1" applyFill="1" applyAlignment="1">
      <alignment wrapText="1"/>
    </xf>
    <xf numFmtId="165" fontId="3" fillId="0" borderId="0" xfId="1" applyNumberFormat="1" applyFont="1"/>
    <xf numFmtId="165" fontId="3" fillId="0" borderId="0" xfId="1" applyNumberFormat="1" applyFont="1" applyFill="1"/>
    <xf numFmtId="165" fontId="3" fillId="0" borderId="0" xfId="1" applyNumberFormat="1" applyFont="1" applyAlignment="1">
      <alignment horizontal="center" vertical="center"/>
    </xf>
    <xf numFmtId="164" fontId="3" fillId="0" borderId="0" xfId="1" applyFont="1"/>
    <xf numFmtId="165" fontId="3" fillId="2" borderId="0" xfId="1" applyNumberFormat="1" applyFont="1" applyFill="1" applyAlignment="1">
      <alignment wrapText="1"/>
    </xf>
    <xf numFmtId="165" fontId="5" fillId="2" borderId="1" xfId="1" applyNumberFormat="1" applyFont="1" applyFill="1" applyBorder="1" applyAlignment="1">
      <alignment horizontal="center" wrapText="1"/>
    </xf>
    <xf numFmtId="165" fontId="3" fillId="2" borderId="4" xfId="1" applyNumberFormat="1" applyFont="1" applyFill="1" applyBorder="1" applyAlignment="1">
      <alignment horizontal="center" wrapText="1"/>
    </xf>
    <xf numFmtId="165" fontId="3" fillId="2" borderId="0" xfId="1" applyNumberFormat="1" applyFont="1" applyFill="1" applyAlignment="1">
      <alignment horizontal="center" vertical="center" wrapText="1"/>
    </xf>
    <xf numFmtId="37" fontId="8" fillId="2" borderId="0" xfId="1" applyNumberFormat="1" applyFont="1" applyFill="1" applyAlignment="1">
      <alignment horizontal="right" vertical="center" wrapText="1"/>
    </xf>
    <xf numFmtId="37" fontId="9" fillId="2" borderId="0" xfId="1" applyNumberFormat="1" applyFont="1" applyFill="1" applyAlignment="1">
      <alignment horizontal="right" vertical="center" wrapText="1"/>
    </xf>
    <xf numFmtId="165" fontId="4" fillId="2" borderId="0" xfId="1" applyNumberFormat="1" applyFont="1" applyFill="1"/>
    <xf numFmtId="165" fontId="3" fillId="2" borderId="0" xfId="1" applyNumberFormat="1" applyFont="1" applyFill="1" applyBorder="1" applyAlignment="1">
      <alignment wrapText="1"/>
    </xf>
    <xf numFmtId="37" fontId="8" fillId="2" borderId="0" xfId="1" applyNumberFormat="1" applyFont="1" applyFill="1" applyBorder="1" applyAlignment="1">
      <alignment horizontal="right" vertical="center" wrapText="1"/>
    </xf>
    <xf numFmtId="165" fontId="3" fillId="2" borderId="3" xfId="1" applyNumberFormat="1" applyFont="1" applyFill="1" applyBorder="1" applyAlignment="1">
      <alignment wrapText="1"/>
    </xf>
    <xf numFmtId="165" fontId="3" fillId="2" borderId="3" xfId="1" applyNumberFormat="1" applyFont="1" applyFill="1" applyBorder="1" applyAlignment="1">
      <alignment horizontal="center" vertical="center" wrapText="1"/>
    </xf>
    <xf numFmtId="0" fontId="0" fillId="2" borderId="0" xfId="0" applyFont="1" applyFill="1" applyBorder="1"/>
    <xf numFmtId="165" fontId="5" fillId="2" borderId="0" xfId="1" applyNumberFormat="1" applyFont="1" applyFill="1" applyAlignment="1">
      <alignment wrapText="1"/>
    </xf>
    <xf numFmtId="37" fontId="8" fillId="2" borderId="0" xfId="1" applyNumberFormat="1" applyFont="1" applyFill="1" applyBorder="1" applyAlignment="1">
      <alignment horizontal="right" wrapText="1"/>
    </xf>
    <xf numFmtId="165" fontId="3" fillId="2" borderId="3" xfId="1" applyNumberFormat="1" applyFont="1" applyFill="1" applyBorder="1" applyAlignment="1">
      <alignment horizontal="center" wrapText="1"/>
    </xf>
    <xf numFmtId="0" fontId="0" fillId="2" borderId="5" xfId="0" applyFill="1" applyBorder="1"/>
    <xf numFmtId="4" fontId="0" fillId="2" borderId="5" xfId="0" applyNumberFormat="1" applyFont="1" applyFill="1" applyBorder="1"/>
    <xf numFmtId="0" fontId="0" fillId="2" borderId="5" xfId="0" applyFill="1" applyBorder="1" applyAlignment="1">
      <alignment wrapText="1"/>
    </xf>
    <xf numFmtId="4" fontId="0" fillId="2" borderId="5" xfId="0" applyNumberFormat="1" applyFont="1" applyFill="1" applyBorder="1" applyAlignment="1">
      <alignment wrapText="1"/>
    </xf>
    <xf numFmtId="165" fontId="5" fillId="0" borderId="1" xfId="1" applyNumberFormat="1" applyFont="1" applyFill="1" applyBorder="1" applyAlignment="1">
      <alignment horizontal="center"/>
    </xf>
    <xf numFmtId="165" fontId="0" fillId="2" borderId="0" xfId="1" applyNumberFormat="1" applyFont="1" applyFill="1" applyAlignment="1">
      <alignment wrapText="1"/>
    </xf>
    <xf numFmtId="37" fontId="3" fillId="3" borderId="0" xfId="1" applyNumberFormat="1" applyFont="1" applyFill="1" applyAlignment="1">
      <alignment horizontal="right" vertical="center"/>
    </xf>
    <xf numFmtId="164" fontId="3" fillId="0" borderId="0" xfId="1" applyNumberFormat="1" applyFont="1"/>
    <xf numFmtId="164" fontId="3" fillId="0" borderId="0" xfId="1" applyNumberFormat="1" applyFont="1" applyFill="1"/>
    <xf numFmtId="165" fontId="0" fillId="0" borderId="0" xfId="1" applyNumberFormat="1" applyFont="1" applyFill="1"/>
    <xf numFmtId="165" fontId="0" fillId="0" borderId="0" xfId="1" applyNumberFormat="1" applyFont="1"/>
    <xf numFmtId="165" fontId="3" fillId="0" borderId="5" xfId="1" applyNumberFormat="1" applyFont="1" applyBorder="1"/>
    <xf numFmtId="165" fontId="3" fillId="0" borderId="8" xfId="1" applyNumberFormat="1" applyFont="1" applyBorder="1"/>
    <xf numFmtId="37" fontId="0" fillId="3" borderId="0" xfId="1" applyNumberFormat="1" applyFont="1" applyFill="1" applyAlignment="1">
      <alignment horizontal="right" vertical="center"/>
    </xf>
    <xf numFmtId="165" fontId="5" fillId="0" borderId="5" xfId="1" applyNumberFormat="1" applyFont="1" applyBorder="1"/>
    <xf numFmtId="165" fontId="3" fillId="0" borderId="10" xfId="1" applyNumberFormat="1" applyFont="1" applyFill="1" applyBorder="1" applyAlignment="1">
      <alignment wrapText="1"/>
    </xf>
    <xf numFmtId="37" fontId="3" fillId="0" borderId="11" xfId="1" applyNumberFormat="1" applyFont="1" applyFill="1" applyBorder="1" applyAlignment="1">
      <alignment horizontal="right" vertical="center" wrapText="1"/>
    </xf>
    <xf numFmtId="165" fontId="3" fillId="0" borderId="12" xfId="1" applyNumberFormat="1" applyFont="1" applyFill="1" applyBorder="1" applyAlignment="1">
      <alignment horizontal="right" wrapText="1"/>
    </xf>
    <xf numFmtId="165" fontId="3" fillId="0" borderId="13" xfId="1" applyNumberFormat="1" applyFont="1" applyFill="1" applyBorder="1" applyAlignment="1">
      <alignment wrapText="1"/>
    </xf>
    <xf numFmtId="37" fontId="3" fillId="0" borderId="0" xfId="1" applyNumberFormat="1" applyFont="1" applyFill="1" applyBorder="1" applyAlignment="1">
      <alignment horizontal="right" vertical="center" wrapText="1"/>
    </xf>
    <xf numFmtId="165" fontId="3" fillId="0" borderId="14" xfId="1" applyNumberFormat="1" applyFont="1" applyFill="1" applyBorder="1" applyAlignment="1">
      <alignment horizontal="right" wrapText="1"/>
    </xf>
    <xf numFmtId="165" fontId="3" fillId="0" borderId="15" xfId="1" applyNumberFormat="1" applyFont="1" applyFill="1" applyBorder="1" applyAlignment="1">
      <alignment wrapText="1"/>
    </xf>
    <xf numFmtId="37" fontId="3" fillId="0" borderId="1" xfId="1" applyNumberFormat="1" applyFont="1" applyFill="1" applyBorder="1" applyAlignment="1">
      <alignment horizontal="right" vertical="center" wrapText="1"/>
    </xf>
    <xf numFmtId="165" fontId="3" fillId="0" borderId="16" xfId="1" applyNumberFormat="1" applyFont="1" applyFill="1" applyBorder="1" applyAlignment="1">
      <alignment horizontal="right" wrapText="1"/>
    </xf>
    <xf numFmtId="0" fontId="0" fillId="0" borderId="10" xfId="0" applyFill="1" applyBorder="1" applyAlignment="1">
      <alignment wrapText="1"/>
    </xf>
    <xf numFmtId="37" fontId="3" fillId="0" borderId="12" xfId="1" applyNumberFormat="1" applyFont="1" applyFill="1" applyBorder="1" applyAlignment="1">
      <alignment horizontal="right" wrapText="1"/>
    </xf>
    <xf numFmtId="0" fontId="0" fillId="0" borderId="13" xfId="0" applyFill="1" applyBorder="1" applyAlignment="1">
      <alignment wrapText="1"/>
    </xf>
    <xf numFmtId="37" fontId="3" fillId="0" borderId="14" xfId="1" applyNumberFormat="1" applyFont="1" applyFill="1" applyBorder="1" applyAlignment="1">
      <alignment horizontal="right" wrapText="1"/>
    </xf>
    <xf numFmtId="0" fontId="0" fillId="0" borderId="15" xfId="0" applyFill="1" applyBorder="1" applyAlignment="1">
      <alignment wrapText="1"/>
    </xf>
    <xf numFmtId="37" fontId="3" fillId="0" borderId="16" xfId="1" applyNumberFormat="1" applyFont="1" applyFill="1" applyBorder="1" applyAlignment="1">
      <alignment horizontal="right" wrapText="1"/>
    </xf>
    <xf numFmtId="0" fontId="10" fillId="0" borderId="17" xfId="0" applyFont="1" applyBorder="1" applyAlignment="1">
      <alignment horizontal="center"/>
    </xf>
    <xf numFmtId="0" fontId="0" fillId="0" borderId="18" xfId="0" applyFont="1" applyFill="1" applyBorder="1"/>
    <xf numFmtId="0" fontId="0" fillId="0" borderId="9" xfId="0" applyFont="1" applyFill="1" applyBorder="1"/>
    <xf numFmtId="165" fontId="3" fillId="0" borderId="10" xfId="1" applyNumberFormat="1" applyFont="1" applyFill="1" applyBorder="1" applyAlignment="1">
      <alignment horizontal="left" wrapText="1"/>
    </xf>
    <xf numFmtId="165" fontId="3" fillId="0" borderId="11" xfId="1" applyNumberFormat="1" applyFont="1" applyFill="1" applyBorder="1" applyAlignment="1">
      <alignment wrapText="1"/>
    </xf>
    <xf numFmtId="37" fontId="3" fillId="0" borderId="11" xfId="1" applyNumberFormat="1" applyFont="1" applyFill="1" applyBorder="1" applyAlignment="1">
      <alignment horizontal="right" wrapText="1"/>
    </xf>
    <xf numFmtId="165" fontId="3" fillId="0" borderId="15" xfId="1" applyNumberFormat="1" applyFont="1" applyFill="1" applyBorder="1" applyAlignment="1">
      <alignment horizontal="left" wrapText="1"/>
    </xf>
    <xf numFmtId="165" fontId="3" fillId="0" borderId="1" xfId="1" applyNumberFormat="1" applyFont="1" applyFill="1" applyBorder="1" applyAlignment="1">
      <alignment wrapText="1"/>
    </xf>
    <xf numFmtId="37" fontId="3" fillId="0" borderId="1" xfId="1" applyNumberFormat="1" applyFont="1" applyFill="1" applyBorder="1" applyAlignment="1">
      <alignment horizontal="right" wrapText="1"/>
    </xf>
    <xf numFmtId="0" fontId="10" fillId="0" borderId="10" xfId="0" applyFont="1" applyBorder="1" applyAlignment="1">
      <alignment horizontal="left"/>
    </xf>
    <xf numFmtId="4" fontId="0" fillId="0" borderId="11" xfId="0" applyNumberFormat="1" applyFont="1" applyBorder="1"/>
    <xf numFmtId="0" fontId="10" fillId="0" borderId="15" xfId="0" applyFont="1" applyBorder="1" applyAlignment="1">
      <alignment horizontal="left"/>
    </xf>
    <xf numFmtId="4" fontId="0" fillId="0" borderId="1" xfId="0" applyNumberFormat="1" applyFont="1" applyBorder="1"/>
    <xf numFmtId="4" fontId="11" fillId="0" borderId="0" xfId="0" applyNumberFormat="1" applyFont="1" applyBorder="1" applyAlignment="1">
      <alignment vertical="top"/>
    </xf>
    <xf numFmtId="165" fontId="0" fillId="2" borderId="0" xfId="1" applyNumberFormat="1" applyFont="1" applyFill="1"/>
    <xf numFmtId="165" fontId="3" fillId="5" borderId="0" xfId="1" applyNumberFormat="1" applyFont="1" applyFill="1" applyBorder="1" applyAlignment="1">
      <alignment wrapText="1"/>
    </xf>
    <xf numFmtId="37" fontId="3" fillId="5" borderId="0" xfId="1" applyNumberFormat="1" applyFont="1" applyFill="1" applyAlignment="1">
      <alignment horizontal="right"/>
    </xf>
    <xf numFmtId="37" fontId="3" fillId="5" borderId="0" xfId="1" applyNumberFormat="1" applyFont="1" applyFill="1" applyAlignment="1">
      <alignment horizontal="right" vertical="center"/>
    </xf>
    <xf numFmtId="165" fontId="3" fillId="5" borderId="0" xfId="1" applyNumberFormat="1" applyFont="1" applyFill="1" applyAlignment="1">
      <alignment horizontal="left"/>
    </xf>
    <xf numFmtId="165" fontId="3" fillId="5" borderId="0" xfId="1" applyNumberFormat="1" applyFont="1" applyFill="1"/>
    <xf numFmtId="37" fontId="3" fillId="5" borderId="0" xfId="1" applyNumberFormat="1" applyFont="1" applyFill="1" applyAlignment="1">
      <alignment vertical="center"/>
    </xf>
    <xf numFmtId="37" fontId="0" fillId="0" borderId="0" xfId="1" applyNumberFormat="1" applyFont="1" applyFill="1" applyAlignment="1">
      <alignment vertical="center"/>
    </xf>
    <xf numFmtId="165" fontId="3" fillId="4" borderId="0" xfId="1" applyNumberFormat="1" applyFont="1" applyFill="1" applyBorder="1" applyAlignment="1">
      <alignment wrapText="1"/>
    </xf>
    <xf numFmtId="165" fontId="3" fillId="4" borderId="0" xfId="1" applyNumberFormat="1" applyFont="1" applyFill="1"/>
    <xf numFmtId="165" fontId="3" fillId="6" borderId="0" xfId="1" applyNumberFormat="1" applyFont="1" applyFill="1" applyBorder="1" applyAlignment="1">
      <alignment wrapText="1"/>
    </xf>
    <xf numFmtId="165" fontId="3" fillId="6" borderId="0" xfId="1" applyNumberFormat="1" applyFont="1" applyFill="1"/>
    <xf numFmtId="165" fontId="8" fillId="6" borderId="0" xfId="1" applyNumberFormat="1" applyFont="1" applyFill="1"/>
    <xf numFmtId="0" fontId="10" fillId="7" borderId="0" xfId="0" applyFont="1" applyFill="1" applyAlignment="1">
      <alignment horizontal="center"/>
    </xf>
    <xf numFmtId="0" fontId="0" fillId="7" borderId="0" xfId="0" applyFill="1" applyBorder="1" applyAlignment="1">
      <alignment wrapText="1"/>
    </xf>
    <xf numFmtId="37" fontId="3" fillId="7" borderId="0" xfId="1" applyNumberFormat="1" applyFont="1" applyFill="1"/>
    <xf numFmtId="0" fontId="0" fillId="7" borderId="0" xfId="0" applyFont="1" applyFill="1"/>
    <xf numFmtId="165" fontId="3" fillId="7" borderId="0" xfId="1" applyNumberFormat="1" applyFont="1" applyFill="1" applyBorder="1" applyAlignment="1">
      <alignment wrapText="1"/>
    </xf>
    <xf numFmtId="165" fontId="3" fillId="7" borderId="0" xfId="1" applyNumberFormat="1" applyFont="1" applyFill="1"/>
    <xf numFmtId="165" fontId="8" fillId="7" borderId="0" xfId="1" applyNumberFormat="1" applyFont="1" applyFill="1"/>
    <xf numFmtId="37" fontId="3" fillId="4" borderId="0" xfId="1" applyNumberFormat="1" applyFont="1" applyFill="1"/>
    <xf numFmtId="165" fontId="3" fillId="8" borderId="0" xfId="1" applyNumberFormat="1" applyFont="1" applyFill="1" applyBorder="1" applyAlignment="1">
      <alignment wrapText="1"/>
    </xf>
    <xf numFmtId="0" fontId="0" fillId="8" borderId="0" xfId="0" applyFont="1" applyFill="1"/>
    <xf numFmtId="165" fontId="8" fillId="8" borderId="0" xfId="1" applyNumberFormat="1" applyFont="1" applyFill="1"/>
    <xf numFmtId="0" fontId="0" fillId="5" borderId="0" xfId="0" applyFont="1" applyFill="1"/>
    <xf numFmtId="165" fontId="8" fillId="5" borderId="0" xfId="1" applyNumberFormat="1" applyFont="1" applyFill="1"/>
    <xf numFmtId="165" fontId="3" fillId="8" borderId="0" xfId="1" applyNumberFormat="1" applyFont="1" applyFill="1"/>
    <xf numFmtId="0" fontId="10" fillId="9" borderId="0" xfId="0" applyFont="1" applyFill="1" applyAlignment="1">
      <alignment horizontal="center"/>
    </xf>
    <xf numFmtId="0" fontId="0" fillId="9" borderId="0" xfId="0" applyFill="1" applyBorder="1" applyAlignment="1">
      <alignment wrapText="1"/>
    </xf>
    <xf numFmtId="0" fontId="0" fillId="9" borderId="0" xfId="0" applyFont="1" applyFill="1"/>
    <xf numFmtId="165" fontId="3" fillId="9" borderId="0" xfId="1" applyNumberFormat="1" applyFont="1" applyFill="1"/>
    <xf numFmtId="165" fontId="8" fillId="9" borderId="0" xfId="1" applyNumberFormat="1" applyFont="1" applyFill="1"/>
    <xf numFmtId="4" fontId="0" fillId="9" borderId="0" xfId="0" applyNumberFormat="1" applyFont="1" applyFill="1"/>
    <xf numFmtId="0" fontId="10" fillId="9" borderId="0" xfId="0" applyFont="1" applyFill="1" applyAlignment="1">
      <alignment horizontal="left"/>
    </xf>
    <xf numFmtId="37" fontId="3" fillId="9" borderId="0" xfId="1" applyNumberFormat="1" applyFont="1" applyFill="1"/>
    <xf numFmtId="165" fontId="3" fillId="10" borderId="0" xfId="1" applyNumberFormat="1" applyFont="1" applyFill="1" applyAlignment="1">
      <alignment horizontal="left"/>
    </xf>
    <xf numFmtId="165" fontId="3" fillId="10" borderId="0" xfId="1" applyNumberFormat="1" applyFont="1" applyFill="1"/>
    <xf numFmtId="4" fontId="0" fillId="10" borderId="0" xfId="0" applyNumberFormat="1" applyFont="1" applyFill="1"/>
    <xf numFmtId="4" fontId="3" fillId="10" borderId="0" xfId="1" applyNumberFormat="1" applyFont="1" applyFill="1"/>
    <xf numFmtId="4" fontId="3" fillId="5" borderId="0" xfId="1" applyNumberFormat="1" applyFont="1" applyFill="1"/>
    <xf numFmtId="164" fontId="0" fillId="0" borderId="0" xfId="1" applyFont="1" applyFill="1"/>
    <xf numFmtId="4" fontId="15" fillId="0" borderId="0" xfId="2" applyNumberFormat="1" applyFont="1" applyFill="1" applyBorder="1" applyAlignment="1"/>
    <xf numFmtId="164" fontId="3" fillId="0" borderId="0" xfId="1" applyFont="1" applyFill="1" applyAlignment="1">
      <alignment wrapText="1"/>
    </xf>
    <xf numFmtId="4" fontId="0" fillId="10" borderId="0" xfId="0" applyNumberFormat="1" applyFill="1"/>
    <xf numFmtId="37" fontId="0" fillId="0" borderId="1" xfId="1" applyNumberFormat="1" applyFont="1" applyFill="1" applyBorder="1" applyAlignment="1">
      <alignment horizontal="right" vertical="center" wrapText="1"/>
    </xf>
    <xf numFmtId="165" fontId="5" fillId="0" borderId="2" xfId="1" applyNumberFormat="1" applyFont="1" applyFill="1" applyBorder="1" applyAlignment="1">
      <alignment horizontal="center"/>
    </xf>
    <xf numFmtId="0" fontId="18" fillId="0" borderId="19" xfId="0" applyFont="1" applyBorder="1" applyAlignment="1">
      <alignment horizontal="center" wrapText="1"/>
    </xf>
    <xf numFmtId="0" fontId="18" fillId="0" borderId="20" xfId="0" applyFont="1" applyBorder="1" applyAlignment="1">
      <alignment horizontal="center"/>
    </xf>
    <xf numFmtId="0" fontId="19" fillId="0" borderId="21" xfId="0" applyFont="1" applyBorder="1" applyAlignment="1">
      <alignment vertical="top" wrapText="1"/>
    </xf>
    <xf numFmtId="4" fontId="19" fillId="0" borderId="22" xfId="0" applyNumberFormat="1" applyFont="1" applyBorder="1" applyAlignment="1">
      <alignment horizontal="right"/>
    </xf>
    <xf numFmtId="0" fontId="18" fillId="0" borderId="21" xfId="0" applyFont="1" applyBorder="1" applyAlignment="1">
      <alignment horizontal="right" vertical="top" wrapText="1"/>
    </xf>
    <xf numFmtId="4" fontId="18" fillId="0" borderId="22" xfId="0" applyNumberFormat="1" applyFont="1" applyBorder="1" applyAlignment="1">
      <alignment horizontal="right"/>
    </xf>
    <xf numFmtId="165" fontId="3" fillId="5" borderId="10" xfId="1" applyNumberFormat="1" applyFont="1" applyFill="1" applyBorder="1" applyAlignment="1">
      <alignment horizontal="left" wrapText="1"/>
    </xf>
    <xf numFmtId="165" fontId="3" fillId="5" borderId="11" xfId="1" applyNumberFormat="1" applyFont="1" applyFill="1" applyBorder="1" applyAlignment="1">
      <alignment wrapText="1"/>
    </xf>
    <xf numFmtId="37" fontId="3" fillId="5" borderId="11" xfId="1" applyNumberFormat="1" applyFont="1" applyFill="1" applyBorder="1" applyAlignment="1">
      <alignment horizontal="right" wrapText="1"/>
    </xf>
    <xf numFmtId="37" fontId="3" fillId="5" borderId="12" xfId="1" applyNumberFormat="1" applyFont="1" applyFill="1" applyBorder="1" applyAlignment="1">
      <alignment horizontal="right" wrapText="1"/>
    </xf>
    <xf numFmtId="165" fontId="3" fillId="5" borderId="15" xfId="1" applyNumberFormat="1" applyFont="1" applyFill="1" applyBorder="1" applyAlignment="1">
      <alignment horizontal="left" wrapText="1"/>
    </xf>
    <xf numFmtId="165" fontId="3" fillId="5" borderId="1" xfId="1" applyNumberFormat="1" applyFont="1" applyFill="1" applyBorder="1" applyAlignment="1">
      <alignment wrapText="1"/>
    </xf>
    <xf numFmtId="37" fontId="3" fillId="5" borderId="1" xfId="1" applyNumberFormat="1" applyFont="1" applyFill="1" applyBorder="1" applyAlignment="1">
      <alignment horizontal="right" wrapText="1"/>
    </xf>
    <xf numFmtId="37" fontId="3" fillId="5" borderId="16" xfId="1" applyNumberFormat="1" applyFont="1" applyFill="1" applyBorder="1" applyAlignment="1">
      <alignment horizontal="right" wrapText="1"/>
    </xf>
    <xf numFmtId="165" fontId="3" fillId="11" borderId="10" xfId="1" applyNumberFormat="1" applyFont="1" applyFill="1" applyBorder="1" applyAlignment="1">
      <alignment horizontal="left" wrapText="1"/>
    </xf>
    <xf numFmtId="165" fontId="3" fillId="11" borderId="11" xfId="1" applyNumberFormat="1" applyFont="1" applyFill="1" applyBorder="1" applyAlignment="1">
      <alignment wrapText="1"/>
    </xf>
    <xf numFmtId="37" fontId="3" fillId="11" borderId="11" xfId="1" applyNumberFormat="1" applyFont="1" applyFill="1" applyBorder="1" applyAlignment="1">
      <alignment horizontal="right" wrapText="1"/>
    </xf>
    <xf numFmtId="37" fontId="3" fillId="11" borderId="12" xfId="1" applyNumberFormat="1" applyFont="1" applyFill="1" applyBorder="1" applyAlignment="1">
      <alignment horizontal="right" wrapText="1"/>
    </xf>
    <xf numFmtId="165" fontId="3" fillId="11" borderId="15" xfId="1" applyNumberFormat="1" applyFont="1" applyFill="1" applyBorder="1" applyAlignment="1">
      <alignment horizontal="left" wrapText="1"/>
    </xf>
    <xf numFmtId="165" fontId="3" fillId="11" borderId="1" xfId="1" applyNumberFormat="1" applyFont="1" applyFill="1" applyBorder="1" applyAlignment="1">
      <alignment wrapText="1"/>
    </xf>
    <xf numFmtId="37" fontId="3" fillId="11" borderId="1" xfId="1" applyNumberFormat="1" applyFont="1" applyFill="1" applyBorder="1" applyAlignment="1">
      <alignment horizontal="right" wrapText="1"/>
    </xf>
    <xf numFmtId="37" fontId="3" fillId="11" borderId="16" xfId="1" applyNumberFormat="1" applyFont="1" applyFill="1" applyBorder="1" applyAlignment="1">
      <alignment horizontal="right" wrapText="1"/>
    </xf>
    <xf numFmtId="165" fontId="0" fillId="0" borderId="0" xfId="1" applyNumberFormat="1" applyFont="1" applyFill="1" applyAlignment="1">
      <alignment wrapText="1"/>
    </xf>
    <xf numFmtId="164" fontId="20" fillId="12" borderId="0" xfId="1" applyFont="1" applyFill="1" applyAlignment="1">
      <alignment horizontal="right" wrapText="1"/>
    </xf>
    <xf numFmtId="165" fontId="3" fillId="13" borderId="0" xfId="1" applyNumberFormat="1" applyFont="1" applyFill="1" applyBorder="1"/>
    <xf numFmtId="165" fontId="21" fillId="0" borderId="0" xfId="1" applyNumberFormat="1" applyFont="1" applyFill="1" applyAlignment="1">
      <alignment wrapText="1"/>
    </xf>
    <xf numFmtId="164" fontId="21" fillId="13" borderId="0" xfId="1" applyFont="1" applyFill="1" applyBorder="1"/>
    <xf numFmtId="164" fontId="21" fillId="0" borderId="19" xfId="1" applyFont="1" applyBorder="1"/>
    <xf numFmtId="164" fontId="3" fillId="0" borderId="2" xfId="1" applyFont="1" applyBorder="1"/>
    <xf numFmtId="164" fontId="3" fillId="0" borderId="5" xfId="1" applyFont="1" applyFill="1" applyBorder="1"/>
    <xf numFmtId="164" fontId="3" fillId="0" borderId="8" xfId="1" applyFont="1" applyFill="1" applyBorder="1"/>
    <xf numFmtId="164" fontId="5" fillId="0" borderId="2" xfId="1" applyFont="1" applyBorder="1"/>
    <xf numFmtId="165" fontId="5" fillId="0" borderId="0" xfId="1" applyNumberFormat="1" applyFont="1" applyFill="1" applyAlignment="1">
      <alignment horizontal="center" wrapText="1"/>
    </xf>
    <xf numFmtId="165" fontId="5" fillId="0" borderId="0" xfId="1" applyNumberFormat="1" applyFont="1" applyFill="1" applyBorder="1" applyAlignment="1">
      <alignment horizontal="center" wrapText="1"/>
    </xf>
    <xf numFmtId="165" fontId="0" fillId="0" borderId="17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165" fontId="5" fillId="2" borderId="0" xfId="1" applyNumberFormat="1" applyFont="1" applyFill="1" applyAlignment="1">
      <alignment horizontal="center" wrapText="1"/>
    </xf>
    <xf numFmtId="165" fontId="5" fillId="2" borderId="0" xfId="1" applyNumberFormat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5" fontId="3" fillId="5" borderId="0" xfId="1" applyNumberFormat="1" applyFont="1" applyFill="1" applyAlignment="1">
      <alignment horizontal="center" vertical="center" wrapText="1"/>
    </xf>
    <xf numFmtId="165" fontId="3" fillId="4" borderId="0" xfId="1" applyNumberFormat="1" applyFont="1" applyFill="1" applyAlignment="1">
      <alignment horizontal="center" vertical="center"/>
    </xf>
    <xf numFmtId="165" fontId="3" fillId="7" borderId="0" xfId="1" applyNumberFormat="1" applyFont="1" applyFill="1" applyAlignment="1">
      <alignment horizontal="center" vertical="center"/>
    </xf>
    <xf numFmtId="165" fontId="3" fillId="4" borderId="0" xfId="1" applyNumberFormat="1" applyFont="1" applyFill="1" applyAlignment="1">
      <alignment horizontal="center" vertical="center" wrapText="1"/>
    </xf>
    <xf numFmtId="165" fontId="3" fillId="8" borderId="0" xfId="1" applyNumberFormat="1" applyFont="1" applyFill="1" applyAlignment="1">
      <alignment horizontal="center" vertical="center" wrapText="1"/>
    </xf>
    <xf numFmtId="165" fontId="3" fillId="8" borderId="0" xfId="1" applyNumberFormat="1" applyFont="1" applyFill="1" applyAlignment="1">
      <alignment horizontal="center" vertical="center"/>
    </xf>
    <xf numFmtId="165" fontId="3" fillId="6" borderId="0" xfId="1" applyNumberFormat="1" applyFont="1" applyFill="1" applyAlignment="1">
      <alignment horizontal="center" vertical="center" wrapText="1"/>
    </xf>
    <xf numFmtId="165" fontId="3" fillId="6" borderId="0" xfId="1" applyNumberFormat="1" applyFont="1" applyFill="1" applyAlignment="1">
      <alignment horizontal="center" vertical="center"/>
    </xf>
    <xf numFmtId="165" fontId="3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1076325</xdr:colOff>
      <xdr:row>41</xdr:row>
      <xdr:rowOff>180975</xdr:rowOff>
    </xdr:from>
    <xdr:to>
      <xdr:col>7</xdr:col>
      <xdr:colOff>9525</xdr:colOff>
      <xdr:row>42</xdr:row>
      <xdr:rowOff>0</xdr:rowOff>
    </xdr:to>
    <xdr:cxnSp macro="">
      <xdr:nvCxnSpPr>
        <xdr:cNvPr id="3" name="Conector recto de flecha 2"/>
        <xdr:cNvCxnSpPr/>
      </xdr:nvCxnSpPr>
      <xdr:spPr>
        <a:xfrm>
          <a:off x="9239250" y="8562975"/>
          <a:ext cx="2257425" cy="952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41</xdr:row>
      <xdr:rowOff>38100</xdr:rowOff>
    </xdr:from>
    <xdr:to>
      <xdr:col>5</xdr:col>
      <xdr:colOff>0</xdr:colOff>
      <xdr:row>41</xdr:row>
      <xdr:rowOff>171450</xdr:rowOff>
    </xdr:to>
    <xdr:sp macro="" textlink="">
      <xdr:nvSpPr>
        <xdr:cNvPr id="4" name="Elipse 3"/>
        <xdr:cNvSpPr/>
      </xdr:nvSpPr>
      <xdr:spPr>
        <a:xfrm>
          <a:off x="8220075" y="8420100"/>
          <a:ext cx="1066800" cy="1333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93</xdr:row>
      <xdr:rowOff>19050</xdr:rowOff>
    </xdr:from>
    <xdr:to>
      <xdr:col>5</xdr:col>
      <xdr:colOff>114300</xdr:colOff>
      <xdr:row>98</xdr:row>
      <xdr:rowOff>19050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E7E940B8-206A-496C-BEDF-B22F33F66AAB}"/>
            </a:ext>
          </a:extLst>
        </xdr:cNvPr>
        <xdr:cNvCxnSpPr/>
      </xdr:nvCxnSpPr>
      <xdr:spPr>
        <a:xfrm flipV="1">
          <a:off x="7658100" y="17745075"/>
          <a:ext cx="2638425" cy="1171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17"/>
  <sheetViews>
    <sheetView tabSelected="1" zoomScale="82" zoomScaleNormal="82" workbookViewId="0">
      <selection sqref="A1:F1"/>
    </sheetView>
  </sheetViews>
  <sheetFormatPr baseColWidth="10" defaultColWidth="11.5703125" defaultRowHeight="15" customHeight="1" x14ac:dyDescent="0.25"/>
  <cols>
    <col min="1" max="1" width="72.42578125" style="1" customWidth="1"/>
    <col min="2" max="2" width="27.5703125" style="1" customWidth="1"/>
    <col min="3" max="3" width="15.28515625" style="1" bestFit="1" customWidth="1"/>
    <col min="4" max="4" width="21.85546875" style="1" customWidth="1"/>
    <col min="5" max="5" width="22.85546875" style="1" customWidth="1"/>
    <col min="6" max="6" width="21.28515625" style="1" customWidth="1"/>
    <col min="7" max="7" width="12.7109375" style="1" bestFit="1" customWidth="1"/>
    <col min="8" max="8" width="15.85546875" style="1" bestFit="1" customWidth="1"/>
    <col min="9" max="9" width="11.5703125" style="1"/>
    <col min="10" max="10" width="14.28515625" style="1" bestFit="1" customWidth="1"/>
    <col min="11" max="16384" width="11.5703125" style="1"/>
  </cols>
  <sheetData>
    <row r="1" spans="1:6" ht="15" customHeight="1" x14ac:dyDescent="0.25">
      <c r="A1" s="230" t="s">
        <v>20</v>
      </c>
      <c r="B1" s="230"/>
      <c r="C1" s="230"/>
      <c r="D1" s="230"/>
      <c r="E1" s="230"/>
      <c r="F1" s="230"/>
    </row>
    <row r="2" spans="1:6" x14ac:dyDescent="0.25">
      <c r="A2" s="3" t="s">
        <v>0</v>
      </c>
      <c r="B2" s="4" t="s">
        <v>22</v>
      </c>
      <c r="C2" s="5"/>
      <c r="D2" s="5"/>
      <c r="E2" s="5"/>
      <c r="F2" s="5"/>
    </row>
    <row r="3" spans="1:6" ht="15" customHeight="1" x14ac:dyDescent="0.25">
      <c r="A3" s="3" t="s">
        <v>1</v>
      </c>
      <c r="B3" s="4" t="s">
        <v>21</v>
      </c>
      <c r="C3" s="5"/>
      <c r="D3" s="5"/>
      <c r="E3" s="5"/>
      <c r="F3" s="5"/>
    </row>
    <row r="4" spans="1:6" ht="15" customHeight="1" x14ac:dyDescent="0.25">
      <c r="A4" s="3" t="s">
        <v>11</v>
      </c>
      <c r="B4" s="5" t="s">
        <v>62</v>
      </c>
      <c r="C4" s="5"/>
      <c r="D4" s="5"/>
      <c r="E4" s="5"/>
      <c r="F4" s="5"/>
    </row>
    <row r="5" spans="1:6" ht="15" customHeight="1" x14ac:dyDescent="0.25">
      <c r="A5" s="3" t="s">
        <v>47</v>
      </c>
      <c r="B5" s="6" t="s">
        <v>106</v>
      </c>
      <c r="C5" s="5"/>
      <c r="D5" s="5"/>
      <c r="E5" s="5"/>
      <c r="F5" s="5"/>
    </row>
    <row r="7" spans="1:6" ht="15" customHeight="1" x14ac:dyDescent="0.25">
      <c r="A7" s="230" t="s">
        <v>9</v>
      </c>
      <c r="B7" s="230"/>
      <c r="C7" s="230"/>
      <c r="D7" s="230"/>
      <c r="E7" s="230"/>
      <c r="F7" s="230"/>
    </row>
    <row r="8" spans="1:6" ht="15" customHeight="1" x14ac:dyDescent="0.25">
      <c r="A8" s="230" t="s">
        <v>12</v>
      </c>
      <c r="B8" s="230"/>
      <c r="C8" s="230"/>
      <c r="D8" s="230"/>
      <c r="E8" s="230"/>
      <c r="F8" s="230"/>
    </row>
    <row r="9" spans="1:6" ht="15" customHeight="1" x14ac:dyDescent="0.25">
      <c r="A9" s="231" t="s">
        <v>50</v>
      </c>
      <c r="B9" s="231"/>
      <c r="C9" s="231"/>
      <c r="D9" s="231"/>
      <c r="E9" s="231"/>
      <c r="F9" s="231"/>
    </row>
    <row r="10" spans="1:6" s="8" customFormat="1" ht="15" customHeight="1" x14ac:dyDescent="0.25">
      <c r="A10" s="7"/>
      <c r="B10" s="7"/>
      <c r="C10" s="7"/>
      <c r="D10" s="7"/>
      <c r="E10" s="7"/>
      <c r="F10" s="7"/>
    </row>
    <row r="11" spans="1:6" ht="15" customHeight="1" thickBot="1" x14ac:dyDescent="0.3">
      <c r="A11" s="40" t="s">
        <v>65</v>
      </c>
      <c r="B11" s="9"/>
      <c r="C11" s="9" t="s">
        <v>3</v>
      </c>
      <c r="D11" s="9" t="s">
        <v>4</v>
      </c>
      <c r="E11" s="9" t="s">
        <v>5</v>
      </c>
      <c r="F11" s="45" t="s">
        <v>66</v>
      </c>
    </row>
    <row r="13" spans="1:6" x14ac:dyDescent="0.25">
      <c r="A13" s="232" t="s">
        <v>92</v>
      </c>
      <c r="B13" s="123" t="s">
        <v>59</v>
      </c>
      <c r="C13" s="124">
        <v>1628</v>
      </c>
      <c r="D13" s="124">
        <f>+(C13-D15)+325</f>
        <v>571</v>
      </c>
      <c r="E13" s="124">
        <f>+(D13-E15)+336</f>
        <v>533</v>
      </c>
      <c r="F13" s="125">
        <f>E13</f>
        <v>533</v>
      </c>
    </row>
    <row r="14" spans="1:6" ht="15" customHeight="1" x14ac:dyDescent="0.25">
      <c r="A14" s="233"/>
      <c r="B14" s="126" t="s">
        <v>60</v>
      </c>
      <c r="C14" s="127">
        <v>0</v>
      </c>
      <c r="D14" s="127">
        <v>1260</v>
      </c>
      <c r="E14" s="127">
        <v>1266</v>
      </c>
      <c r="F14" s="128">
        <f t="shared" ref="F14:F24" si="0">AVERAGE(C14:E14)</f>
        <v>842</v>
      </c>
    </row>
    <row r="15" spans="1:6" ht="15" customHeight="1" x14ac:dyDescent="0.25">
      <c r="A15" s="234"/>
      <c r="B15" s="129" t="s">
        <v>61</v>
      </c>
      <c r="C15" s="130">
        <v>0</v>
      </c>
      <c r="D15" s="130">
        <v>1382</v>
      </c>
      <c r="E15" s="130">
        <v>374</v>
      </c>
      <c r="F15" s="131">
        <f t="shared" si="0"/>
        <v>585.33333333333337</v>
      </c>
    </row>
    <row r="16" spans="1:6" x14ac:dyDescent="0.25">
      <c r="A16" s="235" t="s">
        <v>24</v>
      </c>
      <c r="B16" s="123" t="s">
        <v>59</v>
      </c>
      <c r="C16" s="124">
        <v>1170</v>
      </c>
      <c r="D16" s="124">
        <f>+(C16-D18)+88</f>
        <v>140</v>
      </c>
      <c r="E16" s="124">
        <f>+(D16-E18)+136</f>
        <v>206</v>
      </c>
      <c r="F16" s="125">
        <f>E16</f>
        <v>206</v>
      </c>
    </row>
    <row r="17" spans="1:6" ht="15" customHeight="1" x14ac:dyDescent="0.25">
      <c r="A17" s="233"/>
      <c r="B17" s="126" t="s">
        <v>60</v>
      </c>
      <c r="C17" s="127">
        <v>0</v>
      </c>
      <c r="D17" s="127">
        <v>821</v>
      </c>
      <c r="E17" s="127">
        <v>1048</v>
      </c>
      <c r="F17" s="128">
        <f t="shared" si="0"/>
        <v>623</v>
      </c>
    </row>
    <row r="18" spans="1:6" ht="15" customHeight="1" x14ac:dyDescent="0.25">
      <c r="A18" s="234"/>
      <c r="B18" s="129" t="s">
        <v>61</v>
      </c>
      <c r="C18" s="130">
        <v>0</v>
      </c>
      <c r="D18" s="130">
        <v>1118</v>
      </c>
      <c r="E18" s="130">
        <v>70</v>
      </c>
      <c r="F18" s="131">
        <f t="shared" si="0"/>
        <v>396</v>
      </c>
    </row>
    <row r="19" spans="1:6" x14ac:dyDescent="0.25">
      <c r="A19" s="235" t="s">
        <v>25</v>
      </c>
      <c r="B19" s="123" t="s">
        <v>59</v>
      </c>
      <c r="C19" s="124">
        <v>9806</v>
      </c>
      <c r="D19" s="124">
        <f>+(C19-D21)+1477</f>
        <v>3496</v>
      </c>
      <c r="E19" s="124">
        <f>+(D19-E21)+995</f>
        <v>2312</v>
      </c>
      <c r="F19" s="125">
        <f>E19</f>
        <v>2312</v>
      </c>
    </row>
    <row r="20" spans="1:6" ht="15" customHeight="1" x14ac:dyDescent="0.25">
      <c r="A20" s="233"/>
      <c r="B20" s="126" t="s">
        <v>60</v>
      </c>
      <c r="C20" s="127"/>
      <c r="D20" s="127">
        <v>8381</v>
      </c>
      <c r="E20" s="127">
        <v>9956</v>
      </c>
      <c r="F20" s="128">
        <f t="shared" si="0"/>
        <v>9168.5</v>
      </c>
    </row>
    <row r="21" spans="1:6" ht="15" customHeight="1" x14ac:dyDescent="0.25">
      <c r="A21" s="234"/>
      <c r="B21" s="129" t="s">
        <v>61</v>
      </c>
      <c r="C21" s="130">
        <v>0</v>
      </c>
      <c r="D21" s="130">
        <v>7787</v>
      </c>
      <c r="E21" s="196">
        <v>2179</v>
      </c>
      <c r="F21" s="131">
        <f t="shared" si="0"/>
        <v>3322</v>
      </c>
    </row>
    <row r="22" spans="1:6" s="52" customFormat="1" ht="15" customHeight="1" x14ac:dyDescent="0.25">
      <c r="A22" s="138" t="s">
        <v>76</v>
      </c>
      <c r="B22" s="132" t="s">
        <v>59</v>
      </c>
      <c r="C22" s="124">
        <v>623</v>
      </c>
      <c r="D22" s="124">
        <f>+(C22-D24)+75</f>
        <v>150</v>
      </c>
      <c r="E22" s="124">
        <f>+(D22-E24)+397</f>
        <v>397</v>
      </c>
      <c r="F22" s="125">
        <f>E22</f>
        <v>397</v>
      </c>
    </row>
    <row r="23" spans="1:6" s="52" customFormat="1" ht="15" customHeight="1" x14ac:dyDescent="0.25">
      <c r="A23" s="139"/>
      <c r="B23" s="134" t="s">
        <v>60</v>
      </c>
      <c r="C23" s="127">
        <v>0</v>
      </c>
      <c r="D23" s="127">
        <v>559</v>
      </c>
      <c r="E23" s="127">
        <v>220</v>
      </c>
      <c r="F23" s="135">
        <f t="shared" si="0"/>
        <v>259.66666666666669</v>
      </c>
    </row>
    <row r="24" spans="1:6" s="52" customFormat="1" ht="15" customHeight="1" x14ac:dyDescent="0.25">
      <c r="A24" s="140"/>
      <c r="B24" s="136" t="s">
        <v>61</v>
      </c>
      <c r="C24" s="130">
        <v>0</v>
      </c>
      <c r="D24" s="130">
        <v>548</v>
      </c>
      <c r="E24" s="130">
        <v>150</v>
      </c>
      <c r="F24" s="137">
        <f t="shared" si="0"/>
        <v>232.66666666666666</v>
      </c>
    </row>
    <row r="25" spans="1:6" s="52" customFormat="1" ht="15" customHeight="1" x14ac:dyDescent="0.25">
      <c r="A25" s="70"/>
      <c r="B25" s="8"/>
      <c r="C25" s="56"/>
      <c r="D25" s="56"/>
      <c r="E25" s="56"/>
      <c r="F25" s="60"/>
    </row>
    <row r="26" spans="1:6" ht="15" customHeight="1" x14ac:dyDescent="0.25">
      <c r="C26" s="56"/>
      <c r="D26" s="56"/>
      <c r="E26" s="56"/>
      <c r="F26" s="57"/>
    </row>
    <row r="27" spans="1:6" ht="15" customHeight="1" thickBot="1" x14ac:dyDescent="0.3">
      <c r="A27" s="10" t="s">
        <v>13</v>
      </c>
      <c r="B27" s="10" t="s">
        <v>51</v>
      </c>
      <c r="C27" s="58">
        <f>+C14+C15+C17+C18+C20+C21+C23+C24</f>
        <v>0</v>
      </c>
      <c r="D27" s="58">
        <f>+D14+D15+D17+D18+D20+D21+D23+D24</f>
        <v>21856</v>
      </c>
      <c r="E27" s="58">
        <f>+E14+E15+E17+E18+E20+E21+E23+E24</f>
        <v>15263</v>
      </c>
      <c r="F27" s="61">
        <f>AVERAGE(C27:E27)</f>
        <v>12373</v>
      </c>
    </row>
    <row r="28" spans="1:6" ht="15" customHeight="1" thickTop="1" x14ac:dyDescent="0.25">
      <c r="A28" s="46" t="s">
        <v>67</v>
      </c>
      <c r="B28" s="8"/>
      <c r="C28" s="8"/>
      <c r="D28" s="8"/>
      <c r="E28" s="8"/>
      <c r="F28" s="8"/>
    </row>
    <row r="29" spans="1:6" ht="15" customHeight="1" x14ac:dyDescent="0.25">
      <c r="A29" s="52" t="s">
        <v>73</v>
      </c>
    </row>
    <row r="32" spans="1:6" ht="15" customHeight="1" x14ac:dyDescent="0.25">
      <c r="A32" s="231" t="s">
        <v>14</v>
      </c>
      <c r="B32" s="231"/>
      <c r="C32" s="231"/>
      <c r="D32" s="231"/>
      <c r="E32" s="231"/>
      <c r="F32" s="231"/>
    </row>
    <row r="33" spans="1:8" ht="15" customHeight="1" x14ac:dyDescent="0.25">
      <c r="A33" s="230" t="s">
        <v>31</v>
      </c>
      <c r="B33" s="230"/>
      <c r="C33" s="230"/>
      <c r="D33" s="230"/>
      <c r="E33" s="230"/>
      <c r="F33" s="230"/>
    </row>
    <row r="34" spans="1:8" ht="15" customHeight="1" x14ac:dyDescent="0.25">
      <c r="A34" s="231" t="s">
        <v>52</v>
      </c>
      <c r="B34" s="231"/>
      <c r="C34" s="231"/>
      <c r="D34" s="231"/>
      <c r="E34" s="231"/>
      <c r="F34" s="231"/>
    </row>
    <row r="35" spans="1:8" s="8" customFormat="1" ht="15" customHeight="1" x14ac:dyDescent="0.25">
      <c r="A35" s="11"/>
      <c r="B35" s="11"/>
      <c r="C35" s="11"/>
      <c r="D35" s="11"/>
      <c r="E35" s="11"/>
      <c r="F35" s="11"/>
    </row>
    <row r="36" spans="1:8" ht="15" customHeight="1" thickBot="1" x14ac:dyDescent="0.3">
      <c r="A36" s="12" t="s">
        <v>65</v>
      </c>
      <c r="B36" s="12"/>
      <c r="C36" s="12" t="s">
        <v>3</v>
      </c>
      <c r="D36" s="12" t="s">
        <v>4</v>
      </c>
      <c r="E36" s="12" t="s">
        <v>5</v>
      </c>
      <c r="F36" s="12" t="s">
        <v>6</v>
      </c>
    </row>
    <row r="37" spans="1:8" ht="15" customHeight="1" x14ac:dyDescent="0.25">
      <c r="C37" s="2"/>
      <c r="D37" s="2"/>
      <c r="E37" s="2"/>
      <c r="F37" s="2"/>
    </row>
    <row r="38" spans="1:8" ht="15" customHeight="1" x14ac:dyDescent="0.25">
      <c r="A38" s="204" t="s">
        <v>23</v>
      </c>
      <c r="B38" s="205" t="s">
        <v>57</v>
      </c>
      <c r="C38" s="206">
        <v>0</v>
      </c>
      <c r="D38" s="206">
        <v>257161209</v>
      </c>
      <c r="E38" s="206">
        <v>250181886</v>
      </c>
      <c r="F38" s="207">
        <f t="shared" ref="F38:F45" si="1">SUM(C38:E38)</f>
        <v>507343095</v>
      </c>
    </row>
    <row r="39" spans="1:8" ht="15" customHeight="1" x14ac:dyDescent="0.25">
      <c r="A39" s="208"/>
      <c r="B39" s="209" t="s">
        <v>56</v>
      </c>
      <c r="C39" s="210">
        <v>0</v>
      </c>
      <c r="D39" s="210">
        <v>270940898</v>
      </c>
      <c r="E39" s="210">
        <v>71045929</v>
      </c>
      <c r="F39" s="211">
        <f t="shared" si="1"/>
        <v>341986827</v>
      </c>
    </row>
    <row r="40" spans="1:8" ht="15" customHeight="1" x14ac:dyDescent="0.25">
      <c r="A40" s="141" t="s">
        <v>24</v>
      </c>
      <c r="B40" s="142" t="s">
        <v>57</v>
      </c>
      <c r="C40" s="143">
        <v>0</v>
      </c>
      <c r="D40" s="143">
        <v>83607776</v>
      </c>
      <c r="E40" s="143">
        <v>83249866</v>
      </c>
      <c r="F40" s="133">
        <f t="shared" si="1"/>
        <v>166857642</v>
      </c>
    </row>
    <row r="41" spans="1:8" ht="15" customHeight="1" x14ac:dyDescent="0.25">
      <c r="A41" s="144"/>
      <c r="B41" s="145" t="s">
        <v>56</v>
      </c>
      <c r="C41" s="146">
        <v>0</v>
      </c>
      <c r="D41" s="146">
        <v>89262754</v>
      </c>
      <c r="E41" s="146">
        <v>7874020</v>
      </c>
      <c r="F41" s="137">
        <f t="shared" si="1"/>
        <v>97136774</v>
      </c>
    </row>
    <row r="42" spans="1:8" ht="15" customHeight="1" x14ac:dyDescent="0.25">
      <c r="A42" s="212" t="s">
        <v>25</v>
      </c>
      <c r="B42" s="213" t="s">
        <v>57</v>
      </c>
      <c r="C42" s="214">
        <v>0</v>
      </c>
      <c r="D42" s="214">
        <v>499245085</v>
      </c>
      <c r="E42" s="214">
        <v>566230766</v>
      </c>
      <c r="F42" s="215">
        <f t="shared" si="1"/>
        <v>1065475851</v>
      </c>
      <c r="H42" s="220"/>
    </row>
    <row r="43" spans="1:8" ht="15" customHeight="1" x14ac:dyDescent="0.25">
      <c r="A43" s="216"/>
      <c r="B43" s="217" t="s">
        <v>56</v>
      </c>
      <c r="C43" s="218">
        <v>0</v>
      </c>
      <c r="D43" s="218">
        <v>487289272</v>
      </c>
      <c r="E43" s="218">
        <v>115876139</v>
      </c>
      <c r="F43" s="219">
        <f t="shared" si="1"/>
        <v>603165411</v>
      </c>
    </row>
    <row r="44" spans="1:8" ht="15" customHeight="1" x14ac:dyDescent="0.25">
      <c r="A44" s="147" t="s">
        <v>76</v>
      </c>
      <c r="B44" s="148" t="s">
        <v>57</v>
      </c>
      <c r="C44" s="143">
        <v>0</v>
      </c>
      <c r="D44" s="143">
        <v>214150000</v>
      </c>
      <c r="E44" s="143">
        <v>92550000</v>
      </c>
      <c r="F44" s="133">
        <f t="shared" si="1"/>
        <v>306700000</v>
      </c>
    </row>
    <row r="45" spans="1:8" ht="15" customHeight="1" x14ac:dyDescent="0.25">
      <c r="A45" s="149"/>
      <c r="B45" s="150" t="s">
        <v>56</v>
      </c>
      <c r="C45" s="146">
        <v>0</v>
      </c>
      <c r="D45" s="146">
        <v>213800000</v>
      </c>
      <c r="E45" s="146">
        <v>75900000</v>
      </c>
      <c r="F45" s="137">
        <f t="shared" si="1"/>
        <v>289700000</v>
      </c>
      <c r="H45" s="220"/>
    </row>
    <row r="46" spans="1:8" ht="15" customHeight="1" thickBot="1" x14ac:dyDescent="0.3">
      <c r="A46" s="10" t="s">
        <v>13</v>
      </c>
      <c r="B46" s="10"/>
      <c r="C46" s="59">
        <f>SUM(C38:C45)</f>
        <v>0</v>
      </c>
      <c r="D46" s="59">
        <f>SUM(D38:D45)</f>
        <v>2115456994</v>
      </c>
      <c r="E46" s="59">
        <f>SUM(E38:E45)</f>
        <v>1262908606</v>
      </c>
      <c r="F46" s="59">
        <f>SUM(F38:F45)</f>
        <v>3378365600</v>
      </c>
    </row>
    <row r="47" spans="1:8" ht="15" customHeight="1" thickTop="1" x14ac:dyDescent="0.25">
      <c r="A47" s="8" t="s">
        <v>42</v>
      </c>
    </row>
    <row r="48" spans="1:8" ht="15" customHeight="1" x14ac:dyDescent="0.25">
      <c r="A48" s="52" t="s">
        <v>74</v>
      </c>
    </row>
    <row r="49" spans="1:10" ht="15" customHeight="1" x14ac:dyDescent="0.25">
      <c r="A49" s="13"/>
    </row>
    <row r="50" spans="1:10" ht="15" customHeight="1" x14ac:dyDescent="0.25">
      <c r="A50" s="13"/>
    </row>
    <row r="51" spans="1:10" ht="15" customHeight="1" x14ac:dyDescent="0.25">
      <c r="A51" s="13"/>
    </row>
    <row r="52" spans="1:10" ht="15" customHeight="1" x14ac:dyDescent="0.25">
      <c r="A52" s="230" t="s">
        <v>15</v>
      </c>
      <c r="B52" s="230"/>
      <c r="C52" s="230"/>
      <c r="D52" s="230"/>
      <c r="E52" s="230"/>
    </row>
    <row r="53" spans="1:10" ht="15" customHeight="1" x14ac:dyDescent="0.25">
      <c r="A53" s="230" t="s">
        <v>32</v>
      </c>
      <c r="B53" s="230"/>
      <c r="C53" s="230"/>
      <c r="D53" s="230"/>
      <c r="E53" s="230"/>
    </row>
    <row r="54" spans="1:10" ht="15" customHeight="1" x14ac:dyDescent="0.25">
      <c r="A54" s="231" t="s">
        <v>52</v>
      </c>
      <c r="B54" s="231"/>
      <c r="C54" s="231"/>
      <c r="D54" s="231"/>
      <c r="E54" s="231"/>
    </row>
    <row r="55" spans="1:10" ht="15" customHeight="1" x14ac:dyDescent="0.25">
      <c r="A55" s="7"/>
      <c r="B55" s="7"/>
      <c r="C55" s="7"/>
      <c r="D55" s="7"/>
      <c r="E55" s="7"/>
    </row>
    <row r="56" spans="1:10" ht="15" customHeight="1" thickBot="1" x14ac:dyDescent="0.3">
      <c r="A56" s="12" t="s">
        <v>10</v>
      </c>
      <c r="B56" s="14" t="s">
        <v>3</v>
      </c>
      <c r="C56" s="14" t="s">
        <v>4</v>
      </c>
      <c r="D56" s="14" t="s">
        <v>5</v>
      </c>
      <c r="E56" s="14" t="s">
        <v>6</v>
      </c>
      <c r="J56" s="221">
        <v>33553.33</v>
      </c>
    </row>
    <row r="57" spans="1:10" ht="15" customHeight="1" x14ac:dyDescent="0.25">
      <c r="B57" s="57"/>
      <c r="C57" s="57"/>
      <c r="D57" s="57"/>
      <c r="E57" s="57"/>
      <c r="J57" s="1">
        <f>+J56/85%</f>
        <v>39474.505882352947</v>
      </c>
    </row>
    <row r="58" spans="1:10" ht="15" customHeight="1" x14ac:dyDescent="0.25">
      <c r="A58" s="1" t="s">
        <v>26</v>
      </c>
      <c r="B58" s="56">
        <f>SUM(C38:C41)</f>
        <v>0</v>
      </c>
      <c r="C58" s="56">
        <f>SUM(D38:D41)</f>
        <v>700972637</v>
      </c>
      <c r="D58" s="56">
        <f>SUM(E38:E41)</f>
        <v>412351701</v>
      </c>
      <c r="E58" s="56">
        <f>SUM(B58:D58)</f>
        <v>1113324338</v>
      </c>
      <c r="J58" s="1">
        <f>+J57/4</f>
        <v>9868.6264705882368</v>
      </c>
    </row>
    <row r="59" spans="1:10" ht="15" customHeight="1" x14ac:dyDescent="0.25">
      <c r="A59" s="1" t="s">
        <v>43</v>
      </c>
      <c r="B59" s="56">
        <f>SUM(C42:C43)</f>
        <v>0</v>
      </c>
      <c r="C59" s="56">
        <f>SUM(D42:D43)</f>
        <v>986534357</v>
      </c>
      <c r="D59" s="56">
        <f>SUM(E42:E43)</f>
        <v>682106905</v>
      </c>
      <c r="E59" s="56">
        <f>SUM(B59:D59)</f>
        <v>1668641262</v>
      </c>
    </row>
    <row r="60" spans="1:10" ht="15" customHeight="1" x14ac:dyDescent="0.25">
      <c r="A60" s="83" t="s">
        <v>77</v>
      </c>
      <c r="B60" s="56">
        <f>SUM(C44:C45)</f>
        <v>0</v>
      </c>
      <c r="C60" s="56">
        <f>SUM(D44:D45)</f>
        <v>427950000</v>
      </c>
      <c r="D60" s="56">
        <f>SUM(E44:E45)</f>
        <v>168450000</v>
      </c>
      <c r="E60" s="56">
        <f>SUM(B60:D60)</f>
        <v>596400000</v>
      </c>
    </row>
    <row r="61" spans="1:10" ht="15" customHeight="1" x14ac:dyDescent="0.25">
      <c r="A61" s="1" t="s">
        <v>7</v>
      </c>
      <c r="B61" s="57"/>
      <c r="C61" s="57"/>
      <c r="D61" s="57"/>
      <c r="E61" s="57">
        <f>SUM(B61:D61)</f>
        <v>0</v>
      </c>
    </row>
    <row r="62" spans="1:10" ht="15" customHeight="1" x14ac:dyDescent="0.25">
      <c r="A62" s="1" t="s">
        <v>8</v>
      </c>
      <c r="B62" s="57"/>
      <c r="C62" s="57"/>
      <c r="D62" s="57"/>
      <c r="E62" s="57">
        <f>SUM(B62:D62)</f>
        <v>0</v>
      </c>
    </row>
    <row r="63" spans="1:10" ht="15" customHeight="1" thickBot="1" x14ac:dyDescent="0.3">
      <c r="A63" s="10" t="s">
        <v>13</v>
      </c>
      <c r="B63" s="58">
        <f>SUM(B58:B62)</f>
        <v>0</v>
      </c>
      <c r="C63" s="58">
        <f>SUM(C58:C62)</f>
        <v>2115456994</v>
      </c>
      <c r="D63" s="58">
        <f>SUM(D58:D62)</f>
        <v>1262908606</v>
      </c>
      <c r="E63" s="58">
        <f>SUM(E58:E62)</f>
        <v>3378365600</v>
      </c>
    </row>
    <row r="64" spans="1:10" ht="15" customHeight="1" thickTop="1" x14ac:dyDescent="0.25">
      <c r="A64" s="52" t="s">
        <v>73</v>
      </c>
    </row>
    <row r="67" spans="1:9" ht="15" customHeight="1" x14ac:dyDescent="0.25">
      <c r="A67" s="238" t="s">
        <v>44</v>
      </c>
      <c r="B67" s="238"/>
      <c r="C67" s="238"/>
      <c r="D67" s="238"/>
      <c r="E67" s="238"/>
      <c r="F67" s="93"/>
    </row>
    <row r="68" spans="1:9" ht="15" customHeight="1" x14ac:dyDescent="0.25">
      <c r="A68" s="238" t="s">
        <v>79</v>
      </c>
      <c r="B68" s="238"/>
      <c r="C68" s="238"/>
      <c r="D68" s="238"/>
      <c r="E68" s="238"/>
      <c r="F68" s="93"/>
    </row>
    <row r="69" spans="1:9" ht="15" customHeight="1" x14ac:dyDescent="0.25">
      <c r="A69" s="239" t="s">
        <v>52</v>
      </c>
      <c r="B69" s="239"/>
      <c r="C69" s="239"/>
      <c r="D69" s="239"/>
      <c r="E69" s="239"/>
      <c r="F69" s="93"/>
    </row>
    <row r="70" spans="1:9" ht="15" customHeight="1" x14ac:dyDescent="0.25">
      <c r="A70" s="94"/>
      <c r="B70" s="94"/>
      <c r="C70" s="94"/>
      <c r="D70" s="94"/>
      <c r="E70" s="94"/>
      <c r="F70" s="93"/>
    </row>
    <row r="71" spans="1:9" ht="15" customHeight="1" thickBot="1" x14ac:dyDescent="0.3">
      <c r="A71" s="95" t="s">
        <v>10</v>
      </c>
      <c r="B71" s="95" t="s">
        <v>3</v>
      </c>
      <c r="C71" s="95" t="s">
        <v>4</v>
      </c>
      <c r="D71" s="95" t="s">
        <v>5</v>
      </c>
      <c r="E71" s="95" t="s">
        <v>6</v>
      </c>
      <c r="F71" s="93"/>
    </row>
    <row r="72" spans="1:9" ht="15" customHeight="1" x14ac:dyDescent="0.25">
      <c r="A72" s="93"/>
      <c r="B72" s="96"/>
      <c r="C72" s="96"/>
      <c r="D72" s="96"/>
      <c r="E72" s="96"/>
      <c r="F72" s="93"/>
    </row>
    <row r="73" spans="1:9" ht="15" customHeight="1" x14ac:dyDescent="0.25">
      <c r="A73" s="93" t="s">
        <v>63</v>
      </c>
      <c r="B73" s="97">
        <f>+$B$100</f>
        <v>19546663.377245903</v>
      </c>
      <c r="C73" s="97">
        <f>B77</f>
        <v>19546663.377245903</v>
      </c>
      <c r="D73" s="97">
        <f>C77</f>
        <v>163177360.3772459</v>
      </c>
      <c r="E73" s="97">
        <f>B73</f>
        <v>19546663.377245903</v>
      </c>
      <c r="F73" s="93"/>
    </row>
    <row r="74" spans="1:9" ht="15" customHeight="1" x14ac:dyDescent="0.25">
      <c r="A74" s="93" t="s">
        <v>16</v>
      </c>
      <c r="B74" s="97">
        <v>0</v>
      </c>
      <c r="C74" s="97">
        <f>422301667+422301667</f>
        <v>844603334</v>
      </c>
      <c r="D74" s="97">
        <v>422301667</v>
      </c>
      <c r="E74" s="97">
        <f>+SUM(B74:D74)</f>
        <v>1266905001</v>
      </c>
      <c r="F74" s="93"/>
      <c r="G74" s="42"/>
      <c r="H74" s="42"/>
      <c r="I74" s="42"/>
    </row>
    <row r="75" spans="1:9" ht="15" customHeight="1" x14ac:dyDescent="0.25">
      <c r="A75" s="93" t="s">
        <v>17</v>
      </c>
      <c r="B75" s="97">
        <f>B73+B74</f>
        <v>19546663.377245903</v>
      </c>
      <c r="C75" s="97">
        <f>C73+C74</f>
        <v>864149997.3772459</v>
      </c>
      <c r="D75" s="97">
        <f>D73+D74</f>
        <v>585479027.3772459</v>
      </c>
      <c r="E75" s="97">
        <f>+E73+E74</f>
        <v>1286451664.3772459</v>
      </c>
      <c r="F75" s="93"/>
    </row>
    <row r="76" spans="1:9" ht="15" customHeight="1" x14ac:dyDescent="0.25">
      <c r="A76" s="93" t="s">
        <v>18</v>
      </c>
      <c r="B76" s="98">
        <f>B58</f>
        <v>0</v>
      </c>
      <c r="C76" s="98">
        <f>C58</f>
        <v>700972637</v>
      </c>
      <c r="D76" s="98">
        <f>D58</f>
        <v>412351701</v>
      </c>
      <c r="E76" s="97">
        <f>+SUM(B76:D76)</f>
        <v>1113324338</v>
      </c>
      <c r="F76" s="99"/>
    </row>
    <row r="77" spans="1:9" ht="15" customHeight="1" x14ac:dyDescent="0.25">
      <c r="A77" s="100" t="s">
        <v>19</v>
      </c>
      <c r="B77" s="101">
        <f>B75-B76</f>
        <v>19546663.377245903</v>
      </c>
      <c r="C77" s="101">
        <f>C75-C76</f>
        <v>163177360.3772459</v>
      </c>
      <c r="D77" s="101">
        <f>D75-D76</f>
        <v>173127326.3772459</v>
      </c>
      <c r="E77" s="101">
        <f>+E75-E76</f>
        <v>173127326.3772459</v>
      </c>
      <c r="F77" s="93"/>
    </row>
    <row r="78" spans="1:9" ht="15" customHeight="1" thickBot="1" x14ac:dyDescent="0.3">
      <c r="A78" s="102"/>
      <c r="B78" s="103"/>
      <c r="C78" s="103"/>
      <c r="D78" s="103"/>
      <c r="E78" s="103"/>
      <c r="F78" s="93"/>
    </row>
    <row r="79" spans="1:9" ht="15" customHeight="1" thickTop="1" x14ac:dyDescent="0.25">
      <c r="A79" s="93" t="s">
        <v>73</v>
      </c>
      <c r="B79" s="93"/>
      <c r="C79" s="93"/>
      <c r="D79" s="93"/>
      <c r="E79" s="93"/>
      <c r="F79" s="93"/>
    </row>
    <row r="80" spans="1:9" ht="15" customHeight="1" x14ac:dyDescent="0.25">
      <c r="A80" s="104"/>
      <c r="B80" s="93"/>
      <c r="C80" s="93"/>
      <c r="D80" s="93"/>
      <c r="E80" s="93"/>
      <c r="F80" s="93"/>
    </row>
    <row r="81" spans="1:10" ht="15" customHeight="1" x14ac:dyDescent="0.25">
      <c r="A81" s="93"/>
      <c r="B81" s="93"/>
      <c r="C81" s="93"/>
      <c r="D81" s="93"/>
      <c r="E81" s="93"/>
      <c r="F81" s="93"/>
    </row>
    <row r="82" spans="1:10" ht="15" customHeight="1" x14ac:dyDescent="0.25">
      <c r="A82" s="238" t="s">
        <v>45</v>
      </c>
      <c r="B82" s="238"/>
      <c r="C82" s="238"/>
      <c r="D82" s="238"/>
      <c r="E82" s="238"/>
      <c r="F82" s="105" t="s">
        <v>54</v>
      </c>
    </row>
    <row r="83" spans="1:10" ht="15" customHeight="1" x14ac:dyDescent="0.25">
      <c r="A83" s="238" t="s">
        <v>49</v>
      </c>
      <c r="B83" s="238"/>
      <c r="C83" s="238"/>
      <c r="D83" s="238"/>
      <c r="E83" s="238"/>
      <c r="F83" s="105">
        <f>E74+E89+E90</f>
        <v>3949716900</v>
      </c>
      <c r="H83" s="43"/>
      <c r="J83" s="13"/>
    </row>
    <row r="84" spans="1:10" ht="15" customHeight="1" x14ac:dyDescent="0.25">
      <c r="A84" s="239" t="s">
        <v>52</v>
      </c>
      <c r="B84" s="239"/>
      <c r="C84" s="239"/>
      <c r="D84" s="239"/>
      <c r="E84" s="239"/>
      <c r="F84" s="105"/>
    </row>
    <row r="85" spans="1:10" ht="15" customHeight="1" x14ac:dyDescent="0.25">
      <c r="A85" s="94"/>
      <c r="B85" s="94"/>
      <c r="C85" s="94"/>
      <c r="D85" s="94"/>
      <c r="E85" s="94"/>
      <c r="F85" s="93"/>
    </row>
    <row r="86" spans="1:10" ht="15" customHeight="1" thickBot="1" x14ac:dyDescent="0.3">
      <c r="A86" s="95" t="s">
        <v>10</v>
      </c>
      <c r="B86" s="95" t="s">
        <v>3</v>
      </c>
      <c r="C86" s="95" t="s">
        <v>4</v>
      </c>
      <c r="D86" s="95" t="s">
        <v>5</v>
      </c>
      <c r="E86" s="95" t="s">
        <v>6</v>
      </c>
      <c r="F86" s="93"/>
    </row>
    <row r="87" spans="1:10" ht="15" customHeight="1" x14ac:dyDescent="0.25">
      <c r="A87" s="93"/>
      <c r="B87" s="96"/>
      <c r="C87" s="96"/>
      <c r="D87" s="96"/>
      <c r="E87" s="96"/>
      <c r="F87" s="93"/>
    </row>
    <row r="88" spans="1:10" ht="15" customHeight="1" x14ac:dyDescent="0.25">
      <c r="A88" s="93" t="s">
        <v>63</v>
      </c>
      <c r="B88" s="97">
        <f>+$B$101+$B$102</f>
        <v>337820659.06</v>
      </c>
      <c r="C88" s="97">
        <f>B93</f>
        <v>337820659.06</v>
      </c>
      <c r="D88" s="97">
        <f>C93</f>
        <v>711877568.05999994</v>
      </c>
      <c r="E88" s="97">
        <f>+B88</f>
        <v>337820659.06</v>
      </c>
      <c r="F88" s="93"/>
    </row>
    <row r="89" spans="1:10" ht="15" customHeight="1" x14ac:dyDescent="0.25">
      <c r="A89" s="113" t="s">
        <v>85</v>
      </c>
      <c r="B89" s="97">
        <v>0</v>
      </c>
      <c r="C89" s="97">
        <f>630820633*2</f>
        <v>1261641266</v>
      </c>
      <c r="D89" s="97">
        <v>630820633</v>
      </c>
      <c r="E89" s="97">
        <f>SUM(B89:D89)</f>
        <v>1892461899</v>
      </c>
      <c r="F89" s="93"/>
      <c r="G89" s="42"/>
      <c r="H89" s="42"/>
      <c r="I89" s="42"/>
    </row>
    <row r="90" spans="1:10" s="83" customFormat="1" ht="15" customHeight="1" x14ac:dyDescent="0.25">
      <c r="A90" s="93" t="s">
        <v>78</v>
      </c>
      <c r="B90" s="97">
        <v>0</v>
      </c>
      <c r="C90" s="97">
        <f>263450000*2</f>
        <v>526900000</v>
      </c>
      <c r="D90" s="97">
        <v>263450000</v>
      </c>
      <c r="E90" s="97">
        <f>SUM(B90:D90)</f>
        <v>790350000</v>
      </c>
      <c r="F90" s="93"/>
      <c r="G90" s="42"/>
      <c r="H90" s="42"/>
      <c r="I90" s="42"/>
    </row>
    <row r="91" spans="1:10" ht="15" customHeight="1" x14ac:dyDescent="0.25">
      <c r="A91" s="93" t="s">
        <v>17</v>
      </c>
      <c r="B91" s="97">
        <f>SUM(B88:B90)</f>
        <v>337820659.06</v>
      </c>
      <c r="C91" s="97">
        <f>SUM(C88:C90)</f>
        <v>2126361925.0599999</v>
      </c>
      <c r="D91" s="97">
        <f>SUM(D88:D90)</f>
        <v>1606148201.0599999</v>
      </c>
      <c r="E91" s="97">
        <f>SUM(E88:E90)</f>
        <v>3020632558.0599999</v>
      </c>
      <c r="F91" s="93"/>
    </row>
    <row r="92" spans="1:10" ht="15" customHeight="1" x14ac:dyDescent="0.25">
      <c r="A92" s="93" t="s">
        <v>18</v>
      </c>
      <c r="B92" s="97">
        <f>B59+B60</f>
        <v>0</v>
      </c>
      <c r="C92" s="97">
        <f>C59+C60</f>
        <v>1414484357</v>
      </c>
      <c r="D92" s="97">
        <f>D59+D60</f>
        <v>850556905</v>
      </c>
      <c r="E92" s="97">
        <f>+SUM(B92:D92)</f>
        <v>2265041262</v>
      </c>
      <c r="F92" s="99"/>
    </row>
    <row r="93" spans="1:10" ht="15" customHeight="1" x14ac:dyDescent="0.25">
      <c r="A93" s="100" t="s">
        <v>19</v>
      </c>
      <c r="B93" s="106">
        <f>B91-B92</f>
        <v>337820659.06</v>
      </c>
      <c r="C93" s="106">
        <f>C91-C92</f>
        <v>711877568.05999994</v>
      </c>
      <c r="D93" s="106">
        <f>D91-D92</f>
        <v>755591296.05999994</v>
      </c>
      <c r="E93" s="106">
        <f>+E91-E92</f>
        <v>755591296.05999994</v>
      </c>
      <c r="F93" s="93"/>
    </row>
    <row r="94" spans="1:10" ht="15" customHeight="1" thickBot="1" x14ac:dyDescent="0.3">
      <c r="A94" s="102"/>
      <c r="B94" s="107"/>
      <c r="C94" s="102"/>
      <c r="D94" s="102"/>
      <c r="E94" s="102"/>
      <c r="F94" s="93"/>
    </row>
    <row r="95" spans="1:10" ht="15" customHeight="1" thickTop="1" x14ac:dyDescent="0.25">
      <c r="A95" s="93" t="s">
        <v>73</v>
      </c>
      <c r="B95" s="93"/>
      <c r="C95" s="93"/>
      <c r="D95" s="93"/>
      <c r="E95" s="93"/>
      <c r="F95" s="93"/>
    </row>
    <row r="96" spans="1:10" ht="33" customHeight="1" x14ac:dyDescent="0.25">
      <c r="A96" s="93" t="s">
        <v>80</v>
      </c>
      <c r="B96" s="93"/>
      <c r="C96" s="93"/>
      <c r="D96" s="93"/>
      <c r="E96" s="93"/>
      <c r="F96" s="93"/>
    </row>
    <row r="97" spans="1:6" ht="15" customHeight="1" x14ac:dyDescent="0.25">
      <c r="A97" s="93"/>
      <c r="B97" s="93"/>
      <c r="C97" s="93"/>
      <c r="D97" s="93"/>
      <c r="E97" s="93"/>
      <c r="F97" s="93"/>
    </row>
    <row r="98" spans="1:6" ht="15" customHeight="1" x14ac:dyDescent="0.25">
      <c r="A98" s="152" t="s">
        <v>100</v>
      </c>
      <c r="B98" s="93"/>
      <c r="C98" s="93"/>
      <c r="D98" s="93"/>
      <c r="E98" s="93"/>
      <c r="F98" s="93"/>
    </row>
    <row r="99" spans="1:6" ht="15" customHeight="1" x14ac:dyDescent="0.25">
      <c r="A99" s="236" t="s">
        <v>98</v>
      </c>
      <c r="B99" s="237"/>
      <c r="C99" s="93"/>
      <c r="D99" s="93"/>
      <c r="E99" s="93"/>
      <c r="F99" s="93"/>
    </row>
    <row r="100" spans="1:6" ht="15" customHeight="1" x14ac:dyDescent="0.25">
      <c r="A100" s="108" t="s">
        <v>82</v>
      </c>
      <c r="B100" s="109">
        <v>19546663.377245903</v>
      </c>
      <c r="C100" s="93"/>
      <c r="D100" s="93"/>
      <c r="E100" s="93"/>
      <c r="F100" s="93"/>
    </row>
    <row r="101" spans="1:6" ht="15" customHeight="1" x14ac:dyDescent="0.25">
      <c r="A101" s="108" t="s">
        <v>83</v>
      </c>
      <c r="B101" s="109">
        <v>236201167.03</v>
      </c>
      <c r="C101" s="93"/>
      <c r="D101" s="93"/>
      <c r="E101" s="93"/>
      <c r="F101" s="93"/>
    </row>
    <row r="102" spans="1:6" ht="15" customHeight="1" x14ac:dyDescent="0.25">
      <c r="A102" s="108" t="s">
        <v>84</v>
      </c>
      <c r="B102" s="109">
        <v>101619492.03</v>
      </c>
      <c r="C102" s="93"/>
      <c r="D102" s="93"/>
      <c r="E102" s="93"/>
      <c r="F102" s="93"/>
    </row>
    <row r="103" spans="1:6" ht="15" customHeight="1" x14ac:dyDescent="0.25">
      <c r="A103" s="110" t="s">
        <v>99</v>
      </c>
      <c r="B103" s="111">
        <v>357367322.43724591</v>
      </c>
      <c r="C103" s="93"/>
      <c r="D103" s="93"/>
      <c r="E103" s="93"/>
      <c r="F103" s="93"/>
    </row>
    <row r="104" spans="1:6" ht="15" customHeight="1" x14ac:dyDescent="0.25">
      <c r="A104" s="93"/>
      <c r="B104" s="93"/>
      <c r="C104" s="93"/>
      <c r="D104" s="93"/>
      <c r="E104" s="93"/>
      <c r="F104" s="93"/>
    </row>
    <row r="105" spans="1:6" ht="15" customHeight="1" x14ac:dyDescent="0.25">
      <c r="B105" s="194"/>
    </row>
    <row r="108" spans="1:6" ht="15" customHeight="1" x14ac:dyDescent="0.25">
      <c r="B108" s="151"/>
    </row>
    <row r="109" spans="1:6" ht="15" customHeight="1" thickBot="1" x14ac:dyDescent="0.3"/>
    <row r="110" spans="1:6" ht="15" customHeight="1" thickBot="1" x14ac:dyDescent="0.35">
      <c r="A110" s="198" t="s">
        <v>93</v>
      </c>
      <c r="B110" s="199" t="s">
        <v>94</v>
      </c>
      <c r="C110" s="199" t="s">
        <v>95</v>
      </c>
      <c r="D110" s="199" t="s">
        <v>96</v>
      </c>
      <c r="E110" s="199" t="s">
        <v>97</v>
      </c>
    </row>
    <row r="111" spans="1:6" ht="15" customHeight="1" thickBot="1" x14ac:dyDescent="0.3">
      <c r="A111" s="200" t="s">
        <v>103</v>
      </c>
      <c r="B111" s="201">
        <v>630820633</v>
      </c>
      <c r="C111" s="201">
        <v>422301667</v>
      </c>
      <c r="D111" s="201">
        <v>263450000</v>
      </c>
      <c r="E111" s="201">
        <v>1316572300</v>
      </c>
    </row>
    <row r="112" spans="1:6" ht="15" customHeight="1" thickBot="1" x14ac:dyDescent="0.3">
      <c r="A112" s="200" t="s">
        <v>104</v>
      </c>
      <c r="B112" s="201">
        <v>630820633</v>
      </c>
      <c r="C112" s="201">
        <v>422301667</v>
      </c>
      <c r="D112" s="201">
        <v>263450000</v>
      </c>
      <c r="E112" s="201">
        <v>1316572300</v>
      </c>
    </row>
    <row r="113" spans="1:5" ht="15" customHeight="1" thickBot="1" x14ac:dyDescent="0.35">
      <c r="A113" s="202" t="s">
        <v>13</v>
      </c>
      <c r="B113" s="203">
        <v>1261641266</v>
      </c>
      <c r="C113" s="203">
        <v>844603334</v>
      </c>
      <c r="D113" s="203">
        <v>526900000</v>
      </c>
      <c r="E113" s="203">
        <v>2633144600</v>
      </c>
    </row>
    <row r="114" spans="1:5" ht="15" customHeight="1" thickBot="1" x14ac:dyDescent="0.3"/>
    <row r="115" spans="1:5" ht="15" customHeight="1" thickBot="1" x14ac:dyDescent="0.35">
      <c r="A115" s="198" t="s">
        <v>93</v>
      </c>
      <c r="B115" s="199" t="s">
        <v>94</v>
      </c>
      <c r="C115" s="199" t="s">
        <v>95</v>
      </c>
      <c r="D115" s="199" t="s">
        <v>96</v>
      </c>
      <c r="E115" s="199" t="s">
        <v>97</v>
      </c>
    </row>
    <row r="116" spans="1:5" ht="15" customHeight="1" thickBot="1" x14ac:dyDescent="0.3">
      <c r="A116" s="200" t="s">
        <v>105</v>
      </c>
      <c r="B116" s="201">
        <v>630820633</v>
      </c>
      <c r="C116" s="201">
        <v>422301667</v>
      </c>
      <c r="D116" s="201">
        <v>263450000</v>
      </c>
      <c r="E116" s="201">
        <v>1316572300</v>
      </c>
    </row>
    <row r="117" spans="1:5" ht="15" customHeight="1" thickBot="1" x14ac:dyDescent="0.35">
      <c r="A117" s="202" t="s">
        <v>13</v>
      </c>
      <c r="B117" s="203">
        <v>630820633</v>
      </c>
      <c r="C117" s="203">
        <v>422301667</v>
      </c>
      <c r="D117" s="203">
        <v>263450000</v>
      </c>
      <c r="E117" s="203">
        <v>1316572300</v>
      </c>
    </row>
  </sheetData>
  <mergeCells count="20">
    <mergeCell ref="A99:B99"/>
    <mergeCell ref="A54:E54"/>
    <mergeCell ref="A67:E67"/>
    <mergeCell ref="A68:E68"/>
    <mergeCell ref="A69:E69"/>
    <mergeCell ref="A84:E84"/>
    <mergeCell ref="A83:E83"/>
    <mergeCell ref="A82:E82"/>
    <mergeCell ref="A53:E53"/>
    <mergeCell ref="A1:F1"/>
    <mergeCell ref="A7:F7"/>
    <mergeCell ref="A8:F8"/>
    <mergeCell ref="A9:F9"/>
    <mergeCell ref="A13:A15"/>
    <mergeCell ref="A16:A18"/>
    <mergeCell ref="A19:A21"/>
    <mergeCell ref="A32:F32"/>
    <mergeCell ref="A33:F33"/>
    <mergeCell ref="A34:F34"/>
    <mergeCell ref="A52:E52"/>
  </mergeCells>
  <printOptions horizontalCentered="1" verticalCentered="1"/>
  <pageMargins left="0.70866141732283472" right="1.18" top="0.3" bottom="0.2" header="0.31496062992125984" footer="0.31496062992125984"/>
  <pageSetup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="80" zoomScaleNormal="80" workbookViewId="0">
      <selection sqref="A1:F1"/>
    </sheetView>
  </sheetViews>
  <sheetFormatPr baseColWidth="10" defaultColWidth="11.5703125" defaultRowHeight="15" customHeight="1" x14ac:dyDescent="0.25"/>
  <cols>
    <col min="1" max="1" width="65.7109375" style="21" customWidth="1"/>
    <col min="2" max="2" width="25" style="15" customWidth="1"/>
    <col min="3" max="3" width="19.85546875" style="15" customWidth="1"/>
    <col min="4" max="4" width="20.28515625" style="15" customWidth="1"/>
    <col min="5" max="5" width="16.85546875" style="15" bestFit="1" customWidth="1"/>
    <col min="6" max="6" width="25.28515625" style="15" customWidth="1"/>
    <col min="7" max="7" width="7.42578125" style="15" customWidth="1"/>
    <col min="8" max="8" width="15.140625" style="15" bestFit="1" customWidth="1"/>
    <col min="9" max="9" width="13.7109375" style="15" bestFit="1" customWidth="1"/>
    <col min="10" max="13" width="19.28515625" style="15" customWidth="1"/>
    <col min="14" max="16384" width="11.5703125" style="15"/>
  </cols>
  <sheetData>
    <row r="1" spans="1:10" ht="15" customHeight="1" x14ac:dyDescent="0.25">
      <c r="A1" s="242" t="s">
        <v>20</v>
      </c>
      <c r="B1" s="242"/>
      <c r="C1" s="242"/>
      <c r="D1" s="242"/>
      <c r="E1" s="242"/>
      <c r="F1" s="242"/>
    </row>
    <row r="2" spans="1:10" ht="15" customHeight="1" x14ac:dyDescent="0.25">
      <c r="A2" s="3" t="s">
        <v>0</v>
      </c>
      <c r="B2" s="4" t="s">
        <v>22</v>
      </c>
      <c r="C2" s="16"/>
      <c r="D2" s="16"/>
      <c r="E2" s="16"/>
      <c r="F2" s="16"/>
    </row>
    <row r="3" spans="1:10" ht="15" customHeight="1" x14ac:dyDescent="0.25">
      <c r="A3" s="3" t="s">
        <v>1</v>
      </c>
      <c r="B3" s="4" t="s">
        <v>21</v>
      </c>
      <c r="C3" s="16"/>
      <c r="D3" s="16"/>
      <c r="E3" s="16"/>
      <c r="F3" s="16"/>
    </row>
    <row r="4" spans="1:10" ht="15" customHeight="1" x14ac:dyDescent="0.25">
      <c r="A4" s="3" t="s">
        <v>11</v>
      </c>
      <c r="B4" s="16" t="s">
        <v>62</v>
      </c>
      <c r="C4" s="16"/>
      <c r="D4" s="16"/>
      <c r="E4" s="16"/>
      <c r="F4" s="16"/>
    </row>
    <row r="5" spans="1:10" ht="15" customHeight="1" x14ac:dyDescent="0.25">
      <c r="A5" s="3" t="s">
        <v>47</v>
      </c>
      <c r="B5" s="17" t="s">
        <v>107</v>
      </c>
      <c r="C5" s="16"/>
      <c r="D5" s="16"/>
      <c r="E5" s="16"/>
      <c r="F5" s="16"/>
    </row>
    <row r="7" spans="1:10" ht="15" customHeight="1" x14ac:dyDescent="0.25">
      <c r="A7" s="242" t="s">
        <v>9</v>
      </c>
      <c r="B7" s="242"/>
      <c r="C7" s="242"/>
      <c r="D7" s="242"/>
      <c r="E7" s="242"/>
      <c r="F7" s="242"/>
    </row>
    <row r="8" spans="1:10" ht="15" customHeight="1" x14ac:dyDescent="0.25">
      <c r="A8" s="242" t="s">
        <v>12</v>
      </c>
      <c r="B8" s="242"/>
      <c r="C8" s="242"/>
      <c r="D8" s="242"/>
      <c r="E8" s="242"/>
      <c r="F8" s="242"/>
    </row>
    <row r="9" spans="1:10" ht="15" customHeight="1" x14ac:dyDescent="0.25">
      <c r="A9" s="241" t="s">
        <v>50</v>
      </c>
      <c r="B9" s="241"/>
      <c r="C9" s="241"/>
      <c r="D9" s="241"/>
      <c r="E9" s="241"/>
      <c r="F9" s="241"/>
    </row>
    <row r="10" spans="1:10" s="28" customFormat="1" ht="15" customHeight="1" x14ac:dyDescent="0.25">
      <c r="A10" s="241"/>
      <c r="B10" s="241"/>
      <c r="C10" s="241"/>
      <c r="D10" s="241"/>
      <c r="E10" s="241"/>
      <c r="F10" s="241"/>
    </row>
    <row r="11" spans="1:10" ht="15" customHeight="1" thickBot="1" x14ac:dyDescent="0.3">
      <c r="A11" s="12" t="s">
        <v>65</v>
      </c>
      <c r="B11" s="19"/>
      <c r="C11" s="20" t="s">
        <v>27</v>
      </c>
      <c r="D11" s="20" t="s">
        <v>28</v>
      </c>
      <c r="E11" s="20" t="s">
        <v>29</v>
      </c>
      <c r="F11" s="20" t="s">
        <v>72</v>
      </c>
    </row>
    <row r="12" spans="1:10" x14ac:dyDescent="0.25">
      <c r="C12" s="22"/>
      <c r="D12" s="22"/>
      <c r="E12" s="22"/>
      <c r="F12" s="22"/>
    </row>
    <row r="13" spans="1:10" x14ac:dyDescent="0.25">
      <c r="A13" s="243" t="s">
        <v>23</v>
      </c>
      <c r="B13" s="153" t="s">
        <v>59</v>
      </c>
      <c r="C13" s="154">
        <f>+('I T'!E13-'2 T'!C15)+82</f>
        <v>157</v>
      </c>
      <c r="D13" s="154">
        <f>+(C13-D15)+344</f>
        <v>453</v>
      </c>
      <c r="E13" s="154">
        <f>+(D13-E15)+187</f>
        <v>427</v>
      </c>
      <c r="F13" s="154">
        <f>E13</f>
        <v>427</v>
      </c>
      <c r="H13" s="51"/>
      <c r="I13" s="51"/>
      <c r="J13" s="51"/>
    </row>
    <row r="14" spans="1:10" ht="15" customHeight="1" x14ac:dyDescent="0.25">
      <c r="A14" s="243"/>
      <c r="B14" s="153" t="s">
        <v>60</v>
      </c>
      <c r="C14" s="155">
        <v>1527</v>
      </c>
      <c r="D14" s="155">
        <v>1248</v>
      </c>
      <c r="E14" s="155">
        <v>1442</v>
      </c>
      <c r="F14" s="155">
        <f>AVERAGE(C14:E14)</f>
        <v>1405.6666666666667</v>
      </c>
      <c r="H14" s="51"/>
      <c r="I14" s="51"/>
      <c r="J14" s="51"/>
    </row>
    <row r="15" spans="1:10" ht="15" customHeight="1" x14ac:dyDescent="0.25">
      <c r="A15" s="243"/>
      <c r="B15" s="153" t="s">
        <v>61</v>
      </c>
      <c r="C15" s="155">
        <v>458</v>
      </c>
      <c r="D15" s="155">
        <v>48</v>
      </c>
      <c r="E15" s="155">
        <v>213</v>
      </c>
      <c r="F15" s="155">
        <f>AVERAGE(C15:E15)</f>
        <v>239.66666666666666</v>
      </c>
      <c r="H15" s="51"/>
      <c r="I15" s="51"/>
      <c r="J15" s="51"/>
    </row>
    <row r="16" spans="1:10" x14ac:dyDescent="0.25">
      <c r="A16" s="244" t="s">
        <v>24</v>
      </c>
      <c r="B16" s="8" t="s">
        <v>59</v>
      </c>
      <c r="C16" s="64">
        <f>+('I T'!E16-'2 T'!C18)+69</f>
        <v>69</v>
      </c>
      <c r="D16" s="64">
        <f>+(C16-D18)+208</f>
        <v>239</v>
      </c>
      <c r="E16" s="64">
        <f>+(D16-E18)+126</f>
        <v>127</v>
      </c>
      <c r="F16" s="64">
        <f>E16</f>
        <v>127</v>
      </c>
      <c r="H16" s="51"/>
      <c r="I16" s="51"/>
      <c r="J16" s="51"/>
    </row>
    <row r="17" spans="1:10" ht="15" customHeight="1" x14ac:dyDescent="0.25">
      <c r="A17" s="244"/>
      <c r="B17" s="8" t="s">
        <v>60</v>
      </c>
      <c r="C17" s="63">
        <v>1109</v>
      </c>
      <c r="D17" s="63">
        <v>926</v>
      </c>
      <c r="E17" s="63">
        <v>957</v>
      </c>
      <c r="F17" s="63">
        <f>AVERAGE(C17:E17)</f>
        <v>997.33333333333337</v>
      </c>
      <c r="H17" s="51"/>
      <c r="I17" s="51"/>
      <c r="J17" s="51"/>
    </row>
    <row r="18" spans="1:10" ht="15" customHeight="1" x14ac:dyDescent="0.25">
      <c r="A18" s="244"/>
      <c r="B18" s="8" t="s">
        <v>61</v>
      </c>
      <c r="C18" s="63">
        <v>206</v>
      </c>
      <c r="D18" s="63">
        <v>38</v>
      </c>
      <c r="E18" s="63">
        <v>238</v>
      </c>
      <c r="F18" s="63">
        <f>AVERAGE(C18:E18)</f>
        <v>160.66666666666666</v>
      </c>
      <c r="H18" s="51"/>
      <c r="I18" s="51"/>
      <c r="J18" s="51"/>
    </row>
    <row r="19" spans="1:10" x14ac:dyDescent="0.25">
      <c r="A19" s="245" t="s">
        <v>25</v>
      </c>
      <c r="B19" s="153" t="s">
        <v>59</v>
      </c>
      <c r="C19" s="154">
        <f>+('I T'!E19-'2 T'!C21)+413</f>
        <v>1319</v>
      </c>
      <c r="D19" s="154">
        <f>+(C19-D21)+943</f>
        <v>2192</v>
      </c>
      <c r="E19" s="154">
        <f>+(D19-E21)+774</f>
        <v>2658</v>
      </c>
      <c r="F19" s="154">
        <f>E19</f>
        <v>2658</v>
      </c>
      <c r="H19" s="51"/>
      <c r="I19" s="51"/>
      <c r="J19" s="51"/>
    </row>
    <row r="20" spans="1:10" ht="15" customHeight="1" x14ac:dyDescent="0.25">
      <c r="A20" s="245"/>
      <c r="B20" s="153" t="s">
        <v>60</v>
      </c>
      <c r="C20" s="155">
        <v>10558</v>
      </c>
      <c r="D20" s="155">
        <v>10081</v>
      </c>
      <c r="E20" s="155">
        <v>10342</v>
      </c>
      <c r="F20" s="155">
        <f>AVERAGE(C20:E20)</f>
        <v>10327</v>
      </c>
      <c r="H20" s="51"/>
      <c r="I20" s="51"/>
      <c r="J20" s="51"/>
    </row>
    <row r="21" spans="1:10" ht="15" customHeight="1" x14ac:dyDescent="0.25">
      <c r="A21" s="245"/>
      <c r="B21" s="153" t="s">
        <v>61</v>
      </c>
      <c r="C21" s="155">
        <v>1406</v>
      </c>
      <c r="D21" s="155">
        <v>70</v>
      </c>
      <c r="E21" s="155">
        <v>308</v>
      </c>
      <c r="F21" s="155">
        <f>AVERAGE(C21:E21)</f>
        <v>594.66666666666663</v>
      </c>
      <c r="H21" s="51"/>
      <c r="I21" s="51"/>
      <c r="J21" s="51"/>
    </row>
    <row r="22" spans="1:10" ht="15" customHeight="1" x14ac:dyDescent="0.25">
      <c r="A22" s="75" t="s">
        <v>76</v>
      </c>
      <c r="B22" s="73" t="s">
        <v>59</v>
      </c>
      <c r="C22" s="64">
        <f>+('I T'!E22-'2 T'!C24)+355</f>
        <v>710</v>
      </c>
      <c r="D22" s="64">
        <f>+(C22-D24)+365</f>
        <v>1075</v>
      </c>
      <c r="E22" s="64">
        <f>+(D22-E24)+334</f>
        <v>1408</v>
      </c>
      <c r="F22" s="64">
        <f>E22</f>
        <v>1408</v>
      </c>
      <c r="H22" s="69"/>
      <c r="I22" s="69"/>
      <c r="J22" s="69"/>
    </row>
    <row r="23" spans="1:10" ht="15" customHeight="1" x14ac:dyDescent="0.25">
      <c r="A23" s="74"/>
      <c r="B23" s="73" t="s">
        <v>60</v>
      </c>
      <c r="C23" s="63">
        <v>262</v>
      </c>
      <c r="D23" s="63">
        <v>252</v>
      </c>
      <c r="E23" s="63">
        <v>283</v>
      </c>
      <c r="F23" s="63">
        <f>AVERAGE(C23:E23)</f>
        <v>265.66666666666669</v>
      </c>
      <c r="H23" s="69"/>
      <c r="I23" s="69"/>
      <c r="J23" s="69"/>
    </row>
    <row r="24" spans="1:10" ht="15" customHeight="1" x14ac:dyDescent="0.25">
      <c r="A24" s="74"/>
      <c r="B24" s="73" t="s">
        <v>61</v>
      </c>
      <c r="C24" s="63">
        <v>42</v>
      </c>
      <c r="D24" s="63">
        <v>0</v>
      </c>
      <c r="E24" s="63">
        <v>1</v>
      </c>
      <c r="F24" s="63">
        <f>AVERAGE(C24:E24)</f>
        <v>14.333333333333334</v>
      </c>
      <c r="H24" s="69"/>
      <c r="I24" s="69"/>
      <c r="J24" s="69"/>
    </row>
    <row r="25" spans="1:10" ht="15" customHeight="1" x14ac:dyDescent="0.25">
      <c r="A25" s="71"/>
      <c r="B25" s="8"/>
      <c r="C25" s="63"/>
      <c r="D25" s="63"/>
      <c r="E25" s="63"/>
      <c r="F25" s="63"/>
      <c r="H25" s="69"/>
      <c r="I25" s="69"/>
      <c r="J25" s="69"/>
    </row>
    <row r="26" spans="1:10" ht="15" customHeight="1" x14ac:dyDescent="0.25">
      <c r="C26" s="62"/>
      <c r="D26" s="62"/>
      <c r="E26" s="62"/>
      <c r="F26" s="62"/>
    </row>
    <row r="27" spans="1:10" ht="15" customHeight="1" thickBot="1" x14ac:dyDescent="0.3">
      <c r="A27" s="24" t="s">
        <v>13</v>
      </c>
      <c r="B27" s="25" t="s">
        <v>51</v>
      </c>
      <c r="C27" s="65">
        <f>+C14+C15+C17+C18+C20+C23+C24+C21</f>
        <v>15568</v>
      </c>
      <c r="D27" s="65">
        <f>+D14+D15+D17+D18+D20+D23+D24+D21</f>
        <v>12663</v>
      </c>
      <c r="E27" s="65">
        <f>+E14+E15+E17+E18+E20+E23+E24+E21</f>
        <v>13784</v>
      </c>
      <c r="F27" s="65">
        <f>AVERAGE(C27:E27)</f>
        <v>14005</v>
      </c>
    </row>
    <row r="28" spans="1:10" ht="15" customHeight="1" thickTop="1" x14ac:dyDescent="0.25">
      <c r="A28" s="46" t="s">
        <v>67</v>
      </c>
      <c r="B28" s="28"/>
      <c r="C28" s="28"/>
      <c r="D28" s="28"/>
      <c r="E28" s="28"/>
      <c r="F28" s="28"/>
    </row>
    <row r="29" spans="1:10" ht="15" customHeight="1" x14ac:dyDescent="0.25">
      <c r="A29" s="52" t="s">
        <v>73</v>
      </c>
    </row>
    <row r="30" spans="1:10" ht="15" customHeight="1" x14ac:dyDescent="0.25">
      <c r="A30" s="1"/>
    </row>
    <row r="32" spans="1:10" ht="15" customHeight="1" x14ac:dyDescent="0.25">
      <c r="A32" s="241" t="s">
        <v>14</v>
      </c>
      <c r="B32" s="241"/>
      <c r="C32" s="241"/>
      <c r="D32" s="241"/>
      <c r="E32" s="241"/>
      <c r="F32" s="241"/>
    </row>
    <row r="33" spans="1:12" ht="15" customHeight="1" x14ac:dyDescent="0.25">
      <c r="A33" s="242" t="s">
        <v>31</v>
      </c>
      <c r="B33" s="242"/>
      <c r="C33" s="242"/>
      <c r="D33" s="242"/>
      <c r="E33" s="242"/>
      <c r="F33" s="242"/>
    </row>
    <row r="34" spans="1:12" ht="15" customHeight="1" x14ac:dyDescent="0.25">
      <c r="A34" s="241" t="s">
        <v>52</v>
      </c>
      <c r="B34" s="241"/>
      <c r="C34" s="241"/>
      <c r="D34" s="241"/>
      <c r="E34" s="241"/>
      <c r="F34" s="241"/>
    </row>
    <row r="35" spans="1:12" ht="15" customHeight="1" x14ac:dyDescent="0.25">
      <c r="A35" s="240"/>
      <c r="B35" s="240"/>
      <c r="C35" s="240"/>
      <c r="D35" s="240"/>
      <c r="E35" s="240"/>
    </row>
    <row r="36" spans="1:12" ht="15" customHeight="1" thickBot="1" x14ac:dyDescent="0.3">
      <c r="A36" s="40" t="s">
        <v>65</v>
      </c>
      <c r="B36" s="19"/>
      <c r="C36" s="20" t="s">
        <v>27</v>
      </c>
      <c r="D36" s="20" t="s">
        <v>28</v>
      </c>
      <c r="E36" s="20" t="s">
        <v>29</v>
      </c>
      <c r="F36" s="20" t="s">
        <v>30</v>
      </c>
    </row>
    <row r="37" spans="1:12" ht="15" customHeight="1" x14ac:dyDescent="0.25">
      <c r="C37" s="29"/>
      <c r="D37" s="29"/>
      <c r="E37" s="29"/>
      <c r="F37" s="29"/>
      <c r="J37" s="118"/>
      <c r="L37" s="89"/>
    </row>
    <row r="38" spans="1:12" ht="15" customHeight="1" x14ac:dyDescent="0.25">
      <c r="A38" s="156" t="s">
        <v>23</v>
      </c>
      <c r="B38" s="157" t="s">
        <v>57</v>
      </c>
      <c r="C38" s="158">
        <v>305658556</v>
      </c>
      <c r="D38" s="158">
        <v>252866241</v>
      </c>
      <c r="E38" s="158">
        <v>253403112</v>
      </c>
      <c r="F38" s="158">
        <f t="shared" ref="F38:F45" si="0">SUM(C38:E38)</f>
        <v>811927909</v>
      </c>
      <c r="J38" s="118"/>
    </row>
    <row r="39" spans="1:12" ht="15" customHeight="1" x14ac:dyDescent="0.25">
      <c r="A39" s="156"/>
      <c r="B39" s="157" t="s">
        <v>56</v>
      </c>
      <c r="C39" s="158">
        <v>104331931</v>
      </c>
      <c r="D39" s="158">
        <v>10200549</v>
      </c>
      <c r="E39" s="158">
        <v>39728454</v>
      </c>
      <c r="F39" s="158">
        <f t="shared" si="0"/>
        <v>154260934</v>
      </c>
    </row>
    <row r="40" spans="1:12" ht="15" customHeight="1" x14ac:dyDescent="0.25">
      <c r="A40" s="23" t="s">
        <v>24</v>
      </c>
      <c r="B40" s="15" t="s">
        <v>57</v>
      </c>
      <c r="C40" s="67">
        <v>88833262</v>
      </c>
      <c r="D40" s="159">
        <v>73872624</v>
      </c>
      <c r="E40" s="67">
        <v>68503974</v>
      </c>
      <c r="F40" s="66">
        <f t="shared" si="0"/>
        <v>231209860</v>
      </c>
    </row>
    <row r="41" spans="1:12" ht="15" customHeight="1" x14ac:dyDescent="0.25">
      <c r="A41" s="23"/>
      <c r="B41" s="15" t="s">
        <v>56</v>
      </c>
      <c r="C41" s="67">
        <v>15032220</v>
      </c>
      <c r="D41" s="67">
        <v>2934862</v>
      </c>
      <c r="E41" s="67">
        <v>17967082</v>
      </c>
      <c r="F41" s="66">
        <f t="shared" si="0"/>
        <v>35934164</v>
      </c>
    </row>
    <row r="42" spans="1:12" ht="15" customHeight="1" x14ac:dyDescent="0.25">
      <c r="A42" s="156" t="s">
        <v>25</v>
      </c>
      <c r="B42" s="157" t="s">
        <v>57</v>
      </c>
      <c r="C42" s="158">
        <v>582258227</v>
      </c>
      <c r="D42" s="158">
        <v>552645712</v>
      </c>
      <c r="E42" s="158">
        <v>624780920.97000003</v>
      </c>
      <c r="F42" s="158">
        <f t="shared" si="0"/>
        <v>1759684859.97</v>
      </c>
    </row>
    <row r="43" spans="1:12" ht="15" customHeight="1" x14ac:dyDescent="0.25">
      <c r="A43" s="156"/>
      <c r="B43" s="157" t="s">
        <v>56</v>
      </c>
      <c r="C43" s="158">
        <v>46506195</v>
      </c>
      <c r="D43" s="158">
        <v>5616417</v>
      </c>
      <c r="E43" s="158">
        <v>13450358</v>
      </c>
      <c r="F43" s="158">
        <f t="shared" si="0"/>
        <v>65572970</v>
      </c>
    </row>
    <row r="44" spans="1:12" ht="15" customHeight="1" x14ac:dyDescent="0.25">
      <c r="A44" s="72" t="s">
        <v>76</v>
      </c>
      <c r="B44" s="49" t="s">
        <v>57</v>
      </c>
      <c r="C44" s="67">
        <v>113750000</v>
      </c>
      <c r="D44" s="67">
        <v>109900000</v>
      </c>
      <c r="E44" s="67">
        <v>115100000</v>
      </c>
      <c r="F44" s="66">
        <f t="shared" si="0"/>
        <v>338750000</v>
      </c>
    </row>
    <row r="45" spans="1:12" ht="15" customHeight="1" x14ac:dyDescent="0.25">
      <c r="A45" s="72"/>
      <c r="B45" s="49" t="s">
        <v>56</v>
      </c>
      <c r="C45" s="66">
        <v>21200000</v>
      </c>
      <c r="D45" s="66">
        <v>0</v>
      </c>
      <c r="E45" s="66">
        <v>550000</v>
      </c>
      <c r="F45" s="66">
        <f t="shared" si="0"/>
        <v>21750000</v>
      </c>
    </row>
    <row r="46" spans="1:12" ht="15" customHeight="1" thickBot="1" x14ac:dyDescent="0.3">
      <c r="A46" s="24" t="s">
        <v>13</v>
      </c>
      <c r="B46" s="25"/>
      <c r="C46" s="68">
        <f>SUM(C38:C45)</f>
        <v>1277570391</v>
      </c>
      <c r="D46" s="68">
        <f>SUM(D38:D45)</f>
        <v>1008036405</v>
      </c>
      <c r="E46" s="68">
        <f>SUM(E38:E45)</f>
        <v>1133483900.97</v>
      </c>
      <c r="F46" s="68">
        <f>SUM(F38:F45)</f>
        <v>3419090696.9700003</v>
      </c>
    </row>
    <row r="47" spans="1:12" ht="15" customHeight="1" thickTop="1" x14ac:dyDescent="0.25">
      <c r="A47" s="27" t="s">
        <v>42</v>
      </c>
    </row>
    <row r="48" spans="1:12" ht="15" customHeight="1" x14ac:dyDescent="0.25">
      <c r="A48" s="52" t="s">
        <v>73</v>
      </c>
    </row>
    <row r="49" spans="1:5" ht="15" customHeight="1" x14ac:dyDescent="0.25">
      <c r="A49" s="30"/>
    </row>
    <row r="50" spans="1:5" ht="15" customHeight="1" x14ac:dyDescent="0.25">
      <c r="A50" s="30"/>
    </row>
    <row r="51" spans="1:5" ht="15" customHeight="1" x14ac:dyDescent="0.25">
      <c r="A51" s="30"/>
    </row>
    <row r="52" spans="1:5" ht="15" customHeight="1" x14ac:dyDescent="0.25">
      <c r="A52" s="242" t="s">
        <v>15</v>
      </c>
      <c r="B52" s="242"/>
      <c r="C52" s="242"/>
      <c r="D52" s="242"/>
      <c r="E52" s="242"/>
    </row>
    <row r="53" spans="1:5" ht="15" customHeight="1" x14ac:dyDescent="0.25">
      <c r="A53" s="242" t="s">
        <v>32</v>
      </c>
      <c r="B53" s="242"/>
      <c r="C53" s="242"/>
      <c r="D53" s="242"/>
      <c r="E53" s="242"/>
    </row>
    <row r="54" spans="1:5" ht="15" customHeight="1" x14ac:dyDescent="0.25">
      <c r="A54" s="240" t="s">
        <v>52</v>
      </c>
      <c r="B54" s="240"/>
      <c r="C54" s="240"/>
      <c r="D54" s="240"/>
      <c r="E54" s="240"/>
    </row>
    <row r="55" spans="1:5" ht="15" customHeight="1" x14ac:dyDescent="0.25">
      <c r="A55" s="240"/>
      <c r="B55" s="240"/>
      <c r="C55" s="240"/>
      <c r="D55" s="240"/>
      <c r="E55" s="240"/>
    </row>
    <row r="56" spans="1:5" ht="15" customHeight="1" thickBot="1" x14ac:dyDescent="0.3">
      <c r="A56" s="18" t="s">
        <v>10</v>
      </c>
      <c r="B56" s="20" t="s">
        <v>27</v>
      </c>
      <c r="C56" s="20" t="s">
        <v>28</v>
      </c>
      <c r="D56" s="20" t="s">
        <v>29</v>
      </c>
      <c r="E56" s="20" t="s">
        <v>30</v>
      </c>
    </row>
    <row r="57" spans="1:5" ht="15" customHeight="1" x14ac:dyDescent="0.25">
      <c r="B57" s="22"/>
      <c r="C57" s="22"/>
      <c r="D57" s="22"/>
      <c r="E57" s="22"/>
    </row>
    <row r="58" spans="1:5" ht="15" customHeight="1" x14ac:dyDescent="0.25">
      <c r="A58" s="21" t="s">
        <v>26</v>
      </c>
      <c r="B58" s="63">
        <f>SUM(C38:C41)</f>
        <v>513855969</v>
      </c>
      <c r="C58" s="63">
        <f t="shared" ref="C58:D58" si="1">SUM(D38:D41)</f>
        <v>339874276</v>
      </c>
      <c r="D58" s="63">
        <f t="shared" si="1"/>
        <v>379602622</v>
      </c>
      <c r="E58" s="22">
        <f>SUM(B58:D58)</f>
        <v>1233332867</v>
      </c>
    </row>
    <row r="59" spans="1:5" ht="15" customHeight="1" x14ac:dyDescent="0.25">
      <c r="A59" s="21" t="s">
        <v>43</v>
      </c>
      <c r="B59" s="63">
        <f>SUM(C42:C43)</f>
        <v>628764422</v>
      </c>
      <c r="C59" s="63">
        <f t="shared" ref="C59:D59" si="2">SUM(D42:D43)</f>
        <v>558262129</v>
      </c>
      <c r="D59" s="63">
        <f t="shared" si="2"/>
        <v>638231278.97000003</v>
      </c>
      <c r="E59" s="91">
        <f t="shared" ref="E59:E61" si="3">SUM(B59:D59)</f>
        <v>1825257829.97</v>
      </c>
    </row>
    <row r="60" spans="1:5" ht="15" customHeight="1" x14ac:dyDescent="0.25">
      <c r="A60" s="83" t="s">
        <v>77</v>
      </c>
      <c r="B60" s="78">
        <f>SUM(C44:C45)</f>
        <v>134950000</v>
      </c>
      <c r="C60" s="78">
        <f t="shared" ref="C60:D60" si="4">SUM(D44:D45)</f>
        <v>109900000</v>
      </c>
      <c r="D60" s="78">
        <f t="shared" si="4"/>
        <v>115650000</v>
      </c>
      <c r="E60" s="91">
        <f t="shared" si="3"/>
        <v>360500000</v>
      </c>
    </row>
    <row r="61" spans="1:5" ht="15" customHeight="1" x14ac:dyDescent="0.25">
      <c r="A61" s="21" t="s">
        <v>7</v>
      </c>
      <c r="B61" s="62"/>
      <c r="C61" s="62"/>
      <c r="D61" s="62"/>
      <c r="E61" s="91">
        <f t="shared" si="3"/>
        <v>0</v>
      </c>
    </row>
    <row r="62" spans="1:5" ht="15" customHeight="1" x14ac:dyDescent="0.25">
      <c r="A62" s="21" t="s">
        <v>8</v>
      </c>
      <c r="B62" s="62"/>
      <c r="C62" s="62"/>
      <c r="D62" s="62"/>
      <c r="E62" s="22">
        <f>SUM(B62:D62)</f>
        <v>0</v>
      </c>
    </row>
    <row r="63" spans="1:5" ht="15" customHeight="1" thickBot="1" x14ac:dyDescent="0.3">
      <c r="A63" s="24" t="s">
        <v>13</v>
      </c>
      <c r="B63" s="65">
        <f>SUM(B58:B62)</f>
        <v>1277570391</v>
      </c>
      <c r="C63" s="65">
        <f>SUM(C58:C62)</f>
        <v>1008036405</v>
      </c>
      <c r="D63" s="65">
        <f>SUM(D58:D62)</f>
        <v>1133483900.97</v>
      </c>
      <c r="E63" s="26">
        <f>SUM(E58:E62)</f>
        <v>3419090696.9700003</v>
      </c>
    </row>
    <row r="64" spans="1:5" ht="15" customHeight="1" thickTop="1" x14ac:dyDescent="0.25">
      <c r="A64" s="52" t="s">
        <v>73</v>
      </c>
    </row>
    <row r="65" spans="1:13" ht="15" customHeight="1" x14ac:dyDescent="0.25">
      <c r="A65" s="1"/>
    </row>
    <row r="67" spans="1:13" ht="15" customHeight="1" x14ac:dyDescent="0.25">
      <c r="A67" s="242" t="s">
        <v>44</v>
      </c>
      <c r="B67" s="242"/>
      <c r="C67" s="242"/>
      <c r="D67" s="242"/>
      <c r="E67" s="242"/>
    </row>
    <row r="68" spans="1:13" ht="15" customHeight="1" x14ac:dyDescent="0.25">
      <c r="A68" s="230" t="s">
        <v>79</v>
      </c>
      <c r="B68" s="230"/>
      <c r="C68" s="230"/>
      <c r="D68" s="230"/>
      <c r="E68" s="230"/>
    </row>
    <row r="69" spans="1:13" ht="15" customHeight="1" x14ac:dyDescent="0.25">
      <c r="A69" s="241" t="s">
        <v>52</v>
      </c>
      <c r="B69" s="241"/>
      <c r="C69" s="241"/>
      <c r="D69" s="241"/>
      <c r="E69" s="241"/>
    </row>
    <row r="70" spans="1:13" ht="15" customHeight="1" x14ac:dyDescent="0.25">
      <c r="A70" s="240"/>
      <c r="B70" s="240"/>
      <c r="C70" s="240"/>
      <c r="D70" s="240"/>
      <c r="E70" s="240"/>
    </row>
    <row r="71" spans="1:13" ht="15" customHeight="1" thickBot="1" x14ac:dyDescent="0.3">
      <c r="A71" s="32" t="s">
        <v>10</v>
      </c>
      <c r="B71" s="34" t="s">
        <v>27</v>
      </c>
      <c r="C71" s="34" t="s">
        <v>28</v>
      </c>
      <c r="D71" s="34" t="s">
        <v>29</v>
      </c>
      <c r="E71" s="34" t="s">
        <v>30</v>
      </c>
    </row>
    <row r="72" spans="1:13" ht="15" customHeight="1" x14ac:dyDescent="0.25">
      <c r="B72" s="22"/>
      <c r="C72" s="22"/>
      <c r="D72" s="22"/>
      <c r="E72" s="22"/>
      <c r="I72" s="89"/>
      <c r="J72" s="89"/>
      <c r="K72" s="89"/>
      <c r="L72" s="89"/>
      <c r="M72" s="89"/>
    </row>
    <row r="73" spans="1:13" ht="15" customHeight="1" x14ac:dyDescent="0.25">
      <c r="A73" s="15" t="s">
        <v>63</v>
      </c>
      <c r="B73" s="62">
        <f>'I T'!E77</f>
        <v>173127326.3772459</v>
      </c>
      <c r="C73" s="62">
        <f>B77</f>
        <v>81573024.377245903</v>
      </c>
      <c r="D73" s="62">
        <f>C77</f>
        <v>164000415.3772459</v>
      </c>
      <c r="E73" s="62">
        <f>B73</f>
        <v>173127326.3772459</v>
      </c>
      <c r="I73" s="89"/>
      <c r="J73" s="89"/>
      <c r="K73" s="89"/>
      <c r="L73" s="89"/>
      <c r="M73" s="89"/>
    </row>
    <row r="74" spans="1:13" ht="15" customHeight="1" x14ac:dyDescent="0.25">
      <c r="A74" s="15" t="s">
        <v>16</v>
      </c>
      <c r="B74" s="121">
        <v>422301667</v>
      </c>
      <c r="C74" s="121">
        <v>422301667</v>
      </c>
      <c r="D74" s="121">
        <v>422301667</v>
      </c>
      <c r="E74" s="86">
        <f>SUM(B74:D74)</f>
        <v>1266905001</v>
      </c>
      <c r="G74" s="42"/>
      <c r="H74" s="42"/>
      <c r="I74" s="89"/>
      <c r="J74" s="89"/>
      <c r="K74" s="89"/>
      <c r="L74" s="89"/>
      <c r="M74" s="89"/>
    </row>
    <row r="75" spans="1:13" ht="15" customHeight="1" x14ac:dyDescent="0.25">
      <c r="A75" s="15" t="s">
        <v>17</v>
      </c>
      <c r="B75" s="62">
        <f>+B73+B74</f>
        <v>595428993.3772459</v>
      </c>
      <c r="C75" s="62">
        <f>+C73+C74</f>
        <v>503874691.3772459</v>
      </c>
      <c r="D75" s="62">
        <f>+D73+D74</f>
        <v>586302082.3772459</v>
      </c>
      <c r="E75" s="62">
        <f>+E73+E74</f>
        <v>1440032327.3772459</v>
      </c>
      <c r="G75" s="39"/>
      <c r="H75" s="39"/>
      <c r="I75" s="89"/>
      <c r="J75" s="89"/>
      <c r="K75" s="89"/>
      <c r="L75" s="89"/>
      <c r="M75" s="89"/>
    </row>
    <row r="76" spans="1:13" ht="15" customHeight="1" x14ac:dyDescent="0.25">
      <c r="A76" s="15" t="s">
        <v>18</v>
      </c>
      <c r="B76" s="79">
        <f>B58</f>
        <v>513855969</v>
      </c>
      <c r="C76" s="79">
        <f>C58</f>
        <v>339874276</v>
      </c>
      <c r="D76" s="79">
        <f>D58</f>
        <v>379602622</v>
      </c>
      <c r="E76" s="63">
        <f>SUM(B76:D76)</f>
        <v>1233332867</v>
      </c>
      <c r="F76" s="31"/>
      <c r="G76" s="39"/>
      <c r="H76" s="39"/>
      <c r="I76" s="89"/>
      <c r="J76" s="89"/>
      <c r="K76" s="89"/>
      <c r="L76" s="89"/>
      <c r="M76" s="89"/>
    </row>
    <row r="77" spans="1:13" ht="15" customHeight="1" x14ac:dyDescent="0.25">
      <c r="A77" s="28" t="s">
        <v>19</v>
      </c>
      <c r="B77" s="80">
        <f>+B75-B76</f>
        <v>81573024.377245903</v>
      </c>
      <c r="C77" s="80">
        <f>+C75-C76</f>
        <v>164000415.3772459</v>
      </c>
      <c r="D77" s="80">
        <f>+D75-D76</f>
        <v>206699460.3772459</v>
      </c>
      <c r="E77" s="80">
        <f>+E75-E76</f>
        <v>206699460.3772459</v>
      </c>
      <c r="G77" s="39"/>
      <c r="H77" s="39"/>
      <c r="I77" s="89"/>
      <c r="J77" s="89"/>
      <c r="K77" s="89"/>
      <c r="L77" s="89"/>
      <c r="M77" s="89"/>
    </row>
    <row r="78" spans="1:13" ht="15" customHeight="1" thickBot="1" x14ac:dyDescent="0.3">
      <c r="A78" s="25"/>
      <c r="B78" s="26"/>
      <c r="C78" s="26"/>
      <c r="D78" s="26"/>
      <c r="E78" s="26"/>
      <c r="G78" s="39"/>
      <c r="H78" s="39"/>
      <c r="I78" s="89"/>
      <c r="J78" s="89"/>
      <c r="K78" s="89"/>
      <c r="L78" s="89"/>
      <c r="M78" s="89"/>
    </row>
    <row r="79" spans="1:13" ht="15" customHeight="1" thickTop="1" x14ac:dyDescent="0.25">
      <c r="A79" s="52" t="s">
        <v>73</v>
      </c>
      <c r="G79" s="39"/>
      <c r="H79" s="39"/>
      <c r="I79" s="39"/>
    </row>
    <row r="80" spans="1:13" ht="15" customHeight="1" x14ac:dyDescent="0.25">
      <c r="A80" s="1"/>
      <c r="G80" s="39"/>
      <c r="H80" s="39"/>
      <c r="I80" s="39"/>
    </row>
    <row r="81" spans="1:9" ht="15" customHeight="1" x14ac:dyDescent="0.25">
      <c r="A81" s="15"/>
      <c r="G81" s="39"/>
      <c r="H81" s="39"/>
      <c r="I81" s="39"/>
    </row>
    <row r="82" spans="1:9" ht="15" customHeight="1" x14ac:dyDescent="0.25">
      <c r="A82" s="242" t="s">
        <v>45</v>
      </c>
      <c r="B82" s="242"/>
      <c r="C82" s="242"/>
      <c r="D82" s="242"/>
      <c r="E82" s="242"/>
      <c r="F82" s="16" t="s">
        <v>54</v>
      </c>
      <c r="G82" s="39"/>
      <c r="H82" s="39"/>
      <c r="I82" s="30"/>
    </row>
    <row r="83" spans="1:9" ht="15" customHeight="1" x14ac:dyDescent="0.25">
      <c r="A83" s="242" t="s">
        <v>49</v>
      </c>
      <c r="B83" s="242"/>
      <c r="C83" s="242"/>
      <c r="D83" s="242"/>
      <c r="E83" s="242"/>
      <c r="F83" s="41">
        <f>E74+E89+E90</f>
        <v>3949716900</v>
      </c>
      <c r="G83" s="39"/>
      <c r="H83" s="43"/>
      <c r="I83" s="117" t="s">
        <v>108</v>
      </c>
    </row>
    <row r="84" spans="1:9" ht="15" customHeight="1" x14ac:dyDescent="0.25">
      <c r="A84" s="241" t="s">
        <v>52</v>
      </c>
      <c r="B84" s="241"/>
      <c r="C84" s="241"/>
      <c r="D84" s="241"/>
      <c r="E84" s="241"/>
      <c r="F84" s="41"/>
      <c r="G84" s="39"/>
      <c r="H84" s="39"/>
      <c r="I84" s="39"/>
    </row>
    <row r="85" spans="1:9" ht="15" customHeight="1" x14ac:dyDescent="0.25">
      <c r="A85" s="240"/>
      <c r="B85" s="240"/>
      <c r="C85" s="240"/>
      <c r="D85" s="240"/>
      <c r="E85" s="240"/>
      <c r="G85" s="39"/>
      <c r="H85" s="39"/>
      <c r="I85" s="39"/>
    </row>
    <row r="86" spans="1:9" ht="15" customHeight="1" thickBot="1" x14ac:dyDescent="0.3">
      <c r="A86" s="32" t="s">
        <v>10</v>
      </c>
      <c r="B86" s="34" t="s">
        <v>27</v>
      </c>
      <c r="C86" s="34" t="s">
        <v>28</v>
      </c>
      <c r="D86" s="34" t="s">
        <v>29</v>
      </c>
      <c r="E86" s="34" t="s">
        <v>30</v>
      </c>
      <c r="G86" s="39"/>
      <c r="H86" s="39"/>
      <c r="I86" s="39"/>
    </row>
    <row r="87" spans="1:9" ht="15" customHeight="1" x14ac:dyDescent="0.25">
      <c r="B87" s="22"/>
      <c r="C87" s="22"/>
      <c r="D87" s="22"/>
      <c r="E87" s="22"/>
      <c r="G87" s="39"/>
      <c r="H87" s="39"/>
      <c r="I87" s="39"/>
    </row>
    <row r="88" spans="1:9" ht="15" customHeight="1" x14ac:dyDescent="0.25">
      <c r="A88" s="15" t="s">
        <v>63</v>
      </c>
      <c r="B88" s="62">
        <f>'I T'!E93</f>
        <v>755591296.05999994</v>
      </c>
      <c r="C88" s="62">
        <f>B93</f>
        <v>886147507.05999994</v>
      </c>
      <c r="D88" s="62">
        <f>C93</f>
        <v>1112256011.0599999</v>
      </c>
      <c r="E88" s="62">
        <f>+B88</f>
        <v>755591296.05999994</v>
      </c>
      <c r="G88" s="39"/>
      <c r="H88" s="39"/>
      <c r="I88" s="90"/>
    </row>
    <row r="89" spans="1:9" ht="15" customHeight="1" x14ac:dyDescent="0.25">
      <c r="A89" s="15" t="s">
        <v>16</v>
      </c>
      <c r="B89" s="114">
        <v>630820633</v>
      </c>
      <c r="C89" s="114">
        <v>630820633</v>
      </c>
      <c r="D89" s="114">
        <v>630820633</v>
      </c>
      <c r="E89" s="62">
        <f>SUM(B89:D89)</f>
        <v>1892461899</v>
      </c>
      <c r="G89" s="42"/>
      <c r="H89" s="42"/>
      <c r="I89" s="42"/>
    </row>
    <row r="90" spans="1:9" s="82" customFormat="1" ht="15" customHeight="1" x14ac:dyDescent="0.25">
      <c r="A90" s="85" t="s">
        <v>78</v>
      </c>
      <c r="B90" s="114">
        <v>263450000</v>
      </c>
      <c r="C90" s="114">
        <v>263450000</v>
      </c>
      <c r="D90" s="114">
        <v>263450000</v>
      </c>
      <c r="E90" s="84">
        <f>SUM(B90:D90)</f>
        <v>790350000</v>
      </c>
      <c r="G90" s="42"/>
      <c r="H90" s="42"/>
      <c r="I90" s="42"/>
    </row>
    <row r="91" spans="1:9" ht="15" customHeight="1" x14ac:dyDescent="0.25">
      <c r="A91" s="15" t="s">
        <v>17</v>
      </c>
      <c r="B91" s="62">
        <f>SUM(B88:B90)</f>
        <v>1649861929.0599999</v>
      </c>
      <c r="C91" s="62">
        <f>SUM(C88:C90)</f>
        <v>1780418140.0599999</v>
      </c>
      <c r="D91" s="62">
        <f>SUM(D88:D90)</f>
        <v>2006526644.0599999</v>
      </c>
      <c r="E91" s="62">
        <f>SUM(E88:E90)</f>
        <v>3438403195.0599999</v>
      </c>
    </row>
    <row r="92" spans="1:9" ht="15" customHeight="1" x14ac:dyDescent="0.25">
      <c r="A92" s="15" t="s">
        <v>18</v>
      </c>
      <c r="B92" s="79">
        <f>B59+B60</f>
        <v>763714422</v>
      </c>
      <c r="C92" s="79">
        <f>C59+C60</f>
        <v>668162129</v>
      </c>
      <c r="D92" s="79">
        <f>D59+D60</f>
        <v>753881278.97000003</v>
      </c>
      <c r="E92" s="63">
        <f>SUM(B92:D92)</f>
        <v>2185757829.9700003</v>
      </c>
      <c r="F92" s="31"/>
    </row>
    <row r="93" spans="1:9" ht="15" customHeight="1" x14ac:dyDescent="0.25">
      <c r="A93" s="28" t="s">
        <v>19</v>
      </c>
      <c r="B93" s="80">
        <f>+B91-B92</f>
        <v>886147507.05999994</v>
      </c>
      <c r="C93" s="80">
        <f>+C91-C92</f>
        <v>1112256011.0599999</v>
      </c>
      <c r="D93" s="80">
        <f>+D91-D92</f>
        <v>1252645365.0899999</v>
      </c>
      <c r="E93" s="80">
        <f>+E91-E92</f>
        <v>1252645365.0899997</v>
      </c>
    </row>
    <row r="94" spans="1:9" ht="15" customHeight="1" thickBot="1" x14ac:dyDescent="0.3">
      <c r="A94" s="25"/>
      <c r="B94" s="26"/>
      <c r="C94" s="26"/>
      <c r="D94" s="26"/>
      <c r="E94" s="26"/>
    </row>
    <row r="95" spans="1:9" ht="15" customHeight="1" thickTop="1" x14ac:dyDescent="0.25">
      <c r="A95" s="52" t="s">
        <v>73</v>
      </c>
    </row>
    <row r="96" spans="1:9" ht="36.75" customHeight="1" x14ac:dyDescent="0.25">
      <c r="A96" s="85" t="s">
        <v>80</v>
      </c>
    </row>
    <row r="98" spans="1:3" ht="15" customHeight="1" x14ac:dyDescent="0.25">
      <c r="A98" s="39"/>
    </row>
    <row r="99" spans="1:3" ht="15" customHeight="1" x14ac:dyDescent="0.25">
      <c r="A99" s="90" t="s">
        <v>81</v>
      </c>
      <c r="B99" s="89"/>
      <c r="C99" s="118"/>
    </row>
    <row r="100" spans="1:3" ht="15" customHeight="1" x14ac:dyDescent="0.25">
      <c r="A100" s="90"/>
    </row>
  </sheetData>
  <mergeCells count="24">
    <mergeCell ref="A13:A15"/>
    <mergeCell ref="A16:A18"/>
    <mergeCell ref="A19:A21"/>
    <mergeCell ref="A82:E82"/>
    <mergeCell ref="A83:E83"/>
    <mergeCell ref="A33:F33"/>
    <mergeCell ref="A34:F34"/>
    <mergeCell ref="A54:E54"/>
    <mergeCell ref="A85:E85"/>
    <mergeCell ref="A69:E69"/>
    <mergeCell ref="A84:E84"/>
    <mergeCell ref="A55:E55"/>
    <mergeCell ref="A1:F1"/>
    <mergeCell ref="A7:F7"/>
    <mergeCell ref="A8:F8"/>
    <mergeCell ref="A10:F10"/>
    <mergeCell ref="A35:E35"/>
    <mergeCell ref="A52:E52"/>
    <mergeCell ref="A53:E53"/>
    <mergeCell ref="A9:F9"/>
    <mergeCell ref="A32:F32"/>
    <mergeCell ref="A67:E67"/>
    <mergeCell ref="A68:E68"/>
    <mergeCell ref="A70:E70"/>
  </mergeCells>
  <printOptions horizontalCentered="1" verticalCentered="1"/>
  <pageMargins left="0.70866141732283472" right="1.18" top="0.3" bottom="0.2" header="0.31496062992125984" footer="0.31496062992125984"/>
  <pageSetup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07"/>
  <sheetViews>
    <sheetView zoomScale="80" zoomScaleNormal="80" workbookViewId="0">
      <selection activeCell="B92" sqref="B92"/>
    </sheetView>
  </sheetViews>
  <sheetFormatPr baseColWidth="10" defaultColWidth="11.5703125" defaultRowHeight="15" customHeight="1" x14ac:dyDescent="0.25"/>
  <cols>
    <col min="1" max="1" width="65.7109375" style="21" customWidth="1"/>
    <col min="2" max="2" width="26.5703125" style="15" customWidth="1"/>
    <col min="3" max="3" width="16" style="15" bestFit="1" customWidth="1"/>
    <col min="4" max="4" width="19.140625" style="15" customWidth="1"/>
    <col min="5" max="5" width="17" style="15" bestFit="1" customWidth="1"/>
    <col min="6" max="6" width="21.42578125" style="15" customWidth="1"/>
    <col min="7" max="7" width="19.5703125" style="15" customWidth="1"/>
    <col min="8" max="8" width="17.7109375" style="15" bestFit="1" customWidth="1"/>
    <col min="9" max="10" width="16" style="15" bestFit="1" customWidth="1"/>
    <col min="11" max="11" width="17.5703125" style="15" bestFit="1" customWidth="1"/>
    <col min="12" max="12" width="5.140625" style="15" bestFit="1" customWidth="1"/>
    <col min="13" max="16384" width="11.5703125" style="15"/>
  </cols>
  <sheetData>
    <row r="1" spans="1:10" ht="15" customHeight="1" x14ac:dyDescent="0.25">
      <c r="A1" s="242" t="s">
        <v>20</v>
      </c>
      <c r="B1" s="242"/>
      <c r="C1" s="242"/>
      <c r="D1" s="242"/>
      <c r="E1" s="242"/>
      <c r="F1" s="242"/>
    </row>
    <row r="2" spans="1:10" ht="15" customHeight="1" x14ac:dyDescent="0.25">
      <c r="A2" s="3" t="s">
        <v>0</v>
      </c>
      <c r="B2" s="4" t="s">
        <v>22</v>
      </c>
      <c r="C2" s="16"/>
      <c r="D2" s="16"/>
      <c r="E2" s="16"/>
      <c r="F2" s="16"/>
    </row>
    <row r="3" spans="1:10" ht="15" customHeight="1" x14ac:dyDescent="0.25">
      <c r="A3" s="3" t="s">
        <v>1</v>
      </c>
      <c r="B3" s="4" t="s">
        <v>21</v>
      </c>
      <c r="C3" s="16"/>
      <c r="D3" s="16"/>
      <c r="E3" s="16"/>
      <c r="F3" s="16"/>
    </row>
    <row r="4" spans="1:10" ht="15" customHeight="1" x14ac:dyDescent="0.25">
      <c r="A4" s="3" t="s">
        <v>11</v>
      </c>
      <c r="B4" s="16" t="s">
        <v>62</v>
      </c>
      <c r="C4" s="16"/>
      <c r="D4" s="16"/>
      <c r="E4" s="16"/>
      <c r="F4" s="16"/>
    </row>
    <row r="5" spans="1:10" ht="15" customHeight="1" x14ac:dyDescent="0.25">
      <c r="A5" s="3" t="s">
        <v>47</v>
      </c>
      <c r="B5" s="17" t="s">
        <v>109</v>
      </c>
      <c r="C5" s="16"/>
      <c r="D5" s="16"/>
      <c r="E5" s="16"/>
      <c r="F5" s="16"/>
    </row>
    <row r="7" spans="1:10" ht="15" customHeight="1" x14ac:dyDescent="0.25">
      <c r="A7" s="242" t="s">
        <v>9</v>
      </c>
      <c r="B7" s="242"/>
      <c r="C7" s="242"/>
      <c r="D7" s="242"/>
      <c r="E7" s="242"/>
      <c r="F7" s="242"/>
    </row>
    <row r="8" spans="1:10" ht="15" customHeight="1" x14ac:dyDescent="0.25">
      <c r="A8" s="242" t="s">
        <v>12</v>
      </c>
      <c r="B8" s="242"/>
      <c r="C8" s="242"/>
      <c r="D8" s="242"/>
      <c r="E8" s="242"/>
      <c r="F8" s="242"/>
    </row>
    <row r="9" spans="1:10" ht="15" customHeight="1" x14ac:dyDescent="0.25">
      <c r="A9" s="241" t="s">
        <v>50</v>
      </c>
      <c r="B9" s="241"/>
      <c r="C9" s="241"/>
      <c r="D9" s="241"/>
      <c r="E9" s="241"/>
      <c r="F9" s="241"/>
    </row>
    <row r="10" spans="1:10" ht="15" customHeight="1" x14ac:dyDescent="0.25">
      <c r="A10" s="240"/>
      <c r="B10" s="240"/>
      <c r="C10" s="240"/>
      <c r="D10" s="240"/>
      <c r="E10" s="240"/>
      <c r="F10" s="240"/>
      <c r="H10" s="89"/>
    </row>
    <row r="11" spans="1:10" ht="15" customHeight="1" thickBot="1" x14ac:dyDescent="0.3">
      <c r="A11" s="40" t="s">
        <v>65</v>
      </c>
      <c r="B11" s="33"/>
      <c r="C11" s="33" t="s">
        <v>33</v>
      </c>
      <c r="D11" s="33" t="s">
        <v>34</v>
      </c>
      <c r="E11" s="33" t="s">
        <v>58</v>
      </c>
      <c r="F11" s="45" t="s">
        <v>71</v>
      </c>
      <c r="H11" s="89"/>
    </row>
    <row r="12" spans="1:10" ht="15" customHeight="1" x14ac:dyDescent="0.25">
      <c r="H12" s="89"/>
    </row>
    <row r="13" spans="1:10" x14ac:dyDescent="0.25">
      <c r="A13" s="246" t="s">
        <v>23</v>
      </c>
      <c r="B13" s="160" t="s">
        <v>59</v>
      </c>
      <c r="C13" s="161">
        <f>+('2 T'!E13-'3 T'!C15)+181</f>
        <v>467</v>
      </c>
      <c r="D13" s="161">
        <f>+(C13-D15)+243</f>
        <v>656</v>
      </c>
      <c r="E13" s="161">
        <f>+(D13-E15)+193</f>
        <v>721</v>
      </c>
      <c r="F13" s="161">
        <f>E13</f>
        <v>721</v>
      </c>
      <c r="H13" s="89"/>
      <c r="I13" s="90"/>
      <c r="J13" s="51"/>
    </row>
    <row r="14" spans="1:10" ht="15" customHeight="1" x14ac:dyDescent="0.25">
      <c r="A14" s="246"/>
      <c r="B14" s="160" t="s">
        <v>60</v>
      </c>
      <c r="C14" s="161">
        <v>1538</v>
      </c>
      <c r="D14" s="161">
        <v>1461</v>
      </c>
      <c r="E14" s="161">
        <v>1533</v>
      </c>
      <c r="F14" s="161">
        <f>AVERAGE(C14:E14)</f>
        <v>1510.6666666666667</v>
      </c>
      <c r="H14" s="89"/>
      <c r="I14" s="51"/>
      <c r="J14" s="51"/>
    </row>
    <row r="15" spans="1:10" ht="15" customHeight="1" x14ac:dyDescent="0.25">
      <c r="A15" s="246"/>
      <c r="B15" s="160" t="s">
        <v>61</v>
      </c>
      <c r="C15" s="172">
        <v>141</v>
      </c>
      <c r="D15" s="161">
        <v>54</v>
      </c>
      <c r="E15" s="172">
        <v>128</v>
      </c>
      <c r="F15" s="161">
        <f>AVERAGE(C15:E15)</f>
        <v>107.66666666666667</v>
      </c>
      <c r="G15" s="89"/>
      <c r="H15" s="89"/>
      <c r="J15" s="51"/>
    </row>
    <row r="16" spans="1:10" x14ac:dyDescent="0.25">
      <c r="A16" s="247" t="s">
        <v>24</v>
      </c>
      <c r="B16" s="169" t="s">
        <v>59</v>
      </c>
      <c r="C16" s="170">
        <f>+('2 T'!E16-'3 T'!C18)+32</f>
        <v>64</v>
      </c>
      <c r="D16" s="170">
        <f>+(C16-D18)+38</f>
        <v>33</v>
      </c>
      <c r="E16" s="170">
        <f>+(D16-E18)+62</f>
        <v>57</v>
      </c>
      <c r="F16" s="170">
        <f>E16</f>
        <v>57</v>
      </c>
      <c r="H16" s="89"/>
      <c r="I16" s="90"/>
      <c r="J16" s="51"/>
    </row>
    <row r="17" spans="1:10" ht="15" customHeight="1" x14ac:dyDescent="0.25">
      <c r="A17" s="247"/>
      <c r="B17" s="169" t="s">
        <v>60</v>
      </c>
      <c r="C17" s="170">
        <v>1181</v>
      </c>
      <c r="D17" s="170">
        <v>1167</v>
      </c>
      <c r="E17" s="170">
        <v>1207</v>
      </c>
      <c r="F17" s="170">
        <f>AVERAGE(C17:E17)</f>
        <v>1185</v>
      </c>
      <c r="H17" s="89"/>
      <c r="I17" s="51"/>
      <c r="J17" s="51"/>
    </row>
    <row r="18" spans="1:10" ht="15" customHeight="1" x14ac:dyDescent="0.25">
      <c r="A18" s="247"/>
      <c r="B18" s="169" t="s">
        <v>61</v>
      </c>
      <c r="C18" s="170">
        <v>95</v>
      </c>
      <c r="D18" s="170">
        <v>69</v>
      </c>
      <c r="E18" s="170">
        <v>38</v>
      </c>
      <c r="F18" s="170">
        <f>AVERAGE(C18:E18)</f>
        <v>67.333333333333329</v>
      </c>
      <c r="G18" s="89"/>
      <c r="H18" s="89"/>
      <c r="J18" s="51"/>
    </row>
    <row r="19" spans="1:10" x14ac:dyDescent="0.25">
      <c r="A19" s="248" t="s">
        <v>25</v>
      </c>
      <c r="B19" s="160" t="s">
        <v>59</v>
      </c>
      <c r="C19" s="161">
        <f>+('2 T'!E19-'3 T'!C21)+398</f>
        <v>2584</v>
      </c>
      <c r="D19" s="161">
        <f>+(C19-D21)+838</f>
        <v>2633</v>
      </c>
      <c r="E19" s="161">
        <f>+(D19-E21)+1559</f>
        <v>3728</v>
      </c>
      <c r="F19" s="161">
        <f>+E19</f>
        <v>3728</v>
      </c>
      <c r="H19" s="89"/>
      <c r="I19" s="90"/>
      <c r="J19" s="51"/>
    </row>
    <row r="20" spans="1:10" ht="15" customHeight="1" x14ac:dyDescent="0.25">
      <c r="A20" s="248"/>
      <c r="B20" s="160" t="s">
        <v>60</v>
      </c>
      <c r="C20" s="161">
        <v>10236</v>
      </c>
      <c r="D20" s="161">
        <v>9844</v>
      </c>
      <c r="E20" s="161">
        <v>9292</v>
      </c>
      <c r="F20" s="161">
        <f>AVERAGE(C20:E20)</f>
        <v>9790.6666666666661</v>
      </c>
      <c r="H20" s="89"/>
      <c r="I20" s="51"/>
      <c r="J20" s="51"/>
    </row>
    <row r="21" spans="1:10" ht="15" customHeight="1" x14ac:dyDescent="0.25">
      <c r="A21" s="248"/>
      <c r="B21" s="160" t="s">
        <v>61</v>
      </c>
      <c r="C21" s="161">
        <v>472</v>
      </c>
      <c r="D21" s="161">
        <v>789</v>
      </c>
      <c r="E21" s="161">
        <v>464</v>
      </c>
      <c r="F21" s="161">
        <f>AVERAGE(C21:E21)</f>
        <v>575</v>
      </c>
      <c r="G21" s="89"/>
      <c r="H21" s="89"/>
      <c r="I21" s="51"/>
      <c r="J21" s="51"/>
    </row>
    <row r="22" spans="1:10" ht="15" customHeight="1" x14ac:dyDescent="0.25">
      <c r="A22" s="165" t="s">
        <v>76</v>
      </c>
      <c r="B22" s="166" t="s">
        <v>59</v>
      </c>
      <c r="C22" s="161">
        <f>+('2 T'!E22-'3 T'!C24)+325</f>
        <v>1715</v>
      </c>
      <c r="D22" s="161">
        <f>+(C22-D24)+0</f>
        <v>468</v>
      </c>
      <c r="E22" s="161">
        <f>+(D22-E24)+23</f>
        <v>23</v>
      </c>
      <c r="F22" s="167">
        <f>E22</f>
        <v>23</v>
      </c>
      <c r="H22" s="89"/>
      <c r="I22" s="90"/>
      <c r="J22" s="69"/>
    </row>
    <row r="23" spans="1:10" ht="15" customHeight="1" x14ac:dyDescent="0.25">
      <c r="A23" s="168"/>
      <c r="B23" s="166" t="s">
        <v>60</v>
      </c>
      <c r="C23" s="167">
        <v>292</v>
      </c>
      <c r="D23" s="167">
        <v>588</v>
      </c>
      <c r="E23" s="167">
        <v>655</v>
      </c>
      <c r="F23" s="167">
        <f>AVERAGE(C23:E23)</f>
        <v>511.66666666666669</v>
      </c>
      <c r="H23" s="89"/>
      <c r="I23" s="69"/>
      <c r="J23" s="69"/>
    </row>
    <row r="24" spans="1:10" ht="15" customHeight="1" x14ac:dyDescent="0.25">
      <c r="A24" s="168"/>
      <c r="B24" s="166" t="s">
        <v>61</v>
      </c>
      <c r="C24" s="167">
        <v>18</v>
      </c>
      <c r="D24" s="167">
        <v>1247</v>
      </c>
      <c r="E24" s="167">
        <v>468</v>
      </c>
      <c r="F24" s="167">
        <f>AVERAGE(C24:E24)</f>
        <v>577.66666666666663</v>
      </c>
      <c r="G24" s="89"/>
      <c r="H24" s="89"/>
      <c r="I24" s="69"/>
      <c r="J24" s="69"/>
    </row>
    <row r="25" spans="1:10" ht="15" customHeight="1" x14ac:dyDescent="0.25">
      <c r="A25" s="71"/>
      <c r="B25" s="8"/>
      <c r="H25" s="89"/>
      <c r="I25" s="69"/>
      <c r="J25" s="69"/>
    </row>
    <row r="26" spans="1:10" ht="15" customHeight="1" x14ac:dyDescent="0.25">
      <c r="H26" s="89"/>
      <c r="I26" s="51"/>
      <c r="J26" s="51"/>
    </row>
    <row r="27" spans="1:10" ht="15" customHeight="1" thickBot="1" x14ac:dyDescent="0.3">
      <c r="A27" s="24" t="s">
        <v>13</v>
      </c>
      <c r="B27" s="25" t="s">
        <v>51</v>
      </c>
      <c r="C27" s="25">
        <f>+C14+C15+C17+C18+C20+C21+C23+C24</f>
        <v>13973</v>
      </c>
      <c r="D27" s="25">
        <f>+D14+D15+D17+D18+D20+D21+D23+D24</f>
        <v>15219</v>
      </c>
      <c r="E27" s="25">
        <f>+E14+E15+E17+E18+E20+E21+E23+E24</f>
        <v>13785</v>
      </c>
      <c r="F27" s="25">
        <f>AVERAGE(C27:E27)</f>
        <v>14325.666666666666</v>
      </c>
    </row>
    <row r="28" spans="1:10" ht="15" customHeight="1" thickTop="1" x14ac:dyDescent="0.25">
      <c r="A28" s="46" t="s">
        <v>67</v>
      </c>
      <c r="B28" s="28"/>
      <c r="C28" s="28"/>
      <c r="D28" s="28"/>
      <c r="E28" s="28"/>
      <c r="F28" s="28"/>
    </row>
    <row r="29" spans="1:10" ht="15" customHeight="1" x14ac:dyDescent="0.25">
      <c r="A29" s="52" t="s">
        <v>73</v>
      </c>
    </row>
    <row r="30" spans="1:10" ht="15" customHeight="1" x14ac:dyDescent="0.25">
      <c r="A30" s="1"/>
      <c r="C30" s="92"/>
      <c r="D30" s="92"/>
      <c r="E30" s="92"/>
    </row>
    <row r="32" spans="1:10" ht="15" customHeight="1" x14ac:dyDescent="0.25">
      <c r="A32" s="241" t="s">
        <v>14</v>
      </c>
      <c r="B32" s="241"/>
      <c r="C32" s="241"/>
      <c r="D32" s="241"/>
      <c r="E32" s="241"/>
      <c r="F32" s="241"/>
    </row>
    <row r="33" spans="1:6" ht="15" customHeight="1" x14ac:dyDescent="0.25">
      <c r="A33" s="242" t="s">
        <v>31</v>
      </c>
      <c r="B33" s="242"/>
      <c r="C33" s="242"/>
      <c r="D33" s="242"/>
      <c r="E33" s="242"/>
      <c r="F33" s="242"/>
    </row>
    <row r="34" spans="1:6" ht="15" customHeight="1" x14ac:dyDescent="0.25">
      <c r="A34" s="241" t="s">
        <v>52</v>
      </c>
      <c r="B34" s="241"/>
      <c r="C34" s="241"/>
      <c r="D34" s="241"/>
      <c r="E34" s="241"/>
      <c r="F34" s="241"/>
    </row>
    <row r="35" spans="1:6" ht="15" customHeight="1" x14ac:dyDescent="0.25">
      <c r="A35" s="240"/>
      <c r="B35" s="240"/>
      <c r="C35" s="240"/>
      <c r="D35" s="240"/>
      <c r="E35" s="240"/>
    </row>
    <row r="36" spans="1:6" ht="15" customHeight="1" thickBot="1" x14ac:dyDescent="0.3">
      <c r="A36" s="40" t="s">
        <v>65</v>
      </c>
      <c r="B36" s="19"/>
      <c r="C36" s="19" t="s">
        <v>33</v>
      </c>
      <c r="D36" s="19" t="s">
        <v>34</v>
      </c>
      <c r="E36" s="19" t="s">
        <v>58</v>
      </c>
      <c r="F36" s="19" t="s">
        <v>35</v>
      </c>
    </row>
    <row r="38" spans="1:6" ht="15" customHeight="1" x14ac:dyDescent="0.25">
      <c r="A38" s="187" t="s">
        <v>23</v>
      </c>
      <c r="B38" s="188" t="s">
        <v>57</v>
      </c>
      <c r="C38" s="190">
        <v>269151328</v>
      </c>
      <c r="D38" s="190">
        <v>256266424</v>
      </c>
      <c r="E38" s="190">
        <v>268614457</v>
      </c>
      <c r="F38" s="188">
        <f t="shared" ref="F38:F45" si="0">SUM(C38:E38)</f>
        <v>794032209</v>
      </c>
    </row>
    <row r="39" spans="1:6" ht="15" customHeight="1" x14ac:dyDescent="0.25">
      <c r="A39" s="187"/>
      <c r="B39" s="188" t="s">
        <v>56</v>
      </c>
      <c r="C39" s="190">
        <v>25232937</v>
      </c>
      <c r="D39" s="190">
        <v>9663678</v>
      </c>
      <c r="E39" s="190">
        <v>22190668</v>
      </c>
      <c r="F39" s="188">
        <f t="shared" si="0"/>
        <v>57087283</v>
      </c>
    </row>
    <row r="40" spans="1:6" ht="15" customHeight="1" x14ac:dyDescent="0.25">
      <c r="A40" s="156" t="s">
        <v>24</v>
      </c>
      <c r="B40" s="157" t="s">
        <v>57</v>
      </c>
      <c r="C40" s="191">
        <v>84323596</v>
      </c>
      <c r="D40" s="191">
        <v>83393030</v>
      </c>
      <c r="E40" s="191">
        <v>85898400</v>
      </c>
      <c r="F40" s="157">
        <f t="shared" si="0"/>
        <v>253615026</v>
      </c>
    </row>
    <row r="41" spans="1:6" ht="15" customHeight="1" x14ac:dyDescent="0.25">
      <c r="A41" s="156"/>
      <c r="B41" s="157" t="s">
        <v>56</v>
      </c>
      <c r="C41" s="191">
        <v>6800290</v>
      </c>
      <c r="D41" s="191">
        <v>4294920</v>
      </c>
      <c r="E41" s="191">
        <v>2362206</v>
      </c>
      <c r="F41" s="157">
        <f t="shared" si="0"/>
        <v>13457416</v>
      </c>
    </row>
    <row r="42" spans="1:6" ht="15" customHeight="1" x14ac:dyDescent="0.25">
      <c r="A42" s="187" t="s">
        <v>25</v>
      </c>
      <c r="B42" s="188" t="s">
        <v>57</v>
      </c>
      <c r="C42" s="189">
        <v>585171730</v>
      </c>
      <c r="D42" s="189">
        <v>538676922</v>
      </c>
      <c r="E42" s="189">
        <v>518832649</v>
      </c>
      <c r="F42" s="188">
        <f t="shared" si="0"/>
        <v>1642681301</v>
      </c>
    </row>
    <row r="43" spans="1:6" ht="15" customHeight="1" x14ac:dyDescent="0.25">
      <c r="A43" s="187"/>
      <c r="B43" s="188" t="s">
        <v>56</v>
      </c>
      <c r="C43" s="189">
        <v>21332588</v>
      </c>
      <c r="D43" s="189">
        <v>33446574</v>
      </c>
      <c r="E43" s="189">
        <v>36249233</v>
      </c>
      <c r="F43" s="188">
        <f t="shared" si="0"/>
        <v>91028395</v>
      </c>
    </row>
    <row r="44" spans="1:6" ht="15" customHeight="1" x14ac:dyDescent="0.25">
      <c r="A44" s="185" t="s">
        <v>76</v>
      </c>
      <c r="B44" s="184" t="s">
        <v>57</v>
      </c>
      <c r="C44" s="184">
        <v>118400000</v>
      </c>
      <c r="D44" s="184">
        <v>237500000</v>
      </c>
      <c r="E44" s="184">
        <v>232400000</v>
      </c>
      <c r="F44" s="182">
        <f t="shared" si="0"/>
        <v>588300000</v>
      </c>
    </row>
    <row r="45" spans="1:6" ht="15" customHeight="1" x14ac:dyDescent="0.25">
      <c r="A45" s="185"/>
      <c r="B45" s="184" t="s">
        <v>56</v>
      </c>
      <c r="C45" s="186">
        <v>6600000</v>
      </c>
      <c r="D45" s="182">
        <v>457500000</v>
      </c>
      <c r="E45" s="182">
        <v>180400000</v>
      </c>
      <c r="F45" s="182">
        <f t="shared" si="0"/>
        <v>644500000</v>
      </c>
    </row>
    <row r="46" spans="1:6" ht="15" customHeight="1" thickBot="1" x14ac:dyDescent="0.3">
      <c r="A46" s="24" t="s">
        <v>13</v>
      </c>
      <c r="B46" s="25"/>
      <c r="C46" s="81">
        <f>SUM(C38:C45)</f>
        <v>1117012469</v>
      </c>
      <c r="D46" s="81">
        <f>SUM(D38:D45)</f>
        <v>1620741548</v>
      </c>
      <c r="E46" s="81">
        <f>SUM(E38:E45)</f>
        <v>1346947613</v>
      </c>
      <c r="F46" s="81">
        <f>SUM(F38:F45)</f>
        <v>4084701630</v>
      </c>
    </row>
    <row r="47" spans="1:6" ht="15" customHeight="1" thickTop="1" x14ac:dyDescent="0.25">
      <c r="A47" s="27" t="s">
        <v>42</v>
      </c>
    </row>
    <row r="48" spans="1:6" ht="15" customHeight="1" x14ac:dyDescent="0.25">
      <c r="A48" s="52" t="s">
        <v>73</v>
      </c>
    </row>
    <row r="49" spans="1:5" ht="15" customHeight="1" x14ac:dyDescent="0.25">
      <c r="A49" s="1"/>
    </row>
    <row r="50" spans="1:5" ht="15" customHeight="1" x14ac:dyDescent="0.25">
      <c r="A50" s="1"/>
    </row>
    <row r="52" spans="1:5" ht="15" customHeight="1" x14ac:dyDescent="0.25">
      <c r="A52" s="242" t="s">
        <v>15</v>
      </c>
      <c r="B52" s="242"/>
      <c r="C52" s="242"/>
      <c r="D52" s="242"/>
      <c r="E52" s="242"/>
    </row>
    <row r="53" spans="1:5" ht="15" customHeight="1" x14ac:dyDescent="0.25">
      <c r="A53" s="242" t="s">
        <v>32</v>
      </c>
      <c r="B53" s="242"/>
      <c r="C53" s="242"/>
      <c r="D53" s="242"/>
      <c r="E53" s="242"/>
    </row>
    <row r="54" spans="1:5" ht="15" customHeight="1" x14ac:dyDescent="0.25">
      <c r="A54" s="241" t="s">
        <v>52</v>
      </c>
      <c r="B54" s="241"/>
      <c r="C54" s="241"/>
      <c r="D54" s="241"/>
      <c r="E54" s="241"/>
    </row>
    <row r="55" spans="1:5" ht="15" customHeight="1" x14ac:dyDescent="0.25">
      <c r="A55" s="240"/>
      <c r="B55" s="240"/>
      <c r="C55" s="240"/>
      <c r="D55" s="240"/>
      <c r="E55" s="240"/>
    </row>
    <row r="56" spans="1:5" ht="15" customHeight="1" thickBot="1" x14ac:dyDescent="0.3">
      <c r="A56" s="32" t="s">
        <v>10</v>
      </c>
      <c r="B56" s="33" t="s">
        <v>33</v>
      </c>
      <c r="C56" s="33" t="s">
        <v>34</v>
      </c>
      <c r="D56" s="33" t="s">
        <v>58</v>
      </c>
      <c r="E56" s="33" t="s">
        <v>35</v>
      </c>
    </row>
    <row r="58" spans="1:5" ht="15" customHeight="1" x14ac:dyDescent="0.25">
      <c r="A58" s="21" t="s">
        <v>26</v>
      </c>
      <c r="B58" s="15">
        <f>SUM(C38:C41)</f>
        <v>385508151</v>
      </c>
      <c r="C58" s="89">
        <f t="shared" ref="C58:D58" si="1">SUM(D38:D41)</f>
        <v>353618052</v>
      </c>
      <c r="D58" s="89">
        <f t="shared" si="1"/>
        <v>379065731</v>
      </c>
      <c r="E58" s="15">
        <f>SUM(B58:D58)</f>
        <v>1118191934</v>
      </c>
    </row>
    <row r="59" spans="1:5" ht="15" customHeight="1" x14ac:dyDescent="0.25">
      <c r="A59" s="21" t="s">
        <v>43</v>
      </c>
      <c r="B59" s="15">
        <f>SUM(C42:C43)</f>
        <v>606504318</v>
      </c>
      <c r="C59" s="89">
        <f t="shared" ref="C59:D59" si="2">SUM(D42:D43)</f>
        <v>572123496</v>
      </c>
      <c r="D59" s="89">
        <f t="shared" si="2"/>
        <v>555081882</v>
      </c>
      <c r="E59" s="15">
        <f>SUM(B59:D59)</f>
        <v>1733709696</v>
      </c>
    </row>
    <row r="60" spans="1:5" ht="15" customHeight="1" x14ac:dyDescent="0.25">
      <c r="A60" s="85" t="s">
        <v>77</v>
      </c>
      <c r="B60" s="76">
        <f>SUM(C44:C45)</f>
        <v>125000000</v>
      </c>
      <c r="C60" s="76">
        <f t="shared" ref="C60:D60" si="3">SUM(D44:D45)</f>
        <v>695000000</v>
      </c>
      <c r="D60" s="76">
        <f t="shared" si="3"/>
        <v>412800000</v>
      </c>
      <c r="E60" s="76">
        <f>SUM(B60:D60)</f>
        <v>1232800000</v>
      </c>
    </row>
    <row r="61" spans="1:5" ht="15" customHeight="1" x14ac:dyDescent="0.25">
      <c r="A61" s="21" t="s">
        <v>7</v>
      </c>
      <c r="E61" s="15">
        <f>SUM(B61:D61)</f>
        <v>0</v>
      </c>
    </row>
    <row r="62" spans="1:5" ht="15" customHeight="1" x14ac:dyDescent="0.25">
      <c r="A62" s="21" t="s">
        <v>8</v>
      </c>
      <c r="E62" s="15">
        <f>SUM(B62:D62)</f>
        <v>0</v>
      </c>
    </row>
    <row r="63" spans="1:5" ht="15" customHeight="1" thickBot="1" x14ac:dyDescent="0.3">
      <c r="A63" s="24" t="s">
        <v>13</v>
      </c>
      <c r="B63" s="25">
        <f>SUM(B58:B62)</f>
        <v>1117012469</v>
      </c>
      <c r="C63" s="25">
        <f>SUM(C58:C62)</f>
        <v>1620741548</v>
      </c>
      <c r="D63" s="25">
        <f>SUM(D58:D62)</f>
        <v>1346947613</v>
      </c>
      <c r="E63" s="25">
        <f>SUM(E58:E62)</f>
        <v>4084701630</v>
      </c>
    </row>
    <row r="64" spans="1:5" ht="15" customHeight="1" thickTop="1" x14ac:dyDescent="0.25">
      <c r="A64" s="52" t="s">
        <v>73</v>
      </c>
    </row>
    <row r="65" spans="1:9" ht="15" customHeight="1" x14ac:dyDescent="0.25">
      <c r="A65" s="1"/>
    </row>
    <row r="67" spans="1:9" ht="15" customHeight="1" x14ac:dyDescent="0.25">
      <c r="A67" s="242" t="s">
        <v>44</v>
      </c>
      <c r="B67" s="242"/>
      <c r="C67" s="242"/>
      <c r="D67" s="242"/>
      <c r="E67" s="242"/>
    </row>
    <row r="68" spans="1:9" ht="15" customHeight="1" x14ac:dyDescent="0.25">
      <c r="A68" s="230" t="s">
        <v>79</v>
      </c>
      <c r="B68" s="230"/>
      <c r="C68" s="230"/>
      <c r="D68" s="230"/>
      <c r="E68" s="230"/>
      <c r="G68" s="89"/>
    </row>
    <row r="69" spans="1:9" ht="15" customHeight="1" x14ac:dyDescent="0.25">
      <c r="A69" s="241" t="s">
        <v>52</v>
      </c>
      <c r="B69" s="241"/>
      <c r="C69" s="241"/>
      <c r="D69" s="241"/>
      <c r="E69" s="241"/>
      <c r="G69" s="89"/>
    </row>
    <row r="70" spans="1:9" ht="15" customHeight="1" x14ac:dyDescent="0.25">
      <c r="A70" s="240"/>
      <c r="B70" s="240"/>
      <c r="C70" s="240"/>
      <c r="D70" s="240"/>
      <c r="E70" s="240"/>
      <c r="G70" s="89"/>
    </row>
    <row r="71" spans="1:9" ht="15" customHeight="1" thickBot="1" x14ac:dyDescent="0.3">
      <c r="A71" s="32" t="s">
        <v>10</v>
      </c>
      <c r="B71" s="33" t="s">
        <v>33</v>
      </c>
      <c r="C71" s="33" t="s">
        <v>34</v>
      </c>
      <c r="D71" s="33" t="s">
        <v>58</v>
      </c>
      <c r="E71" s="33" t="s">
        <v>35</v>
      </c>
      <c r="G71" s="89"/>
    </row>
    <row r="72" spans="1:9" ht="15" customHeight="1" x14ac:dyDescent="0.25">
      <c r="G72" s="89"/>
    </row>
    <row r="73" spans="1:9" ht="15" customHeight="1" x14ac:dyDescent="0.25">
      <c r="A73" s="15" t="s">
        <v>63</v>
      </c>
      <c r="B73" s="15">
        <f>'2 T'!E77</f>
        <v>206699460.3772459</v>
      </c>
      <c r="C73" s="15">
        <f>B77</f>
        <v>243492976.3772459</v>
      </c>
      <c r="D73" s="15">
        <f>C77</f>
        <v>312176591.3772459</v>
      </c>
      <c r="E73" s="15">
        <f>B73</f>
        <v>206699460.3772459</v>
      </c>
      <c r="G73" s="89"/>
    </row>
    <row r="74" spans="1:9" ht="15" customHeight="1" x14ac:dyDescent="0.25">
      <c r="A74" s="15" t="s">
        <v>16</v>
      </c>
      <c r="B74" s="121">
        <v>422301667</v>
      </c>
      <c r="C74" s="121">
        <v>422301667</v>
      </c>
      <c r="D74" s="121">
        <v>422301667</v>
      </c>
      <c r="E74" s="15">
        <f>SUM(B74:D74)</f>
        <v>1266905001</v>
      </c>
      <c r="G74" s="89"/>
      <c r="H74" s="42"/>
      <c r="I74" s="42"/>
    </row>
    <row r="75" spans="1:9" ht="15" customHeight="1" x14ac:dyDescent="0.25">
      <c r="A75" s="15" t="s">
        <v>17</v>
      </c>
      <c r="B75" s="15">
        <f>+B73+B74</f>
        <v>629001127.3772459</v>
      </c>
      <c r="C75" s="15">
        <f>+C73+C74</f>
        <v>665794643.3772459</v>
      </c>
      <c r="D75" s="15">
        <f>+D73+D74</f>
        <v>734478258.3772459</v>
      </c>
      <c r="E75" s="15">
        <f>+E73+E74</f>
        <v>1473604461.3772459</v>
      </c>
      <c r="G75" s="89"/>
      <c r="H75" s="39"/>
      <c r="I75" s="39"/>
    </row>
    <row r="76" spans="1:9" ht="15" customHeight="1" x14ac:dyDescent="0.25">
      <c r="A76" s="15" t="s">
        <v>18</v>
      </c>
      <c r="B76" s="54">
        <f>B58</f>
        <v>385508151</v>
      </c>
      <c r="C76" s="54">
        <f>C58</f>
        <v>353618052</v>
      </c>
      <c r="D76" s="54">
        <f>D58</f>
        <v>379065731</v>
      </c>
      <c r="E76" s="21">
        <f>SUM(B76:D76)</f>
        <v>1118191934</v>
      </c>
      <c r="F76" s="31"/>
      <c r="G76" s="89"/>
      <c r="H76" s="39"/>
      <c r="I76" s="39"/>
    </row>
    <row r="77" spans="1:9" ht="15" customHeight="1" x14ac:dyDescent="0.25">
      <c r="A77" s="28" t="s">
        <v>19</v>
      </c>
      <c r="B77" s="28">
        <f>+B75-B76</f>
        <v>243492976.3772459</v>
      </c>
      <c r="C77" s="28">
        <f>+C75-C76</f>
        <v>312176591.3772459</v>
      </c>
      <c r="D77" s="28">
        <f>+D75-D76</f>
        <v>355412527.3772459</v>
      </c>
      <c r="E77" s="28">
        <f>+E75-E76</f>
        <v>355412527.3772459</v>
      </c>
      <c r="G77" s="89"/>
      <c r="H77" s="39"/>
      <c r="I77" s="39"/>
    </row>
    <row r="78" spans="1:9" ht="15" customHeight="1" thickBot="1" x14ac:dyDescent="0.3">
      <c r="A78" s="25"/>
      <c r="B78" s="25"/>
      <c r="C78" s="25"/>
      <c r="D78" s="25"/>
      <c r="E78" s="25"/>
      <c r="G78" s="89"/>
      <c r="H78" s="39"/>
      <c r="I78" s="39"/>
    </row>
    <row r="79" spans="1:9" ht="15" customHeight="1" thickTop="1" x14ac:dyDescent="0.25">
      <c r="A79" s="52" t="s">
        <v>73</v>
      </c>
      <c r="G79" s="89"/>
      <c r="H79" s="39"/>
      <c r="I79" s="39"/>
    </row>
    <row r="80" spans="1:9" ht="15" customHeight="1" x14ac:dyDescent="0.25">
      <c r="A80" s="1"/>
      <c r="G80" s="89"/>
      <c r="H80" s="39"/>
      <c r="I80" s="39"/>
    </row>
    <row r="81" spans="1:13" ht="15" customHeight="1" x14ac:dyDescent="0.25">
      <c r="A81" s="15"/>
      <c r="G81" s="89"/>
      <c r="H81" s="39"/>
      <c r="I81" s="39"/>
    </row>
    <row r="82" spans="1:13" ht="15" customHeight="1" x14ac:dyDescent="0.25">
      <c r="A82" s="242" t="s">
        <v>45</v>
      </c>
      <c r="B82" s="242"/>
      <c r="C82" s="242"/>
      <c r="D82" s="242"/>
      <c r="E82" s="242"/>
      <c r="F82" s="16" t="s">
        <v>54</v>
      </c>
      <c r="G82" s="39"/>
      <c r="H82" s="39"/>
      <c r="I82" s="39"/>
    </row>
    <row r="83" spans="1:13" ht="15" customHeight="1" x14ac:dyDescent="0.25">
      <c r="A83" s="242" t="s">
        <v>49</v>
      </c>
      <c r="B83" s="242"/>
      <c r="C83" s="242"/>
      <c r="D83" s="242"/>
      <c r="E83" s="242"/>
      <c r="F83" s="41"/>
      <c r="G83" s="39"/>
      <c r="H83" s="39"/>
      <c r="I83" s="30"/>
    </row>
    <row r="84" spans="1:13" ht="15" customHeight="1" x14ac:dyDescent="0.25">
      <c r="A84" s="241" t="s">
        <v>52</v>
      </c>
      <c r="B84" s="241"/>
      <c r="C84" s="241"/>
      <c r="D84" s="241"/>
      <c r="E84" s="241"/>
      <c r="F84" s="16"/>
      <c r="G84" s="39"/>
      <c r="H84" s="39"/>
      <c r="I84" s="39"/>
    </row>
    <row r="85" spans="1:13" ht="15" customHeight="1" x14ac:dyDescent="0.25">
      <c r="A85" s="240"/>
      <c r="B85" s="240"/>
      <c r="C85" s="240"/>
      <c r="D85" s="240"/>
      <c r="E85" s="240"/>
      <c r="G85" s="39"/>
      <c r="H85" s="39"/>
      <c r="I85" s="39"/>
    </row>
    <row r="86" spans="1:13" ht="15" customHeight="1" thickBot="1" x14ac:dyDescent="0.3">
      <c r="A86" s="32" t="s">
        <v>10</v>
      </c>
      <c r="B86" s="33" t="s">
        <v>33</v>
      </c>
      <c r="C86" s="33" t="s">
        <v>34</v>
      </c>
      <c r="D86" s="33" t="s">
        <v>58</v>
      </c>
      <c r="E86" s="33" t="s">
        <v>35</v>
      </c>
      <c r="G86" s="39"/>
      <c r="H86" s="39"/>
      <c r="I86" s="39"/>
    </row>
    <row r="87" spans="1:13" ht="15" customHeight="1" x14ac:dyDescent="0.25">
      <c r="G87" s="39"/>
      <c r="H87" s="39"/>
      <c r="I87" s="39"/>
    </row>
    <row r="88" spans="1:13" ht="15" customHeight="1" x14ac:dyDescent="0.25">
      <c r="A88" s="15" t="s">
        <v>63</v>
      </c>
      <c r="B88" s="15">
        <f>'2 T'!E93</f>
        <v>1252645365.0899997</v>
      </c>
      <c r="C88" s="15">
        <f>B93</f>
        <v>1415411680.0899997</v>
      </c>
      <c r="D88" s="15">
        <f>C93</f>
        <v>1042558817.0899997</v>
      </c>
      <c r="E88" s="15">
        <f>+B88</f>
        <v>1252645365.0899997</v>
      </c>
      <c r="G88" s="39"/>
      <c r="H88" s="116"/>
      <c r="I88" s="39"/>
    </row>
    <row r="89" spans="1:13" ht="15" customHeight="1" x14ac:dyDescent="0.25">
      <c r="A89" s="15" t="s">
        <v>16</v>
      </c>
      <c r="B89" s="114">
        <v>630820633</v>
      </c>
      <c r="C89" s="114">
        <v>630820633</v>
      </c>
      <c r="D89" s="114">
        <v>630820633</v>
      </c>
      <c r="E89" s="15">
        <f>SUM(B89:D89)</f>
        <v>1892461899</v>
      </c>
      <c r="G89" s="42"/>
      <c r="H89" s="192"/>
      <c r="I89" s="192"/>
      <c r="J89" s="92"/>
      <c r="K89" s="92"/>
      <c r="L89" s="92"/>
      <c r="M89" s="92"/>
    </row>
    <row r="90" spans="1:13" s="82" customFormat="1" ht="15" customHeight="1" x14ac:dyDescent="0.25">
      <c r="A90" s="85" t="s">
        <v>78</v>
      </c>
      <c r="B90" s="114">
        <v>263450000</v>
      </c>
      <c r="C90" s="114">
        <v>263450000</v>
      </c>
      <c r="D90" s="114">
        <v>263450000</v>
      </c>
      <c r="E90" s="87">
        <f>SUM(B90:D90)</f>
        <v>790350000</v>
      </c>
      <c r="G90" s="42"/>
      <c r="H90" s="192"/>
      <c r="I90" s="192"/>
      <c r="J90" s="92"/>
      <c r="K90" s="92"/>
      <c r="L90" s="92"/>
      <c r="M90" s="92"/>
    </row>
    <row r="91" spans="1:13" ht="15" customHeight="1" x14ac:dyDescent="0.25">
      <c r="A91" s="15" t="s">
        <v>17</v>
      </c>
      <c r="B91" s="15">
        <f>SUM(B88:B90)</f>
        <v>2146915998.0899997</v>
      </c>
      <c r="C91" s="89">
        <f>SUM(C88:C90)</f>
        <v>2309682313.0899997</v>
      </c>
      <c r="D91" s="89">
        <f>SUM(D88:D90)</f>
        <v>1936829450.0899997</v>
      </c>
      <c r="E91" s="15">
        <f>SUM(E88:E90)</f>
        <v>3935457264.0899997</v>
      </c>
      <c r="F91" s="115"/>
      <c r="H91" s="92"/>
      <c r="I91" s="92"/>
      <c r="J91" s="92"/>
      <c r="K91" s="92"/>
      <c r="L91" s="92"/>
      <c r="M91" s="92"/>
    </row>
    <row r="92" spans="1:13" ht="15" customHeight="1" x14ac:dyDescent="0.25">
      <c r="A92" s="15" t="s">
        <v>18</v>
      </c>
      <c r="B92" s="54">
        <f>B59+B60</f>
        <v>731504318</v>
      </c>
      <c r="C92" s="54">
        <f>C59+C60</f>
        <v>1267123496</v>
      </c>
      <c r="D92" s="54">
        <f>D59+D60</f>
        <v>967881882</v>
      </c>
      <c r="E92" s="15">
        <f>SUM(B92:D92)</f>
        <v>2966509696</v>
      </c>
      <c r="F92" s="31"/>
      <c r="H92" s="92"/>
      <c r="I92" s="92"/>
      <c r="J92" s="92"/>
      <c r="K92" s="92"/>
      <c r="L92" s="92"/>
      <c r="M92" s="92"/>
    </row>
    <row r="93" spans="1:13" ht="15" customHeight="1" x14ac:dyDescent="0.25">
      <c r="A93" s="28" t="s">
        <v>19</v>
      </c>
      <c r="B93" s="28">
        <f>+B91-B92</f>
        <v>1415411680.0899997</v>
      </c>
      <c r="C93" s="28">
        <f>+C91-C92</f>
        <v>1042558817.0899997</v>
      </c>
      <c r="D93" s="28">
        <f>+D91-D92</f>
        <v>968947568.08999968</v>
      </c>
      <c r="E93" s="28">
        <f>+E91-E92</f>
        <v>968947568.08999968</v>
      </c>
      <c r="H93" s="92"/>
      <c r="I93" s="92"/>
      <c r="J93" s="92"/>
      <c r="K93" s="92"/>
      <c r="L93" s="92"/>
      <c r="M93" s="92"/>
    </row>
    <row r="94" spans="1:13" ht="15" customHeight="1" thickBot="1" x14ac:dyDescent="0.3">
      <c r="A94" s="25"/>
      <c r="B94" s="25"/>
      <c r="C94" s="25"/>
      <c r="D94" s="25"/>
      <c r="E94" s="25"/>
    </row>
    <row r="95" spans="1:13" ht="15" customHeight="1" thickTop="1" x14ac:dyDescent="0.25">
      <c r="A95" s="52" t="s">
        <v>73</v>
      </c>
      <c r="G95" s="115"/>
    </row>
    <row r="96" spans="1:13" ht="38.25" customHeight="1" x14ac:dyDescent="0.25">
      <c r="A96" s="88" t="s">
        <v>80</v>
      </c>
    </row>
    <row r="97" spans="1:7" ht="15" customHeight="1" x14ac:dyDescent="0.25">
      <c r="G97" s="115"/>
    </row>
    <row r="98" spans="1:7" ht="15" customHeight="1" x14ac:dyDescent="0.25">
      <c r="A98" s="69"/>
      <c r="C98" s="89"/>
      <c r="D98" s="118"/>
      <c r="G98" s="115"/>
    </row>
    <row r="99" spans="1:7" ht="15" customHeight="1" x14ac:dyDescent="0.25">
      <c r="A99" s="117" t="s">
        <v>110</v>
      </c>
      <c r="C99" s="89"/>
      <c r="D99" s="118"/>
    </row>
    <row r="100" spans="1:7" ht="15" customHeight="1" x14ac:dyDescent="0.25">
      <c r="A100" s="39"/>
      <c r="C100" s="89"/>
      <c r="D100" s="118"/>
    </row>
    <row r="101" spans="1:7" ht="15" customHeight="1" x14ac:dyDescent="0.25">
      <c r="B101" s="89"/>
      <c r="C101" s="89"/>
      <c r="D101" s="118"/>
      <c r="E101" s="89"/>
      <c r="F101" s="89"/>
    </row>
    <row r="102" spans="1:7" ht="15" customHeight="1" x14ac:dyDescent="0.25">
      <c r="B102" s="89"/>
      <c r="C102" s="89"/>
      <c r="D102" s="118"/>
      <c r="E102" s="89"/>
      <c r="F102" s="89"/>
    </row>
    <row r="103" spans="1:7" ht="15" customHeight="1" x14ac:dyDescent="0.25">
      <c r="B103" s="89"/>
      <c r="C103" s="89"/>
      <c r="D103" s="118"/>
      <c r="E103" s="89"/>
      <c r="F103" s="89"/>
    </row>
    <row r="104" spans="1:7" ht="15" customHeight="1" x14ac:dyDescent="0.25">
      <c r="B104" s="89"/>
      <c r="C104" s="89"/>
      <c r="D104" s="118"/>
      <c r="E104" s="89"/>
      <c r="F104" s="89"/>
    </row>
    <row r="105" spans="1:7" ht="15" customHeight="1" x14ac:dyDescent="0.25">
      <c r="B105" s="89"/>
      <c r="C105" s="89"/>
      <c r="D105" s="118"/>
      <c r="E105" s="89"/>
      <c r="F105" s="89"/>
    </row>
    <row r="106" spans="1:7" ht="15" customHeight="1" x14ac:dyDescent="0.25">
      <c r="B106" s="89"/>
      <c r="C106" s="89"/>
      <c r="D106" s="118"/>
      <c r="E106" s="89"/>
      <c r="F106" s="89"/>
    </row>
    <row r="107" spans="1:7" ht="15" customHeight="1" x14ac:dyDescent="0.25">
      <c r="B107" s="89"/>
      <c r="C107" s="89"/>
      <c r="D107" s="118"/>
      <c r="E107" s="89"/>
      <c r="F107" s="89"/>
    </row>
  </sheetData>
  <mergeCells count="24">
    <mergeCell ref="A33:F33"/>
    <mergeCell ref="A16:A18"/>
    <mergeCell ref="A7:F7"/>
    <mergeCell ref="A34:F34"/>
    <mergeCell ref="A8:F8"/>
    <mergeCell ref="A9:F9"/>
    <mergeCell ref="A32:F32"/>
    <mergeCell ref="A19:A21"/>
    <mergeCell ref="A67:E67"/>
    <mergeCell ref="A68:E68"/>
    <mergeCell ref="A1:F1"/>
    <mergeCell ref="A85:E85"/>
    <mergeCell ref="A54:E54"/>
    <mergeCell ref="A69:E69"/>
    <mergeCell ref="A84:E84"/>
    <mergeCell ref="A13:A15"/>
    <mergeCell ref="A10:F10"/>
    <mergeCell ref="A52:E52"/>
    <mergeCell ref="A53:E53"/>
    <mergeCell ref="A55:E55"/>
    <mergeCell ref="A35:E35"/>
    <mergeCell ref="A82:E82"/>
    <mergeCell ref="A83:E83"/>
    <mergeCell ref="A70:E70"/>
  </mergeCells>
  <printOptions horizontalCentered="1" verticalCentered="1"/>
  <pageMargins left="0.70866141732283472" right="1.18" top="0.3" bottom="0.2" header="0.31496062992125984" footer="0.31496062992125984"/>
  <pageSetup scale="4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M109"/>
  <sheetViews>
    <sheetView zoomScale="80" zoomScaleNormal="80" workbookViewId="0">
      <selection sqref="A1:F1"/>
    </sheetView>
  </sheetViews>
  <sheetFormatPr baseColWidth="10" defaultColWidth="11.5703125" defaultRowHeight="15" customHeight="1" x14ac:dyDescent="0.25"/>
  <cols>
    <col min="1" max="1" width="65.7109375" style="21" customWidth="1"/>
    <col min="2" max="2" width="24.42578125" style="15" customWidth="1"/>
    <col min="3" max="3" width="15.42578125" style="15" bestFit="1" customWidth="1"/>
    <col min="4" max="5" width="16.85546875" style="15" bestFit="1" customWidth="1"/>
    <col min="6" max="6" width="16.140625" style="15" customWidth="1"/>
    <col min="7" max="7" width="16.85546875" style="15" bestFit="1" customWidth="1"/>
    <col min="8" max="8" width="18.140625" style="15" customWidth="1"/>
    <col min="9" max="9" width="17.5703125" style="15" customWidth="1"/>
    <col min="10" max="10" width="15.28515625" style="15" customWidth="1"/>
    <col min="11" max="11" width="12.5703125" style="15" bestFit="1" customWidth="1"/>
    <col min="12" max="12" width="15.140625" style="15" bestFit="1" customWidth="1"/>
    <col min="13" max="16384" width="11.5703125" style="15"/>
  </cols>
  <sheetData>
    <row r="1" spans="1:8" ht="15" customHeight="1" x14ac:dyDescent="0.25">
      <c r="A1" s="242" t="s">
        <v>20</v>
      </c>
      <c r="B1" s="242"/>
      <c r="C1" s="242"/>
      <c r="D1" s="242"/>
      <c r="E1" s="242"/>
      <c r="F1" s="242"/>
    </row>
    <row r="2" spans="1:8" ht="15" customHeight="1" x14ac:dyDescent="0.25">
      <c r="A2" s="3" t="s">
        <v>0</v>
      </c>
      <c r="B2" s="4" t="s">
        <v>22</v>
      </c>
      <c r="C2" s="16"/>
      <c r="D2" s="16"/>
      <c r="E2" s="16"/>
      <c r="F2" s="16"/>
    </row>
    <row r="3" spans="1:8" ht="15" customHeight="1" x14ac:dyDescent="0.25">
      <c r="A3" s="3" t="s">
        <v>1</v>
      </c>
      <c r="B3" s="4" t="s">
        <v>21</v>
      </c>
      <c r="C3" s="16"/>
      <c r="D3" s="16"/>
      <c r="E3" s="16"/>
      <c r="F3" s="16"/>
    </row>
    <row r="4" spans="1:8" ht="15" customHeight="1" x14ac:dyDescent="0.25">
      <c r="A4" s="3" t="s">
        <v>11</v>
      </c>
      <c r="B4" s="16" t="s">
        <v>62</v>
      </c>
      <c r="C4" s="16"/>
      <c r="D4" s="16"/>
      <c r="E4" s="16"/>
      <c r="F4" s="16"/>
    </row>
    <row r="5" spans="1:8" ht="15" customHeight="1" x14ac:dyDescent="0.25">
      <c r="A5" s="3" t="s">
        <v>47</v>
      </c>
      <c r="B5" s="17" t="s">
        <v>118</v>
      </c>
      <c r="C5" s="16"/>
      <c r="D5" s="16"/>
      <c r="E5" s="16"/>
      <c r="F5" s="16"/>
    </row>
    <row r="7" spans="1:8" ht="15" customHeight="1" x14ac:dyDescent="0.25">
      <c r="A7" s="242" t="s">
        <v>9</v>
      </c>
      <c r="B7" s="242"/>
      <c r="C7" s="242"/>
      <c r="D7" s="242"/>
      <c r="E7" s="242"/>
      <c r="F7" s="242"/>
    </row>
    <row r="8" spans="1:8" ht="15" customHeight="1" x14ac:dyDescent="0.25">
      <c r="A8" s="242" t="s">
        <v>12</v>
      </c>
      <c r="B8" s="242"/>
      <c r="C8" s="242"/>
      <c r="D8" s="242"/>
      <c r="E8" s="242"/>
      <c r="F8" s="242"/>
    </row>
    <row r="9" spans="1:8" ht="15" customHeight="1" x14ac:dyDescent="0.25">
      <c r="A9" s="241" t="s">
        <v>50</v>
      </c>
      <c r="B9" s="241"/>
      <c r="C9" s="241"/>
      <c r="D9" s="241"/>
      <c r="E9" s="241"/>
      <c r="F9" s="241"/>
    </row>
    <row r="10" spans="1:8" ht="15" customHeight="1" x14ac:dyDescent="0.25">
      <c r="A10" s="36"/>
      <c r="B10" s="36"/>
      <c r="C10" s="36"/>
      <c r="D10" s="36"/>
      <c r="E10" s="36"/>
      <c r="F10" s="36"/>
    </row>
    <row r="11" spans="1:8" ht="15" customHeight="1" thickBot="1" x14ac:dyDescent="0.3">
      <c r="A11" s="40" t="s">
        <v>65</v>
      </c>
      <c r="B11" s="33"/>
      <c r="C11" s="33" t="s">
        <v>36</v>
      </c>
      <c r="D11" s="33" t="s">
        <v>37</v>
      </c>
      <c r="E11" s="33" t="s">
        <v>38</v>
      </c>
      <c r="F11" s="45" t="s">
        <v>70</v>
      </c>
    </row>
    <row r="12" spans="1:8" ht="15" customHeight="1" x14ac:dyDescent="0.25">
      <c r="H12" s="31"/>
    </row>
    <row r="13" spans="1:8" ht="30" x14ac:dyDescent="0.25">
      <c r="A13" s="250" t="s">
        <v>23</v>
      </c>
      <c r="B13" s="173" t="s">
        <v>59</v>
      </c>
      <c r="C13" s="174">
        <f>+('3 T'!E13-'4 T'!C15)+266</f>
        <v>488</v>
      </c>
      <c r="D13" s="174">
        <f>+(C13-D15)+114</f>
        <v>334</v>
      </c>
      <c r="E13" s="174">
        <f>+(D13-E15)+36</f>
        <v>36</v>
      </c>
      <c r="F13" s="175">
        <f>E13</f>
        <v>36</v>
      </c>
      <c r="G13" s="31"/>
    </row>
    <row r="14" spans="1:8" ht="15" customHeight="1" x14ac:dyDescent="0.25">
      <c r="A14" s="250"/>
      <c r="B14" s="173" t="s">
        <v>60</v>
      </c>
      <c r="C14" s="174">
        <v>1445</v>
      </c>
      <c r="D14" s="174">
        <v>1619</v>
      </c>
      <c r="E14" s="174">
        <v>1696</v>
      </c>
      <c r="F14" s="175">
        <f>AVERAGE(C14:E14)</f>
        <v>1586.6666666666667</v>
      </c>
    </row>
    <row r="15" spans="1:8" ht="15" customHeight="1" x14ac:dyDescent="0.25">
      <c r="A15" s="250"/>
      <c r="B15" s="173" t="s">
        <v>61</v>
      </c>
      <c r="C15" s="174">
        <v>499</v>
      </c>
      <c r="D15" s="174">
        <v>268</v>
      </c>
      <c r="E15" s="174">
        <v>334</v>
      </c>
      <c r="F15" s="175">
        <f>AVERAGE(C15:E15)</f>
        <v>367</v>
      </c>
    </row>
    <row r="16" spans="1:8" ht="30" x14ac:dyDescent="0.25">
      <c r="A16" s="243" t="s">
        <v>24</v>
      </c>
      <c r="B16" s="153" t="s">
        <v>59</v>
      </c>
      <c r="C16" s="176">
        <f>+('3 T'!E16-'4 T'!C18)+105</f>
        <v>105</v>
      </c>
      <c r="D16" s="176">
        <f>+(C16-D18)+86</f>
        <v>118</v>
      </c>
      <c r="E16" s="176">
        <f>+(D16-E18)</f>
        <v>0</v>
      </c>
      <c r="F16" s="177">
        <f>E16</f>
        <v>0</v>
      </c>
      <c r="G16" s="31"/>
    </row>
    <row r="17" spans="1:7" ht="15" customHeight="1" x14ac:dyDescent="0.25">
      <c r="A17" s="243"/>
      <c r="B17" s="153" t="s">
        <v>60</v>
      </c>
      <c r="C17" s="176">
        <v>1168</v>
      </c>
      <c r="D17" s="176">
        <v>1190</v>
      </c>
      <c r="E17" s="176">
        <v>1278</v>
      </c>
      <c r="F17" s="177">
        <f>AVERAGE(C17:E17)</f>
        <v>1212</v>
      </c>
    </row>
    <row r="18" spans="1:7" ht="15" customHeight="1" x14ac:dyDescent="0.25">
      <c r="A18" s="243"/>
      <c r="B18" s="153" t="s">
        <v>61</v>
      </c>
      <c r="C18" s="176">
        <v>57</v>
      </c>
      <c r="D18" s="176">
        <v>73</v>
      </c>
      <c r="E18" s="176">
        <v>118</v>
      </c>
      <c r="F18" s="177">
        <f>AVERAGE(C18:E18)</f>
        <v>82.666666666666671</v>
      </c>
    </row>
    <row r="19" spans="1:7" ht="30" x14ac:dyDescent="0.25">
      <c r="A19" s="249" t="s">
        <v>25</v>
      </c>
      <c r="B19" s="173" t="s">
        <v>59</v>
      </c>
      <c r="C19" s="174">
        <f>+('3 T'!E19-'4 T'!C21)+865</f>
        <v>2015</v>
      </c>
      <c r="D19" s="174">
        <f>+(C19-D21)+425</f>
        <v>1795</v>
      </c>
      <c r="E19" s="174">
        <f>+(D19-E21)-931+731</f>
        <v>731</v>
      </c>
      <c r="F19" s="175">
        <f>E19</f>
        <v>731</v>
      </c>
      <c r="G19" s="31"/>
    </row>
    <row r="20" spans="1:7" ht="15" customHeight="1" x14ac:dyDescent="0.25">
      <c r="A20" s="249"/>
      <c r="B20" s="173" t="s">
        <v>60</v>
      </c>
      <c r="C20" s="174">
        <v>10031</v>
      </c>
      <c r="D20" s="174">
        <v>9982</v>
      </c>
      <c r="E20" s="174">
        <v>11777</v>
      </c>
      <c r="F20" s="175">
        <f>AVERAGE(C20:E20)</f>
        <v>10596.666666666666</v>
      </c>
    </row>
    <row r="21" spans="1:7" ht="15" customHeight="1" x14ac:dyDescent="0.25">
      <c r="A21" s="249"/>
      <c r="B21" s="173" t="s">
        <v>61</v>
      </c>
      <c r="C21" s="174">
        <v>2578</v>
      </c>
      <c r="D21" s="174">
        <v>645</v>
      </c>
      <c r="E21" s="174">
        <v>864</v>
      </c>
      <c r="F21" s="178">
        <f>AVERAGE(C21:E21)</f>
        <v>1362.3333333333333</v>
      </c>
    </row>
    <row r="22" spans="1:7" ht="15" customHeight="1" x14ac:dyDescent="0.25">
      <c r="A22" s="179" t="s">
        <v>76</v>
      </c>
      <c r="B22" s="180" t="s">
        <v>59</v>
      </c>
      <c r="C22" s="181">
        <f>+('3 T'!E22-'4 T'!C24)+25</f>
        <v>25</v>
      </c>
      <c r="D22" s="181">
        <f>+(C22-D24)+114</f>
        <v>114</v>
      </c>
      <c r="E22" s="181">
        <f>+(D22-E24)+24</f>
        <v>24</v>
      </c>
      <c r="F22" s="182">
        <f>E22</f>
        <v>24</v>
      </c>
    </row>
    <row r="23" spans="1:7" ht="15" customHeight="1" x14ac:dyDescent="0.25">
      <c r="A23" s="181"/>
      <c r="B23" s="180" t="s">
        <v>60</v>
      </c>
      <c r="C23" s="181">
        <v>635</v>
      </c>
      <c r="D23" s="181">
        <v>552</v>
      </c>
      <c r="E23" s="181">
        <v>639</v>
      </c>
      <c r="F23" s="183">
        <f>AVERAGE(C23:E23)</f>
        <v>608.66666666666663</v>
      </c>
    </row>
    <row r="24" spans="1:7" ht="15" customHeight="1" x14ac:dyDescent="0.25">
      <c r="A24" s="181"/>
      <c r="B24" s="180" t="s">
        <v>61</v>
      </c>
      <c r="C24" s="181">
        <v>23</v>
      </c>
      <c r="D24" s="181">
        <v>25</v>
      </c>
      <c r="E24" s="181">
        <v>114</v>
      </c>
      <c r="F24" s="183">
        <f>AVERAGE(C24:E24)</f>
        <v>54</v>
      </c>
    </row>
    <row r="25" spans="1:7" ht="15" customHeight="1" x14ac:dyDescent="0.25">
      <c r="A25" s="71"/>
      <c r="B25" s="8"/>
      <c r="C25" s="48"/>
      <c r="D25" s="48"/>
      <c r="E25" s="48"/>
    </row>
    <row r="27" spans="1:7" ht="15" customHeight="1" thickBot="1" x14ac:dyDescent="0.3">
      <c r="A27" s="24" t="s">
        <v>13</v>
      </c>
      <c r="B27" s="25" t="s">
        <v>51</v>
      </c>
      <c r="C27" s="25">
        <f>+C14+C15+C17+C18+C20+C21+C23+C24</f>
        <v>16436</v>
      </c>
      <c r="D27" s="25">
        <f>+D14+D15+D17+D18+D20+D21+D23+D24</f>
        <v>14354</v>
      </c>
      <c r="E27" s="25">
        <f>+E14+E15+E17+E18+E20+E21+E23+E24</f>
        <v>16820</v>
      </c>
      <c r="F27" s="25">
        <f>AVERAGE(C27:E27)</f>
        <v>15870</v>
      </c>
    </row>
    <row r="28" spans="1:7" ht="15" customHeight="1" thickTop="1" x14ac:dyDescent="0.25">
      <c r="A28" s="46" t="s">
        <v>67</v>
      </c>
      <c r="B28" s="28"/>
      <c r="C28" s="28"/>
      <c r="D28" s="28"/>
      <c r="E28" s="28"/>
      <c r="F28" s="28"/>
    </row>
    <row r="29" spans="1:7" ht="15" customHeight="1" x14ac:dyDescent="0.25">
      <c r="A29" s="52" t="s">
        <v>75</v>
      </c>
    </row>
    <row r="30" spans="1:7" ht="15" customHeight="1" x14ac:dyDescent="0.25">
      <c r="A30" s="1"/>
    </row>
    <row r="32" spans="1:7" ht="15" customHeight="1" x14ac:dyDescent="0.25">
      <c r="A32" s="241" t="s">
        <v>14</v>
      </c>
      <c r="B32" s="241"/>
      <c r="C32" s="241"/>
      <c r="D32" s="241"/>
      <c r="E32" s="241"/>
      <c r="F32" s="241"/>
    </row>
    <row r="33" spans="1:10" ht="15" customHeight="1" x14ac:dyDescent="0.25">
      <c r="A33" s="242" t="s">
        <v>31</v>
      </c>
      <c r="B33" s="242"/>
      <c r="C33" s="242"/>
      <c r="D33" s="242"/>
      <c r="E33" s="242"/>
      <c r="F33" s="242"/>
    </row>
    <row r="34" spans="1:10" ht="15" customHeight="1" x14ac:dyDescent="0.25">
      <c r="A34" s="241" t="s">
        <v>52</v>
      </c>
      <c r="B34" s="241"/>
      <c r="C34" s="241"/>
      <c r="D34" s="241"/>
      <c r="E34" s="241"/>
      <c r="F34" s="241"/>
    </row>
    <row r="35" spans="1:10" ht="15" customHeight="1" x14ac:dyDescent="0.25">
      <c r="A35" s="240"/>
      <c r="B35" s="240"/>
      <c r="C35" s="240"/>
      <c r="D35" s="240"/>
      <c r="E35" s="240"/>
    </row>
    <row r="36" spans="1:10" ht="15" customHeight="1" thickBot="1" x14ac:dyDescent="0.3">
      <c r="A36" s="40" t="s">
        <v>65</v>
      </c>
      <c r="B36" s="19"/>
      <c r="C36" s="19" t="s">
        <v>36</v>
      </c>
      <c r="D36" s="19" t="s">
        <v>37</v>
      </c>
      <c r="E36" s="19" t="s">
        <v>38</v>
      </c>
      <c r="F36" s="19" t="s">
        <v>39</v>
      </c>
      <c r="H36" s="193"/>
    </row>
    <row r="38" spans="1:10" ht="15" customHeight="1" x14ac:dyDescent="0.25">
      <c r="A38" s="187" t="s">
        <v>23</v>
      </c>
      <c r="B38" s="188" t="s">
        <v>57</v>
      </c>
      <c r="C38" s="190">
        <v>253582069</v>
      </c>
      <c r="D38" s="190">
        <v>283288931</v>
      </c>
      <c r="E38" s="190">
        <v>378978776</v>
      </c>
      <c r="F38" s="188">
        <f t="shared" ref="F38:F45" si="0">SUM(C38:E38)</f>
        <v>915849776</v>
      </c>
      <c r="G38" s="92"/>
    </row>
    <row r="39" spans="1:10" ht="15" customHeight="1" x14ac:dyDescent="0.25">
      <c r="A39" s="187"/>
      <c r="B39" s="188" t="s">
        <v>56</v>
      </c>
      <c r="C39" s="190">
        <v>148892224</v>
      </c>
      <c r="D39" s="190">
        <v>45991949</v>
      </c>
      <c r="E39" s="190">
        <v>61561208</v>
      </c>
      <c r="F39" s="188">
        <f t="shared" si="0"/>
        <v>256445381</v>
      </c>
      <c r="G39" s="92"/>
    </row>
    <row r="40" spans="1:10" ht="15" customHeight="1" x14ac:dyDescent="0.25">
      <c r="A40" s="156" t="s">
        <v>24</v>
      </c>
      <c r="B40" s="157" t="s">
        <v>57</v>
      </c>
      <c r="C40" s="191">
        <v>83393030</v>
      </c>
      <c r="D40" s="191">
        <v>84967834</v>
      </c>
      <c r="E40" s="191">
        <v>120055900.61</v>
      </c>
      <c r="F40" s="157">
        <f t="shared" si="0"/>
        <v>288416764.61000001</v>
      </c>
      <c r="G40" s="92"/>
    </row>
    <row r="41" spans="1:10" ht="15" customHeight="1" x14ac:dyDescent="0.25">
      <c r="A41" s="156"/>
      <c r="B41" s="157" t="s">
        <v>56</v>
      </c>
      <c r="C41" s="191">
        <v>33715122</v>
      </c>
      <c r="D41" s="191">
        <v>5225486</v>
      </c>
      <c r="E41" s="191">
        <v>7730856</v>
      </c>
      <c r="F41" s="157">
        <f t="shared" si="0"/>
        <v>46671464</v>
      </c>
      <c r="G41" s="92"/>
      <c r="H41" s="92"/>
    </row>
    <row r="42" spans="1:10" ht="15" customHeight="1" x14ac:dyDescent="0.25">
      <c r="A42" s="187" t="s">
        <v>25</v>
      </c>
      <c r="B42" s="188" t="s">
        <v>57</v>
      </c>
      <c r="C42" s="195">
        <v>595576456</v>
      </c>
      <c r="D42" s="189">
        <v>620235825</v>
      </c>
      <c r="E42" s="195">
        <v>1303653874.7</v>
      </c>
      <c r="F42" s="188">
        <f t="shared" si="0"/>
        <v>2519466155.6999998</v>
      </c>
      <c r="H42" s="118" t="s">
        <v>119</v>
      </c>
      <c r="J42" s="92"/>
    </row>
    <row r="43" spans="1:10" ht="15" customHeight="1" x14ac:dyDescent="0.25">
      <c r="A43" s="187"/>
      <c r="B43" s="188" t="s">
        <v>56</v>
      </c>
      <c r="C43" s="189">
        <v>292043708</v>
      </c>
      <c r="D43" s="189">
        <v>46083130</v>
      </c>
      <c r="E43" s="189">
        <v>81223761</v>
      </c>
      <c r="F43" s="188">
        <f t="shared" si="0"/>
        <v>419350599</v>
      </c>
      <c r="H43" s="92"/>
    </row>
    <row r="44" spans="1:10" ht="15" customHeight="1" x14ac:dyDescent="0.25">
      <c r="A44" s="185" t="s">
        <v>76</v>
      </c>
      <c r="B44" s="184" t="s">
        <v>57</v>
      </c>
      <c r="C44" s="184">
        <v>230400000</v>
      </c>
      <c r="D44" s="184">
        <v>206050000</v>
      </c>
      <c r="E44" s="184">
        <v>561306000</v>
      </c>
      <c r="F44" s="182">
        <f t="shared" si="0"/>
        <v>997756000</v>
      </c>
      <c r="H44" s="92"/>
    </row>
    <row r="45" spans="1:10" ht="15" customHeight="1" x14ac:dyDescent="0.25">
      <c r="A45" s="185"/>
      <c r="B45" s="184" t="s">
        <v>56</v>
      </c>
      <c r="C45" s="186">
        <v>8650000</v>
      </c>
      <c r="D45" s="182">
        <v>11550000</v>
      </c>
      <c r="E45" s="182">
        <v>44550000</v>
      </c>
      <c r="F45" s="182">
        <f t="shared" si="0"/>
        <v>64750000</v>
      </c>
      <c r="H45" s="92"/>
    </row>
    <row r="46" spans="1:10" ht="15" customHeight="1" thickBot="1" x14ac:dyDescent="0.3">
      <c r="A46" s="24" t="s">
        <v>13</v>
      </c>
      <c r="B46" s="25"/>
      <c r="C46" s="25">
        <f>SUM(C38:C45)</f>
        <v>1646252609</v>
      </c>
      <c r="D46" s="25">
        <f>SUM(D38:D45)</f>
        <v>1303393155</v>
      </c>
      <c r="E46" s="25">
        <f>SUM(E38:E45)</f>
        <v>2559060376.3099999</v>
      </c>
      <c r="F46" s="25">
        <f>SUM(F38:F45)</f>
        <v>5508706140.3099995</v>
      </c>
      <c r="H46" s="92"/>
    </row>
    <row r="47" spans="1:10" ht="15" customHeight="1" thickTop="1" x14ac:dyDescent="0.25">
      <c r="A47" s="27" t="s">
        <v>64</v>
      </c>
    </row>
    <row r="48" spans="1:10" ht="15" customHeight="1" x14ac:dyDescent="0.25">
      <c r="A48" s="52" t="s">
        <v>73</v>
      </c>
    </row>
    <row r="49" spans="1:5" ht="15" customHeight="1" x14ac:dyDescent="0.25">
      <c r="A49" s="1"/>
    </row>
    <row r="50" spans="1:5" ht="15" customHeight="1" x14ac:dyDescent="0.25">
      <c r="A50" s="1"/>
    </row>
    <row r="52" spans="1:5" ht="15" customHeight="1" x14ac:dyDescent="0.25">
      <c r="A52" s="242" t="s">
        <v>15</v>
      </c>
      <c r="B52" s="242"/>
      <c r="C52" s="242"/>
      <c r="D52" s="242"/>
      <c r="E52" s="242"/>
    </row>
    <row r="53" spans="1:5" ht="15" customHeight="1" x14ac:dyDescent="0.25">
      <c r="A53" s="242" t="s">
        <v>32</v>
      </c>
      <c r="B53" s="242"/>
      <c r="C53" s="242"/>
      <c r="D53" s="242"/>
      <c r="E53" s="242"/>
    </row>
    <row r="54" spans="1:5" ht="15" customHeight="1" x14ac:dyDescent="0.25">
      <c r="A54" s="241" t="s">
        <v>52</v>
      </c>
      <c r="B54" s="241"/>
      <c r="C54" s="241"/>
      <c r="D54" s="241"/>
      <c r="E54" s="241"/>
    </row>
    <row r="55" spans="1:5" ht="15" customHeight="1" x14ac:dyDescent="0.25">
      <c r="A55" s="240"/>
      <c r="B55" s="240"/>
      <c r="C55" s="240"/>
      <c r="D55" s="240"/>
      <c r="E55" s="240"/>
    </row>
    <row r="56" spans="1:5" ht="15" customHeight="1" thickBot="1" x14ac:dyDescent="0.3">
      <c r="A56" s="32" t="s">
        <v>10</v>
      </c>
      <c r="B56" s="33" t="s">
        <v>36</v>
      </c>
      <c r="C56" s="33" t="s">
        <v>37</v>
      </c>
      <c r="D56" s="33" t="s">
        <v>38</v>
      </c>
      <c r="E56" s="33" t="s">
        <v>39</v>
      </c>
    </row>
    <row r="58" spans="1:5" ht="15" customHeight="1" x14ac:dyDescent="0.25">
      <c r="A58" s="21" t="s">
        <v>26</v>
      </c>
      <c r="B58" s="49">
        <f>SUM(C38:C41)</f>
        <v>519582445</v>
      </c>
      <c r="C58" s="49">
        <f t="shared" ref="C58:D58" si="1">SUM(D38:D41)</f>
        <v>419474200</v>
      </c>
      <c r="D58" s="49">
        <f t="shared" si="1"/>
        <v>568326740.61000001</v>
      </c>
      <c r="E58" s="15">
        <f>SUM(B58:D58)</f>
        <v>1507383385.6100001</v>
      </c>
    </row>
    <row r="59" spans="1:5" ht="15" customHeight="1" x14ac:dyDescent="0.25">
      <c r="A59" s="21" t="s">
        <v>43</v>
      </c>
      <c r="B59" s="49">
        <f>SUM(C42:C43)</f>
        <v>887620164</v>
      </c>
      <c r="C59" s="49">
        <f t="shared" ref="C59:D59" si="2">SUM(D42:D43)</f>
        <v>666318955</v>
      </c>
      <c r="D59" s="49">
        <f t="shared" si="2"/>
        <v>1384877635.7</v>
      </c>
      <c r="E59" s="15">
        <f>SUM(B59:D59)</f>
        <v>2938816754.6999998</v>
      </c>
    </row>
    <row r="60" spans="1:5" ht="15" customHeight="1" x14ac:dyDescent="0.25">
      <c r="A60" s="88" t="s">
        <v>77</v>
      </c>
      <c r="B60" s="49">
        <f>SUM(C44:C45)</f>
        <v>239050000</v>
      </c>
      <c r="C60" s="49">
        <f t="shared" ref="C60:D60" si="3">SUM(D44:D45)</f>
        <v>217600000</v>
      </c>
      <c r="D60" s="49">
        <f t="shared" si="3"/>
        <v>605856000</v>
      </c>
      <c r="E60" s="15">
        <f>SUM(B60:D60)</f>
        <v>1062506000</v>
      </c>
    </row>
    <row r="61" spans="1:5" ht="15" customHeight="1" x14ac:dyDescent="0.25">
      <c r="A61" s="21" t="s">
        <v>7</v>
      </c>
      <c r="B61" s="48"/>
      <c r="C61" s="48"/>
      <c r="D61" s="48"/>
      <c r="E61" s="15">
        <f>SUM(B61:D61)</f>
        <v>0</v>
      </c>
    </row>
    <row r="62" spans="1:5" ht="15" customHeight="1" x14ac:dyDescent="0.25">
      <c r="A62" s="21" t="s">
        <v>8</v>
      </c>
      <c r="B62" s="48"/>
      <c r="C62" s="48"/>
      <c r="D62" s="48"/>
      <c r="E62" s="15">
        <f>SUM(B62:D62)</f>
        <v>0</v>
      </c>
    </row>
    <row r="63" spans="1:5" ht="15" customHeight="1" thickBot="1" x14ac:dyDescent="0.3">
      <c r="A63" s="24" t="s">
        <v>13</v>
      </c>
      <c r="B63" s="25">
        <f>SUM(B58:B62)</f>
        <v>1646252609</v>
      </c>
      <c r="C63" s="25">
        <f>SUM(C58:C62)</f>
        <v>1303393155</v>
      </c>
      <c r="D63" s="25">
        <f>SUM(D58:D62)</f>
        <v>2559060376.3099999</v>
      </c>
      <c r="E63" s="25">
        <f>SUM(E58:E62)</f>
        <v>5508706140.3099995</v>
      </c>
    </row>
    <row r="64" spans="1:5" ht="15" customHeight="1" thickTop="1" x14ac:dyDescent="0.25">
      <c r="A64" s="52" t="s">
        <v>73</v>
      </c>
    </row>
    <row r="65" spans="1:10" ht="15" customHeight="1" x14ac:dyDescent="0.25">
      <c r="A65" s="1"/>
    </row>
    <row r="67" spans="1:10" ht="15" customHeight="1" x14ac:dyDescent="0.25">
      <c r="A67" s="242" t="s">
        <v>44</v>
      </c>
      <c r="B67" s="242"/>
      <c r="C67" s="242"/>
      <c r="D67" s="242"/>
      <c r="E67" s="242"/>
    </row>
    <row r="68" spans="1:10" ht="15" customHeight="1" x14ac:dyDescent="0.25">
      <c r="A68" s="230" t="s">
        <v>79</v>
      </c>
      <c r="B68" s="230"/>
      <c r="C68" s="230"/>
      <c r="D68" s="230"/>
      <c r="E68" s="230"/>
    </row>
    <row r="69" spans="1:10" ht="15" customHeight="1" x14ac:dyDescent="0.25">
      <c r="A69" s="241" t="s">
        <v>52</v>
      </c>
      <c r="B69" s="241"/>
      <c r="C69" s="241"/>
      <c r="D69" s="241"/>
      <c r="E69" s="241"/>
    </row>
    <row r="70" spans="1:10" ht="15" customHeight="1" x14ac:dyDescent="0.25">
      <c r="A70" s="240"/>
      <c r="B70" s="240"/>
      <c r="C70" s="240"/>
      <c r="D70" s="240"/>
      <c r="E70" s="240"/>
    </row>
    <row r="71" spans="1:10" ht="15" customHeight="1" thickBot="1" x14ac:dyDescent="0.3">
      <c r="A71" s="32" t="s">
        <v>10</v>
      </c>
      <c r="B71" s="33" t="s">
        <v>36</v>
      </c>
      <c r="C71" s="33" t="s">
        <v>37</v>
      </c>
      <c r="D71" s="33" t="s">
        <v>38</v>
      </c>
      <c r="E71" s="33" t="s">
        <v>39</v>
      </c>
      <c r="G71" s="89"/>
      <c r="H71" s="89"/>
      <c r="I71" s="89"/>
      <c r="J71" s="89"/>
    </row>
    <row r="72" spans="1:10" ht="15" customHeight="1" x14ac:dyDescent="0.25">
      <c r="G72" s="89"/>
      <c r="H72" s="89"/>
      <c r="I72" s="89"/>
      <c r="J72" s="89"/>
    </row>
    <row r="73" spans="1:10" ht="15" customHeight="1" x14ac:dyDescent="0.25">
      <c r="A73" s="15" t="s">
        <v>63</v>
      </c>
      <c r="B73" s="90">
        <f>'3 T'!E77</f>
        <v>355412527.3772459</v>
      </c>
      <c r="C73" s="90">
        <f>B77</f>
        <v>258131749.3772459</v>
      </c>
      <c r="D73" s="90">
        <f>C77</f>
        <v>260959216.3772459</v>
      </c>
      <c r="E73" s="15">
        <f>+B73</f>
        <v>355412527.3772459</v>
      </c>
      <c r="G73" s="89"/>
      <c r="H73" s="89"/>
      <c r="I73" s="89"/>
      <c r="J73" s="89"/>
    </row>
    <row r="74" spans="1:10" ht="15" customHeight="1" x14ac:dyDescent="0.25">
      <c r="A74" s="15" t="s">
        <v>16</v>
      </c>
      <c r="B74" s="63">
        <v>422301667</v>
      </c>
      <c r="C74" s="63">
        <v>422301667</v>
      </c>
      <c r="D74" s="63">
        <f>422301667+1155427.38</f>
        <v>423457094.38</v>
      </c>
      <c r="E74" s="15">
        <f>SUM(B74:D74)</f>
        <v>1268060428.3800001</v>
      </c>
      <c r="G74" s="89"/>
      <c r="H74" s="89"/>
      <c r="I74" s="89"/>
      <c r="J74" s="89"/>
    </row>
    <row r="75" spans="1:10" ht="15" customHeight="1" x14ac:dyDescent="0.25">
      <c r="A75" s="15" t="s">
        <v>17</v>
      </c>
      <c r="B75" s="15">
        <f>B73+B74</f>
        <v>777714194.3772459</v>
      </c>
      <c r="C75" s="15">
        <f>C73+C74</f>
        <v>680433416.3772459</v>
      </c>
      <c r="D75" s="15">
        <f>D73+D74</f>
        <v>684416310.7572459</v>
      </c>
      <c r="E75" s="15">
        <f>+E73+E74</f>
        <v>1623472955.757246</v>
      </c>
      <c r="G75" s="89"/>
      <c r="H75" s="89"/>
      <c r="I75" s="89"/>
      <c r="J75" s="89"/>
    </row>
    <row r="76" spans="1:10" ht="15" customHeight="1" x14ac:dyDescent="0.25">
      <c r="A76" s="15" t="s">
        <v>18</v>
      </c>
      <c r="B76" s="54">
        <f>B58</f>
        <v>519582445</v>
      </c>
      <c r="C76" s="54">
        <f>C58</f>
        <v>419474200</v>
      </c>
      <c r="D76" s="54">
        <f>D58</f>
        <v>568326740.61000001</v>
      </c>
      <c r="E76" s="50">
        <f>SUM(B76:D76)</f>
        <v>1507383385.6100001</v>
      </c>
      <c r="F76" s="89"/>
      <c r="G76" s="92"/>
      <c r="H76" s="92"/>
      <c r="I76" s="89"/>
      <c r="J76" s="89"/>
    </row>
    <row r="77" spans="1:10" ht="15" customHeight="1" x14ac:dyDescent="0.25">
      <c r="A77" s="28" t="s">
        <v>19</v>
      </c>
      <c r="B77" s="28">
        <f>+B75-B76</f>
        <v>258131749.3772459</v>
      </c>
      <c r="C77" s="28">
        <f>+C75-C76</f>
        <v>260959216.3772459</v>
      </c>
      <c r="D77" s="27">
        <f>+D75-D76</f>
        <v>116089570.14724588</v>
      </c>
      <c r="E77" s="53">
        <f>+E75-E76</f>
        <v>116089570.14724588</v>
      </c>
      <c r="F77" s="89"/>
      <c r="G77" s="92"/>
      <c r="H77" s="92"/>
      <c r="I77" s="89"/>
      <c r="J77" s="89"/>
    </row>
    <row r="78" spans="1:10" ht="15" customHeight="1" thickBot="1" x14ac:dyDescent="0.3">
      <c r="A78" s="25"/>
      <c r="B78" s="25"/>
      <c r="C78" s="25"/>
      <c r="D78" s="25"/>
      <c r="E78" s="25"/>
      <c r="F78" s="92"/>
      <c r="G78" s="92"/>
      <c r="H78" s="92"/>
      <c r="I78" s="89"/>
      <c r="J78" s="89"/>
    </row>
    <row r="79" spans="1:10" ht="15" customHeight="1" thickTop="1" x14ac:dyDescent="0.25">
      <c r="A79" s="52" t="s">
        <v>73</v>
      </c>
      <c r="F79" s="92"/>
      <c r="G79" s="92"/>
      <c r="H79" s="92"/>
      <c r="I79" s="89"/>
      <c r="J79" s="89"/>
    </row>
    <row r="80" spans="1:10" ht="15" customHeight="1" x14ac:dyDescent="0.25">
      <c r="A80" s="1"/>
      <c r="F80" s="92"/>
      <c r="G80" s="92"/>
      <c r="H80" s="92"/>
      <c r="I80" s="89"/>
      <c r="J80" s="89"/>
    </row>
    <row r="81" spans="1:13" ht="15" customHeight="1" x14ac:dyDescent="0.25">
      <c r="A81" s="15"/>
      <c r="G81" s="89"/>
      <c r="H81" s="89"/>
      <c r="I81" s="89"/>
      <c r="J81" s="89"/>
    </row>
    <row r="82" spans="1:13" ht="15" customHeight="1" x14ac:dyDescent="0.25">
      <c r="A82" s="242" t="s">
        <v>45</v>
      </c>
      <c r="B82" s="242"/>
      <c r="C82" s="242"/>
      <c r="D82" s="242"/>
      <c r="E82" s="242"/>
      <c r="F82" s="16" t="s">
        <v>54</v>
      </c>
      <c r="G82" s="89"/>
      <c r="H82" s="89"/>
      <c r="I82" s="89"/>
      <c r="J82" s="89"/>
    </row>
    <row r="83" spans="1:13" ht="15" customHeight="1" x14ac:dyDescent="0.25">
      <c r="A83" s="242" t="s">
        <v>49</v>
      </c>
      <c r="B83" s="242"/>
      <c r="C83" s="242"/>
      <c r="D83" s="242"/>
      <c r="E83" s="242"/>
      <c r="F83" s="16">
        <f>E74+E89+E90</f>
        <v>4682462913.1700001</v>
      </c>
      <c r="G83" s="89"/>
      <c r="H83" s="89"/>
      <c r="I83" s="89"/>
      <c r="J83" s="89"/>
    </row>
    <row r="84" spans="1:13" ht="15" customHeight="1" x14ac:dyDescent="0.25">
      <c r="A84" s="241" t="s">
        <v>52</v>
      </c>
      <c r="B84" s="241"/>
      <c r="C84" s="241"/>
      <c r="D84" s="241"/>
      <c r="E84" s="241"/>
      <c r="F84" s="16"/>
      <c r="G84" s="89"/>
      <c r="H84" s="89"/>
      <c r="I84" s="89"/>
      <c r="J84" s="89"/>
    </row>
    <row r="85" spans="1:13" ht="15" customHeight="1" x14ac:dyDescent="0.25">
      <c r="A85" s="240"/>
      <c r="B85" s="240"/>
      <c r="C85" s="240"/>
      <c r="D85" s="240"/>
      <c r="E85" s="240"/>
      <c r="G85" s="89"/>
      <c r="H85" s="89"/>
      <c r="I85" s="89"/>
      <c r="J85" s="89"/>
    </row>
    <row r="86" spans="1:13" ht="15" customHeight="1" thickBot="1" x14ac:dyDescent="0.3">
      <c r="A86" s="32" t="s">
        <v>10</v>
      </c>
      <c r="B86" s="33" t="s">
        <v>36</v>
      </c>
      <c r="C86" s="33" t="s">
        <v>37</v>
      </c>
      <c r="D86" s="33" t="s">
        <v>38</v>
      </c>
      <c r="E86" s="33" t="s">
        <v>39</v>
      </c>
      <c r="G86" s="89"/>
      <c r="H86" s="89"/>
      <c r="I86" s="89"/>
      <c r="J86" s="89"/>
    </row>
    <row r="87" spans="1:13" ht="15" customHeight="1" x14ac:dyDescent="0.25">
      <c r="G87" s="89"/>
      <c r="H87" s="89"/>
      <c r="I87" s="89"/>
      <c r="J87" s="89"/>
    </row>
    <row r="88" spans="1:13" ht="15" customHeight="1" x14ac:dyDescent="0.25">
      <c r="A88" s="15" t="s">
        <v>63</v>
      </c>
      <c r="B88" s="90">
        <f>'3 T'!E93</f>
        <v>968947568.08999968</v>
      </c>
      <c r="C88" s="90">
        <f>B93</f>
        <v>736548037.08999968</v>
      </c>
      <c r="D88" s="90">
        <f>C93</f>
        <v>746899715.08999968</v>
      </c>
      <c r="E88" s="15">
        <f>+B88</f>
        <v>968947568.08999968</v>
      </c>
      <c r="G88" s="89"/>
      <c r="H88" s="89"/>
      <c r="I88" s="89"/>
      <c r="J88" s="89"/>
    </row>
    <row r="89" spans="1:13" ht="15" customHeight="1" x14ac:dyDescent="0.25">
      <c r="A89" s="118" t="s">
        <v>101</v>
      </c>
      <c r="B89" s="63">
        <v>630820633</v>
      </c>
      <c r="C89" s="63">
        <v>630820633</v>
      </c>
      <c r="D89" s="63">
        <f>630820633+(472036858.8+33044608.44)+50743864.9+60306010.98</f>
        <v>1246951976.1200001</v>
      </c>
      <c r="E89" s="15">
        <f>SUM(B89:D89)</f>
        <v>2508593242.1199999</v>
      </c>
      <c r="G89" s="89"/>
      <c r="H89" s="89"/>
      <c r="I89" s="89"/>
      <c r="J89" s="89"/>
      <c r="L89" s="82"/>
    </row>
    <row r="90" spans="1:13" s="82" customFormat="1" ht="15" customHeight="1" x14ac:dyDescent="0.25">
      <c r="A90" s="85" t="s">
        <v>78</v>
      </c>
      <c r="B90" s="63">
        <v>263450000</v>
      </c>
      <c r="C90" s="63">
        <v>263450000</v>
      </c>
      <c r="D90" s="63">
        <f>263450000+115456000+3242.67</f>
        <v>378909242.67000002</v>
      </c>
      <c r="E90" s="82">
        <f>SUM(B90:D90)</f>
        <v>905809242.67000008</v>
      </c>
      <c r="F90" s="115"/>
      <c r="G90" s="89"/>
      <c r="H90" s="89"/>
      <c r="I90" s="89"/>
      <c r="J90" s="89"/>
      <c r="M90" s="118"/>
    </row>
    <row r="91" spans="1:13" ht="15" customHeight="1" x14ac:dyDescent="0.25">
      <c r="A91" s="15" t="s">
        <v>17</v>
      </c>
      <c r="B91" s="15">
        <f>SUM(B88:B90)</f>
        <v>1863218201.0899997</v>
      </c>
      <c r="C91" s="89">
        <f>SUM(C88:C90)</f>
        <v>1630818670.0899997</v>
      </c>
      <c r="D91" s="89">
        <f>SUM(D88:D90)</f>
        <v>2372760933.8799996</v>
      </c>
      <c r="E91" s="15">
        <f>SUM(E88:E90)</f>
        <v>4383350052.8799992</v>
      </c>
      <c r="G91" s="92"/>
      <c r="H91" s="89"/>
      <c r="I91" s="89"/>
      <c r="J91" s="89"/>
    </row>
    <row r="92" spans="1:13" ht="15" customHeight="1" x14ac:dyDescent="0.25">
      <c r="A92" s="15" t="s">
        <v>18</v>
      </c>
      <c r="B92" s="54">
        <f>B59+B60</f>
        <v>1126670164</v>
      </c>
      <c r="C92" s="54">
        <f>C59+C60</f>
        <v>883918955</v>
      </c>
      <c r="D92" s="54">
        <f>D59+D60</f>
        <v>1990733635.7</v>
      </c>
      <c r="E92" s="50">
        <f>SUM(B92:D92)</f>
        <v>4001322754.6999998</v>
      </c>
      <c r="F92" s="31"/>
      <c r="G92" s="92"/>
      <c r="H92" s="89"/>
      <c r="I92" s="89"/>
      <c r="J92" s="89"/>
    </row>
    <row r="93" spans="1:13" ht="15" customHeight="1" x14ac:dyDescent="0.25">
      <c r="A93" s="28" t="s">
        <v>19</v>
      </c>
      <c r="B93" s="28">
        <f>+B91-B92</f>
        <v>736548037.08999968</v>
      </c>
      <c r="C93" s="28">
        <f>+C91-C92</f>
        <v>746899715.08999968</v>
      </c>
      <c r="D93" s="27">
        <f>+D91-D92</f>
        <v>382027298.17999959</v>
      </c>
      <c r="E93" s="53">
        <f>+E91-E92</f>
        <v>382027298.17999935</v>
      </c>
      <c r="F93" s="31"/>
      <c r="G93" s="92"/>
      <c r="H93" s="89"/>
      <c r="I93" s="89"/>
      <c r="J93" s="89"/>
    </row>
    <row r="94" spans="1:13" ht="15" customHeight="1" thickBot="1" x14ac:dyDescent="0.3">
      <c r="A94" s="25"/>
      <c r="B94" s="25"/>
      <c r="C94" s="25"/>
      <c r="D94" s="25"/>
      <c r="E94" s="25"/>
      <c r="F94" s="31"/>
      <c r="G94" s="92"/>
      <c r="H94" s="89"/>
      <c r="I94" s="89"/>
      <c r="J94" s="89"/>
    </row>
    <row r="95" spans="1:13" ht="15" customHeight="1" thickTop="1" x14ac:dyDescent="0.25">
      <c r="A95" s="52" t="s">
        <v>73</v>
      </c>
      <c r="F95" s="31"/>
      <c r="G95" s="89"/>
      <c r="H95" s="89"/>
      <c r="I95" s="89"/>
      <c r="J95" s="89"/>
    </row>
    <row r="96" spans="1:13" ht="15" customHeight="1" x14ac:dyDescent="0.25">
      <c r="A96" s="85" t="s">
        <v>80</v>
      </c>
      <c r="E96" s="92"/>
      <c r="F96" s="31"/>
      <c r="G96" s="89"/>
      <c r="H96" s="89"/>
      <c r="I96" s="89"/>
      <c r="J96" s="89"/>
    </row>
    <row r="97" spans="1:12" ht="15" customHeight="1" x14ac:dyDescent="0.25">
      <c r="E97" s="92"/>
      <c r="F97" s="31"/>
      <c r="G97" s="89"/>
      <c r="H97" s="89"/>
      <c r="I97" s="89"/>
      <c r="J97" s="89"/>
      <c r="L97" s="115"/>
    </row>
    <row r="98" spans="1:12" ht="15" customHeight="1" x14ac:dyDescent="0.25">
      <c r="A98" s="117" t="s">
        <v>111</v>
      </c>
      <c r="E98" s="92"/>
      <c r="F98" s="31"/>
      <c r="G98" s="89"/>
      <c r="H98" s="89"/>
      <c r="I98" s="89"/>
      <c r="J98" s="89"/>
    </row>
    <row r="99" spans="1:12" ht="17.25" customHeight="1" x14ac:dyDescent="0.25">
      <c r="A99" s="39"/>
      <c r="G99" s="89"/>
      <c r="H99" s="89"/>
      <c r="I99" s="89"/>
      <c r="J99" s="89"/>
    </row>
    <row r="100" spans="1:12" ht="15" customHeight="1" x14ac:dyDescent="0.25">
      <c r="A100" s="39"/>
      <c r="B100" s="89"/>
      <c r="C100" s="89"/>
      <c r="D100" s="89"/>
      <c r="E100" s="89"/>
      <c r="F100" s="89"/>
      <c r="G100" s="89"/>
      <c r="H100" s="89"/>
      <c r="I100" s="89"/>
      <c r="J100" s="89"/>
    </row>
    <row r="101" spans="1:12" ht="15" customHeight="1" x14ac:dyDescent="0.25">
      <c r="B101" s="89"/>
      <c r="C101" s="89"/>
      <c r="D101" s="89"/>
      <c r="E101" s="89"/>
      <c r="F101" s="89"/>
      <c r="G101" s="89"/>
      <c r="H101" s="89"/>
      <c r="I101" s="89"/>
      <c r="J101" s="89"/>
    </row>
    <row r="102" spans="1:12" ht="15" customHeight="1" x14ac:dyDescent="0.25">
      <c r="B102" s="89"/>
      <c r="C102" s="89"/>
      <c r="D102" s="89"/>
      <c r="E102" s="89"/>
      <c r="F102" s="89"/>
      <c r="G102" s="89"/>
      <c r="H102" s="89"/>
      <c r="I102" s="89"/>
      <c r="J102" s="89"/>
    </row>
    <row r="103" spans="1:12" ht="15" customHeight="1" x14ac:dyDescent="0.25">
      <c r="B103" s="89"/>
      <c r="C103" s="89"/>
      <c r="D103" s="89"/>
      <c r="E103" s="89"/>
      <c r="F103" s="89"/>
      <c r="G103" s="89"/>
      <c r="H103" s="89"/>
      <c r="I103" s="89"/>
      <c r="J103" s="89"/>
    </row>
    <row r="104" spans="1:12" ht="15" customHeight="1" x14ac:dyDescent="0.25">
      <c r="B104" s="89"/>
      <c r="C104" s="89"/>
      <c r="D104" s="89"/>
      <c r="E104" s="89"/>
      <c r="F104" s="89"/>
      <c r="G104" s="89"/>
      <c r="H104" s="89"/>
      <c r="I104" s="89"/>
      <c r="J104" s="89"/>
    </row>
    <row r="105" spans="1:12" ht="15" customHeight="1" x14ac:dyDescent="0.25">
      <c r="B105" s="89"/>
      <c r="C105" s="89"/>
      <c r="D105" s="89"/>
      <c r="E105" s="89"/>
      <c r="F105" s="89"/>
      <c r="G105" s="89"/>
      <c r="H105" s="89"/>
      <c r="I105" s="89"/>
      <c r="J105" s="89"/>
    </row>
    <row r="106" spans="1:12" ht="15" customHeight="1" x14ac:dyDescent="0.25">
      <c r="B106" s="89"/>
      <c r="C106" s="89"/>
      <c r="D106" s="89"/>
      <c r="E106" s="89"/>
      <c r="F106" s="89"/>
    </row>
    <row r="109" spans="1:12" ht="15" customHeight="1" x14ac:dyDescent="0.25">
      <c r="G109" s="89"/>
    </row>
  </sheetData>
  <mergeCells count="23">
    <mergeCell ref="A35:E35"/>
    <mergeCell ref="A1:F1"/>
    <mergeCell ref="A82:E82"/>
    <mergeCell ref="A83:E83"/>
    <mergeCell ref="A7:F7"/>
    <mergeCell ref="A8:F8"/>
    <mergeCell ref="A9:F9"/>
    <mergeCell ref="A19:A21"/>
    <mergeCell ref="A16:A18"/>
    <mergeCell ref="A13:A15"/>
    <mergeCell ref="A34:F34"/>
    <mergeCell ref="A33:F33"/>
    <mergeCell ref="A32:F32"/>
    <mergeCell ref="A54:E54"/>
    <mergeCell ref="A69:E69"/>
    <mergeCell ref="A85:E85"/>
    <mergeCell ref="A52:E52"/>
    <mergeCell ref="A53:E53"/>
    <mergeCell ref="A55:E55"/>
    <mergeCell ref="A67:E67"/>
    <mergeCell ref="A68:E68"/>
    <mergeCell ref="A70:E70"/>
    <mergeCell ref="A84:E84"/>
  </mergeCells>
  <printOptions horizontalCentered="1" verticalCentered="1"/>
  <pageMargins left="0.70866141732283472" right="1.18" top="0.3" bottom="0.2" header="0.31496062992125984" footer="0.31496062992125984"/>
  <pageSetup scale="33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zoomScale="80" zoomScaleNormal="80" workbookViewId="0">
      <selection sqref="A1:E1"/>
    </sheetView>
  </sheetViews>
  <sheetFormatPr baseColWidth="10" defaultColWidth="11.5703125" defaultRowHeight="15" x14ac:dyDescent="0.25"/>
  <cols>
    <col min="1" max="1" width="65.5703125" style="21" customWidth="1"/>
    <col min="2" max="2" width="23.28515625" style="15" customWidth="1"/>
    <col min="3" max="3" width="18.5703125" style="15" customWidth="1"/>
    <col min="4" max="4" width="16.85546875" style="15" bestFit="1" customWidth="1"/>
    <col min="5" max="5" width="17.42578125" style="15" customWidth="1"/>
    <col min="6" max="6" width="11.5703125" style="15"/>
    <col min="7" max="7" width="15.140625" style="15" bestFit="1" customWidth="1"/>
    <col min="8" max="8" width="13.5703125" style="15" bestFit="1" customWidth="1"/>
    <col min="9" max="9" width="14.28515625" style="15" bestFit="1" customWidth="1"/>
    <col min="10" max="16384" width="11.5703125" style="15"/>
  </cols>
  <sheetData>
    <row r="1" spans="1:6" ht="15" customHeight="1" x14ac:dyDescent="0.25">
      <c r="A1" s="242" t="s">
        <v>20</v>
      </c>
      <c r="B1" s="242"/>
      <c r="C1" s="242"/>
      <c r="D1" s="242"/>
      <c r="E1" s="242"/>
    </row>
    <row r="2" spans="1:6" ht="15" customHeight="1" x14ac:dyDescent="0.25">
      <c r="A2" s="3" t="s">
        <v>0</v>
      </c>
      <c r="B2" s="4" t="s">
        <v>22</v>
      </c>
      <c r="C2" s="16"/>
      <c r="D2" s="16"/>
    </row>
    <row r="3" spans="1:6" ht="15" customHeight="1" x14ac:dyDescent="0.25">
      <c r="A3" s="3" t="s">
        <v>1</v>
      </c>
      <c r="B3" s="4" t="s">
        <v>21</v>
      </c>
      <c r="C3" s="16"/>
      <c r="D3" s="16"/>
    </row>
    <row r="4" spans="1:6" ht="15" customHeight="1" x14ac:dyDescent="0.25">
      <c r="A4" s="3" t="s">
        <v>11</v>
      </c>
      <c r="B4" s="16" t="s">
        <v>62</v>
      </c>
      <c r="C4" s="16"/>
      <c r="D4" s="16"/>
    </row>
    <row r="5" spans="1:6" ht="15" customHeight="1" x14ac:dyDescent="0.25">
      <c r="A5" s="3" t="s">
        <v>53</v>
      </c>
      <c r="B5" s="17" t="s">
        <v>117</v>
      </c>
      <c r="C5" s="16"/>
      <c r="D5" s="16"/>
    </row>
    <row r="6" spans="1:6" ht="15" customHeight="1" x14ac:dyDescent="0.25"/>
    <row r="7" spans="1:6" ht="15" customHeight="1" x14ac:dyDescent="0.25">
      <c r="A7" s="242" t="s">
        <v>9</v>
      </c>
      <c r="B7" s="242"/>
      <c r="C7" s="242"/>
      <c r="D7" s="242"/>
      <c r="E7" s="242"/>
    </row>
    <row r="8" spans="1:6" ht="15" customHeight="1" x14ac:dyDescent="0.25">
      <c r="A8" s="242" t="s">
        <v>12</v>
      </c>
      <c r="B8" s="242"/>
      <c r="C8" s="242"/>
      <c r="D8" s="242"/>
      <c r="E8" s="242"/>
    </row>
    <row r="9" spans="1:6" ht="15" customHeight="1" x14ac:dyDescent="0.25">
      <c r="A9" s="241" t="s">
        <v>50</v>
      </c>
      <c r="B9" s="241"/>
      <c r="C9" s="241"/>
      <c r="D9" s="241"/>
      <c r="E9" s="241"/>
    </row>
    <row r="10" spans="1:6" ht="15" customHeight="1" x14ac:dyDescent="0.25">
      <c r="A10" s="240"/>
      <c r="B10" s="240"/>
      <c r="C10" s="240"/>
      <c r="D10" s="240"/>
      <c r="E10" s="240"/>
    </row>
    <row r="11" spans="1:6" ht="15" customHeight="1" thickBot="1" x14ac:dyDescent="0.3">
      <c r="A11" s="40" t="s">
        <v>65</v>
      </c>
      <c r="B11" s="33"/>
      <c r="C11" s="33" t="s">
        <v>6</v>
      </c>
      <c r="D11" s="33" t="s">
        <v>30</v>
      </c>
      <c r="E11" s="45" t="s">
        <v>69</v>
      </c>
      <c r="F11" s="37"/>
    </row>
    <row r="12" spans="1:6" ht="15" customHeight="1" x14ac:dyDescent="0.25">
      <c r="F12" s="28"/>
    </row>
    <row r="13" spans="1:6" ht="15" customHeight="1" x14ac:dyDescent="0.25">
      <c r="A13" s="252" t="s">
        <v>23</v>
      </c>
      <c r="B13" s="162" t="s">
        <v>59</v>
      </c>
      <c r="C13" s="163">
        <f>+'I T'!F13</f>
        <v>533</v>
      </c>
      <c r="D13" s="163">
        <f>+'2 T'!F13</f>
        <v>427</v>
      </c>
      <c r="E13" s="164">
        <f>D13</f>
        <v>427</v>
      </c>
      <c r="F13" s="53"/>
    </row>
    <row r="14" spans="1:6" ht="15" customHeight="1" x14ac:dyDescent="0.25">
      <c r="A14" s="252"/>
      <c r="B14" s="162" t="s">
        <v>60</v>
      </c>
      <c r="C14" s="163">
        <f>+'I T'!F14</f>
        <v>842</v>
      </c>
      <c r="D14" s="163">
        <f>+'2 T'!F14</f>
        <v>1405.6666666666667</v>
      </c>
      <c r="E14" s="164">
        <f t="shared" ref="E14:E27" si="0">+(C14+D14)/2</f>
        <v>1123.8333333333335</v>
      </c>
      <c r="F14" s="28"/>
    </row>
    <row r="15" spans="1:6" ht="15" customHeight="1" x14ac:dyDescent="0.25">
      <c r="A15" s="252"/>
      <c r="B15" s="162" t="s">
        <v>61</v>
      </c>
      <c r="C15" s="163">
        <f>+'I T'!F15</f>
        <v>585.33333333333337</v>
      </c>
      <c r="D15" s="163">
        <f>+'2 T'!F15</f>
        <v>239.66666666666666</v>
      </c>
      <c r="E15" s="164">
        <f t="shared" si="0"/>
        <v>412.5</v>
      </c>
      <c r="F15" s="28"/>
    </row>
    <row r="16" spans="1:6" ht="15" customHeight="1" x14ac:dyDescent="0.25">
      <c r="A16" s="247" t="s">
        <v>24</v>
      </c>
      <c r="B16" s="169" t="s">
        <v>59</v>
      </c>
      <c r="C16" s="170">
        <f>+'I T'!F16</f>
        <v>206</v>
      </c>
      <c r="D16" s="170">
        <f>+'2 T'!F16</f>
        <v>127</v>
      </c>
      <c r="E16" s="171">
        <f>D16</f>
        <v>127</v>
      </c>
      <c r="F16" s="53"/>
    </row>
    <row r="17" spans="1:6" ht="15" customHeight="1" x14ac:dyDescent="0.25">
      <c r="A17" s="247"/>
      <c r="B17" s="169" t="s">
        <v>60</v>
      </c>
      <c r="C17" s="170">
        <f>+'I T'!F17</f>
        <v>623</v>
      </c>
      <c r="D17" s="170">
        <f>+'2 T'!F17</f>
        <v>997.33333333333337</v>
      </c>
      <c r="E17" s="171">
        <f t="shared" si="0"/>
        <v>810.16666666666674</v>
      </c>
      <c r="F17" s="28"/>
    </row>
    <row r="18" spans="1:6" ht="15" customHeight="1" x14ac:dyDescent="0.25">
      <c r="A18" s="247"/>
      <c r="B18" s="169" t="s">
        <v>61</v>
      </c>
      <c r="C18" s="170">
        <f>+'I T'!F18</f>
        <v>396</v>
      </c>
      <c r="D18" s="170">
        <f>+'2 T'!F18</f>
        <v>160.66666666666666</v>
      </c>
      <c r="E18" s="171">
        <f t="shared" si="0"/>
        <v>278.33333333333331</v>
      </c>
      <c r="F18" s="28"/>
    </row>
    <row r="19" spans="1:6" ht="15" customHeight="1" x14ac:dyDescent="0.25">
      <c r="A19" s="251" t="s">
        <v>25</v>
      </c>
      <c r="B19" s="162" t="s">
        <v>59</v>
      </c>
      <c r="C19" s="163">
        <f>+'I T'!F19</f>
        <v>2312</v>
      </c>
      <c r="D19" s="163">
        <f>+'2 T'!F19</f>
        <v>2658</v>
      </c>
      <c r="E19" s="164">
        <f>D19</f>
        <v>2658</v>
      </c>
      <c r="F19" s="53"/>
    </row>
    <row r="20" spans="1:6" ht="15" customHeight="1" x14ac:dyDescent="0.25">
      <c r="A20" s="251"/>
      <c r="B20" s="162" t="s">
        <v>60</v>
      </c>
      <c r="C20" s="163">
        <f>+'I T'!F20</f>
        <v>9168.5</v>
      </c>
      <c r="D20" s="163">
        <f>+'2 T'!F20</f>
        <v>10327</v>
      </c>
      <c r="E20" s="163">
        <f t="shared" si="0"/>
        <v>9747.75</v>
      </c>
      <c r="F20" s="28"/>
    </row>
    <row r="21" spans="1:6" ht="15" customHeight="1" x14ac:dyDescent="0.25">
      <c r="A21" s="251"/>
      <c r="B21" s="162" t="s">
        <v>61</v>
      </c>
      <c r="C21" s="163">
        <f>+'I T'!F21</f>
        <v>3322</v>
      </c>
      <c r="D21" s="163">
        <f>+'2 T'!F21</f>
        <v>594.66666666666663</v>
      </c>
      <c r="E21" s="163">
        <f t="shared" si="0"/>
        <v>1958.3333333333333</v>
      </c>
      <c r="F21" s="28"/>
    </row>
    <row r="22" spans="1:6" ht="15" customHeight="1" x14ac:dyDescent="0.25">
      <c r="A22" s="165" t="s">
        <v>76</v>
      </c>
      <c r="B22" s="166" t="s">
        <v>59</v>
      </c>
      <c r="C22" s="167">
        <f>+'I T'!F22</f>
        <v>397</v>
      </c>
      <c r="D22" s="167">
        <f>+'2 T'!F22</f>
        <v>1408</v>
      </c>
      <c r="E22" s="167">
        <f>D22</f>
        <v>1408</v>
      </c>
      <c r="F22" s="28"/>
    </row>
    <row r="23" spans="1:6" ht="15" customHeight="1" x14ac:dyDescent="0.25">
      <c r="A23" s="168"/>
      <c r="B23" s="166" t="s">
        <v>60</v>
      </c>
      <c r="C23" s="167">
        <f>+'I T'!F23</f>
        <v>259.66666666666669</v>
      </c>
      <c r="D23" s="167">
        <f>+'2 T'!F23</f>
        <v>265.66666666666669</v>
      </c>
      <c r="E23" s="167">
        <f t="shared" si="0"/>
        <v>262.66666666666669</v>
      </c>
      <c r="F23" s="28"/>
    </row>
    <row r="24" spans="1:6" ht="15" customHeight="1" x14ac:dyDescent="0.25">
      <c r="A24" s="168"/>
      <c r="B24" s="166" t="s">
        <v>61</v>
      </c>
      <c r="C24" s="167">
        <f>+'I T'!F24</f>
        <v>232.66666666666666</v>
      </c>
      <c r="D24" s="167">
        <f>+'2 T'!F24</f>
        <v>14.333333333333334</v>
      </c>
      <c r="E24" s="167">
        <f t="shared" si="0"/>
        <v>123.5</v>
      </c>
      <c r="F24" s="28"/>
    </row>
    <row r="25" spans="1:6" ht="15" customHeight="1" x14ac:dyDescent="0.25">
      <c r="A25" s="71"/>
      <c r="B25" s="8"/>
      <c r="F25" s="28"/>
    </row>
    <row r="26" spans="1:6" ht="15" customHeight="1" x14ac:dyDescent="0.25">
      <c r="A26" s="23"/>
      <c r="F26" s="28"/>
    </row>
    <row r="27" spans="1:6" ht="15" customHeight="1" thickBot="1" x14ac:dyDescent="0.3">
      <c r="A27" s="24" t="s">
        <v>13</v>
      </c>
      <c r="B27" s="25"/>
      <c r="C27" s="25">
        <f>+C14+C15+C17+C18+C20+C21+C23+C24</f>
        <v>15429.166666666666</v>
      </c>
      <c r="D27" s="25">
        <f>+D14+D15+D17+D18+D20+D21+D23+D24</f>
        <v>14005</v>
      </c>
      <c r="E27" s="25">
        <f t="shared" si="0"/>
        <v>14717.083333333332</v>
      </c>
      <c r="F27" s="28"/>
    </row>
    <row r="28" spans="1:6" ht="15" customHeight="1" thickTop="1" x14ac:dyDescent="0.25">
      <c r="A28" s="46" t="s">
        <v>67</v>
      </c>
      <c r="B28" s="28"/>
      <c r="C28" s="28"/>
      <c r="D28" s="28"/>
      <c r="E28" s="28"/>
      <c r="F28" s="28"/>
    </row>
    <row r="29" spans="1:6" ht="15" customHeight="1" x14ac:dyDescent="0.25">
      <c r="A29" s="52" t="s">
        <v>73</v>
      </c>
    </row>
    <row r="30" spans="1:6" ht="15" customHeight="1" x14ac:dyDescent="0.25">
      <c r="A30" s="1"/>
    </row>
    <row r="31" spans="1:6" ht="15" customHeight="1" x14ac:dyDescent="0.25"/>
    <row r="32" spans="1:6" ht="15" customHeight="1" x14ac:dyDescent="0.25">
      <c r="A32" s="241" t="s">
        <v>14</v>
      </c>
      <c r="B32" s="241"/>
      <c r="C32" s="241"/>
      <c r="D32" s="241"/>
      <c r="E32" s="241"/>
    </row>
    <row r="33" spans="1:5" ht="15" customHeight="1" x14ac:dyDescent="0.25">
      <c r="A33" s="242" t="s">
        <v>31</v>
      </c>
      <c r="B33" s="242"/>
      <c r="C33" s="242"/>
      <c r="D33" s="242"/>
      <c r="E33" s="242"/>
    </row>
    <row r="34" spans="1:5" ht="15" customHeight="1" x14ac:dyDescent="0.25">
      <c r="A34" s="241" t="s">
        <v>52</v>
      </c>
      <c r="B34" s="241"/>
      <c r="C34" s="241"/>
      <c r="D34" s="241"/>
      <c r="E34" s="241"/>
    </row>
    <row r="35" spans="1:5" ht="15" customHeight="1" x14ac:dyDescent="0.25">
      <c r="A35" s="240"/>
      <c r="B35" s="240"/>
      <c r="C35" s="240"/>
      <c r="D35" s="240"/>
    </row>
    <row r="36" spans="1:5" ht="15" customHeight="1" thickBot="1" x14ac:dyDescent="0.3">
      <c r="A36" s="40" t="s">
        <v>65</v>
      </c>
      <c r="B36" s="19"/>
      <c r="C36" s="19" t="s">
        <v>6</v>
      </c>
      <c r="D36" s="19" t="s">
        <v>30</v>
      </c>
      <c r="E36" s="19" t="s">
        <v>41</v>
      </c>
    </row>
    <row r="37" spans="1:5" ht="15" customHeight="1" x14ac:dyDescent="0.25"/>
    <row r="38" spans="1:5" ht="15" customHeight="1" x14ac:dyDescent="0.25">
      <c r="A38" s="23" t="s">
        <v>23</v>
      </c>
      <c r="B38" s="15" t="s">
        <v>57</v>
      </c>
      <c r="C38" s="15">
        <f>+'I T'!F38</f>
        <v>507343095</v>
      </c>
      <c r="D38" s="15">
        <f>+'2 T'!F38</f>
        <v>811927909</v>
      </c>
      <c r="E38" s="15">
        <f t="shared" ref="E38:E43" si="1">+C38+D38</f>
        <v>1319271004</v>
      </c>
    </row>
    <row r="39" spans="1:5" ht="15" customHeight="1" x14ac:dyDescent="0.25">
      <c r="A39" s="23"/>
      <c r="B39" s="15" t="s">
        <v>56</v>
      </c>
      <c r="C39" s="15">
        <f>+'I T'!F39</f>
        <v>341986827</v>
      </c>
      <c r="D39" s="15">
        <f>+'2 T'!F39</f>
        <v>154260934</v>
      </c>
      <c r="E39" s="15">
        <f t="shared" si="1"/>
        <v>496247761</v>
      </c>
    </row>
    <row r="40" spans="1:5" ht="15" customHeight="1" x14ac:dyDescent="0.25">
      <c r="A40" s="23" t="s">
        <v>24</v>
      </c>
      <c r="B40" s="15" t="s">
        <v>57</v>
      </c>
      <c r="C40" s="15">
        <f>+'I T'!F40</f>
        <v>166857642</v>
      </c>
      <c r="D40" s="15">
        <f>+'2 T'!F40</f>
        <v>231209860</v>
      </c>
      <c r="E40" s="15">
        <f t="shared" si="1"/>
        <v>398067502</v>
      </c>
    </row>
    <row r="41" spans="1:5" ht="15" customHeight="1" x14ac:dyDescent="0.25">
      <c r="A41" s="23"/>
      <c r="B41" s="15" t="s">
        <v>56</v>
      </c>
      <c r="C41" s="15">
        <f>+'I T'!F41</f>
        <v>97136774</v>
      </c>
      <c r="D41" s="15">
        <f>+'2 T'!F41</f>
        <v>35934164</v>
      </c>
      <c r="E41" s="15">
        <f t="shared" si="1"/>
        <v>133070938</v>
      </c>
    </row>
    <row r="42" spans="1:5" ht="15" customHeight="1" x14ac:dyDescent="0.25">
      <c r="A42" s="23" t="s">
        <v>25</v>
      </c>
      <c r="B42" s="15" t="s">
        <v>57</v>
      </c>
      <c r="C42" s="15">
        <f>+'I T'!F42</f>
        <v>1065475851</v>
      </c>
      <c r="D42" s="15">
        <f>+'2 T'!F42</f>
        <v>1759684859.97</v>
      </c>
      <c r="E42" s="15">
        <f t="shared" si="1"/>
        <v>2825160710.9700003</v>
      </c>
    </row>
    <row r="43" spans="1:5" ht="15" customHeight="1" x14ac:dyDescent="0.25">
      <c r="A43" s="23"/>
      <c r="B43" s="15" t="s">
        <v>56</v>
      </c>
      <c r="C43" s="15">
        <f>+'I T'!F43</f>
        <v>603165411</v>
      </c>
      <c r="D43" s="15">
        <f>+'2 T'!F43</f>
        <v>65572970</v>
      </c>
      <c r="E43" s="15">
        <f t="shared" si="1"/>
        <v>668738381</v>
      </c>
    </row>
    <row r="44" spans="1:5" ht="15" customHeight="1" x14ac:dyDescent="0.25">
      <c r="A44" s="72" t="s">
        <v>76</v>
      </c>
      <c r="B44" s="49" t="s">
        <v>57</v>
      </c>
      <c r="C44" s="76">
        <f>+'I T'!F44</f>
        <v>306700000</v>
      </c>
      <c r="D44" s="76">
        <f>+'2 T'!F44</f>
        <v>338750000</v>
      </c>
      <c r="E44" s="76">
        <f>+C44+D44</f>
        <v>645450000</v>
      </c>
    </row>
    <row r="45" spans="1:5" ht="15" customHeight="1" x14ac:dyDescent="0.25">
      <c r="A45" s="72"/>
      <c r="B45" s="49" t="s">
        <v>56</v>
      </c>
      <c r="C45" s="76">
        <f>+'I T'!F45</f>
        <v>289700000</v>
      </c>
      <c r="D45" s="76">
        <f>+'2 T'!F45</f>
        <v>21750000</v>
      </c>
      <c r="E45" s="76">
        <f>+C45+D45</f>
        <v>311450000</v>
      </c>
    </row>
    <row r="46" spans="1:5" ht="15" customHeight="1" thickBot="1" x14ac:dyDescent="0.3">
      <c r="A46" s="24" t="s">
        <v>13</v>
      </c>
      <c r="B46" s="25"/>
      <c r="C46" s="25">
        <f>SUM(C38:C45)</f>
        <v>3378365600</v>
      </c>
      <c r="D46" s="25">
        <f>SUM(D38:D45)</f>
        <v>3419090696.9700003</v>
      </c>
      <c r="E46" s="25">
        <f>SUM(E38:E45)</f>
        <v>6797456296.9700003</v>
      </c>
    </row>
    <row r="47" spans="1:5" ht="15" customHeight="1" thickTop="1" x14ac:dyDescent="0.25">
      <c r="A47" s="27" t="s">
        <v>42</v>
      </c>
      <c r="E47" s="28"/>
    </row>
    <row r="48" spans="1:5" ht="15" customHeight="1" x14ac:dyDescent="0.25">
      <c r="A48" s="52" t="s">
        <v>73</v>
      </c>
    </row>
    <row r="49" spans="1:5" ht="15" customHeight="1" x14ac:dyDescent="0.25">
      <c r="A49" s="1"/>
    </row>
    <row r="50" spans="1:5" ht="15" customHeight="1" x14ac:dyDescent="0.25">
      <c r="A50" s="1"/>
    </row>
    <row r="51" spans="1:5" ht="15" customHeight="1" x14ac:dyDescent="0.25"/>
    <row r="52" spans="1:5" ht="15" customHeight="1" x14ac:dyDescent="0.25">
      <c r="A52" s="242" t="s">
        <v>15</v>
      </c>
      <c r="B52" s="242"/>
      <c r="C52" s="242"/>
      <c r="D52" s="242"/>
    </row>
    <row r="53" spans="1:5" ht="15" customHeight="1" x14ac:dyDescent="0.25">
      <c r="A53" s="242" t="s">
        <v>32</v>
      </c>
      <c r="B53" s="242"/>
      <c r="C53" s="242"/>
      <c r="D53" s="242"/>
    </row>
    <row r="54" spans="1:5" ht="15" customHeight="1" x14ac:dyDescent="0.25">
      <c r="A54" s="241" t="s">
        <v>52</v>
      </c>
      <c r="B54" s="241"/>
      <c r="C54" s="241"/>
      <c r="D54" s="241"/>
    </row>
    <row r="55" spans="1:5" ht="15" customHeight="1" x14ac:dyDescent="0.25">
      <c r="A55" s="240"/>
      <c r="B55" s="240"/>
      <c r="C55" s="240"/>
      <c r="D55" s="240"/>
    </row>
    <row r="56" spans="1:5" ht="15" customHeight="1" thickBot="1" x14ac:dyDescent="0.3">
      <c r="A56" s="32" t="s">
        <v>10</v>
      </c>
      <c r="B56" s="33" t="s">
        <v>6</v>
      </c>
      <c r="C56" s="33" t="s">
        <v>30</v>
      </c>
      <c r="D56" s="33" t="s">
        <v>41</v>
      </c>
      <c r="E56" s="37"/>
    </row>
    <row r="57" spans="1:5" ht="15" customHeight="1" x14ac:dyDescent="0.25">
      <c r="E57" s="28"/>
    </row>
    <row r="58" spans="1:5" ht="15" customHeight="1" x14ac:dyDescent="0.25">
      <c r="A58" s="21" t="s">
        <v>26</v>
      </c>
      <c r="B58" s="15">
        <f>+'I T'!E58</f>
        <v>1113324338</v>
      </c>
      <c r="C58" s="15">
        <f>+'2 T'!E58</f>
        <v>1233332867</v>
      </c>
      <c r="D58" s="15">
        <f>+B58+C58</f>
        <v>2346657205</v>
      </c>
      <c r="E58" s="28"/>
    </row>
    <row r="59" spans="1:5" ht="15" customHeight="1" x14ac:dyDescent="0.25">
      <c r="A59" s="21" t="s">
        <v>43</v>
      </c>
      <c r="B59" s="15">
        <f>+'I T'!E59</f>
        <v>1668641262</v>
      </c>
      <c r="C59" s="15">
        <f>+'2 T'!E59</f>
        <v>1825257829.97</v>
      </c>
      <c r="D59" s="15">
        <f>+B59+C59</f>
        <v>3493899091.9700003</v>
      </c>
      <c r="E59" s="28"/>
    </row>
    <row r="60" spans="1:5" ht="15" customHeight="1" x14ac:dyDescent="0.25">
      <c r="A60" s="85" t="s">
        <v>77</v>
      </c>
      <c r="B60" s="15">
        <f>+'I T'!E60</f>
        <v>596400000</v>
      </c>
      <c r="C60" s="15">
        <f>+'2 T'!E60</f>
        <v>360500000</v>
      </c>
      <c r="D60" s="15">
        <f>+B60+C60</f>
        <v>956900000</v>
      </c>
      <c r="E60" s="28"/>
    </row>
    <row r="61" spans="1:5" ht="15" customHeight="1" x14ac:dyDescent="0.25">
      <c r="E61" s="28"/>
    </row>
    <row r="62" spans="1:5" ht="15" customHeight="1" x14ac:dyDescent="0.25">
      <c r="E62" s="28"/>
    </row>
    <row r="63" spans="1:5" ht="15" customHeight="1" thickBot="1" x14ac:dyDescent="0.3">
      <c r="A63" s="24" t="s">
        <v>13</v>
      </c>
      <c r="B63" s="25">
        <f>SUM(B58:B62)</f>
        <v>3378365600</v>
      </c>
      <c r="C63" s="25">
        <f>SUM(C58:C62)</f>
        <v>3419090696.9700003</v>
      </c>
      <c r="D63" s="25">
        <f>SUM(D58:D62)</f>
        <v>6797456296.9700003</v>
      </c>
      <c r="E63" s="28"/>
    </row>
    <row r="64" spans="1:5" ht="15" customHeight="1" thickTop="1" x14ac:dyDescent="0.25">
      <c r="A64" s="52" t="s">
        <v>73</v>
      </c>
    </row>
    <row r="65" spans="1:5" ht="15" customHeight="1" x14ac:dyDescent="0.25">
      <c r="A65" s="1"/>
    </row>
    <row r="66" spans="1:5" ht="15" customHeight="1" x14ac:dyDescent="0.25"/>
    <row r="67" spans="1:5" ht="15" customHeight="1" x14ac:dyDescent="0.25">
      <c r="A67" s="242" t="s">
        <v>44</v>
      </c>
      <c r="B67" s="242"/>
      <c r="C67" s="242"/>
      <c r="D67" s="242"/>
    </row>
    <row r="68" spans="1:5" ht="15" customHeight="1" x14ac:dyDescent="0.25">
      <c r="A68" s="230" t="s">
        <v>79</v>
      </c>
      <c r="B68" s="230"/>
      <c r="C68" s="230"/>
      <c r="D68" s="230"/>
      <c r="E68" s="230"/>
    </row>
    <row r="69" spans="1:5" ht="15" customHeight="1" x14ac:dyDescent="0.25">
      <c r="A69" s="241" t="s">
        <v>52</v>
      </c>
      <c r="B69" s="241"/>
      <c r="C69" s="241"/>
      <c r="D69" s="241"/>
    </row>
    <row r="70" spans="1:5" ht="15" customHeight="1" x14ac:dyDescent="0.25">
      <c r="A70" s="240"/>
      <c r="B70" s="240"/>
      <c r="C70" s="240"/>
      <c r="D70" s="240"/>
    </row>
    <row r="71" spans="1:5" ht="15" customHeight="1" thickBot="1" x14ac:dyDescent="0.3">
      <c r="A71" s="32" t="s">
        <v>10</v>
      </c>
      <c r="B71" s="33" t="s">
        <v>6</v>
      </c>
      <c r="C71" s="33" t="s">
        <v>30</v>
      </c>
      <c r="D71" s="33" t="s">
        <v>41</v>
      </c>
      <c r="E71" s="37"/>
    </row>
    <row r="72" spans="1:5" ht="15" customHeight="1" x14ac:dyDescent="0.25">
      <c r="E72" s="28"/>
    </row>
    <row r="73" spans="1:5" ht="15" customHeight="1" x14ac:dyDescent="0.25">
      <c r="A73" s="15" t="s">
        <v>63</v>
      </c>
      <c r="B73" s="15">
        <f>+'I T'!E73</f>
        <v>19546663.377245903</v>
      </c>
      <c r="C73" s="15">
        <f>+'2 T'!E73</f>
        <v>173127326.3772459</v>
      </c>
      <c r="D73" s="15">
        <f>B73</f>
        <v>19546663.377245903</v>
      </c>
      <c r="E73" s="28"/>
    </row>
    <row r="74" spans="1:5" ht="15" customHeight="1" x14ac:dyDescent="0.25">
      <c r="A74" s="15" t="s">
        <v>16</v>
      </c>
      <c r="B74" s="15">
        <f>+'I T'!E74</f>
        <v>1266905001</v>
      </c>
      <c r="C74" s="15">
        <f>+'2 T'!E74</f>
        <v>1266905001</v>
      </c>
      <c r="D74" s="15">
        <f>+B74+C74</f>
        <v>2533810002</v>
      </c>
      <c r="E74" s="28"/>
    </row>
    <row r="75" spans="1:5" ht="15" customHeight="1" x14ac:dyDescent="0.25">
      <c r="A75" s="15" t="s">
        <v>17</v>
      </c>
      <c r="B75" s="15">
        <f>+'I T'!E75</f>
        <v>1286451664.3772459</v>
      </c>
      <c r="C75" s="15">
        <f>+'2 T'!E75</f>
        <v>1440032327.3772459</v>
      </c>
      <c r="D75" s="15">
        <f>+D73+D74</f>
        <v>2553356665.3772459</v>
      </c>
      <c r="E75" s="28"/>
    </row>
    <row r="76" spans="1:5" ht="15" customHeight="1" x14ac:dyDescent="0.25">
      <c r="A76" s="15" t="s">
        <v>18</v>
      </c>
      <c r="B76" s="15">
        <f>+'I T'!E76</f>
        <v>1113324338</v>
      </c>
      <c r="C76" s="15">
        <f>+'2 T'!E76</f>
        <v>1233332867</v>
      </c>
      <c r="D76" s="15">
        <f>+B76+C76</f>
        <v>2346657205</v>
      </c>
      <c r="E76" s="28"/>
    </row>
    <row r="77" spans="1:5" ht="15" customHeight="1" x14ac:dyDescent="0.25">
      <c r="A77" s="28" t="s">
        <v>19</v>
      </c>
      <c r="B77" s="28">
        <f>+'I T'!E77</f>
        <v>173127326.3772459</v>
      </c>
      <c r="C77" s="28">
        <f>+'2 T'!E77</f>
        <v>206699460.3772459</v>
      </c>
      <c r="D77" s="28">
        <f>+D75-D76</f>
        <v>206699460.3772459</v>
      </c>
      <c r="E77" s="28"/>
    </row>
    <row r="78" spans="1:5" ht="15" customHeight="1" thickBot="1" x14ac:dyDescent="0.3">
      <c r="A78" s="25"/>
      <c r="B78" s="25"/>
      <c r="C78" s="25"/>
      <c r="D78" s="25"/>
      <c r="E78" s="28"/>
    </row>
    <row r="79" spans="1:5" ht="15" customHeight="1" thickTop="1" x14ac:dyDescent="0.25">
      <c r="A79" s="52" t="s">
        <v>73</v>
      </c>
    </row>
    <row r="80" spans="1:5" ht="15" customHeight="1" x14ac:dyDescent="0.25">
      <c r="A80" s="1"/>
    </row>
    <row r="81" spans="1:5" ht="15" customHeight="1" x14ac:dyDescent="0.25">
      <c r="A81" s="15"/>
      <c r="E81" s="16"/>
    </row>
    <row r="82" spans="1:5" ht="15" customHeight="1" x14ac:dyDescent="0.25">
      <c r="A82" s="242" t="s">
        <v>45</v>
      </c>
      <c r="B82" s="242"/>
      <c r="C82" s="242"/>
      <c r="D82" s="242"/>
      <c r="E82" s="16" t="s">
        <v>55</v>
      </c>
    </row>
    <row r="83" spans="1:5" x14ac:dyDescent="0.25">
      <c r="A83" s="242" t="s">
        <v>48</v>
      </c>
      <c r="B83" s="242"/>
      <c r="C83" s="242"/>
      <c r="D83" s="242"/>
      <c r="E83" s="16">
        <f>D74+D89</f>
        <v>6318733800</v>
      </c>
    </row>
    <row r="84" spans="1:5" x14ac:dyDescent="0.25">
      <c r="A84" s="241" t="s">
        <v>52</v>
      </c>
      <c r="B84" s="241"/>
      <c r="C84" s="241"/>
      <c r="D84" s="241"/>
      <c r="E84" s="16"/>
    </row>
    <row r="85" spans="1:5" x14ac:dyDescent="0.25">
      <c r="A85" s="240"/>
      <c r="B85" s="240"/>
      <c r="C85" s="240"/>
      <c r="D85" s="240"/>
    </row>
    <row r="86" spans="1:5" ht="15.75" thickBot="1" x14ac:dyDescent="0.3">
      <c r="A86" s="32" t="s">
        <v>10</v>
      </c>
      <c r="B86" s="33" t="s">
        <v>6</v>
      </c>
      <c r="C86" s="33" t="s">
        <v>30</v>
      </c>
      <c r="D86" s="33" t="s">
        <v>41</v>
      </c>
    </row>
    <row r="88" spans="1:5" x14ac:dyDescent="0.25">
      <c r="A88" s="15" t="s">
        <v>63</v>
      </c>
      <c r="B88" s="15">
        <f>+'I T'!E88</f>
        <v>337820659.06</v>
      </c>
      <c r="C88" s="15">
        <f>+'2 T'!E88</f>
        <v>755591296.05999994</v>
      </c>
      <c r="D88" s="15">
        <f>B88</f>
        <v>337820659.06</v>
      </c>
    </row>
    <row r="89" spans="1:5" x14ac:dyDescent="0.25">
      <c r="A89" s="15" t="s">
        <v>16</v>
      </c>
      <c r="B89" s="15">
        <f>+'I T'!E89</f>
        <v>1892461899</v>
      </c>
      <c r="C89" s="15">
        <f>+'2 T'!E89</f>
        <v>1892461899</v>
      </c>
      <c r="D89" s="15">
        <f>+B89+C89</f>
        <v>3784923798</v>
      </c>
    </row>
    <row r="90" spans="1:5" s="82" customFormat="1" x14ac:dyDescent="0.25">
      <c r="A90" s="85" t="s">
        <v>78</v>
      </c>
      <c r="B90" s="82">
        <f>+'I T'!E90</f>
        <v>790350000</v>
      </c>
      <c r="C90" s="82">
        <f>+'2 T'!E90</f>
        <v>790350000</v>
      </c>
      <c r="D90" s="82">
        <f>+B90+C90</f>
        <v>1580700000</v>
      </c>
    </row>
    <row r="91" spans="1:5" x14ac:dyDescent="0.25">
      <c r="A91" s="15" t="s">
        <v>17</v>
      </c>
      <c r="B91" s="15">
        <f>+'I T'!E91</f>
        <v>3020632558.0599999</v>
      </c>
      <c r="C91" s="15">
        <f>+'2 T'!E91</f>
        <v>3438403195.0599999</v>
      </c>
      <c r="D91" s="15">
        <f>SUM(D88:D90)</f>
        <v>5703444457.0599995</v>
      </c>
    </row>
    <row r="92" spans="1:5" x14ac:dyDescent="0.25">
      <c r="A92" s="15" t="s">
        <v>18</v>
      </c>
      <c r="B92" s="15">
        <f>+'I T'!E92</f>
        <v>2265041262</v>
      </c>
      <c r="C92" s="15">
        <f>+'2 T'!E92</f>
        <v>2185757829.9700003</v>
      </c>
      <c r="D92" s="15">
        <f>+B92+C92</f>
        <v>4450799091.9700003</v>
      </c>
    </row>
    <row r="93" spans="1:5" x14ac:dyDescent="0.25">
      <c r="A93" s="28" t="s">
        <v>19</v>
      </c>
      <c r="B93" s="28">
        <f>+'I T'!E93</f>
        <v>755591296.05999994</v>
      </c>
      <c r="C93" s="28">
        <f>+'2 T'!E93</f>
        <v>1252645365.0899997</v>
      </c>
      <c r="D93" s="28">
        <f>+D91-D92</f>
        <v>1252645365.0899992</v>
      </c>
    </row>
    <row r="94" spans="1:5" ht="15.75" thickBot="1" x14ac:dyDescent="0.3">
      <c r="A94" s="25"/>
      <c r="B94" s="25"/>
      <c r="C94" s="25"/>
      <c r="D94" s="25"/>
    </row>
    <row r="95" spans="1:5" ht="15.75" thickTop="1" x14ac:dyDescent="0.25">
      <c r="A95" s="52" t="s">
        <v>73</v>
      </c>
    </row>
    <row r="96" spans="1:5" ht="30" x14ac:dyDescent="0.25">
      <c r="A96" s="85" t="s">
        <v>80</v>
      </c>
    </row>
    <row r="98" spans="1:1" x14ac:dyDescent="0.25">
      <c r="A98" s="117" t="s">
        <v>102</v>
      </c>
    </row>
    <row r="99" spans="1:1" x14ac:dyDescent="0.25">
      <c r="A99" s="39"/>
    </row>
    <row r="100" spans="1:1" x14ac:dyDescent="0.25">
      <c r="A100" s="39"/>
    </row>
  </sheetData>
  <mergeCells count="24">
    <mergeCell ref="A1:E1"/>
    <mergeCell ref="A13:A15"/>
    <mergeCell ref="A16:A18"/>
    <mergeCell ref="A32:E32"/>
    <mergeCell ref="A33:E33"/>
    <mergeCell ref="A34:E34"/>
    <mergeCell ref="A9:E9"/>
    <mergeCell ref="A83:D83"/>
    <mergeCell ref="A7:E7"/>
    <mergeCell ref="A8:E8"/>
    <mergeCell ref="A10:E10"/>
    <mergeCell ref="A54:D54"/>
    <mergeCell ref="A69:D69"/>
    <mergeCell ref="A68:E68"/>
    <mergeCell ref="A19:A21"/>
    <mergeCell ref="A85:D85"/>
    <mergeCell ref="A35:D35"/>
    <mergeCell ref="A52:D52"/>
    <mergeCell ref="A53:D53"/>
    <mergeCell ref="A55:D55"/>
    <mergeCell ref="A84:D84"/>
    <mergeCell ref="A67:D67"/>
    <mergeCell ref="A70:D70"/>
    <mergeCell ref="A82:D8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119"/>
  <sheetViews>
    <sheetView zoomScale="80" zoomScaleNormal="80" workbookViewId="0">
      <selection sqref="A1:E1"/>
    </sheetView>
  </sheetViews>
  <sheetFormatPr baseColWidth="10" defaultColWidth="11.5703125" defaultRowHeight="15" x14ac:dyDescent="0.25"/>
  <cols>
    <col min="1" max="1" width="64.85546875" style="21" customWidth="1"/>
    <col min="2" max="2" width="24.85546875" style="15" customWidth="1"/>
    <col min="3" max="3" width="25" style="15" customWidth="1"/>
    <col min="4" max="4" width="21.140625" style="15" customWidth="1"/>
    <col min="5" max="6" width="16.85546875" style="15" bestFit="1" customWidth="1"/>
    <col min="7" max="7" width="17.140625" style="15" customWidth="1"/>
    <col min="8" max="16384" width="11.5703125" style="15"/>
  </cols>
  <sheetData>
    <row r="1" spans="1:7" ht="15" customHeight="1" x14ac:dyDescent="0.25">
      <c r="A1" s="242" t="s">
        <v>20</v>
      </c>
      <c r="B1" s="242"/>
      <c r="C1" s="242"/>
      <c r="D1" s="242"/>
      <c r="E1" s="242"/>
    </row>
    <row r="2" spans="1:7" ht="15" customHeight="1" x14ac:dyDescent="0.25">
      <c r="A2" s="3" t="s">
        <v>0</v>
      </c>
      <c r="B2" s="38" t="s">
        <v>22</v>
      </c>
      <c r="C2" s="17"/>
      <c r="D2" s="17"/>
      <c r="E2" s="23"/>
    </row>
    <row r="3" spans="1:7" ht="15" customHeight="1" x14ac:dyDescent="0.25">
      <c r="A3" s="3" t="s">
        <v>1</v>
      </c>
      <c r="B3" s="38" t="s">
        <v>21</v>
      </c>
      <c r="C3" s="38"/>
      <c r="D3" s="38"/>
      <c r="E3" s="23"/>
    </row>
    <row r="4" spans="1:7" ht="15" customHeight="1" x14ac:dyDescent="0.25">
      <c r="A4" s="3" t="s">
        <v>11</v>
      </c>
      <c r="B4" s="17" t="s">
        <v>62</v>
      </c>
      <c r="C4" s="17"/>
      <c r="D4" s="17"/>
      <c r="E4" s="23"/>
    </row>
    <row r="5" spans="1:7" ht="15" customHeight="1" x14ac:dyDescent="0.25">
      <c r="A5" s="3" t="s">
        <v>2</v>
      </c>
      <c r="B5" s="44">
        <v>2019</v>
      </c>
      <c r="C5" s="17"/>
      <c r="D5" s="17"/>
      <c r="E5" s="23"/>
    </row>
    <row r="6" spans="1:7" ht="15" customHeight="1" x14ac:dyDescent="0.25"/>
    <row r="7" spans="1:7" ht="15" customHeight="1" x14ac:dyDescent="0.25">
      <c r="A7" s="242" t="s">
        <v>9</v>
      </c>
      <c r="B7" s="242"/>
      <c r="C7" s="242"/>
      <c r="D7" s="242"/>
      <c r="E7" s="242"/>
      <c r="F7" s="242"/>
      <c r="G7" s="242"/>
    </row>
    <row r="8" spans="1:7" ht="15" customHeight="1" x14ac:dyDescent="0.25">
      <c r="A8" s="242" t="s">
        <v>12</v>
      </c>
      <c r="B8" s="242"/>
      <c r="C8" s="242"/>
      <c r="D8" s="242"/>
      <c r="E8" s="242"/>
      <c r="F8" s="242"/>
      <c r="G8" s="242"/>
    </row>
    <row r="9" spans="1:7" ht="15" customHeight="1" x14ac:dyDescent="0.25">
      <c r="A9" s="241" t="s">
        <v>50</v>
      </c>
      <c r="B9" s="241"/>
      <c r="C9" s="241"/>
      <c r="D9" s="241"/>
      <c r="E9" s="241"/>
      <c r="F9" s="241"/>
      <c r="G9" s="241"/>
    </row>
    <row r="10" spans="1:7" ht="15" customHeight="1" x14ac:dyDescent="0.25">
      <c r="A10" s="240"/>
      <c r="B10" s="240"/>
      <c r="C10" s="240"/>
      <c r="D10" s="240"/>
      <c r="E10" s="240"/>
      <c r="F10" s="240"/>
      <c r="G10" s="240"/>
    </row>
    <row r="11" spans="1:7" ht="15" customHeight="1" thickBot="1" x14ac:dyDescent="0.3">
      <c r="A11" s="40" t="s">
        <v>65</v>
      </c>
      <c r="B11" s="33"/>
      <c r="C11" s="33" t="s">
        <v>6</v>
      </c>
      <c r="D11" s="33" t="s">
        <v>30</v>
      </c>
      <c r="E11" s="33" t="s">
        <v>35</v>
      </c>
      <c r="F11" s="33" t="s">
        <v>39</v>
      </c>
      <c r="G11" s="47" t="s">
        <v>68</v>
      </c>
    </row>
    <row r="12" spans="1:7" ht="15" customHeight="1" x14ac:dyDescent="0.25">
      <c r="F12" s="28"/>
    </row>
    <row r="13" spans="1:7" ht="15" customHeight="1" x14ac:dyDescent="0.25">
      <c r="A13" s="244" t="s">
        <v>23</v>
      </c>
      <c r="B13" s="8" t="s">
        <v>59</v>
      </c>
      <c r="C13" s="15">
        <f>+'I T'!F13</f>
        <v>533</v>
      </c>
      <c r="D13" s="15">
        <f>+'2 T'!F13</f>
        <v>427</v>
      </c>
      <c r="E13" s="15">
        <f>+'3 T'!F13</f>
        <v>721</v>
      </c>
      <c r="F13" s="28">
        <f>+'4 T'!F13</f>
        <v>36</v>
      </c>
      <c r="G13" s="55">
        <f>F13</f>
        <v>36</v>
      </c>
    </row>
    <row r="14" spans="1:7" ht="15" customHeight="1" x14ac:dyDescent="0.25">
      <c r="A14" s="244"/>
      <c r="B14" s="8" t="s">
        <v>60</v>
      </c>
      <c r="C14" s="15">
        <f>+'I T'!F14</f>
        <v>842</v>
      </c>
      <c r="D14" s="15">
        <f>+'2 T'!F14</f>
        <v>1405.6666666666667</v>
      </c>
      <c r="E14" s="15">
        <f>+'3 T'!F14</f>
        <v>1510.6666666666667</v>
      </c>
      <c r="F14" s="28">
        <f>+'4 T'!F14</f>
        <v>1586.6666666666667</v>
      </c>
      <c r="G14" s="55">
        <f t="shared" ref="G14:G27" si="0">+(+C14+D14+E14+F14)/4</f>
        <v>1336.2500000000002</v>
      </c>
    </row>
    <row r="15" spans="1:7" ht="15" customHeight="1" x14ac:dyDescent="0.25">
      <c r="A15" s="244"/>
      <c r="B15" s="8" t="s">
        <v>61</v>
      </c>
      <c r="C15" s="15">
        <f>+'I T'!F15</f>
        <v>585.33333333333337</v>
      </c>
      <c r="D15" s="15">
        <f>+'2 T'!F15</f>
        <v>239.66666666666666</v>
      </c>
      <c r="E15" s="15">
        <f>+'3 T'!F15</f>
        <v>107.66666666666667</v>
      </c>
      <c r="F15" s="28">
        <f>+'4 T'!F15</f>
        <v>367</v>
      </c>
      <c r="G15" s="55">
        <f t="shared" si="0"/>
        <v>324.91666666666663</v>
      </c>
    </row>
    <row r="16" spans="1:7" ht="15" customHeight="1" x14ac:dyDescent="0.25">
      <c r="A16" s="244" t="s">
        <v>24</v>
      </c>
      <c r="B16" s="8" t="s">
        <v>59</v>
      </c>
      <c r="C16" s="15">
        <f>+'I T'!F16</f>
        <v>206</v>
      </c>
      <c r="D16" s="15">
        <f>+'2 T'!F16</f>
        <v>127</v>
      </c>
      <c r="E16" s="15">
        <f>+'3 T'!F16</f>
        <v>57</v>
      </c>
      <c r="F16" s="28">
        <f>+'4 T'!F16</f>
        <v>0</v>
      </c>
      <c r="G16" s="55">
        <f>F16</f>
        <v>0</v>
      </c>
    </row>
    <row r="17" spans="1:7" ht="15" customHeight="1" x14ac:dyDescent="0.25">
      <c r="A17" s="244"/>
      <c r="B17" s="8" t="s">
        <v>60</v>
      </c>
      <c r="C17" s="15">
        <f>+'I T'!F17</f>
        <v>623</v>
      </c>
      <c r="D17" s="15">
        <f>+'2 T'!F17</f>
        <v>997.33333333333337</v>
      </c>
      <c r="E17" s="15">
        <f>+'3 T'!F17</f>
        <v>1185</v>
      </c>
      <c r="F17" s="28">
        <f>+'4 T'!F17</f>
        <v>1212</v>
      </c>
      <c r="G17" s="55">
        <f t="shared" si="0"/>
        <v>1004.3333333333334</v>
      </c>
    </row>
    <row r="18" spans="1:7" ht="15" customHeight="1" x14ac:dyDescent="0.25">
      <c r="A18" s="244"/>
      <c r="B18" s="8" t="s">
        <v>61</v>
      </c>
      <c r="C18" s="15">
        <f>+'I T'!F18</f>
        <v>396</v>
      </c>
      <c r="D18" s="15">
        <f>+'2 T'!F18</f>
        <v>160.66666666666666</v>
      </c>
      <c r="E18" s="15">
        <f>+'3 T'!F18</f>
        <v>67.333333333333329</v>
      </c>
      <c r="F18" s="28">
        <f>+'4 T'!F18</f>
        <v>82.666666666666671</v>
      </c>
      <c r="G18" s="55">
        <f t="shared" si="0"/>
        <v>176.66666666666666</v>
      </c>
    </row>
    <row r="19" spans="1:7" ht="15" customHeight="1" x14ac:dyDescent="0.25">
      <c r="A19" s="254" t="s">
        <v>25</v>
      </c>
      <c r="B19" s="8" t="s">
        <v>59</v>
      </c>
      <c r="C19" s="15">
        <f>+'I T'!F19</f>
        <v>2312</v>
      </c>
      <c r="D19" s="15">
        <f>+'2 T'!F19</f>
        <v>2658</v>
      </c>
      <c r="E19" s="15">
        <f>+'3 T'!F19</f>
        <v>3728</v>
      </c>
      <c r="F19" s="28">
        <f>+'4 T'!F19</f>
        <v>731</v>
      </c>
      <c r="G19" s="55">
        <f>F19</f>
        <v>731</v>
      </c>
    </row>
    <row r="20" spans="1:7" ht="15" customHeight="1" x14ac:dyDescent="0.25">
      <c r="A20" s="254"/>
      <c r="B20" s="8" t="s">
        <v>60</v>
      </c>
      <c r="C20" s="15">
        <f>+'I T'!F20</f>
        <v>9168.5</v>
      </c>
      <c r="D20" s="15">
        <f>+'2 T'!F20</f>
        <v>10327</v>
      </c>
      <c r="E20" s="15">
        <f>+'3 T'!F20</f>
        <v>9790.6666666666661</v>
      </c>
      <c r="F20" s="28">
        <f>+'4 T'!F20</f>
        <v>10596.666666666666</v>
      </c>
      <c r="G20" s="15">
        <f t="shared" si="0"/>
        <v>9970.7083333333321</v>
      </c>
    </row>
    <row r="21" spans="1:7" ht="15" customHeight="1" x14ac:dyDescent="0.25">
      <c r="A21" s="254"/>
      <c r="B21" s="8" t="s">
        <v>61</v>
      </c>
      <c r="C21" s="15">
        <f>+'I T'!F21</f>
        <v>3322</v>
      </c>
      <c r="D21" s="15">
        <f>+'2 T'!F21</f>
        <v>594.66666666666663</v>
      </c>
      <c r="E21" s="15">
        <f>+'3 T'!F21</f>
        <v>575</v>
      </c>
      <c r="F21" s="28">
        <f>+'4 T'!F21</f>
        <v>1362.3333333333333</v>
      </c>
      <c r="G21" s="15">
        <f t="shared" si="0"/>
        <v>1463.4999999999998</v>
      </c>
    </row>
    <row r="22" spans="1:7" ht="15" customHeight="1" x14ac:dyDescent="0.25">
      <c r="A22" s="75" t="s">
        <v>76</v>
      </c>
      <c r="B22" s="73" t="s">
        <v>59</v>
      </c>
      <c r="C22" s="76">
        <f>+'I T'!F22</f>
        <v>397</v>
      </c>
      <c r="D22" s="76">
        <f>+'2 T'!F22</f>
        <v>1408</v>
      </c>
      <c r="E22" s="76">
        <f>+'3 T'!F22</f>
        <v>23</v>
      </c>
      <c r="F22" s="77">
        <f>+'4 T'!F22</f>
        <v>24</v>
      </c>
      <c r="G22" s="76">
        <f>F22</f>
        <v>24</v>
      </c>
    </row>
    <row r="23" spans="1:7" ht="15" customHeight="1" x14ac:dyDescent="0.25">
      <c r="A23" s="74"/>
      <c r="B23" s="73" t="s">
        <v>60</v>
      </c>
      <c r="C23" s="76">
        <f>+'I T'!F23</f>
        <v>259.66666666666669</v>
      </c>
      <c r="D23" s="76">
        <f>+'2 T'!F23</f>
        <v>265.66666666666669</v>
      </c>
      <c r="E23" s="76">
        <f>+'3 T'!F23</f>
        <v>511.66666666666669</v>
      </c>
      <c r="F23" s="77">
        <f>+'4 T'!F23</f>
        <v>608.66666666666663</v>
      </c>
      <c r="G23" s="76">
        <f>+(+C23+D23+E23+F23)</f>
        <v>1645.6666666666665</v>
      </c>
    </row>
    <row r="24" spans="1:7" ht="15" customHeight="1" x14ac:dyDescent="0.25">
      <c r="A24" s="74"/>
      <c r="B24" s="73" t="s">
        <v>61</v>
      </c>
      <c r="C24" s="76">
        <f>+'I T'!F24</f>
        <v>232.66666666666666</v>
      </c>
      <c r="D24" s="76">
        <f>+'2 T'!F24</f>
        <v>14.333333333333334</v>
      </c>
      <c r="E24" s="76">
        <f>+'3 T'!F24</f>
        <v>577.66666666666663</v>
      </c>
      <c r="F24" s="77">
        <f>+'4 T'!F24</f>
        <v>54</v>
      </c>
      <c r="G24" s="76">
        <f>+(+C24+D24+E24+F24)</f>
        <v>878.66666666666663</v>
      </c>
    </row>
    <row r="25" spans="1:7" ht="15" customHeight="1" x14ac:dyDescent="0.25">
      <c r="A25" s="71"/>
      <c r="B25" s="8"/>
      <c r="F25" s="28"/>
    </row>
    <row r="26" spans="1:7" ht="15" customHeight="1" x14ac:dyDescent="0.25">
      <c r="A26" s="23"/>
      <c r="F26" s="28"/>
      <c r="G26" s="15">
        <f>+(+C26+D26+E26+F26)/4</f>
        <v>0</v>
      </c>
    </row>
    <row r="27" spans="1:7" ht="15" customHeight="1" thickBot="1" x14ac:dyDescent="0.3">
      <c r="A27" s="24" t="s">
        <v>13</v>
      </c>
      <c r="B27" s="25" t="s">
        <v>51</v>
      </c>
      <c r="C27" s="25">
        <f>+C14+C15+C17+C18+C20+C21+C23+C24</f>
        <v>15429.166666666666</v>
      </c>
      <c r="D27" s="25">
        <f>+D14+D15+D17+D18+D20+D21+D23+D24</f>
        <v>14005</v>
      </c>
      <c r="E27" s="25">
        <f>+E14+E15+E17+E18+E20+E21+E23+E24</f>
        <v>14325.666666666664</v>
      </c>
      <c r="F27" s="25">
        <f>+F14+F15+F17+F18+F20+F21+F23+F24</f>
        <v>15870</v>
      </c>
      <c r="G27" s="25">
        <f t="shared" si="0"/>
        <v>14907.458333333332</v>
      </c>
    </row>
    <row r="28" spans="1:7" ht="15" customHeight="1" thickTop="1" x14ac:dyDescent="0.25">
      <c r="A28" s="46" t="s">
        <v>67</v>
      </c>
      <c r="B28" s="28"/>
      <c r="C28" s="28"/>
      <c r="D28" s="28"/>
      <c r="E28" s="28"/>
      <c r="F28" s="28"/>
    </row>
    <row r="29" spans="1:7" ht="15" customHeight="1" x14ac:dyDescent="0.25">
      <c r="A29" s="52" t="s">
        <v>73</v>
      </c>
    </row>
    <row r="30" spans="1:7" ht="15" customHeight="1" x14ac:dyDescent="0.25">
      <c r="A30" s="1"/>
    </row>
    <row r="31" spans="1:7" ht="15" customHeight="1" x14ac:dyDescent="0.25">
      <c r="A31" s="1"/>
    </row>
    <row r="32" spans="1:7" ht="15" customHeight="1" x14ac:dyDescent="0.25">
      <c r="A32" s="241" t="s">
        <v>14</v>
      </c>
      <c r="B32" s="241"/>
      <c r="C32" s="241"/>
      <c r="D32" s="241"/>
      <c r="E32" s="241"/>
      <c r="F32" s="241"/>
    </row>
    <row r="33" spans="1:7" ht="15" customHeight="1" x14ac:dyDescent="0.25">
      <c r="A33" s="242" t="s">
        <v>31</v>
      </c>
      <c r="B33" s="242"/>
      <c r="C33" s="242"/>
      <c r="D33" s="242"/>
      <c r="E33" s="242"/>
      <c r="F33" s="242"/>
    </row>
    <row r="34" spans="1:7" ht="15" customHeight="1" x14ac:dyDescent="0.25">
      <c r="A34" s="241" t="s">
        <v>52</v>
      </c>
      <c r="B34" s="241"/>
      <c r="C34" s="241"/>
      <c r="D34" s="241"/>
      <c r="E34" s="241"/>
      <c r="F34" s="241"/>
      <c r="G34" s="241"/>
    </row>
    <row r="35" spans="1:7" ht="15" customHeight="1" x14ac:dyDescent="0.25">
      <c r="A35" s="240"/>
      <c r="B35" s="240"/>
      <c r="C35" s="240"/>
      <c r="D35" s="240"/>
      <c r="E35" s="240"/>
      <c r="F35" s="240"/>
    </row>
    <row r="36" spans="1:7" ht="15" customHeight="1" thickBot="1" x14ac:dyDescent="0.3">
      <c r="A36" s="40" t="s">
        <v>65</v>
      </c>
      <c r="B36" s="19"/>
      <c r="C36" s="19" t="s">
        <v>6</v>
      </c>
      <c r="D36" s="19" t="s">
        <v>30</v>
      </c>
      <c r="E36" s="19" t="s">
        <v>35</v>
      </c>
      <c r="F36" s="19" t="s">
        <v>39</v>
      </c>
      <c r="G36" s="19" t="s">
        <v>40</v>
      </c>
    </row>
    <row r="37" spans="1:7" ht="15" customHeight="1" x14ac:dyDescent="0.25"/>
    <row r="38" spans="1:7" ht="15" customHeight="1" x14ac:dyDescent="0.25">
      <c r="A38" s="23" t="s">
        <v>23</v>
      </c>
      <c r="B38" s="15" t="s">
        <v>57</v>
      </c>
      <c r="C38" s="15">
        <f>+'I T'!F38</f>
        <v>507343095</v>
      </c>
      <c r="D38" s="15">
        <f>+'2 T'!F38</f>
        <v>811927909</v>
      </c>
      <c r="E38" s="15">
        <f>+'3 T'!F38</f>
        <v>794032209</v>
      </c>
      <c r="F38" s="15">
        <f>+'4 T'!F38</f>
        <v>915849776</v>
      </c>
      <c r="G38" s="15">
        <f t="shared" ref="G38:G45" si="1">SUM(C38:F38)</f>
        <v>3029152989</v>
      </c>
    </row>
    <row r="39" spans="1:7" ht="15" customHeight="1" x14ac:dyDescent="0.25">
      <c r="A39" s="23"/>
      <c r="B39" s="15" t="s">
        <v>56</v>
      </c>
      <c r="C39" s="15">
        <f>+'I T'!F39</f>
        <v>341986827</v>
      </c>
      <c r="D39" s="15">
        <f>+'2 T'!F39</f>
        <v>154260934</v>
      </c>
      <c r="E39" s="15">
        <f>+'3 T'!F39</f>
        <v>57087283</v>
      </c>
      <c r="F39" s="15">
        <f>+'4 T'!F39</f>
        <v>256445381</v>
      </c>
      <c r="G39" s="15">
        <f t="shared" si="1"/>
        <v>809780425</v>
      </c>
    </row>
    <row r="40" spans="1:7" ht="15" customHeight="1" x14ac:dyDescent="0.25">
      <c r="A40" s="23" t="s">
        <v>24</v>
      </c>
      <c r="B40" s="15" t="s">
        <v>57</v>
      </c>
      <c r="C40" s="15">
        <f>+'I T'!F40</f>
        <v>166857642</v>
      </c>
      <c r="D40" s="15">
        <f>+'2 T'!F40</f>
        <v>231209860</v>
      </c>
      <c r="E40" s="15">
        <f>+'3 T'!F40</f>
        <v>253615026</v>
      </c>
      <c r="F40" s="15">
        <f>+'4 T'!F40</f>
        <v>288416764.61000001</v>
      </c>
      <c r="G40" s="15">
        <f t="shared" si="1"/>
        <v>940099292.61000001</v>
      </c>
    </row>
    <row r="41" spans="1:7" ht="15" customHeight="1" x14ac:dyDescent="0.25">
      <c r="A41" s="23"/>
      <c r="B41" s="15" t="s">
        <v>56</v>
      </c>
      <c r="C41" s="15">
        <f>+'I T'!F41</f>
        <v>97136774</v>
      </c>
      <c r="D41" s="15">
        <f>+'2 T'!F41</f>
        <v>35934164</v>
      </c>
      <c r="E41" s="15">
        <f>+'3 T'!F41</f>
        <v>13457416</v>
      </c>
      <c r="F41" s="15">
        <f>+'4 T'!F41</f>
        <v>46671464</v>
      </c>
      <c r="G41" s="15">
        <f t="shared" si="1"/>
        <v>193199818</v>
      </c>
    </row>
    <row r="42" spans="1:7" ht="15" customHeight="1" x14ac:dyDescent="0.25">
      <c r="A42" s="253" t="s">
        <v>25</v>
      </c>
      <c r="B42" s="15" t="s">
        <v>57</v>
      </c>
      <c r="C42" s="15">
        <f>+'I T'!F42</f>
        <v>1065475851</v>
      </c>
      <c r="D42" s="15">
        <f>+'2 T'!F42</f>
        <v>1759684859.97</v>
      </c>
      <c r="E42" s="15">
        <f>+'3 T'!F42</f>
        <v>1642681301</v>
      </c>
      <c r="F42" s="15">
        <f>+'4 T'!F42</f>
        <v>2519466155.6999998</v>
      </c>
      <c r="G42" s="15">
        <f t="shared" si="1"/>
        <v>6987308167.6700001</v>
      </c>
    </row>
    <row r="43" spans="1:7" ht="15" customHeight="1" x14ac:dyDescent="0.25">
      <c r="A43" s="253"/>
      <c r="B43" s="15" t="s">
        <v>56</v>
      </c>
      <c r="C43" s="15">
        <f>+'I T'!F43</f>
        <v>603165411</v>
      </c>
      <c r="D43" s="15">
        <f>+'2 T'!F43</f>
        <v>65572970</v>
      </c>
      <c r="E43" s="15">
        <f>+'3 T'!F43</f>
        <v>91028395</v>
      </c>
      <c r="F43" s="15">
        <f>+'4 T'!F43</f>
        <v>419350599</v>
      </c>
      <c r="G43" s="15">
        <f t="shared" si="1"/>
        <v>1179117375</v>
      </c>
    </row>
    <row r="44" spans="1:7" ht="15" customHeight="1" x14ac:dyDescent="0.25">
      <c r="A44" s="72" t="s">
        <v>76</v>
      </c>
      <c r="B44" s="49" t="s">
        <v>57</v>
      </c>
      <c r="C44" s="15">
        <f>+'I T'!F44</f>
        <v>306700000</v>
      </c>
      <c r="D44" s="15">
        <f>+'2 T'!F44</f>
        <v>338750000</v>
      </c>
      <c r="E44" s="15">
        <f>+'3 T'!F44</f>
        <v>588300000</v>
      </c>
      <c r="F44" s="15">
        <f>+'4 T'!F44</f>
        <v>997756000</v>
      </c>
      <c r="G44" s="15">
        <f t="shared" si="1"/>
        <v>2231506000</v>
      </c>
    </row>
    <row r="45" spans="1:7" ht="15" customHeight="1" x14ac:dyDescent="0.25">
      <c r="A45" s="72"/>
      <c r="B45" s="49" t="s">
        <v>56</v>
      </c>
      <c r="C45" s="15">
        <f>+'I T'!F45</f>
        <v>289700000</v>
      </c>
      <c r="D45" s="15">
        <f>+'2 T'!F45</f>
        <v>21750000</v>
      </c>
      <c r="E45" s="15">
        <f>+'3 T'!F45</f>
        <v>644500000</v>
      </c>
      <c r="F45" s="15">
        <f>+'4 T'!F45</f>
        <v>64750000</v>
      </c>
      <c r="G45" s="15">
        <f t="shared" si="1"/>
        <v>1020700000</v>
      </c>
    </row>
    <row r="46" spans="1:7" ht="15" customHeight="1" thickBot="1" x14ac:dyDescent="0.3">
      <c r="A46" s="24" t="s">
        <v>13</v>
      </c>
      <c r="B46" s="25"/>
      <c r="C46" s="25">
        <f>SUM(C38:C45)</f>
        <v>3378365600</v>
      </c>
      <c r="D46" s="25">
        <f>SUM(D38:D45)</f>
        <v>3419090696.9700003</v>
      </c>
      <c r="E46" s="25">
        <f>SUM(E38:E45)</f>
        <v>4084701630</v>
      </c>
      <c r="F46" s="25">
        <f>SUM(F38:F45)</f>
        <v>5508706140.3099995</v>
      </c>
      <c r="G46" s="25">
        <f>SUM(G38:G45)</f>
        <v>16390864067.279999</v>
      </c>
    </row>
    <row r="47" spans="1:7" ht="15" customHeight="1" thickTop="1" x14ac:dyDescent="0.25">
      <c r="A47" s="27" t="s">
        <v>42</v>
      </c>
    </row>
    <row r="48" spans="1:7" ht="15" customHeight="1" x14ac:dyDescent="0.25">
      <c r="A48" s="52" t="s">
        <v>73</v>
      </c>
    </row>
    <row r="49" spans="1:7" ht="15" customHeight="1" x14ac:dyDescent="0.25">
      <c r="A49" s="1"/>
    </row>
    <row r="50" spans="1:7" ht="15" customHeight="1" x14ac:dyDescent="0.25">
      <c r="A50" s="1"/>
    </row>
    <row r="51" spans="1:7" ht="15" customHeight="1" x14ac:dyDescent="0.25"/>
    <row r="52" spans="1:7" ht="15" customHeight="1" x14ac:dyDescent="0.25">
      <c r="A52" s="241" t="s">
        <v>15</v>
      </c>
      <c r="B52" s="241"/>
      <c r="C52" s="241"/>
      <c r="D52" s="241"/>
      <c r="E52" s="241"/>
      <c r="F52" s="241"/>
    </row>
    <row r="53" spans="1:7" ht="15" customHeight="1" x14ac:dyDescent="0.25">
      <c r="A53" s="242" t="s">
        <v>46</v>
      </c>
      <c r="B53" s="242"/>
      <c r="C53" s="242"/>
      <c r="D53" s="242"/>
      <c r="E53" s="242"/>
      <c r="F53" s="242"/>
    </row>
    <row r="54" spans="1:7" ht="15" customHeight="1" x14ac:dyDescent="0.25">
      <c r="A54" s="241" t="s">
        <v>52</v>
      </c>
      <c r="B54" s="241"/>
      <c r="C54" s="241"/>
      <c r="D54" s="241"/>
      <c r="E54" s="241"/>
      <c r="F54" s="241"/>
      <c r="G54" s="35"/>
    </row>
    <row r="55" spans="1:7" ht="15" customHeight="1" x14ac:dyDescent="0.25">
      <c r="A55" s="240"/>
      <c r="B55" s="240"/>
      <c r="C55" s="240"/>
      <c r="D55" s="240"/>
      <c r="E55" s="240"/>
      <c r="F55" s="240"/>
      <c r="G55" s="28"/>
    </row>
    <row r="56" spans="1:7" ht="15" customHeight="1" thickBot="1" x14ac:dyDescent="0.3">
      <c r="A56" s="32" t="s">
        <v>10</v>
      </c>
      <c r="B56" s="33" t="s">
        <v>6</v>
      </c>
      <c r="C56" s="33" t="s">
        <v>30</v>
      </c>
      <c r="D56" s="33" t="s">
        <v>35</v>
      </c>
      <c r="E56" s="33" t="s">
        <v>39</v>
      </c>
      <c r="F56" s="33" t="s">
        <v>40</v>
      </c>
    </row>
    <row r="57" spans="1:7" ht="15" customHeight="1" x14ac:dyDescent="0.25"/>
    <row r="58" spans="1:7" ht="15" customHeight="1" x14ac:dyDescent="0.25">
      <c r="A58" s="21" t="s">
        <v>26</v>
      </c>
      <c r="B58" s="15">
        <f>+'I T'!E58</f>
        <v>1113324338</v>
      </c>
      <c r="C58" s="15">
        <f>+'2 T'!E58</f>
        <v>1233332867</v>
      </c>
      <c r="D58" s="15">
        <f>+'3 T'!E58</f>
        <v>1118191934</v>
      </c>
      <c r="E58" s="15">
        <f>+'4 T'!E58</f>
        <v>1507383385.6100001</v>
      </c>
      <c r="F58" s="15">
        <f>SUM(B58:E58)</f>
        <v>4972232524.6100006</v>
      </c>
    </row>
    <row r="59" spans="1:7" ht="15" customHeight="1" x14ac:dyDescent="0.25">
      <c r="A59" s="21" t="s">
        <v>43</v>
      </c>
      <c r="B59" s="15">
        <f>+'I T'!E59</f>
        <v>1668641262</v>
      </c>
      <c r="C59" s="15">
        <f>+'2 T'!E59</f>
        <v>1825257829.97</v>
      </c>
      <c r="D59" s="15">
        <f>+'3 T'!E59</f>
        <v>1733709696</v>
      </c>
      <c r="E59" s="15">
        <f>+'4 T'!E59</f>
        <v>2938816754.6999998</v>
      </c>
      <c r="F59" s="15">
        <f>SUM(B59:E59)</f>
        <v>8166425542.6700001</v>
      </c>
    </row>
    <row r="60" spans="1:7" ht="15" customHeight="1" x14ac:dyDescent="0.25">
      <c r="A60" s="90" t="s">
        <v>86</v>
      </c>
      <c r="B60" s="15">
        <f>+'I T'!E60</f>
        <v>596400000</v>
      </c>
      <c r="C60" s="15">
        <f>+'2 T'!E60</f>
        <v>360500000</v>
      </c>
      <c r="D60" s="15">
        <f>+'3 T'!E60</f>
        <v>1232800000</v>
      </c>
      <c r="E60" s="15">
        <f>+'4 T'!E60</f>
        <v>1062506000</v>
      </c>
      <c r="F60" s="15">
        <f>SUM(B60:E60)</f>
        <v>3252206000</v>
      </c>
    </row>
    <row r="61" spans="1:7" ht="15" customHeight="1" x14ac:dyDescent="0.25"/>
    <row r="62" spans="1:7" ht="15" customHeight="1" x14ac:dyDescent="0.25"/>
    <row r="63" spans="1:7" ht="15" customHeight="1" thickBot="1" x14ac:dyDescent="0.3">
      <c r="A63" s="24" t="s">
        <v>13</v>
      </c>
      <c r="B63" s="25">
        <f>SUM(B58:B62)</f>
        <v>3378365600</v>
      </c>
      <c r="C63" s="25">
        <f>SUM(C58:C62)</f>
        <v>3419090696.9700003</v>
      </c>
      <c r="D63" s="25">
        <f>SUM(D58:D62)</f>
        <v>4084701630</v>
      </c>
      <c r="E63" s="25">
        <f>SUM(E58:E62)</f>
        <v>5508706140.3099995</v>
      </c>
      <c r="F63" s="25">
        <f>SUM(F58:F62)</f>
        <v>16390864067.280001</v>
      </c>
    </row>
    <row r="64" spans="1:7" ht="15" customHeight="1" thickTop="1" x14ac:dyDescent="0.25">
      <c r="A64" s="52" t="s">
        <v>73</v>
      </c>
    </row>
    <row r="65" spans="1:7" ht="15" customHeight="1" x14ac:dyDescent="0.25">
      <c r="A65" s="1"/>
    </row>
    <row r="66" spans="1:7" ht="15" customHeight="1" x14ac:dyDescent="0.25"/>
    <row r="67" spans="1:7" ht="15" customHeight="1" x14ac:dyDescent="0.25">
      <c r="A67" s="242" t="s">
        <v>44</v>
      </c>
      <c r="B67" s="242"/>
      <c r="C67" s="242"/>
      <c r="D67" s="242"/>
      <c r="E67" s="242"/>
      <c r="F67" s="242"/>
    </row>
    <row r="68" spans="1:7" ht="15" customHeight="1" x14ac:dyDescent="0.25">
      <c r="A68" s="230" t="s">
        <v>79</v>
      </c>
      <c r="B68" s="230"/>
      <c r="C68" s="230"/>
      <c r="D68" s="230"/>
      <c r="E68" s="230"/>
      <c r="F68" s="230"/>
    </row>
    <row r="69" spans="1:7" ht="15" customHeight="1" x14ac:dyDescent="0.25">
      <c r="A69" s="241" t="s">
        <v>52</v>
      </c>
      <c r="B69" s="241"/>
      <c r="C69" s="241"/>
      <c r="D69" s="241"/>
      <c r="E69" s="241"/>
      <c r="F69" s="241"/>
    </row>
    <row r="70" spans="1:7" ht="15" customHeight="1" x14ac:dyDescent="0.25">
      <c r="A70" s="36"/>
      <c r="B70" s="36"/>
      <c r="C70" s="36"/>
      <c r="D70" s="36"/>
      <c r="E70" s="36"/>
      <c r="F70" s="36"/>
      <c r="G70" s="112"/>
    </row>
    <row r="71" spans="1:7" ht="15" customHeight="1" thickBot="1" x14ac:dyDescent="0.3">
      <c r="A71" s="32" t="s">
        <v>10</v>
      </c>
      <c r="B71" s="33" t="s">
        <v>6</v>
      </c>
      <c r="C71" s="33" t="s">
        <v>30</v>
      </c>
      <c r="D71" s="33" t="s">
        <v>35</v>
      </c>
      <c r="E71" s="33" t="s">
        <v>39</v>
      </c>
      <c r="F71" s="33" t="s">
        <v>40</v>
      </c>
      <c r="G71" s="33" t="s">
        <v>40</v>
      </c>
    </row>
    <row r="72" spans="1:7" ht="15" customHeight="1" x14ac:dyDescent="0.25"/>
    <row r="73" spans="1:7" ht="15" customHeight="1" x14ac:dyDescent="0.25">
      <c r="A73" s="15" t="s">
        <v>63</v>
      </c>
      <c r="B73" s="15">
        <f>+'I T'!E73</f>
        <v>19546663.377245903</v>
      </c>
      <c r="C73" s="15">
        <f>+'2 T'!E73</f>
        <v>173127326.3772459</v>
      </c>
      <c r="D73" s="15">
        <f>+'3 T'!E73</f>
        <v>206699460.3772459</v>
      </c>
      <c r="E73" s="15">
        <f>+'4 T'!E73</f>
        <v>355412527.3772459</v>
      </c>
      <c r="F73" s="90">
        <f>B73</f>
        <v>19546663.377245903</v>
      </c>
    </row>
    <row r="74" spans="1:7" ht="15" customHeight="1" x14ac:dyDescent="0.25">
      <c r="A74" s="15" t="s">
        <v>16</v>
      </c>
      <c r="B74" s="15">
        <f>+'I T'!E74</f>
        <v>1266905001</v>
      </c>
      <c r="C74" s="15">
        <f>+'2 T'!E74</f>
        <v>1266905001</v>
      </c>
      <c r="D74" s="15">
        <f>+'3 T'!E74</f>
        <v>1266905001</v>
      </c>
      <c r="E74" s="15">
        <f>+'4 T'!E74</f>
        <v>1268060428.3800001</v>
      </c>
      <c r="F74" s="92">
        <f>SUM(B74:E74)</f>
        <v>5068775431.3800001</v>
      </c>
    </row>
    <row r="75" spans="1:7" ht="15" customHeight="1" x14ac:dyDescent="0.25">
      <c r="A75" s="15" t="s">
        <v>17</v>
      </c>
      <c r="B75" s="15">
        <f>+'I T'!E75</f>
        <v>1286451664.3772459</v>
      </c>
      <c r="C75" s="15">
        <f>+'2 T'!E75</f>
        <v>1440032327.3772459</v>
      </c>
      <c r="D75" s="15">
        <f>+'3 T'!E75</f>
        <v>1473604461.3772459</v>
      </c>
      <c r="E75" s="15">
        <f>+'4 T'!E75</f>
        <v>1623472955.757246</v>
      </c>
      <c r="F75" s="15">
        <f>SUM(F73:F74)</f>
        <v>5088322094.757246</v>
      </c>
    </row>
    <row r="76" spans="1:7" ht="15" customHeight="1" x14ac:dyDescent="0.25">
      <c r="A76" s="15" t="s">
        <v>18</v>
      </c>
      <c r="B76" s="15">
        <f>+'I T'!E76</f>
        <v>1113324338</v>
      </c>
      <c r="C76" s="15">
        <f>+'2 T'!E76</f>
        <v>1233332867</v>
      </c>
      <c r="D76" s="15">
        <f>+'3 T'!E76</f>
        <v>1118191934</v>
      </c>
      <c r="E76" s="15">
        <f>+'4 T'!E76</f>
        <v>1507383385.6100001</v>
      </c>
      <c r="F76" s="15">
        <f>SUM(B76:E76)</f>
        <v>4972232524.6100006</v>
      </c>
    </row>
    <row r="77" spans="1:7" ht="15" customHeight="1" x14ac:dyDescent="0.25">
      <c r="A77" s="28" t="s">
        <v>19</v>
      </c>
      <c r="B77" s="28">
        <f>+'I T'!E77</f>
        <v>173127326.3772459</v>
      </c>
      <c r="C77" s="28">
        <f>+'2 T'!E77</f>
        <v>206699460.3772459</v>
      </c>
      <c r="D77" s="28">
        <f>+'3 T'!E77</f>
        <v>355412527.3772459</v>
      </c>
      <c r="E77" s="28">
        <f>+'4 T'!E77</f>
        <v>116089570.14724588</v>
      </c>
      <c r="F77" s="222">
        <f>+F75-F76</f>
        <v>116089570.14724541</v>
      </c>
      <c r="G77" s="115"/>
    </row>
    <row r="78" spans="1:7" ht="15" customHeight="1" thickBot="1" x14ac:dyDescent="0.3">
      <c r="A78" s="25"/>
      <c r="B78" s="25"/>
      <c r="C78" s="25"/>
      <c r="D78" s="25"/>
      <c r="E78" s="25"/>
      <c r="F78" s="25"/>
    </row>
    <row r="79" spans="1:7" ht="15" customHeight="1" thickTop="1" x14ac:dyDescent="0.25">
      <c r="A79" s="52" t="s">
        <v>73</v>
      </c>
    </row>
    <row r="80" spans="1:7" ht="15" customHeight="1" x14ac:dyDescent="0.25">
      <c r="A80" s="1"/>
    </row>
    <row r="81" spans="1:7" ht="15" customHeight="1" x14ac:dyDescent="0.25">
      <c r="A81" s="15"/>
    </row>
    <row r="82" spans="1:7" x14ac:dyDescent="0.25">
      <c r="A82" s="242" t="s">
        <v>45</v>
      </c>
      <c r="B82" s="242"/>
      <c r="C82" s="242"/>
      <c r="D82" s="242"/>
      <c r="E82" s="242"/>
      <c r="F82" s="242"/>
      <c r="G82" s="16" t="s">
        <v>55</v>
      </c>
    </row>
    <row r="83" spans="1:7" x14ac:dyDescent="0.25">
      <c r="A83" s="242" t="s">
        <v>48</v>
      </c>
      <c r="B83" s="242"/>
      <c r="C83" s="242"/>
      <c r="D83" s="242"/>
      <c r="E83" s="242"/>
      <c r="F83" s="242"/>
      <c r="G83" s="16">
        <f>F74+F89+F90</f>
        <v>16531613613.17</v>
      </c>
    </row>
    <row r="84" spans="1:7" x14ac:dyDescent="0.25">
      <c r="A84" s="241" t="s">
        <v>52</v>
      </c>
      <c r="B84" s="241"/>
      <c r="C84" s="241"/>
      <c r="D84" s="241"/>
      <c r="E84" s="241"/>
      <c r="F84" s="241"/>
      <c r="G84" s="16"/>
    </row>
    <row r="85" spans="1:7" x14ac:dyDescent="0.25">
      <c r="A85" s="240"/>
      <c r="B85" s="240"/>
      <c r="C85" s="240"/>
      <c r="D85" s="240"/>
      <c r="E85" s="240"/>
      <c r="F85" s="240"/>
    </row>
    <row r="86" spans="1:7" ht="15.75" thickBot="1" x14ac:dyDescent="0.3">
      <c r="A86" s="32" t="s">
        <v>10</v>
      </c>
      <c r="B86" s="33" t="s">
        <v>6</v>
      </c>
      <c r="C86" s="33" t="s">
        <v>30</v>
      </c>
      <c r="D86" s="33" t="s">
        <v>35</v>
      </c>
      <c r="E86" s="33" t="s">
        <v>39</v>
      </c>
      <c r="F86" s="33" t="s">
        <v>40</v>
      </c>
    </row>
    <row r="88" spans="1:7" x14ac:dyDescent="0.25">
      <c r="A88" s="15" t="s">
        <v>63</v>
      </c>
      <c r="B88" s="15">
        <f>+'I T'!E88</f>
        <v>337820659.06</v>
      </c>
      <c r="C88" s="15">
        <f>+'2 T'!E88</f>
        <v>755591296.05999994</v>
      </c>
      <c r="D88" s="15">
        <f>+'3 T'!E88</f>
        <v>1252645365.0899997</v>
      </c>
      <c r="E88" s="15">
        <f>+'4 T'!E88</f>
        <v>968947568.08999968</v>
      </c>
      <c r="F88" s="163">
        <f>+B88</f>
        <v>337820659.06</v>
      </c>
    </row>
    <row r="89" spans="1:7" x14ac:dyDescent="0.25">
      <c r="A89" s="15" t="s">
        <v>112</v>
      </c>
      <c r="B89" s="15">
        <f>+'I T'!E89</f>
        <v>1892461899</v>
      </c>
      <c r="C89" s="15">
        <f>+'2 T'!E89</f>
        <v>1892461899</v>
      </c>
      <c r="D89" s="15">
        <f>+'3 T'!E89</f>
        <v>1892461899</v>
      </c>
      <c r="E89" s="15">
        <f>+'4 T'!E89</f>
        <v>2508593242.1199999</v>
      </c>
      <c r="F89" s="15">
        <f>+SUM(B89:E89)</f>
        <v>8185978939.1199999</v>
      </c>
    </row>
    <row r="90" spans="1:7" s="82" customFormat="1" x14ac:dyDescent="0.25">
      <c r="A90" s="85" t="s">
        <v>78</v>
      </c>
      <c r="B90" s="89">
        <f>+'I T'!E90</f>
        <v>790350000</v>
      </c>
      <c r="C90" s="89">
        <f>+'2 T'!E90</f>
        <v>790350000</v>
      </c>
      <c r="D90" s="89">
        <f>+'3 T'!E90</f>
        <v>790350000</v>
      </c>
      <c r="E90" s="89">
        <f>+'4 T'!E90</f>
        <v>905809242.67000008</v>
      </c>
      <c r="F90" s="89">
        <f>+SUM(B90:E90)</f>
        <v>3276859242.6700001</v>
      </c>
      <c r="G90" s="89"/>
    </row>
    <row r="91" spans="1:7" x14ac:dyDescent="0.25">
      <c r="A91" s="15" t="s">
        <v>17</v>
      </c>
      <c r="B91" s="15">
        <f>+'I T'!E91</f>
        <v>3020632558.0599999</v>
      </c>
      <c r="C91" s="15">
        <f>+'2 T'!E91</f>
        <v>3438403195.0599999</v>
      </c>
      <c r="D91" s="15">
        <f>+'3 T'!E91</f>
        <v>3935457264.0899997</v>
      </c>
      <c r="E91" s="15">
        <f>+'4 T'!E91</f>
        <v>4383350052.8799992</v>
      </c>
      <c r="F91" s="15">
        <f>SUM(F88:F90)</f>
        <v>11800658840.85</v>
      </c>
    </row>
    <row r="92" spans="1:7" x14ac:dyDescent="0.25">
      <c r="A92" s="15" t="s">
        <v>18</v>
      </c>
      <c r="B92" s="15">
        <f>+'I T'!E92</f>
        <v>2265041262</v>
      </c>
      <c r="C92" s="15">
        <f>+'2 T'!E92</f>
        <v>2185757829.9700003</v>
      </c>
      <c r="D92" s="15">
        <f>+'3 T'!E92</f>
        <v>2966509696</v>
      </c>
      <c r="E92" s="15">
        <f>+'4 T'!E92</f>
        <v>4001322754.6999998</v>
      </c>
      <c r="F92" s="15">
        <f>+SUM(B92:E92)</f>
        <v>11418631542.67</v>
      </c>
      <c r="G92" s="89"/>
    </row>
    <row r="93" spans="1:7" x14ac:dyDescent="0.25">
      <c r="A93" s="28" t="s">
        <v>19</v>
      </c>
      <c r="B93" s="28">
        <f>+'I T'!E93</f>
        <v>755591296.05999994</v>
      </c>
      <c r="C93" s="28">
        <f>+'2 T'!E93</f>
        <v>1252645365.0899997</v>
      </c>
      <c r="D93" s="28">
        <f>+'3 T'!E93</f>
        <v>968947568.08999968</v>
      </c>
      <c r="E93" s="28">
        <f>+'4 T'!E93</f>
        <v>382027298.17999935</v>
      </c>
      <c r="F93" s="224">
        <f>+F91-F92</f>
        <v>382027298.18000031</v>
      </c>
      <c r="G93" s="89"/>
    </row>
    <row r="94" spans="1:7" ht="15.75" thickBot="1" x14ac:dyDescent="0.3">
      <c r="A94" s="25"/>
      <c r="B94" s="25"/>
      <c r="C94" s="25"/>
      <c r="D94" s="25"/>
      <c r="E94" s="25"/>
      <c r="F94" s="25"/>
      <c r="G94" s="89"/>
    </row>
    <row r="95" spans="1:7" ht="15.75" thickTop="1" x14ac:dyDescent="0.25">
      <c r="A95" s="15"/>
      <c r="G95" s="89"/>
    </row>
    <row r="96" spans="1:7" s="89" customFormat="1" x14ac:dyDescent="0.25">
      <c r="A96" s="88"/>
    </row>
    <row r="97" spans="1:7" ht="45" x14ac:dyDescent="0.25">
      <c r="A97" s="223" t="s">
        <v>115</v>
      </c>
      <c r="B97" s="15" t="s">
        <v>113</v>
      </c>
      <c r="C97" s="92">
        <v>255754563.47999999</v>
      </c>
      <c r="F97" s="89"/>
    </row>
    <row r="98" spans="1:7" ht="15.75" thickBot="1" x14ac:dyDescent="0.3">
      <c r="B98" s="15" t="s">
        <v>114</v>
      </c>
      <c r="C98" s="226">
        <v>126272734.7</v>
      </c>
    </row>
    <row r="99" spans="1:7" ht="15.75" thickBot="1" x14ac:dyDescent="0.3">
      <c r="A99" s="90"/>
      <c r="B99" s="89"/>
      <c r="C99" s="225">
        <f>SUM(C97:C98)</f>
        <v>382027298.18000001</v>
      </c>
      <c r="D99" s="89"/>
      <c r="E99" s="89"/>
      <c r="F99" s="89"/>
      <c r="G99" s="89"/>
    </row>
    <row r="100" spans="1:7" x14ac:dyDescent="0.25">
      <c r="A100" s="39"/>
      <c r="B100" s="89"/>
      <c r="C100" s="89"/>
      <c r="D100" s="89"/>
      <c r="E100" s="89"/>
      <c r="F100" s="89"/>
      <c r="G100" s="89"/>
    </row>
    <row r="101" spans="1:7" x14ac:dyDescent="0.25">
      <c r="A101" s="52" t="s">
        <v>73</v>
      </c>
      <c r="B101" s="89"/>
      <c r="C101" s="89"/>
      <c r="D101" s="89"/>
      <c r="E101" s="89"/>
      <c r="F101" s="89"/>
      <c r="G101" s="89"/>
    </row>
    <row r="102" spans="1:7" x14ac:dyDescent="0.25">
      <c r="A102" s="15"/>
      <c r="F102" s="89"/>
      <c r="G102" s="89"/>
    </row>
    <row r="103" spans="1:7" x14ac:dyDescent="0.25">
      <c r="C103" s="89"/>
      <c r="D103" s="89"/>
    </row>
    <row r="104" spans="1:7" x14ac:dyDescent="0.25">
      <c r="A104" s="117" t="s">
        <v>116</v>
      </c>
      <c r="C104" s="92"/>
      <c r="D104" s="92"/>
    </row>
    <row r="105" spans="1:7" x14ac:dyDescent="0.25">
      <c r="A105" s="122" t="s">
        <v>90</v>
      </c>
      <c r="B105" s="122" t="s">
        <v>91</v>
      </c>
      <c r="C105" s="92"/>
      <c r="D105" s="92"/>
      <c r="E105" s="89"/>
      <c r="F105" s="89"/>
    </row>
    <row r="106" spans="1:7" x14ac:dyDescent="0.25">
      <c r="A106" s="119" t="s">
        <v>87</v>
      </c>
      <c r="B106" s="227">
        <f>+F77</f>
        <v>116089570.14724541</v>
      </c>
      <c r="C106" s="92"/>
      <c r="D106" s="92"/>
      <c r="E106" s="89"/>
      <c r="F106" s="89"/>
    </row>
    <row r="107" spans="1:7" x14ac:dyDescent="0.25">
      <c r="A107" s="119" t="s">
        <v>88</v>
      </c>
      <c r="B107" s="227">
        <f>+C97</f>
        <v>255754563.47999999</v>
      </c>
      <c r="C107" s="92"/>
      <c r="D107" s="92"/>
      <c r="E107" s="89"/>
      <c r="F107" s="89"/>
    </row>
    <row r="108" spans="1:7" ht="15.75" thickBot="1" x14ac:dyDescent="0.3">
      <c r="A108" s="120" t="s">
        <v>89</v>
      </c>
      <c r="B108" s="228">
        <f>+C98</f>
        <v>126272734.7</v>
      </c>
      <c r="C108" s="92"/>
      <c r="D108" s="92"/>
      <c r="E108" s="89"/>
      <c r="F108" s="89"/>
    </row>
    <row r="109" spans="1:7" ht="15.75" thickBot="1" x14ac:dyDescent="0.3">
      <c r="A109" s="197" t="s">
        <v>13</v>
      </c>
      <c r="B109" s="229">
        <f>SUM(B106:B108)</f>
        <v>498116868.32724541</v>
      </c>
      <c r="C109" s="92"/>
      <c r="D109" s="92"/>
      <c r="E109" s="89"/>
      <c r="F109" s="89"/>
    </row>
    <row r="110" spans="1:7" x14ac:dyDescent="0.25">
      <c r="A110" s="90"/>
      <c r="B110" s="89"/>
      <c r="C110" s="92"/>
      <c r="D110" s="92"/>
      <c r="E110" s="89"/>
      <c r="F110" s="89"/>
    </row>
    <row r="111" spans="1:7" x14ac:dyDescent="0.25">
      <c r="A111" s="90"/>
      <c r="B111" s="89"/>
      <c r="C111" s="92"/>
      <c r="D111" s="92"/>
      <c r="E111" s="89"/>
      <c r="F111" s="89"/>
    </row>
    <row r="112" spans="1:7" x14ac:dyDescent="0.25">
      <c r="A112" s="90"/>
      <c r="B112" s="89"/>
      <c r="C112" s="92"/>
      <c r="D112" s="92"/>
      <c r="E112" s="89"/>
      <c r="F112" s="89"/>
    </row>
    <row r="113" spans="1:6" x14ac:dyDescent="0.25">
      <c r="A113" s="90"/>
      <c r="B113" s="89"/>
      <c r="C113" s="92"/>
      <c r="D113" s="92"/>
      <c r="E113" s="89"/>
      <c r="F113" s="89"/>
    </row>
    <row r="114" spans="1:6" x14ac:dyDescent="0.25">
      <c r="A114" s="90"/>
      <c r="B114" s="89"/>
      <c r="C114" s="92"/>
      <c r="D114" s="92"/>
      <c r="E114" s="89"/>
      <c r="F114" s="89"/>
    </row>
    <row r="115" spans="1:6" x14ac:dyDescent="0.25">
      <c r="A115" s="90"/>
      <c r="B115" s="89"/>
      <c r="C115" s="92"/>
      <c r="D115" s="92"/>
      <c r="E115" s="89"/>
      <c r="F115" s="89"/>
    </row>
    <row r="116" spans="1:6" x14ac:dyDescent="0.25">
      <c r="A116" s="90"/>
      <c r="B116" s="89"/>
      <c r="C116" s="92"/>
      <c r="D116" s="92"/>
      <c r="E116" s="89"/>
      <c r="F116" s="89"/>
    </row>
    <row r="117" spans="1:6" x14ac:dyDescent="0.25">
      <c r="A117" s="90"/>
      <c r="B117" s="89"/>
      <c r="C117" s="92"/>
      <c r="D117" s="92"/>
      <c r="E117" s="89"/>
      <c r="F117" s="89"/>
    </row>
    <row r="118" spans="1:6" x14ac:dyDescent="0.25">
      <c r="A118" s="90"/>
      <c r="B118" s="89"/>
      <c r="C118" s="92"/>
      <c r="D118" s="92"/>
      <c r="E118" s="89"/>
      <c r="F118" s="89"/>
    </row>
    <row r="119" spans="1:6" x14ac:dyDescent="0.25">
      <c r="A119" s="90"/>
      <c r="B119" s="89"/>
      <c r="C119" s="92"/>
      <c r="D119" s="92"/>
      <c r="E119" s="89"/>
      <c r="F119" s="89"/>
    </row>
  </sheetData>
  <mergeCells count="24">
    <mergeCell ref="A13:A15"/>
    <mergeCell ref="A16:A18"/>
    <mergeCell ref="A19:A21"/>
    <mergeCell ref="A9:G9"/>
    <mergeCell ref="A1:E1"/>
    <mergeCell ref="A7:G7"/>
    <mergeCell ref="A8:G8"/>
    <mergeCell ref="A10:G10"/>
    <mergeCell ref="A34:G34"/>
    <mergeCell ref="A54:F54"/>
    <mergeCell ref="A69:F69"/>
    <mergeCell ref="A32:F32"/>
    <mergeCell ref="A33:F33"/>
    <mergeCell ref="A85:F85"/>
    <mergeCell ref="A35:F35"/>
    <mergeCell ref="A52:F52"/>
    <mergeCell ref="A53:F53"/>
    <mergeCell ref="A55:F55"/>
    <mergeCell ref="A67:F67"/>
    <mergeCell ref="A68:F68"/>
    <mergeCell ref="A84:F84"/>
    <mergeCell ref="A42:A43"/>
    <mergeCell ref="A82:F82"/>
    <mergeCell ref="A83:F83"/>
  </mergeCells>
  <pageMargins left="0.70866141732283472" right="0.70866141732283472" top="0.74803149606299213" bottom="0.74803149606299213" header="0.31496062992125984" footer="0.31496062992125984"/>
  <pageSetup scale="3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 T</vt:lpstr>
      <vt:lpstr>2 T</vt:lpstr>
      <vt:lpstr>3 T</vt:lpstr>
      <vt:lpstr>4 T</vt:lpstr>
      <vt:lpstr>semestral</vt:lpstr>
      <vt:lpstr> 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Stephanie Tatiana Salas Soto</cp:lastModifiedBy>
  <cp:lastPrinted>2018-04-05T14:15:43Z</cp:lastPrinted>
  <dcterms:created xsi:type="dcterms:W3CDTF">2011-03-10T14:40:05Z</dcterms:created>
  <dcterms:modified xsi:type="dcterms:W3CDTF">2020-12-11T16:02:50Z</dcterms:modified>
</cp:coreProperties>
</file>