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CCSS - RNC\"/>
    </mc:Choice>
  </mc:AlternateContent>
  <bookViews>
    <workbookView xWindow="0" yWindow="0" windowWidth="10155" windowHeight="7605"/>
  </bookViews>
  <sheets>
    <sheet name="Cuadro 1" sheetId="6" r:id="rId1"/>
    <sheet name="Cuadro 2" sheetId="2" r:id="rId2"/>
    <sheet name="Cuadro 3" sheetId="7" r:id="rId3"/>
    <sheet name="Cuadro 4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" i="2" l="1"/>
  <c r="O12" i="2"/>
  <c r="Q17" i="7" l="1"/>
  <c r="R17" i="7" s="1"/>
  <c r="Q18" i="7"/>
  <c r="R18" i="7" s="1"/>
  <c r="Q16" i="7"/>
  <c r="R16" i="7" s="1"/>
  <c r="O13" i="2"/>
  <c r="M13" i="8" l="1"/>
  <c r="R13" i="8"/>
  <c r="H16" i="2"/>
  <c r="I16" i="2"/>
  <c r="R16" i="2"/>
  <c r="R18" i="2"/>
  <c r="R17" i="2"/>
  <c r="Q17" i="2"/>
  <c r="S11" i="6"/>
  <c r="P13" i="8"/>
  <c r="Q13" i="8" s="1"/>
  <c r="O13" i="8"/>
  <c r="N13" i="8"/>
  <c r="F14" i="8"/>
  <c r="H13" i="8"/>
  <c r="G13" i="8"/>
  <c r="I13" i="8" s="1"/>
  <c r="F13" i="8"/>
  <c r="E15" i="8"/>
  <c r="D13" i="8"/>
  <c r="C13" i="8"/>
  <c r="B13" i="8"/>
  <c r="B14" i="8" s="1"/>
  <c r="B16" i="8" l="1"/>
  <c r="C12" i="8" s="1"/>
  <c r="C14" i="8" s="1"/>
  <c r="C16" i="8" s="1"/>
  <c r="D12" i="8" s="1"/>
  <c r="D14" i="8" s="1"/>
  <c r="D16" i="8" s="1"/>
  <c r="E13" i="8"/>
  <c r="P19" i="7"/>
  <c r="O19" i="7"/>
  <c r="N19" i="7"/>
  <c r="P14" i="7"/>
  <c r="O14" i="7"/>
  <c r="N14" i="7"/>
  <c r="Q14" i="7" s="1"/>
  <c r="O13" i="7"/>
  <c r="I20" i="7"/>
  <c r="I19" i="7"/>
  <c r="I14" i="7"/>
  <c r="G13" i="7"/>
  <c r="G12" i="7" s="1"/>
  <c r="G21" i="7" s="1"/>
  <c r="G15" i="8" s="1"/>
  <c r="F13" i="7"/>
  <c r="I13" i="7" s="1"/>
  <c r="I21" i="7" s="1"/>
  <c r="H12" i="7"/>
  <c r="H21" i="7" s="1"/>
  <c r="H15" i="8" s="1"/>
  <c r="E20" i="7"/>
  <c r="E19" i="7"/>
  <c r="E14" i="7"/>
  <c r="D13" i="7"/>
  <c r="E13" i="7" s="1"/>
  <c r="E21" i="7" s="1"/>
  <c r="C12" i="7"/>
  <c r="C21" i="7" s="1"/>
  <c r="B12" i="7"/>
  <c r="Q15" i="2"/>
  <c r="R15" i="2" s="1"/>
  <c r="P13" i="7"/>
  <c r="P12" i="7" s="1"/>
  <c r="N12" i="2"/>
  <c r="O12" i="7" l="1"/>
  <c r="Q19" i="7"/>
  <c r="B21" i="7"/>
  <c r="N13" i="7"/>
  <c r="N12" i="7" s="1"/>
  <c r="Q12" i="2"/>
  <c r="R12" i="2" s="1"/>
  <c r="D12" i="7"/>
  <c r="D21" i="7" s="1"/>
  <c r="F12" i="7"/>
  <c r="P18" i="2"/>
  <c r="P20" i="7" s="1"/>
  <c r="P13" i="2"/>
  <c r="P14" i="2" s="1"/>
  <c r="O18" i="2"/>
  <c r="O20" i="7" s="1"/>
  <c r="N18" i="2"/>
  <c r="N20" i="7" s="1"/>
  <c r="N16" i="2"/>
  <c r="P16" i="2"/>
  <c r="P20" i="2" s="1"/>
  <c r="O14" i="2"/>
  <c r="N13" i="2"/>
  <c r="I18" i="2"/>
  <c r="I17" i="2"/>
  <c r="H20" i="2"/>
  <c r="G16" i="2"/>
  <c r="F16" i="2"/>
  <c r="I15" i="2"/>
  <c r="H13" i="2"/>
  <c r="H14" i="2" s="1"/>
  <c r="G12" i="2"/>
  <c r="F12" i="2"/>
  <c r="D18" i="2"/>
  <c r="D16" i="2" s="1"/>
  <c r="C18" i="2"/>
  <c r="C16" i="2" s="1"/>
  <c r="B18" i="2"/>
  <c r="E17" i="2"/>
  <c r="E15" i="2"/>
  <c r="D12" i="2"/>
  <c r="D14" i="2" s="1"/>
  <c r="C12" i="2"/>
  <c r="C14" i="2" s="1"/>
  <c r="B12" i="2"/>
  <c r="B13" i="2" s="1"/>
  <c r="O16" i="6"/>
  <c r="P16" i="6"/>
  <c r="Q16" i="6"/>
  <c r="Q13" i="6"/>
  <c r="P13" i="6"/>
  <c r="O13" i="6"/>
  <c r="Q13" i="2" l="1"/>
  <c r="Q14" i="2" s="1"/>
  <c r="O21" i="7"/>
  <c r="O15" i="8" s="1"/>
  <c r="Q12" i="7"/>
  <c r="E12" i="7"/>
  <c r="Q13" i="7"/>
  <c r="R13" i="2"/>
  <c r="R14" i="2" s="1"/>
  <c r="R20" i="2"/>
  <c r="O16" i="2"/>
  <c r="O20" i="2" s="1"/>
  <c r="P21" i="7"/>
  <c r="P15" i="8" s="1"/>
  <c r="F13" i="2"/>
  <c r="F14" i="2" s="1"/>
  <c r="I12" i="2"/>
  <c r="Q16" i="2"/>
  <c r="E18" i="2"/>
  <c r="Q20" i="7"/>
  <c r="Q21" i="7" s="1"/>
  <c r="N21" i="7"/>
  <c r="N15" i="8" s="1"/>
  <c r="F21" i="7"/>
  <c r="F15" i="8" s="1"/>
  <c r="I12" i="7"/>
  <c r="G13" i="2"/>
  <c r="G14" i="2" s="1"/>
  <c r="C13" i="2"/>
  <c r="C20" i="2"/>
  <c r="D13" i="2"/>
  <c r="D20" i="2"/>
  <c r="E12" i="2"/>
  <c r="E14" i="2" s="1"/>
  <c r="G20" i="2"/>
  <c r="Q20" i="2"/>
  <c r="N20" i="2"/>
  <c r="N14" i="2"/>
  <c r="Q18" i="2"/>
  <c r="F20" i="2"/>
  <c r="E13" i="2"/>
  <c r="B16" i="2"/>
  <c r="B14" i="2"/>
  <c r="R12" i="6"/>
  <c r="R13" i="6"/>
  <c r="R14" i="6"/>
  <c r="N12" i="6"/>
  <c r="R11" i="6"/>
  <c r="R16" i="6" s="1"/>
  <c r="N11" i="6"/>
  <c r="I16" i="6"/>
  <c r="H16" i="6"/>
  <c r="G16" i="6"/>
  <c r="J14" i="6"/>
  <c r="I13" i="6"/>
  <c r="H13" i="6"/>
  <c r="G13" i="6"/>
  <c r="J12" i="6"/>
  <c r="J11" i="6"/>
  <c r="F16" i="8" l="1"/>
  <c r="G12" i="8" s="1"/>
  <c r="G14" i="8" s="1"/>
  <c r="G16" i="8" s="1"/>
  <c r="H12" i="8" s="1"/>
  <c r="H14" i="8" s="1"/>
  <c r="H16" i="8" s="1"/>
  <c r="I15" i="8"/>
  <c r="Q15" i="8"/>
  <c r="I13" i="2"/>
  <c r="I14" i="2" s="1"/>
  <c r="I20" i="2"/>
  <c r="B20" i="2"/>
  <c r="E16" i="2"/>
  <c r="E20" i="2" s="1"/>
  <c r="J16" i="6"/>
  <c r="J13" i="6"/>
  <c r="E16" i="6" l="1"/>
  <c r="D16" i="6"/>
  <c r="C16" i="6"/>
  <c r="F14" i="6"/>
  <c r="E13" i="6"/>
  <c r="D13" i="6"/>
  <c r="C13" i="6"/>
  <c r="F12" i="6"/>
  <c r="F11" i="6"/>
  <c r="F16" i="6" l="1"/>
  <c r="F13" i="6"/>
  <c r="L13" i="8" l="1"/>
  <c r="L12" i="2"/>
  <c r="K13" i="8" l="1"/>
  <c r="J13" i="8"/>
  <c r="L19" i="7" l="1"/>
  <c r="L14" i="7"/>
  <c r="L13" i="7"/>
  <c r="K19" i="7"/>
  <c r="K14" i="7"/>
  <c r="J19" i="7"/>
  <c r="J14" i="7"/>
  <c r="J13" i="7"/>
  <c r="L18" i="2"/>
  <c r="L20" i="7" s="1"/>
  <c r="K18" i="2"/>
  <c r="K20" i="7" s="1"/>
  <c r="K12" i="2"/>
  <c r="K13" i="7" s="1"/>
  <c r="J18" i="2"/>
  <c r="J20" i="7" s="1"/>
  <c r="J12" i="2"/>
  <c r="J13" i="2" l="1"/>
  <c r="M12" i="2"/>
  <c r="J14" i="2"/>
  <c r="K13" i="2"/>
  <c r="K14" i="2" s="1"/>
  <c r="L13" i="2"/>
  <c r="L14" i="2" s="1"/>
  <c r="J16" i="2" l="1"/>
  <c r="M18" i="2"/>
  <c r="L12" i="7" l="1"/>
  <c r="L21" i="7" s="1"/>
  <c r="L15" i="8" l="1"/>
  <c r="J14" i="8"/>
  <c r="M20" i="7"/>
  <c r="R20" i="7" s="1"/>
  <c r="M19" i="7"/>
  <c r="R19" i="7" s="1"/>
  <c r="M14" i="7"/>
  <c r="R14" i="7" s="1"/>
  <c r="M13" i="7"/>
  <c r="R13" i="7" s="1"/>
  <c r="K12" i="7"/>
  <c r="K21" i="7" s="1"/>
  <c r="K15" i="8" s="1"/>
  <c r="J12" i="7"/>
  <c r="L16" i="2"/>
  <c r="K16" i="2"/>
  <c r="M17" i="2"/>
  <c r="J20" i="2"/>
  <c r="M15" i="2"/>
  <c r="R21" i="7" l="1"/>
  <c r="M12" i="7"/>
  <c r="R12" i="7" s="1"/>
  <c r="M16" i="2"/>
  <c r="M21" i="7"/>
  <c r="J21" i="7"/>
  <c r="K20" i="2"/>
  <c r="L20" i="2"/>
  <c r="M16" i="6"/>
  <c r="L16" i="6"/>
  <c r="N14" i="6"/>
  <c r="S14" i="6" s="1"/>
  <c r="M13" i="6"/>
  <c r="L13" i="6"/>
  <c r="J15" i="8" l="1"/>
  <c r="M13" i="2"/>
  <c r="M14" i="2" s="1"/>
  <c r="M20" i="2"/>
  <c r="J16" i="8" l="1"/>
  <c r="K12" i="8" s="1"/>
  <c r="K14" i="8" s="1"/>
  <c r="K16" i="8" s="1"/>
  <c r="L12" i="8" s="1"/>
  <c r="L14" i="8" s="1"/>
  <c r="L16" i="8" s="1"/>
  <c r="N12" i="8" s="1"/>
  <c r="N14" i="8" s="1"/>
  <c r="N16" i="8" s="1"/>
  <c r="O12" i="8" s="1"/>
  <c r="O14" i="8" s="1"/>
  <c r="O16" i="8" s="1"/>
  <c r="P12" i="8" s="1"/>
  <c r="P14" i="8" s="1"/>
  <c r="P16" i="8" s="1"/>
  <c r="M15" i="8"/>
  <c r="R15" i="8" s="1"/>
  <c r="K16" i="6"/>
  <c r="K13" i="6"/>
  <c r="N13" i="6" s="1"/>
  <c r="N16" i="6"/>
  <c r="S16" i="6" s="1"/>
</calcChain>
</file>

<file path=xl/sharedStrings.xml><?xml version="1.0" encoding="utf-8"?>
<sst xmlns="http://schemas.openxmlformats.org/spreadsheetml/2006/main" count="177" uniqueCount="75">
  <si>
    <t xml:space="preserve">Programa: </t>
  </si>
  <si>
    <t>Institución:</t>
  </si>
  <si>
    <t>Trimestre:</t>
  </si>
  <si>
    <t>Año:</t>
  </si>
  <si>
    <t>Producto</t>
  </si>
  <si>
    <t>Unidad</t>
  </si>
  <si>
    <t>Personas</t>
  </si>
  <si>
    <t>Cuadro 1</t>
  </si>
  <si>
    <t xml:space="preserve">Unidad: 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</si>
  <si>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</si>
  <si>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</si>
  <si>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</si>
  <si>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</si>
  <si>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</si>
  <si>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</si>
  <si>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</si>
  <si>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 xml:space="preserve">3. Recursos disponibles (1+2) </t>
  </si>
  <si>
    <t>4. Egresos efectivos pagados</t>
  </si>
  <si>
    <t xml:space="preserve">5. Saldo en caja final   (3-4) </t>
  </si>
  <si>
    <t>Cuadro 4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</si>
  <si>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</si>
  <si>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</si>
  <si>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</si>
  <si>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</si>
  <si>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</si>
  <si>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</si>
  <si>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2. Pensiones parálisis cerebral profunda</t>
  </si>
  <si>
    <t>3. Gastos generales</t>
  </si>
  <si>
    <t>n.d</t>
  </si>
  <si>
    <t>Promedio</t>
  </si>
  <si>
    <t>Servicios Médicos</t>
  </si>
  <si>
    <t>Servicios Administrativos</t>
  </si>
  <si>
    <t>Pensiones Parálisis Cerebral</t>
  </si>
  <si>
    <t>Décimo Tercer Mes</t>
  </si>
  <si>
    <t xml:space="preserve">6.03. Prestaciones </t>
  </si>
  <si>
    <t>6.01.03. Transferencias corrientes al SP- IDNE (cuota SEM)</t>
  </si>
  <si>
    <t>1.04. Servicios diversos (servicios administrativos)</t>
  </si>
  <si>
    <t>Fuente: Área Régimen No Contributivo</t>
  </si>
  <si>
    <t>Pensiones Ordinarias</t>
  </si>
  <si>
    <t>Reporte de gastos efectivos financiados por el Fondo de Desarrollo Social y Asignaciones Familiares y otras fuentes de financiamiento</t>
  </si>
  <si>
    <t xml:space="preserve">Fuente: Flujo de Efectivo 2019, Area de Tesorería General </t>
  </si>
  <si>
    <t>2. Ingresos efectivos recibidos*</t>
  </si>
  <si>
    <r>
      <t xml:space="preserve">1. Saldo en caja inicial  (5 </t>
    </r>
    <r>
      <rPr>
        <b/>
        <sz val="11"/>
        <color rgb="FF000000"/>
        <rFont val="Times New Roman"/>
        <family val="1"/>
      </rPr>
      <t xml:space="preserve">t-1) </t>
    </r>
  </si>
  <si>
    <t>Miles de Colones</t>
  </si>
  <si>
    <t xml:space="preserve">* Incluye: Recargo sobre planillas, Art. 15 Ley 8783 (Impuesto de Ventas), Ley 7983 Art.77 y Art. 87 "Ley de Protección al Trabajador", Superavit Fodesaf  </t>
  </si>
  <si>
    <t>*Pensiones ordinarias para adultos mayores (65 o más años)</t>
  </si>
  <si>
    <t>*Pensiones ordinarias para otros beneficiarios</t>
  </si>
  <si>
    <t>*Estimación realizada de acuerdo con el gasto en pensiones ordinarias del mes.</t>
  </si>
  <si>
    <t>Julio</t>
  </si>
  <si>
    <t xml:space="preserve">Agosto </t>
  </si>
  <si>
    <t>Setiembre</t>
  </si>
  <si>
    <t>III Trimestre</t>
  </si>
  <si>
    <t xml:space="preserve">Setiembre </t>
  </si>
  <si>
    <t>Enero</t>
  </si>
  <si>
    <t>Febrero</t>
  </si>
  <si>
    <t>Marzo</t>
  </si>
  <si>
    <t>I Trimestre</t>
  </si>
  <si>
    <t xml:space="preserve">Abril </t>
  </si>
  <si>
    <t xml:space="preserve">Mayo </t>
  </si>
  <si>
    <t>Junio</t>
  </si>
  <si>
    <t>II Trimestre</t>
  </si>
  <si>
    <t xml:space="preserve">Octubre </t>
  </si>
  <si>
    <t xml:space="preserve">Noviembre </t>
  </si>
  <si>
    <t xml:space="preserve">Diciembre </t>
  </si>
  <si>
    <t xml:space="preserve">Cuarto </t>
  </si>
  <si>
    <t>IV Trimestre</t>
  </si>
  <si>
    <t>Fuente: Flujo de Efectivo 2019, Área de Tesorería General y Informe de detalle de pagos, Subárea Pago y Control de Pensiones IVM-RNC</t>
  </si>
  <si>
    <t>Cuarto</t>
  </si>
  <si>
    <t>VI Trimestre</t>
  </si>
  <si>
    <t>Noviembre</t>
  </si>
  <si>
    <t xml:space="preserve">Total anual </t>
  </si>
  <si>
    <t>PCP</t>
  </si>
  <si>
    <t>*RNC adultos mayores de 65 años</t>
  </si>
  <si>
    <t>*RNC otros beneficiarios</t>
  </si>
  <si>
    <t>*Estimación realizada de acuerdo con la cantidad de pensionados por tipología indicados en el cronograma de inversión.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</si>
</sst>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4" fontId="1" fillId="0" borderId="0" xfId="0" applyNumberFormat="1" applyFont="1"/>
    <xf numFmtId="164" fontId="1" fillId="0" borderId="0" xfId="1" applyFont="1"/>
    <xf numFmtId="39" fontId="1" fillId="0" borderId="0" xfId="1" applyNumberFormat="1" applyFont="1"/>
    <xf numFmtId="39" fontId="1" fillId="0" borderId="0" xfId="0" applyNumberFormat="1" applyFont="1"/>
    <xf numFmtId="165" fontId="1" fillId="0" borderId="0" xfId="1" applyNumberFormat="1" applyFont="1"/>
    <xf numFmtId="165" fontId="1" fillId="0" borderId="2" xfId="0" applyNumberFormat="1" applyFont="1" applyBorder="1"/>
    <xf numFmtId="0" fontId="1" fillId="0" borderId="0" xfId="0" applyFont="1" applyFill="1" applyAlignment="1">
      <alignment horizontal="left" indent="2"/>
    </xf>
    <xf numFmtId="0" fontId="1" fillId="2" borderId="0" xfId="0" applyFont="1" applyFill="1"/>
    <xf numFmtId="164" fontId="3" fillId="2" borderId="0" xfId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2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right" wrapText="1" readingOrder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indent="3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/>
    <xf numFmtId="4" fontId="7" fillId="0" borderId="0" xfId="0" applyNumberFormat="1" applyFont="1"/>
    <xf numFmtId="164" fontId="1" fillId="0" borderId="0" xfId="1" applyFont="1" applyAlignment="1">
      <alignment vertical="center"/>
    </xf>
    <xf numFmtId="10" fontId="1" fillId="0" borderId="0" xfId="2" applyNumberFormat="1" applyFont="1"/>
    <xf numFmtId="4" fontId="1" fillId="0" borderId="0" xfId="0" applyNumberFormat="1" applyFont="1" applyFill="1"/>
    <xf numFmtId="165" fontId="4" fillId="0" borderId="0" xfId="1" applyNumberFormat="1" applyFont="1"/>
    <xf numFmtId="165" fontId="4" fillId="0" borderId="2" xfId="0" applyNumberFormat="1" applyFont="1" applyBorder="1"/>
    <xf numFmtId="0" fontId="4" fillId="0" borderId="0" xfId="0" applyFont="1" applyAlignment="1">
      <alignment horizontal="left"/>
    </xf>
    <xf numFmtId="4" fontId="4" fillId="0" borderId="0" xfId="0" applyNumberFormat="1" applyFont="1"/>
    <xf numFmtId="164" fontId="8" fillId="2" borderId="0" xfId="1" applyFont="1" applyFill="1" applyAlignment="1">
      <alignment horizontal="center"/>
    </xf>
    <xf numFmtId="4" fontId="4" fillId="0" borderId="2" xfId="0" applyNumberFormat="1" applyFont="1" applyBorder="1"/>
    <xf numFmtId="39" fontId="7" fillId="0" borderId="0" xfId="1" applyNumberFormat="1" applyFont="1"/>
    <xf numFmtId="39" fontId="4" fillId="0" borderId="0" xfId="1" applyNumberFormat="1" applyFont="1"/>
    <xf numFmtId="39" fontId="4" fillId="0" borderId="2" xfId="1" applyNumberFormat="1" applyFont="1" applyBorder="1"/>
    <xf numFmtId="0" fontId="4" fillId="0" borderId="0" xfId="0" applyFont="1" applyFill="1"/>
    <xf numFmtId="0" fontId="4" fillId="0" borderId="2" xfId="0" applyFont="1" applyFill="1" applyBorder="1"/>
    <xf numFmtId="164" fontId="8" fillId="0" borderId="0" xfId="1" applyFont="1" applyAlignment="1">
      <alignment horizontal="center"/>
    </xf>
    <xf numFmtId="164" fontId="4" fillId="0" borderId="0" xfId="1" applyFont="1"/>
    <xf numFmtId="0" fontId="4" fillId="0" borderId="0" xfId="0" applyFont="1" applyFill="1" applyAlignment="1">
      <alignment horizontal="left" indent="2"/>
    </xf>
    <xf numFmtId="164" fontId="4" fillId="0" borderId="0" xfId="0" applyNumberFormat="1" applyFont="1"/>
    <xf numFmtId="164" fontId="1" fillId="0" borderId="0" xfId="0" applyNumberFormat="1" applyFont="1"/>
    <xf numFmtId="39" fontId="4" fillId="0" borderId="0" xfId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Normal="100" zoomScaleSheetLayoutView="100" workbookViewId="0">
      <selection sqref="A1:S1"/>
    </sheetView>
  </sheetViews>
  <sheetFormatPr baseColWidth="10" defaultColWidth="11.5703125" defaultRowHeight="15" customHeight="1" x14ac:dyDescent="0.25"/>
  <cols>
    <col min="1" max="1" width="56.7109375" style="4" customWidth="1"/>
    <col min="2" max="5" width="8.85546875" style="4" bestFit="1" customWidth="1"/>
    <col min="6" max="6" width="11.85546875" style="4" bestFit="1" customWidth="1"/>
    <col min="7" max="9" width="10.42578125" style="4" customWidth="1"/>
    <col min="10" max="10" width="12.7109375" style="4" bestFit="1" customWidth="1"/>
    <col min="11" max="12" width="8.85546875" style="1" bestFit="1" customWidth="1"/>
    <col min="13" max="13" width="9.42578125" style="1" bestFit="1" customWidth="1"/>
    <col min="14" max="14" width="13.5703125" style="1" bestFit="1" customWidth="1"/>
    <col min="15" max="15" width="8.85546875" style="1" bestFit="1" customWidth="1"/>
    <col min="16" max="16" width="10.85546875" style="1" bestFit="1" customWidth="1"/>
    <col min="17" max="17" width="10.28515625" style="1" bestFit="1" customWidth="1"/>
    <col min="18" max="18" width="13.28515625" style="1" bestFit="1" customWidth="1"/>
    <col min="19" max="19" width="9" style="1" bestFit="1" customWidth="1"/>
    <col min="20" max="20" width="4.85546875" style="1" customWidth="1"/>
    <col min="21" max="16384" width="11.5703125" style="1"/>
  </cols>
  <sheetData>
    <row r="1" spans="1:19" ht="15" customHeight="1" x14ac:dyDescent="0.25">
      <c r="A1" s="53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" customHeight="1" x14ac:dyDescent="0.25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15" customHeight="1" x14ac:dyDescent="0.25">
      <c r="A3" s="19" t="s">
        <v>0</v>
      </c>
      <c r="B3" s="54" t="s">
        <v>21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15" customHeight="1" x14ac:dyDescent="0.25">
      <c r="A4" s="19" t="s">
        <v>1</v>
      </c>
      <c r="B4" s="52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ht="15" customHeight="1" x14ac:dyDescent="0.25">
      <c r="A5" s="19" t="s">
        <v>10</v>
      </c>
      <c r="B5" s="52" t="s">
        <v>22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9" t="s">
        <v>2</v>
      </c>
      <c r="B6" s="22" t="s">
        <v>64</v>
      </c>
      <c r="C6" s="20"/>
      <c r="D6" s="20"/>
      <c r="E6" s="19"/>
      <c r="F6" s="19"/>
      <c r="G6" s="19"/>
      <c r="H6" s="19"/>
      <c r="I6" s="19"/>
      <c r="J6" s="19"/>
      <c r="M6" s="20"/>
      <c r="N6" s="20"/>
      <c r="O6" s="20"/>
      <c r="P6" s="20"/>
      <c r="Q6" s="20"/>
      <c r="R6" s="20"/>
      <c r="S6" s="20"/>
    </row>
    <row r="7" spans="1:19" ht="15" customHeight="1" x14ac:dyDescent="0.25">
      <c r="A7" s="19" t="s">
        <v>3</v>
      </c>
      <c r="B7" s="22">
        <v>2019</v>
      </c>
      <c r="C7" s="20"/>
      <c r="D7" s="20"/>
      <c r="E7" s="19"/>
      <c r="F7" s="19"/>
      <c r="G7" s="19"/>
      <c r="H7" s="19"/>
      <c r="I7" s="19"/>
      <c r="J7" s="19"/>
      <c r="M7" s="20"/>
      <c r="N7" s="20"/>
      <c r="O7" s="20"/>
      <c r="P7" s="49"/>
      <c r="Q7" s="20"/>
      <c r="R7" s="20"/>
      <c r="S7" s="20"/>
    </row>
    <row r="9" spans="1:19" ht="15" customHeight="1" thickBot="1" x14ac:dyDescent="0.3">
      <c r="A9" s="5" t="s">
        <v>4</v>
      </c>
      <c r="B9" s="2" t="s">
        <v>5</v>
      </c>
      <c r="C9" s="2" t="s">
        <v>53</v>
      </c>
      <c r="D9" s="2" t="s">
        <v>54</v>
      </c>
      <c r="E9" s="2" t="s">
        <v>55</v>
      </c>
      <c r="F9" s="25" t="s">
        <v>56</v>
      </c>
      <c r="G9" s="2" t="s">
        <v>57</v>
      </c>
      <c r="H9" s="2" t="s">
        <v>58</v>
      </c>
      <c r="I9" s="2" t="s">
        <v>59</v>
      </c>
      <c r="J9" s="25" t="s">
        <v>60</v>
      </c>
      <c r="K9" s="2" t="s">
        <v>48</v>
      </c>
      <c r="L9" s="2" t="s">
        <v>49</v>
      </c>
      <c r="M9" s="2" t="s">
        <v>50</v>
      </c>
      <c r="N9" s="25" t="s">
        <v>51</v>
      </c>
      <c r="O9" s="2" t="s">
        <v>61</v>
      </c>
      <c r="P9" s="2" t="s">
        <v>62</v>
      </c>
      <c r="Q9" s="2" t="s">
        <v>63</v>
      </c>
      <c r="R9" s="25" t="s">
        <v>65</v>
      </c>
      <c r="S9" s="2" t="s">
        <v>29</v>
      </c>
    </row>
    <row r="10" spans="1:19" ht="15" customHeight="1" x14ac:dyDescent="0.25">
      <c r="B10" s="1"/>
      <c r="C10" s="1"/>
      <c r="D10" s="1"/>
      <c r="E10" s="1"/>
      <c r="F10" s="20"/>
      <c r="G10" s="1"/>
      <c r="H10" s="1"/>
      <c r="I10" s="1"/>
      <c r="J10" s="20"/>
      <c r="N10" s="20"/>
      <c r="R10" s="20"/>
    </row>
    <row r="11" spans="1:19" ht="15" customHeight="1" x14ac:dyDescent="0.25">
      <c r="A11" s="26" t="s">
        <v>25</v>
      </c>
      <c r="B11" s="1" t="s">
        <v>6</v>
      </c>
      <c r="C11" s="17">
        <v>115338</v>
      </c>
      <c r="D11" s="17">
        <v>115285</v>
      </c>
      <c r="E11" s="17">
        <v>116252</v>
      </c>
      <c r="F11" s="35">
        <f>SUM(C11:E11)</f>
        <v>346875</v>
      </c>
      <c r="G11" s="17">
        <v>116662</v>
      </c>
      <c r="H11" s="17">
        <v>116943</v>
      </c>
      <c r="I11" s="17">
        <v>119045</v>
      </c>
      <c r="J11" s="35">
        <f>SUM(G11:I11)</f>
        <v>352650</v>
      </c>
      <c r="K11" s="17">
        <v>119954</v>
      </c>
      <c r="L11" s="17">
        <v>120247</v>
      </c>
      <c r="M11" s="17">
        <v>120695</v>
      </c>
      <c r="N11" s="35">
        <f>SUM(K11:M11)</f>
        <v>360896</v>
      </c>
      <c r="O11" s="17">
        <v>120815</v>
      </c>
      <c r="P11" s="17">
        <v>121158</v>
      </c>
      <c r="Q11" s="17">
        <v>121608</v>
      </c>
      <c r="R11" s="35">
        <f>SUM(O11:Q11)</f>
        <v>363581</v>
      </c>
      <c r="S11" s="11">
        <f>(F11+J11+N11+R11)/12</f>
        <v>118666.83333333333</v>
      </c>
    </row>
    <row r="12" spans="1:19" ht="15" customHeight="1" x14ac:dyDescent="0.25">
      <c r="A12" s="27" t="s">
        <v>23</v>
      </c>
      <c r="B12" s="14" t="s">
        <v>6</v>
      </c>
      <c r="C12" s="16">
        <v>84940</v>
      </c>
      <c r="D12" s="16">
        <v>84887</v>
      </c>
      <c r="E12" s="16">
        <v>85633</v>
      </c>
      <c r="F12" s="35">
        <f>SUM(C12:E12)</f>
        <v>255460</v>
      </c>
      <c r="G12" s="16">
        <v>86008</v>
      </c>
      <c r="H12" s="16">
        <v>86266</v>
      </c>
      <c r="I12" s="16">
        <v>88021</v>
      </c>
      <c r="J12" s="35">
        <f>SUM(G12:I12)</f>
        <v>260295</v>
      </c>
      <c r="K12" s="16">
        <v>88836</v>
      </c>
      <c r="L12" s="16">
        <v>89191</v>
      </c>
      <c r="M12" s="16">
        <v>89586</v>
      </c>
      <c r="N12" s="35">
        <f>SUM(K12:M12)</f>
        <v>267613</v>
      </c>
      <c r="O12" s="16">
        <v>89722</v>
      </c>
      <c r="P12" s="16">
        <v>90093</v>
      </c>
      <c r="Q12" s="16">
        <v>90533</v>
      </c>
      <c r="R12" s="35">
        <f t="shared" ref="R12:R14" si="0">SUM(O12:Q12)</f>
        <v>270348</v>
      </c>
      <c r="S12" s="15"/>
    </row>
    <row r="13" spans="1:19" ht="15" customHeight="1" x14ac:dyDescent="0.25">
      <c r="A13" s="27" t="s">
        <v>24</v>
      </c>
      <c r="B13" s="14" t="s">
        <v>6</v>
      </c>
      <c r="C13" s="16">
        <f>+C11-C12</f>
        <v>30398</v>
      </c>
      <c r="D13" s="16">
        <f>+D11-D12</f>
        <v>30398</v>
      </c>
      <c r="E13" s="16">
        <f>+E11-E12</f>
        <v>30619</v>
      </c>
      <c r="F13" s="35">
        <f>SUM(C13:E13)</f>
        <v>91415</v>
      </c>
      <c r="G13" s="16">
        <f>+G11-G12</f>
        <v>30654</v>
      </c>
      <c r="H13" s="16">
        <f>+H11-H12</f>
        <v>30677</v>
      </c>
      <c r="I13" s="16">
        <f>+I11-I12</f>
        <v>31024</v>
      </c>
      <c r="J13" s="35">
        <f>SUM(G13:I13)</f>
        <v>92355</v>
      </c>
      <c r="K13" s="16">
        <f>+K11-K12</f>
        <v>31118</v>
      </c>
      <c r="L13" s="16">
        <f>+L11-L12</f>
        <v>31056</v>
      </c>
      <c r="M13" s="16">
        <f>+M11-M12</f>
        <v>31109</v>
      </c>
      <c r="N13" s="35">
        <f>SUM(K13:M13)</f>
        <v>93283</v>
      </c>
      <c r="O13" s="16">
        <f>+O11-O12</f>
        <v>31093</v>
      </c>
      <c r="P13" s="16">
        <f>+P11-P12</f>
        <v>31065</v>
      </c>
      <c r="Q13" s="16">
        <f>+Q11-Q12</f>
        <v>31075</v>
      </c>
      <c r="R13" s="35">
        <f t="shared" si="0"/>
        <v>93233</v>
      </c>
      <c r="S13" s="15"/>
    </row>
    <row r="14" spans="1:19" ht="15" customHeight="1" x14ac:dyDescent="0.25">
      <c r="A14" s="26" t="s">
        <v>26</v>
      </c>
      <c r="B14" s="1" t="s">
        <v>6</v>
      </c>
      <c r="C14" s="17">
        <v>4180</v>
      </c>
      <c r="D14" s="17">
        <v>4192</v>
      </c>
      <c r="E14" s="17">
        <v>4216</v>
      </c>
      <c r="F14" s="35">
        <f>SUM(C14:E14)</f>
        <v>12588</v>
      </c>
      <c r="G14" s="17">
        <v>4247</v>
      </c>
      <c r="H14" s="17">
        <v>4258</v>
      </c>
      <c r="I14" s="17">
        <v>4276</v>
      </c>
      <c r="J14" s="35">
        <f>SUM(G14:I14)</f>
        <v>12781</v>
      </c>
      <c r="K14" s="17">
        <v>4284</v>
      </c>
      <c r="L14" s="17">
        <v>4292</v>
      </c>
      <c r="M14" s="17">
        <v>4311</v>
      </c>
      <c r="N14" s="35">
        <f>SUM(K14:M14)</f>
        <v>12887</v>
      </c>
      <c r="O14" s="17">
        <v>4317</v>
      </c>
      <c r="P14" s="17">
        <v>4350</v>
      </c>
      <c r="Q14" s="17">
        <v>4363</v>
      </c>
      <c r="R14" s="35">
        <f t="shared" si="0"/>
        <v>13030</v>
      </c>
      <c r="S14" s="11">
        <f>+(F14+J14+N14+R14)/12</f>
        <v>4273.833333333333</v>
      </c>
    </row>
    <row r="15" spans="1:19" ht="15" customHeight="1" x14ac:dyDescent="0.25">
      <c r="B15" s="1"/>
      <c r="C15" s="1"/>
      <c r="D15" s="1"/>
      <c r="E15" s="1"/>
      <c r="F15" s="20"/>
      <c r="G15" s="1"/>
      <c r="H15" s="1"/>
      <c r="I15" s="1"/>
      <c r="J15" s="20"/>
      <c r="N15" s="20"/>
      <c r="R15" s="20"/>
    </row>
    <row r="16" spans="1:19" ht="15" customHeight="1" thickBot="1" x14ac:dyDescent="0.3">
      <c r="A16" s="6" t="s">
        <v>12</v>
      </c>
      <c r="B16" s="3"/>
      <c r="C16" s="18">
        <f t="shared" ref="C16:N16" si="1">C11+C14</f>
        <v>119518</v>
      </c>
      <c r="D16" s="18">
        <f t="shared" si="1"/>
        <v>119477</v>
      </c>
      <c r="E16" s="18">
        <f t="shared" si="1"/>
        <v>120468</v>
      </c>
      <c r="F16" s="36">
        <f t="shared" si="1"/>
        <v>359463</v>
      </c>
      <c r="G16" s="18">
        <f t="shared" si="1"/>
        <v>120909</v>
      </c>
      <c r="H16" s="18">
        <f t="shared" si="1"/>
        <v>121201</v>
      </c>
      <c r="I16" s="18">
        <f t="shared" si="1"/>
        <v>123321</v>
      </c>
      <c r="J16" s="36">
        <f t="shared" si="1"/>
        <v>365431</v>
      </c>
      <c r="K16" s="18">
        <f t="shared" si="1"/>
        <v>124238</v>
      </c>
      <c r="L16" s="18">
        <f t="shared" si="1"/>
        <v>124539</v>
      </c>
      <c r="M16" s="18">
        <f t="shared" si="1"/>
        <v>125006</v>
      </c>
      <c r="N16" s="36">
        <f t="shared" si="1"/>
        <v>373783</v>
      </c>
      <c r="O16" s="12">
        <f t="shared" ref="O16:R16" si="2">O11+O14</f>
        <v>125132</v>
      </c>
      <c r="P16" s="12">
        <f t="shared" si="2"/>
        <v>125508</v>
      </c>
      <c r="Q16" s="12">
        <f t="shared" si="2"/>
        <v>125971</v>
      </c>
      <c r="R16" s="36">
        <f t="shared" si="2"/>
        <v>376611</v>
      </c>
      <c r="S16" s="12">
        <f>+(F16+J16+N16+R16)/12</f>
        <v>122940.66666666667</v>
      </c>
    </row>
    <row r="17" spans="1:12" ht="15.75" thickTop="1" x14ac:dyDescent="0.25">
      <c r="A17" s="29" t="s">
        <v>37</v>
      </c>
      <c r="B17" s="29"/>
      <c r="C17" s="29"/>
      <c r="D17" s="29"/>
      <c r="E17" s="29"/>
      <c r="F17" s="29"/>
      <c r="G17" s="29"/>
      <c r="H17" s="29"/>
      <c r="I17" s="29"/>
      <c r="J17" s="29"/>
      <c r="K17" s="33"/>
      <c r="L17" s="28"/>
    </row>
    <row r="18" spans="1:12" x14ac:dyDescent="0.25">
      <c r="K18" s="8"/>
      <c r="L18" s="28"/>
    </row>
    <row r="19" spans="1:12" ht="24.75" customHeight="1" x14ac:dyDescent="0.25">
      <c r="K19" s="8"/>
      <c r="L19" s="28"/>
    </row>
  </sheetData>
  <mergeCells count="5">
    <mergeCell ref="B5:S5"/>
    <mergeCell ref="A1:S1"/>
    <mergeCell ref="A2:S2"/>
    <mergeCell ref="B3:S3"/>
    <mergeCell ref="B4:S4"/>
  </mergeCells>
  <printOptions horizontalCentered="1" verticalCentered="1"/>
  <pageMargins left="0.25" right="0.25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zoomScaleSheetLayoutView="90" workbookViewId="0">
      <selection sqref="A1:Q1"/>
    </sheetView>
  </sheetViews>
  <sheetFormatPr baseColWidth="10" defaultRowHeight="15" x14ac:dyDescent="0.25"/>
  <cols>
    <col min="1" max="1" width="56.7109375" style="1" customWidth="1"/>
    <col min="2" max="2" width="15.5703125" style="1" customWidth="1"/>
    <col min="3" max="4" width="14.140625" style="1" bestFit="1" customWidth="1"/>
    <col min="5" max="5" width="15.5703125" style="1" bestFit="1" customWidth="1"/>
    <col min="6" max="8" width="14.140625" style="1" bestFit="1" customWidth="1"/>
    <col min="9" max="9" width="15.5703125" style="1" bestFit="1" customWidth="1"/>
    <col min="10" max="12" width="14.140625" style="1" bestFit="1" customWidth="1"/>
    <col min="13" max="13" width="15.5703125" style="1" bestFit="1" customWidth="1"/>
    <col min="14" max="16" width="14.140625" style="1" bestFit="1" customWidth="1"/>
    <col min="17" max="18" width="15.5703125" style="1" bestFit="1" customWidth="1"/>
    <col min="19" max="16384" width="11.42578125" style="1"/>
  </cols>
  <sheetData>
    <row r="1" spans="1:18" ht="15" customHeight="1" x14ac:dyDescent="0.25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x14ac:dyDescent="0.25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" customHeight="1" x14ac:dyDescent="0.25">
      <c r="A3" s="19" t="s">
        <v>0</v>
      </c>
      <c r="B3" s="55" t="s">
        <v>21</v>
      </c>
      <c r="C3" s="55"/>
      <c r="D3" s="55"/>
      <c r="E3" s="19"/>
      <c r="F3" s="19"/>
      <c r="G3" s="19"/>
      <c r="H3" s="19"/>
      <c r="I3" s="19"/>
      <c r="M3" s="20"/>
    </row>
    <row r="4" spans="1:18" ht="15" customHeight="1" x14ac:dyDescent="0.25">
      <c r="A4" s="19" t="s">
        <v>1</v>
      </c>
      <c r="B4" s="21" t="s">
        <v>20</v>
      </c>
      <c r="C4" s="21"/>
      <c r="D4" s="21"/>
      <c r="E4" s="19"/>
      <c r="F4" s="19"/>
      <c r="G4" s="19"/>
      <c r="H4" s="19"/>
      <c r="I4" s="19"/>
      <c r="M4" s="22"/>
    </row>
    <row r="5" spans="1:18" ht="15" customHeight="1" x14ac:dyDescent="0.25">
      <c r="A5" s="23" t="s">
        <v>10</v>
      </c>
      <c r="B5" s="21" t="s">
        <v>22</v>
      </c>
      <c r="C5" s="21"/>
      <c r="D5" s="21"/>
      <c r="E5" s="23"/>
      <c r="F5" s="23"/>
      <c r="G5" s="23"/>
      <c r="H5" s="23"/>
      <c r="I5" s="23"/>
      <c r="M5" s="22"/>
    </row>
    <row r="6" spans="1:18" ht="15" customHeight="1" x14ac:dyDescent="0.25">
      <c r="A6" s="19" t="s">
        <v>2</v>
      </c>
      <c r="B6" s="37" t="s">
        <v>64</v>
      </c>
      <c r="C6" s="20"/>
      <c r="D6" s="20"/>
      <c r="E6" s="19"/>
      <c r="F6" s="19"/>
      <c r="G6" s="19"/>
      <c r="H6" s="19"/>
      <c r="I6" s="19"/>
      <c r="M6" s="22"/>
    </row>
    <row r="7" spans="1:18" ht="15" customHeight="1" x14ac:dyDescent="0.25">
      <c r="A7" s="19" t="s">
        <v>3</v>
      </c>
      <c r="B7" s="37">
        <v>2019</v>
      </c>
      <c r="C7" s="20"/>
      <c r="D7" s="20"/>
      <c r="E7" s="19"/>
      <c r="F7" s="19"/>
      <c r="G7" s="19"/>
      <c r="H7" s="19"/>
      <c r="I7" s="19"/>
      <c r="M7" s="22"/>
    </row>
    <row r="8" spans="1:18" ht="15" customHeight="1" x14ac:dyDescent="0.25">
      <c r="A8" s="19" t="s">
        <v>8</v>
      </c>
      <c r="B8" s="52" t="s">
        <v>43</v>
      </c>
      <c r="C8" s="52"/>
      <c r="D8" s="52"/>
      <c r="E8" s="19"/>
      <c r="F8" s="19"/>
      <c r="G8" s="19"/>
      <c r="H8" s="19"/>
      <c r="I8" s="19"/>
      <c r="M8" s="22"/>
    </row>
    <row r="9" spans="1:18" ht="1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18" s="20" customFormat="1" ht="15" customHeight="1" thickBot="1" x14ac:dyDescent="0.25">
      <c r="A10" s="24" t="s">
        <v>4</v>
      </c>
      <c r="B10" s="25" t="s">
        <v>53</v>
      </c>
      <c r="C10" s="25" t="s">
        <v>54</v>
      </c>
      <c r="D10" s="25" t="s">
        <v>55</v>
      </c>
      <c r="E10" s="25" t="s">
        <v>56</v>
      </c>
      <c r="F10" s="25" t="s">
        <v>57</v>
      </c>
      <c r="G10" s="25" t="s">
        <v>58</v>
      </c>
      <c r="H10" s="25" t="s">
        <v>59</v>
      </c>
      <c r="I10" s="25" t="s">
        <v>60</v>
      </c>
      <c r="J10" s="25" t="s">
        <v>48</v>
      </c>
      <c r="K10" s="25" t="s">
        <v>49</v>
      </c>
      <c r="L10" s="25" t="s">
        <v>50</v>
      </c>
      <c r="M10" s="25" t="s">
        <v>51</v>
      </c>
      <c r="N10" s="25" t="s">
        <v>61</v>
      </c>
      <c r="O10" s="25" t="s">
        <v>69</v>
      </c>
      <c r="P10" s="25" t="s">
        <v>63</v>
      </c>
      <c r="Q10" s="25" t="s">
        <v>65</v>
      </c>
      <c r="R10" s="25" t="s">
        <v>70</v>
      </c>
    </row>
    <row r="11" spans="1:18" ht="15" customHeight="1" x14ac:dyDescent="0.25">
      <c r="A11" s="4"/>
      <c r="E11" s="20"/>
      <c r="I11" s="20"/>
      <c r="M11" s="20"/>
      <c r="Q11" s="20"/>
      <c r="R11" s="20"/>
    </row>
    <row r="12" spans="1:18" ht="15" customHeight="1" x14ac:dyDescent="0.25">
      <c r="A12" s="26" t="s">
        <v>25</v>
      </c>
      <c r="B12" s="7">
        <f>9053599.8+5042.3</f>
        <v>9058642.1000000015</v>
      </c>
      <c r="C12" s="7">
        <f>9042965.3+7770.8</f>
        <v>9050736.1000000015</v>
      </c>
      <c r="D12" s="31">
        <f>9138989.9+6645.9</f>
        <v>9145635.8000000007</v>
      </c>
      <c r="E12" s="38">
        <f>SUM(B12:D12)</f>
        <v>27255014.000000004</v>
      </c>
      <c r="F12" s="7">
        <f>9117199.2+5884.3</f>
        <v>9123083.5</v>
      </c>
      <c r="G12" s="7">
        <f>9129874.7+5483.1</f>
        <v>9135357.7999999989</v>
      </c>
      <c r="H12" s="31">
        <v>9724681.6999999993</v>
      </c>
      <c r="I12" s="38">
        <f>SUM(F12:H12)</f>
        <v>27983122.999999996</v>
      </c>
      <c r="J12" s="7">
        <f>9846260.6+5808.2</f>
        <v>9852068.7999999989</v>
      </c>
      <c r="K12" s="7">
        <f>10503479.5+5477.1</f>
        <v>10508956.6</v>
      </c>
      <c r="L12" s="31">
        <f>11125116.4+5836.9-1230732</f>
        <v>9900221.3000000007</v>
      </c>
      <c r="M12" s="38">
        <f>SUM(J12:L12)</f>
        <v>30261246.699999999</v>
      </c>
      <c r="N12" s="7">
        <f>11140521.3+5748.4-1230573.4</f>
        <v>9915696.3000000007</v>
      </c>
      <c r="O12" s="7">
        <f>9956071.62-4628.32+6058.16-17761.56</f>
        <v>9939739.8999999985</v>
      </c>
      <c r="P12" s="31">
        <f>9987619.25-5032.78-5658+11632.12-17761.56</f>
        <v>9970799.0299999993</v>
      </c>
      <c r="Q12" s="38">
        <f>SUM(N12:P12)</f>
        <v>29826235.229999997</v>
      </c>
      <c r="R12" s="38">
        <f>+E12+I12+M12+Q12</f>
        <v>115325618.93000001</v>
      </c>
    </row>
    <row r="13" spans="1:18" ht="15" customHeight="1" x14ac:dyDescent="0.25">
      <c r="A13" s="27" t="s">
        <v>45</v>
      </c>
      <c r="B13" s="15">
        <f>+B12*74%</f>
        <v>6703395.154000001</v>
      </c>
      <c r="C13" s="15">
        <f t="shared" ref="C13:D13" si="0">+C12*74%</f>
        <v>6697544.7140000006</v>
      </c>
      <c r="D13" s="15">
        <f t="shared" si="0"/>
        <v>6767770.4920000006</v>
      </c>
      <c r="E13" s="39">
        <f>+E12*74%</f>
        <v>20168710.360000003</v>
      </c>
      <c r="F13" s="15">
        <f>+F12*74%</f>
        <v>6751081.79</v>
      </c>
      <c r="G13" s="15">
        <f t="shared" ref="G13:I13" si="1">+G12*74%</f>
        <v>6760164.7719999989</v>
      </c>
      <c r="H13" s="15">
        <f t="shared" si="1"/>
        <v>7196264.4579999996</v>
      </c>
      <c r="I13" s="39">
        <f t="shared" si="1"/>
        <v>20707511.019999996</v>
      </c>
      <c r="J13" s="15">
        <f>+J12*74%</f>
        <v>7290530.9119999995</v>
      </c>
      <c r="K13" s="15">
        <f t="shared" ref="K13:M13" si="2">+K12*74%</f>
        <v>7776627.8839999996</v>
      </c>
      <c r="L13" s="15">
        <f t="shared" si="2"/>
        <v>7326163.7620000001</v>
      </c>
      <c r="M13" s="39">
        <f t="shared" si="2"/>
        <v>22393322.557999998</v>
      </c>
      <c r="N13" s="15">
        <f>+N12*74%</f>
        <v>7337615.2620000001</v>
      </c>
      <c r="O13" s="15">
        <f>+O12*74%</f>
        <v>7355407.5259999987</v>
      </c>
      <c r="P13" s="15">
        <f t="shared" ref="P13" si="3">+P12*74%</f>
        <v>7378391.2821999993</v>
      </c>
      <c r="Q13" s="39">
        <f>+Q12*74%</f>
        <v>22071414.070199996</v>
      </c>
      <c r="R13" s="39">
        <f>+R12*74%</f>
        <v>85340958.008200005</v>
      </c>
    </row>
    <row r="14" spans="1:18" ht="15" customHeight="1" x14ac:dyDescent="0.25">
      <c r="A14" s="27" t="s">
        <v>46</v>
      </c>
      <c r="B14" s="15">
        <f>+B12*26%</f>
        <v>2355246.9460000005</v>
      </c>
      <c r="C14" s="15">
        <f t="shared" ref="C14:D14" si="4">+C12*26%</f>
        <v>2353191.3860000004</v>
      </c>
      <c r="D14" s="15">
        <f t="shared" si="4"/>
        <v>2377865.3080000002</v>
      </c>
      <c r="E14" s="39">
        <f>+E12*26%</f>
        <v>7086303.6400000015</v>
      </c>
      <c r="F14" s="15">
        <f>+F12-F13</f>
        <v>2372001.71</v>
      </c>
      <c r="G14" s="15">
        <f t="shared" ref="G14" si="5">+G12-G13</f>
        <v>2375193.0279999999</v>
      </c>
      <c r="H14" s="15">
        <f>+H12-H13</f>
        <v>2528417.2419999996</v>
      </c>
      <c r="I14" s="39">
        <f>+I12-I13</f>
        <v>7275611.9800000004</v>
      </c>
      <c r="J14" s="15">
        <f>+J12-J13</f>
        <v>2561537.8879999993</v>
      </c>
      <c r="K14" s="15">
        <f t="shared" ref="K14" si="6">+K12-K13</f>
        <v>2732328.716</v>
      </c>
      <c r="L14" s="15">
        <f>+L12-L13</f>
        <v>2574057.5380000006</v>
      </c>
      <c r="M14" s="39">
        <f>+M12-M13</f>
        <v>7867924.1420000009</v>
      </c>
      <c r="N14" s="15">
        <f>+N12-N13</f>
        <v>2578081.0380000006</v>
      </c>
      <c r="O14" s="15">
        <f t="shared" ref="O14" si="7">+O12-O13</f>
        <v>2584332.3739999998</v>
      </c>
      <c r="P14" s="15">
        <f>+P12-P13</f>
        <v>2592407.7478</v>
      </c>
      <c r="Q14" s="39">
        <f>+Q12-Q13</f>
        <v>7754821.1598000005</v>
      </c>
      <c r="R14" s="39">
        <f>+R12-R13</f>
        <v>29984660.921800002</v>
      </c>
    </row>
    <row r="15" spans="1:18" ht="15" customHeight="1" x14ac:dyDescent="0.25">
      <c r="A15" s="26" t="s">
        <v>26</v>
      </c>
      <c r="B15" s="7">
        <v>1194495.8999999999</v>
      </c>
      <c r="C15" s="7">
        <v>1202715.2</v>
      </c>
      <c r="D15" s="7">
        <v>1203561.3</v>
      </c>
      <c r="E15" s="38">
        <f>SUM(B15:D15)</f>
        <v>3600772.3999999994</v>
      </c>
      <c r="F15" s="7">
        <v>1231242.7</v>
      </c>
      <c r="G15" s="7">
        <v>1265337</v>
      </c>
      <c r="H15" s="7">
        <v>1219024.68</v>
      </c>
      <c r="I15" s="38">
        <f>SUM(F15:H15)</f>
        <v>3715604.38</v>
      </c>
      <c r="J15" s="7">
        <v>1222218.7</v>
      </c>
      <c r="K15" s="7">
        <v>1231463.8</v>
      </c>
      <c r="L15" s="34">
        <v>1230732</v>
      </c>
      <c r="M15" s="38">
        <f>SUM(J15:L15)</f>
        <v>3684414.5</v>
      </c>
      <c r="N15" s="7">
        <v>1230573.3999999999</v>
      </c>
      <c r="O15" s="7">
        <v>1251885.23</v>
      </c>
      <c r="P15" s="34">
        <v>1242397.3999999999</v>
      </c>
      <c r="Q15" s="38">
        <f>SUM(N15:P15)</f>
        <v>3724856.03</v>
      </c>
      <c r="R15" s="38">
        <f>+E15+I15+M15+Q15</f>
        <v>14725647.309999999</v>
      </c>
    </row>
    <row r="16" spans="1:18" ht="15" customHeight="1" x14ac:dyDescent="0.25">
      <c r="A16" s="4" t="s">
        <v>27</v>
      </c>
      <c r="B16" s="7">
        <f>B17+B18</f>
        <v>1926853.9000000001</v>
      </c>
      <c r="C16" s="7">
        <f>C17+C18</f>
        <v>1740381.7000000002</v>
      </c>
      <c r="D16" s="7">
        <f>D17+D18</f>
        <v>1836178.5999999999</v>
      </c>
      <c r="E16" s="38">
        <f>SUM(B16:D16)</f>
        <v>5503414.2000000002</v>
      </c>
      <c r="F16" s="7">
        <f>F17+F18</f>
        <v>1847582.0999999999</v>
      </c>
      <c r="G16" s="7">
        <f>G17+G18</f>
        <v>1853151.5</v>
      </c>
      <c r="H16" s="7">
        <f>H17+H18</f>
        <v>1856597.2</v>
      </c>
      <c r="I16" s="38">
        <f>SUM(F16:H16)</f>
        <v>5557330.7999999998</v>
      </c>
      <c r="J16" s="7">
        <f>J17+J18</f>
        <v>1879847.9</v>
      </c>
      <c r="K16" s="7">
        <f>K17+K18</f>
        <v>1487825.8</v>
      </c>
      <c r="L16" s="7">
        <f>L17+L18</f>
        <v>1959503.5</v>
      </c>
      <c r="M16" s="38">
        <f>SUM(J16:L16)</f>
        <v>5327177.2</v>
      </c>
      <c r="N16" s="7">
        <f>N17+N18</f>
        <v>1965300.7</v>
      </c>
      <c r="O16" s="7">
        <f>O17+O18</f>
        <v>1966889.3</v>
      </c>
      <c r="P16" s="7">
        <f>P17+P18</f>
        <v>2572052.4000000004</v>
      </c>
      <c r="Q16" s="38">
        <f>SUM(N16:P16)</f>
        <v>6504242.4000000004</v>
      </c>
      <c r="R16" s="38">
        <f>+R17+R18</f>
        <v>22892164.600000001</v>
      </c>
    </row>
    <row r="17" spans="1:18" ht="15" customHeight="1" x14ac:dyDescent="0.25">
      <c r="A17" s="13" t="s">
        <v>30</v>
      </c>
      <c r="B17" s="7">
        <v>1395690.6</v>
      </c>
      <c r="C17" s="7">
        <v>1401150.6</v>
      </c>
      <c r="D17" s="7">
        <v>1401031.9</v>
      </c>
      <c r="E17" s="38">
        <f>SUM(B17:D17)</f>
        <v>4197873.0999999996</v>
      </c>
      <c r="F17" s="7">
        <v>1412345.4</v>
      </c>
      <c r="G17" s="7">
        <v>1417959.8</v>
      </c>
      <c r="H17" s="7">
        <v>1421405.5</v>
      </c>
      <c r="I17" s="38">
        <f>SUM(F17:H17)</f>
        <v>4251710.7</v>
      </c>
      <c r="J17" s="7">
        <v>1444656.2</v>
      </c>
      <c r="K17" s="7">
        <v>1520694.1</v>
      </c>
      <c r="L17" s="7">
        <v>1524311.8</v>
      </c>
      <c r="M17" s="38">
        <f>SUM(J17:L17)</f>
        <v>4489662.0999999996</v>
      </c>
      <c r="N17" s="7">
        <v>1530109</v>
      </c>
      <c r="O17" s="7">
        <v>1531697.6</v>
      </c>
      <c r="P17" s="7">
        <v>2136860.7000000002</v>
      </c>
      <c r="Q17" s="38">
        <f>SUM(N17:P17)</f>
        <v>5198667.3000000007</v>
      </c>
      <c r="R17" s="38">
        <f t="shared" ref="R17" si="8">+E17+I17+M17+Q17</f>
        <v>18137913.200000003</v>
      </c>
    </row>
    <row r="18" spans="1:18" ht="15" customHeight="1" x14ac:dyDescent="0.25">
      <c r="A18" s="13" t="s">
        <v>31</v>
      </c>
      <c r="B18" s="7">
        <f>305716.7+225441.7+4.9</f>
        <v>531163.30000000005</v>
      </c>
      <c r="C18" s="7">
        <f>113783.3+225441.7+6.1</f>
        <v>339231.1</v>
      </c>
      <c r="D18" s="7">
        <f>209705+225441.7</f>
        <v>435146.7</v>
      </c>
      <c r="E18" s="38">
        <f>SUM(B18:D18)</f>
        <v>1305541.1000000001</v>
      </c>
      <c r="F18" s="7">
        <v>435236.7</v>
      </c>
      <c r="G18" s="7">
        <v>435191.7</v>
      </c>
      <c r="H18" s="7">
        <v>435191.7</v>
      </c>
      <c r="I18" s="38">
        <f>SUM(F18:H18)</f>
        <v>1305620.1000000001</v>
      </c>
      <c r="J18" s="7">
        <f>209750+225441.7</f>
        <v>435191.7</v>
      </c>
      <c r="K18" s="7">
        <f>-258310+225441.7</f>
        <v>-32868.299999999988</v>
      </c>
      <c r="L18" s="7">
        <f>209750+225441.7</f>
        <v>435191.7</v>
      </c>
      <c r="M18" s="38">
        <f>SUM(J18:L18)</f>
        <v>837515.10000000009</v>
      </c>
      <c r="N18" s="7">
        <f>209750+225441.7</f>
        <v>435191.7</v>
      </c>
      <c r="O18" s="7">
        <f>209750+225441.7</f>
        <v>435191.7</v>
      </c>
      <c r="P18" s="7">
        <f>209750+225441.7</f>
        <v>435191.7</v>
      </c>
      <c r="Q18" s="38">
        <f>SUM(N18:P18)</f>
        <v>1305575.1000000001</v>
      </c>
      <c r="R18" s="38">
        <f>+E18+I18+M18+Q18</f>
        <v>4754251.4000000004</v>
      </c>
    </row>
    <row r="19" spans="1:18" ht="15" customHeight="1" x14ac:dyDescent="0.25">
      <c r="A19" s="4"/>
      <c r="B19" s="7"/>
      <c r="C19" s="7"/>
      <c r="D19" s="7"/>
      <c r="E19" s="38"/>
      <c r="F19" s="7"/>
      <c r="G19" s="7"/>
      <c r="H19" s="7"/>
      <c r="I19" s="38"/>
      <c r="J19" s="7"/>
      <c r="K19" s="7"/>
      <c r="L19" s="7"/>
      <c r="M19" s="38"/>
      <c r="N19" s="7"/>
      <c r="O19" s="7"/>
      <c r="P19" s="7"/>
      <c r="Q19" s="38"/>
      <c r="R19" s="38"/>
    </row>
    <row r="20" spans="1:18" s="20" customFormat="1" ht="15" customHeight="1" thickBot="1" x14ac:dyDescent="0.25">
      <c r="A20" s="45" t="s">
        <v>12</v>
      </c>
      <c r="B20" s="40">
        <f t="shared" ref="B20:R20" si="9">SUM(B16,B15,B12)</f>
        <v>12179991.900000002</v>
      </c>
      <c r="C20" s="40">
        <f t="shared" si="9"/>
        <v>11993833.000000002</v>
      </c>
      <c r="D20" s="40">
        <f t="shared" si="9"/>
        <v>12185375.700000001</v>
      </c>
      <c r="E20" s="40">
        <f t="shared" si="9"/>
        <v>36359200.600000001</v>
      </c>
      <c r="F20" s="40">
        <f t="shared" si="9"/>
        <v>12201908.300000001</v>
      </c>
      <c r="G20" s="40">
        <f t="shared" si="9"/>
        <v>12253846.299999999</v>
      </c>
      <c r="H20" s="40">
        <f t="shared" si="9"/>
        <v>12800303.579999998</v>
      </c>
      <c r="I20" s="40">
        <f t="shared" si="9"/>
        <v>37256058.179999992</v>
      </c>
      <c r="J20" s="40">
        <f t="shared" si="9"/>
        <v>12954135.399999999</v>
      </c>
      <c r="K20" s="40">
        <f t="shared" si="9"/>
        <v>13228246.199999999</v>
      </c>
      <c r="L20" s="40">
        <f t="shared" si="9"/>
        <v>13090456.800000001</v>
      </c>
      <c r="M20" s="40">
        <f t="shared" si="9"/>
        <v>39272838.399999999</v>
      </c>
      <c r="N20" s="40">
        <f t="shared" si="9"/>
        <v>13111570.4</v>
      </c>
      <c r="O20" s="40">
        <f t="shared" si="9"/>
        <v>13158514.43</v>
      </c>
      <c r="P20" s="40">
        <f t="shared" si="9"/>
        <v>13785248.83</v>
      </c>
      <c r="Q20" s="40">
        <f t="shared" si="9"/>
        <v>40055333.659999996</v>
      </c>
      <c r="R20" s="40">
        <f t="shared" si="9"/>
        <v>152943430.84</v>
      </c>
    </row>
    <row r="21" spans="1:18" ht="15" customHeight="1" thickTop="1" x14ac:dyDescent="0.25">
      <c r="A21" s="29" t="s">
        <v>47</v>
      </c>
      <c r="B21" s="29"/>
      <c r="C21" s="29"/>
      <c r="D21" s="29"/>
      <c r="E21" s="29"/>
      <c r="F21" s="29"/>
      <c r="G21" s="29"/>
      <c r="H21" s="29"/>
      <c r="I21" s="29"/>
    </row>
    <row r="22" spans="1:18" ht="15" customHeight="1" x14ac:dyDescent="0.25">
      <c r="A22" s="29" t="s">
        <v>66</v>
      </c>
      <c r="B22" s="29"/>
      <c r="C22" s="29"/>
      <c r="D22" s="29"/>
      <c r="E22" s="29"/>
      <c r="F22" s="29"/>
      <c r="G22" s="29"/>
      <c r="H22" s="29"/>
      <c r="I22" s="29"/>
    </row>
    <row r="23" spans="1:18" x14ac:dyDescent="0.25">
      <c r="A23" s="4"/>
      <c r="B23" s="4"/>
      <c r="C23" s="4"/>
      <c r="D23" s="4"/>
      <c r="E23" s="4"/>
      <c r="F23" s="4"/>
      <c r="G23" s="4"/>
      <c r="H23" s="4"/>
      <c r="I23" s="4"/>
    </row>
  </sheetData>
  <mergeCells count="4">
    <mergeCell ref="B3:D3"/>
    <mergeCell ref="B8:D8"/>
    <mergeCell ref="A2:Q2"/>
    <mergeCell ref="A1:Q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zoomScaleSheetLayoutView="90" workbookViewId="0">
      <selection sqref="A1:Q1"/>
    </sheetView>
  </sheetViews>
  <sheetFormatPr baseColWidth="10" defaultRowHeight="15" x14ac:dyDescent="0.25"/>
  <cols>
    <col min="1" max="1" width="50.5703125" style="1" customWidth="1"/>
    <col min="2" max="2" width="14" style="1" customWidth="1"/>
    <col min="3" max="17" width="14.85546875" style="1" bestFit="1" customWidth="1"/>
    <col min="18" max="18" width="16.140625" style="1" bestFit="1" customWidth="1"/>
    <col min="19" max="16384" width="11.42578125" style="1"/>
  </cols>
  <sheetData>
    <row r="1" spans="1:18" ht="15" customHeight="1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x14ac:dyDescent="0.25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" customHeight="1" x14ac:dyDescent="0.25">
      <c r="A3" s="19" t="s">
        <v>0</v>
      </c>
      <c r="B3" s="55" t="s">
        <v>21</v>
      </c>
      <c r="C3" s="55"/>
      <c r="D3" s="55"/>
      <c r="E3" s="19"/>
      <c r="F3" s="19"/>
      <c r="G3" s="19"/>
      <c r="H3" s="19"/>
      <c r="I3" s="19"/>
      <c r="M3" s="20"/>
    </row>
    <row r="4" spans="1:18" ht="15" customHeight="1" x14ac:dyDescent="0.25">
      <c r="A4" s="19" t="s">
        <v>1</v>
      </c>
      <c r="B4" s="21" t="s">
        <v>20</v>
      </c>
      <c r="C4" s="21"/>
      <c r="D4" s="21"/>
      <c r="E4" s="19"/>
      <c r="F4" s="19"/>
      <c r="G4" s="19"/>
      <c r="H4" s="19"/>
      <c r="I4" s="19"/>
      <c r="M4" s="20"/>
    </row>
    <row r="5" spans="1:18" ht="15" customHeight="1" x14ac:dyDescent="0.25">
      <c r="A5" s="23" t="s">
        <v>10</v>
      </c>
      <c r="B5" s="21" t="s">
        <v>22</v>
      </c>
      <c r="C5" s="21"/>
      <c r="D5" s="21"/>
      <c r="E5" s="23"/>
      <c r="F5" s="23"/>
      <c r="G5" s="23"/>
      <c r="H5" s="23"/>
      <c r="I5" s="23"/>
      <c r="M5" s="20"/>
    </row>
    <row r="6" spans="1:18" ht="15" customHeight="1" x14ac:dyDescent="0.25">
      <c r="A6" s="19" t="s">
        <v>2</v>
      </c>
      <c r="B6" s="37" t="s">
        <v>67</v>
      </c>
      <c r="C6" s="20"/>
      <c r="D6" s="20"/>
      <c r="E6" s="19"/>
      <c r="F6" s="19"/>
      <c r="G6" s="19"/>
      <c r="H6" s="19"/>
      <c r="I6" s="19"/>
      <c r="M6" s="22"/>
      <c r="O6" s="8"/>
      <c r="P6" s="50"/>
    </row>
    <row r="7" spans="1:18" ht="15" customHeight="1" x14ac:dyDescent="0.25">
      <c r="A7" s="19" t="s">
        <v>3</v>
      </c>
      <c r="B7" s="37">
        <v>2019</v>
      </c>
      <c r="C7" s="20"/>
      <c r="D7" s="20"/>
      <c r="E7" s="19"/>
      <c r="F7" s="19"/>
      <c r="G7" s="19"/>
      <c r="H7" s="19"/>
      <c r="I7" s="19"/>
      <c r="M7" s="22"/>
      <c r="O7" s="8"/>
    </row>
    <row r="8" spans="1:18" ht="15" customHeight="1" x14ac:dyDescent="0.25">
      <c r="A8" s="19" t="s">
        <v>8</v>
      </c>
      <c r="B8" s="52" t="s">
        <v>43</v>
      </c>
      <c r="C8" s="52"/>
      <c r="D8" s="22"/>
      <c r="E8" s="19"/>
      <c r="F8" s="19"/>
      <c r="G8" s="19"/>
      <c r="H8" s="19"/>
      <c r="I8" s="19"/>
      <c r="M8" s="22"/>
    </row>
    <row r="9" spans="1:18" ht="1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18" s="20" customFormat="1" ht="15" customHeight="1" thickBot="1" x14ac:dyDescent="0.25">
      <c r="A10" s="24" t="s">
        <v>9</v>
      </c>
      <c r="B10" s="25" t="s">
        <v>53</v>
      </c>
      <c r="C10" s="25" t="s">
        <v>54</v>
      </c>
      <c r="D10" s="25" t="s">
        <v>55</v>
      </c>
      <c r="E10" s="25" t="s">
        <v>56</v>
      </c>
      <c r="F10" s="25" t="s">
        <v>57</v>
      </c>
      <c r="G10" s="25" t="s">
        <v>58</v>
      </c>
      <c r="H10" s="25" t="s">
        <v>59</v>
      </c>
      <c r="I10" s="25" t="s">
        <v>60</v>
      </c>
      <c r="J10" s="25" t="s">
        <v>48</v>
      </c>
      <c r="K10" s="25" t="s">
        <v>49</v>
      </c>
      <c r="L10" s="25" t="s">
        <v>52</v>
      </c>
      <c r="M10" s="25" t="s">
        <v>51</v>
      </c>
      <c r="N10" s="25" t="s">
        <v>61</v>
      </c>
      <c r="O10" s="25" t="s">
        <v>62</v>
      </c>
      <c r="P10" s="25" t="s">
        <v>63</v>
      </c>
      <c r="Q10" s="25" t="s">
        <v>68</v>
      </c>
      <c r="R10" s="25" t="s">
        <v>70</v>
      </c>
    </row>
    <row r="11" spans="1:18" ht="15" customHeight="1" x14ac:dyDescent="0.25">
      <c r="A11" s="4"/>
      <c r="E11" s="20"/>
      <c r="I11" s="20"/>
      <c r="M11" s="20"/>
      <c r="Q11" s="20"/>
      <c r="R11" s="20"/>
    </row>
    <row r="12" spans="1:18" ht="15" customHeight="1" x14ac:dyDescent="0.25">
      <c r="A12" s="4" t="s">
        <v>34</v>
      </c>
      <c r="B12" s="10">
        <f>SUM(B13:B15)</f>
        <v>10253138</v>
      </c>
      <c r="C12" s="10">
        <f>SUM(C13:C15)</f>
        <v>10253451.299999999</v>
      </c>
      <c r="D12" s="10">
        <f>SUM(D13:D15)</f>
        <v>10349197.100000001</v>
      </c>
      <c r="E12" s="42">
        <f>SUM(B12:D12)</f>
        <v>30855786.399999999</v>
      </c>
      <c r="F12" s="10">
        <f>SUM(F13:F15)</f>
        <v>10354326.199999999</v>
      </c>
      <c r="G12" s="10">
        <f>SUM(G13:G15)</f>
        <v>10400694.799999999</v>
      </c>
      <c r="H12" s="10">
        <f>SUM(H13:H15)</f>
        <v>10943706.379999999</v>
      </c>
      <c r="I12" s="42">
        <f>SUM(F12:H12)</f>
        <v>31698727.379999999</v>
      </c>
      <c r="J12" s="10">
        <f>SUM(J13:J15)</f>
        <v>11074287.499999998</v>
      </c>
      <c r="K12" s="10">
        <f>SUM(K13:K15)</f>
        <v>11740420.4</v>
      </c>
      <c r="L12" s="10">
        <f>SUM(L13:L15)</f>
        <v>11130953.300000001</v>
      </c>
      <c r="M12" s="42">
        <f>SUM(J12:L12)</f>
        <v>33945661.200000003</v>
      </c>
      <c r="N12" s="10">
        <f>SUM(N13:N15)</f>
        <v>11146269.700000001</v>
      </c>
      <c r="O12" s="10">
        <f>SUM(O13:O18)</f>
        <v>21408664.069999997</v>
      </c>
      <c r="P12" s="10">
        <f>SUM(P13:P18)</f>
        <v>11213196.43</v>
      </c>
      <c r="Q12" s="42">
        <f>SUM(N12:P12)</f>
        <v>43768130.199999996</v>
      </c>
      <c r="R12" s="42">
        <f>+E12+I12+M12+Q12</f>
        <v>140268305.18000001</v>
      </c>
    </row>
    <row r="13" spans="1:18" ht="15" customHeight="1" x14ac:dyDescent="0.25">
      <c r="A13" s="13" t="s">
        <v>38</v>
      </c>
      <c r="B13" s="9">
        <v>9058642.0999999996</v>
      </c>
      <c r="C13" s="9">
        <v>9050736.0999999996</v>
      </c>
      <c r="D13" s="41">
        <f>9138989.9+6645.9</f>
        <v>9145635.8000000007</v>
      </c>
      <c r="E13" s="42">
        <f>SUM(B13:D13)</f>
        <v>27255014</v>
      </c>
      <c r="F13" s="7">
        <f>9117199.2+5884.3</f>
        <v>9123083.5</v>
      </c>
      <c r="G13" s="7">
        <f>9129874.7+5483.1</f>
        <v>9135357.7999999989</v>
      </c>
      <c r="H13" s="31">
        <v>9724681.6999999993</v>
      </c>
      <c r="I13" s="42">
        <f>SUM(F13:H13)</f>
        <v>27983122.999999996</v>
      </c>
      <c r="J13" s="7">
        <f>+'Cuadro 2'!J12</f>
        <v>9852068.7999999989</v>
      </c>
      <c r="K13" s="7">
        <f>+'Cuadro 2'!K12</f>
        <v>10508956.6</v>
      </c>
      <c r="L13" s="31">
        <f>+'Cuadro 2'!L12</f>
        <v>9900221.3000000007</v>
      </c>
      <c r="M13" s="42">
        <f>SUM(J13:L13)</f>
        <v>30261246.699999999</v>
      </c>
      <c r="N13" s="7">
        <f>+'Cuadro 2'!N12</f>
        <v>9915696.3000000007</v>
      </c>
      <c r="O13" s="7">
        <f>+'Cuadro 2'!O12</f>
        <v>9939739.8999999985</v>
      </c>
      <c r="P13" s="31">
        <f>+'Cuadro 2'!P12</f>
        <v>9970799.0299999993</v>
      </c>
      <c r="Q13" s="42">
        <f t="shared" ref="Q13:Q20" si="0">SUM(N13:P13)</f>
        <v>29826235.229999997</v>
      </c>
      <c r="R13" s="42">
        <f t="shared" ref="R13:R18" si="1">+E13+I13+M13+Q13</f>
        <v>115325618.93000001</v>
      </c>
    </row>
    <row r="14" spans="1:18" ht="15" customHeight="1" x14ac:dyDescent="0.25">
      <c r="A14" s="13" t="s">
        <v>32</v>
      </c>
      <c r="B14" s="9">
        <v>1194495.8999999999</v>
      </c>
      <c r="C14" s="9">
        <v>1202715.2</v>
      </c>
      <c r="D14" s="9">
        <v>1203561.3</v>
      </c>
      <c r="E14" s="42">
        <f>SUM(B14:D14)</f>
        <v>3600772.3999999994</v>
      </c>
      <c r="F14" s="7">
        <v>1231242.7</v>
      </c>
      <c r="G14" s="7">
        <v>1265337</v>
      </c>
      <c r="H14" s="7">
        <v>1219024.68</v>
      </c>
      <c r="I14" s="42">
        <f>SUM(F14:H14)</f>
        <v>3715604.38</v>
      </c>
      <c r="J14" s="7">
        <f>+'Cuadro 2'!J15</f>
        <v>1222218.7</v>
      </c>
      <c r="K14" s="7">
        <f>+'Cuadro 2'!K15</f>
        <v>1231463.8</v>
      </c>
      <c r="L14" s="7">
        <f>+'Cuadro 2'!L15</f>
        <v>1230732</v>
      </c>
      <c r="M14" s="42">
        <f>SUM(J14:L14)</f>
        <v>3684414.5</v>
      </c>
      <c r="N14" s="7">
        <f>+'Cuadro 2'!N15</f>
        <v>1230573.3999999999</v>
      </c>
      <c r="O14" s="7">
        <f>+'Cuadro 2'!O15</f>
        <v>1251885.23</v>
      </c>
      <c r="P14" s="7">
        <f>+'Cuadro 2'!P15</f>
        <v>1242397.3999999999</v>
      </c>
      <c r="Q14" s="42">
        <f>SUM(N14:P14)</f>
        <v>3724856.03</v>
      </c>
      <c r="R14" s="42">
        <f t="shared" si="1"/>
        <v>14725647.309999999</v>
      </c>
    </row>
    <row r="15" spans="1:18" ht="15" customHeight="1" x14ac:dyDescent="0.25">
      <c r="A15" s="48" t="s">
        <v>33</v>
      </c>
      <c r="B15" s="9"/>
      <c r="C15" s="9"/>
      <c r="D15" s="9"/>
      <c r="E15" s="42"/>
      <c r="F15" s="9"/>
      <c r="G15" s="9"/>
      <c r="H15" s="9"/>
      <c r="I15" s="42"/>
      <c r="J15" s="9"/>
      <c r="K15" s="9"/>
      <c r="L15" s="9"/>
      <c r="M15" s="42"/>
      <c r="N15" s="9"/>
      <c r="O15" s="9"/>
      <c r="P15" s="9"/>
      <c r="Q15" s="42"/>
      <c r="R15" s="42"/>
    </row>
    <row r="16" spans="1:18" ht="15" customHeight="1" x14ac:dyDescent="0.25">
      <c r="A16" s="13" t="s">
        <v>72</v>
      </c>
      <c r="B16" s="9"/>
      <c r="C16" s="9"/>
      <c r="D16" s="9"/>
      <c r="E16" s="42"/>
      <c r="F16" s="9"/>
      <c r="G16" s="9"/>
      <c r="H16" s="9"/>
      <c r="I16" s="42"/>
      <c r="J16" s="9"/>
      <c r="K16" s="9"/>
      <c r="L16" s="9"/>
      <c r="M16" s="42"/>
      <c r="N16" s="9"/>
      <c r="O16" s="9">
        <v>5849176.0599999996</v>
      </c>
      <c r="P16" s="9"/>
      <c r="Q16" s="42">
        <f t="shared" ref="Q16:Q17" si="2">SUM(N16:P16)</f>
        <v>5849176.0599999996</v>
      </c>
      <c r="R16" s="42">
        <f t="shared" si="1"/>
        <v>5849176.0599999996</v>
      </c>
    </row>
    <row r="17" spans="1:18" ht="15" customHeight="1" x14ac:dyDescent="0.25">
      <c r="A17" s="13" t="s">
        <v>73</v>
      </c>
      <c r="B17" s="9"/>
      <c r="C17" s="9"/>
      <c r="D17" s="9"/>
      <c r="E17" s="42"/>
      <c r="F17" s="9"/>
      <c r="G17" s="9"/>
      <c r="H17" s="9"/>
      <c r="I17" s="42"/>
      <c r="J17" s="9"/>
      <c r="K17" s="9"/>
      <c r="L17" s="9"/>
      <c r="M17" s="42"/>
      <c r="N17" s="9"/>
      <c r="O17" s="9">
        <v>3187702.33</v>
      </c>
      <c r="P17" s="9"/>
      <c r="Q17" s="42">
        <f t="shared" si="2"/>
        <v>3187702.33</v>
      </c>
      <c r="R17" s="42">
        <f t="shared" si="1"/>
        <v>3187702.33</v>
      </c>
    </row>
    <row r="18" spans="1:18" ht="15" customHeight="1" x14ac:dyDescent="0.25">
      <c r="A18" s="13" t="s">
        <v>71</v>
      </c>
      <c r="B18" s="9"/>
      <c r="C18" s="9"/>
      <c r="D18" s="9"/>
      <c r="E18" s="42"/>
      <c r="F18" s="9"/>
      <c r="G18" s="9"/>
      <c r="H18" s="9"/>
      <c r="I18" s="42"/>
      <c r="J18" s="9"/>
      <c r="K18" s="9"/>
      <c r="L18" s="9"/>
      <c r="M18" s="42"/>
      <c r="N18" s="9"/>
      <c r="O18" s="9">
        <v>1180160.55</v>
      </c>
      <c r="P18" s="9"/>
      <c r="Q18" s="42">
        <f>SUM(N18:P18)</f>
        <v>1180160.55</v>
      </c>
      <c r="R18" s="42">
        <f t="shared" si="1"/>
        <v>1180160.55</v>
      </c>
    </row>
    <row r="19" spans="1:18" ht="15" customHeight="1" x14ac:dyDescent="0.25">
      <c r="A19" s="4" t="s">
        <v>35</v>
      </c>
      <c r="B19" s="9">
        <v>1395690.6</v>
      </c>
      <c r="C19" s="9">
        <v>1401150.6</v>
      </c>
      <c r="D19" s="9">
        <v>1401031.9</v>
      </c>
      <c r="E19" s="42">
        <f>SUM(B19:D19)</f>
        <v>4197873.0999999996</v>
      </c>
      <c r="F19" s="7">
        <v>1412345.4</v>
      </c>
      <c r="G19" s="7">
        <v>1417959.8</v>
      </c>
      <c r="H19" s="7">
        <v>1421405.5</v>
      </c>
      <c r="I19" s="42">
        <f>SUM(F19:H19)</f>
        <v>4251710.7</v>
      </c>
      <c r="J19" s="7">
        <f>+'Cuadro 2'!J17</f>
        <v>1444656.2</v>
      </c>
      <c r="K19" s="7">
        <f>+'Cuadro 2'!K17</f>
        <v>1520694.1</v>
      </c>
      <c r="L19" s="7">
        <f>+'Cuadro 2'!L17</f>
        <v>1524311.8</v>
      </c>
      <c r="M19" s="42">
        <f>SUM(J19:L19)</f>
        <v>4489662.0999999996</v>
      </c>
      <c r="N19" s="7">
        <f>+'Cuadro 2'!N17</f>
        <v>1530109</v>
      </c>
      <c r="O19" s="7">
        <f>+'Cuadro 2'!O17</f>
        <v>1531697.6</v>
      </c>
      <c r="P19" s="7">
        <f>+'Cuadro 2'!P17</f>
        <v>2136860.7000000002</v>
      </c>
      <c r="Q19" s="42">
        <f t="shared" si="0"/>
        <v>5198667.3000000007</v>
      </c>
      <c r="R19" s="42">
        <f t="shared" ref="R19:R20" si="3">+E19+I19+M19+Q19</f>
        <v>18137913.200000003</v>
      </c>
    </row>
    <row r="20" spans="1:18" ht="15" customHeight="1" x14ac:dyDescent="0.25">
      <c r="A20" s="4" t="s">
        <v>36</v>
      </c>
      <c r="B20" s="9">
        <v>531163.30000000005</v>
      </c>
      <c r="C20" s="9">
        <v>339231.1</v>
      </c>
      <c r="D20" s="9">
        <v>435146.7</v>
      </c>
      <c r="E20" s="42">
        <f>SUM(B20:D20)</f>
        <v>1305541.1000000001</v>
      </c>
      <c r="F20" s="7">
        <v>435236.7</v>
      </c>
      <c r="G20" s="7">
        <v>435191.7</v>
      </c>
      <c r="H20" s="7">
        <v>435191.7</v>
      </c>
      <c r="I20" s="42">
        <f>SUM(F20:H20)</f>
        <v>1305620.1000000001</v>
      </c>
      <c r="J20" s="7">
        <f>+'Cuadro 2'!J18</f>
        <v>435191.7</v>
      </c>
      <c r="K20" s="7">
        <f>+'Cuadro 2'!K18</f>
        <v>-32868.299999999988</v>
      </c>
      <c r="L20" s="7">
        <f>+'Cuadro 2'!L18</f>
        <v>435191.7</v>
      </c>
      <c r="M20" s="42">
        <f>SUM(J20:L20)</f>
        <v>837515.10000000009</v>
      </c>
      <c r="N20" s="7">
        <f>+'Cuadro 2'!N18</f>
        <v>435191.7</v>
      </c>
      <c r="O20" s="7">
        <f>+'Cuadro 2'!O18</f>
        <v>435191.7</v>
      </c>
      <c r="P20" s="7">
        <f>+'Cuadro 2'!P18</f>
        <v>435191.7</v>
      </c>
      <c r="Q20" s="42">
        <f t="shared" si="0"/>
        <v>1305575.1000000001</v>
      </c>
      <c r="R20" s="42">
        <f t="shared" si="3"/>
        <v>4754251.4000000004</v>
      </c>
    </row>
    <row r="21" spans="1:18" s="20" customFormat="1" ht="15" customHeight="1" thickBot="1" x14ac:dyDescent="0.25">
      <c r="A21" s="45" t="s">
        <v>12</v>
      </c>
      <c r="B21" s="43">
        <f>B12+B19+B20</f>
        <v>12179991.9</v>
      </c>
      <c r="C21" s="43">
        <f>C12+C19+C20</f>
        <v>11993832.999999998</v>
      </c>
      <c r="D21" s="43">
        <f>D12+D19+D20</f>
        <v>12185375.700000001</v>
      </c>
      <c r="E21" s="43">
        <f>SUM(E13:E20)</f>
        <v>36359200.600000001</v>
      </c>
      <c r="F21" s="43">
        <f>F12+F19+F20</f>
        <v>12201908.299999999</v>
      </c>
      <c r="G21" s="43">
        <f>G12+G19+G20</f>
        <v>12253846.299999999</v>
      </c>
      <c r="H21" s="43">
        <f>H12+H19+H20</f>
        <v>12800303.579999998</v>
      </c>
      <c r="I21" s="43">
        <f>SUM(I13:I20)</f>
        <v>37256058.18</v>
      </c>
      <c r="J21" s="43">
        <f>J12+J19+J20</f>
        <v>12954135.399999997</v>
      </c>
      <c r="K21" s="43">
        <f>K12+K19+K20</f>
        <v>13228246.199999999</v>
      </c>
      <c r="L21" s="43">
        <f>L12+L19+L20</f>
        <v>13090456.800000001</v>
      </c>
      <c r="M21" s="43">
        <f>SUM(M13:M20)</f>
        <v>39272838.400000006</v>
      </c>
      <c r="N21" s="43">
        <f>N12+N19+N20</f>
        <v>13111570.4</v>
      </c>
      <c r="O21" s="43">
        <f>O12+O19+O20</f>
        <v>23375553.369999997</v>
      </c>
      <c r="P21" s="43">
        <f>P12+P19+P20</f>
        <v>13785248.829999998</v>
      </c>
      <c r="Q21" s="43">
        <f>SUM(Q13:Q20)</f>
        <v>50272372.600000001</v>
      </c>
      <c r="R21" s="43">
        <f>SUM(R13:R20)</f>
        <v>163160469.78000006</v>
      </c>
    </row>
    <row r="22" spans="1:18" s="20" customFormat="1" ht="15" customHeight="1" thickTop="1" x14ac:dyDescent="0.2">
      <c r="A22" s="29" t="s">
        <v>74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18" ht="15" customHeight="1" x14ac:dyDescent="0.25">
      <c r="A23" s="44" t="s">
        <v>40</v>
      </c>
      <c r="B23" s="44"/>
      <c r="C23" s="44"/>
      <c r="D23" s="44"/>
      <c r="E23" s="44"/>
      <c r="F23" s="44"/>
      <c r="G23" s="44"/>
      <c r="H23" s="44"/>
      <c r="I23" s="44"/>
    </row>
    <row r="24" spans="1:1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</row>
    <row r="47" spans="1:9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</row>
  </sheetData>
  <mergeCells count="4">
    <mergeCell ref="B3:D3"/>
    <mergeCell ref="B8:C8"/>
    <mergeCell ref="A1:Q1"/>
    <mergeCell ref="A2:Q2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zoomScaleSheetLayoutView="90" workbookViewId="0">
      <selection sqref="A1:Q1"/>
    </sheetView>
  </sheetViews>
  <sheetFormatPr baseColWidth="10" defaultRowHeight="15" x14ac:dyDescent="0.25"/>
  <cols>
    <col min="1" max="1" width="33.85546875" style="1" customWidth="1"/>
    <col min="2" max="2" width="15.140625" style="1" customWidth="1"/>
    <col min="3" max="4" width="13.85546875" style="1" bestFit="1" customWidth="1"/>
    <col min="5" max="5" width="15.5703125" style="1" bestFit="1" customWidth="1"/>
    <col min="6" max="8" width="13.85546875" style="1" bestFit="1" customWidth="1"/>
    <col min="9" max="9" width="15.5703125" style="1" bestFit="1" customWidth="1"/>
    <col min="10" max="12" width="13.85546875" style="1" bestFit="1" customWidth="1"/>
    <col min="13" max="13" width="15.5703125" style="1" bestFit="1" customWidth="1"/>
    <col min="14" max="16" width="13.85546875" style="1" bestFit="1" customWidth="1"/>
    <col min="17" max="17" width="15.5703125" style="1" bestFit="1" customWidth="1"/>
    <col min="18" max="18" width="16.85546875" style="1" bestFit="1" customWidth="1"/>
    <col min="19" max="16384" width="11.42578125" style="1"/>
  </cols>
  <sheetData>
    <row r="1" spans="1:18" ht="15" customHeight="1" x14ac:dyDescent="0.25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x14ac:dyDescent="0.25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8" ht="15" customHeight="1" x14ac:dyDescent="0.25">
      <c r="A3" s="19" t="s">
        <v>0</v>
      </c>
      <c r="B3" s="55" t="s">
        <v>21</v>
      </c>
      <c r="C3" s="55"/>
      <c r="D3" s="55"/>
      <c r="E3" s="19"/>
      <c r="F3" s="19"/>
      <c r="G3" s="19"/>
      <c r="H3" s="19"/>
      <c r="I3" s="19"/>
      <c r="M3" s="20"/>
    </row>
    <row r="4" spans="1:18" ht="15" customHeight="1" x14ac:dyDescent="0.25">
      <c r="A4" s="19" t="s">
        <v>1</v>
      </c>
      <c r="B4" s="21" t="s">
        <v>20</v>
      </c>
      <c r="C4" s="21"/>
      <c r="D4" s="21"/>
      <c r="E4" s="19"/>
      <c r="F4" s="19"/>
      <c r="G4" s="19"/>
      <c r="H4" s="19"/>
      <c r="I4" s="19"/>
      <c r="M4" s="20"/>
    </row>
    <row r="5" spans="1:18" ht="15" customHeight="1" x14ac:dyDescent="0.25">
      <c r="A5" s="23" t="s">
        <v>10</v>
      </c>
      <c r="B5" s="21" t="s">
        <v>22</v>
      </c>
      <c r="C5" s="21"/>
      <c r="D5" s="21"/>
      <c r="E5" s="23"/>
      <c r="F5" s="23"/>
      <c r="G5" s="23"/>
      <c r="H5" s="23"/>
      <c r="I5" s="23"/>
      <c r="M5" s="20"/>
    </row>
    <row r="6" spans="1:18" ht="15" customHeight="1" x14ac:dyDescent="0.25">
      <c r="A6" s="19" t="s">
        <v>2</v>
      </c>
      <c r="B6" s="37" t="s">
        <v>67</v>
      </c>
      <c r="C6" s="20"/>
      <c r="D6" s="20"/>
      <c r="E6" s="19"/>
      <c r="F6" s="19"/>
      <c r="G6" s="19"/>
      <c r="H6" s="19"/>
      <c r="I6" s="19"/>
      <c r="M6" s="22"/>
    </row>
    <row r="7" spans="1:18" ht="15" customHeight="1" x14ac:dyDescent="0.25">
      <c r="A7" s="19" t="s">
        <v>3</v>
      </c>
      <c r="B7" s="37">
        <v>2019</v>
      </c>
      <c r="C7" s="20"/>
      <c r="D7" s="20"/>
      <c r="E7" s="19"/>
      <c r="F7" s="19"/>
      <c r="G7" s="19"/>
      <c r="H7" s="19"/>
      <c r="I7" s="19"/>
      <c r="M7" s="22"/>
    </row>
    <row r="8" spans="1:18" ht="18" customHeight="1" x14ac:dyDescent="0.25">
      <c r="A8" s="19" t="s">
        <v>8</v>
      </c>
      <c r="B8" s="52" t="s">
        <v>43</v>
      </c>
      <c r="C8" s="52"/>
      <c r="D8" s="22"/>
      <c r="E8" s="19"/>
      <c r="F8" s="19"/>
      <c r="G8" s="19"/>
      <c r="H8" s="19"/>
      <c r="I8" s="19"/>
      <c r="M8" s="22"/>
    </row>
    <row r="9" spans="1:18" ht="1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18" ht="15" customHeight="1" thickBot="1" x14ac:dyDescent="0.3">
      <c r="A10" s="24" t="s">
        <v>9</v>
      </c>
      <c r="B10" s="25" t="s">
        <v>53</v>
      </c>
      <c r="C10" s="25" t="s">
        <v>54</v>
      </c>
      <c r="D10" s="25" t="s">
        <v>55</v>
      </c>
      <c r="E10" s="25" t="s">
        <v>56</v>
      </c>
      <c r="F10" s="25" t="s">
        <v>57</v>
      </c>
      <c r="G10" s="25" t="s">
        <v>58</v>
      </c>
      <c r="H10" s="25" t="s">
        <v>59</v>
      </c>
      <c r="I10" s="25" t="s">
        <v>60</v>
      </c>
      <c r="J10" s="25" t="s">
        <v>48</v>
      </c>
      <c r="K10" s="25" t="s">
        <v>49</v>
      </c>
      <c r="L10" s="25" t="s">
        <v>52</v>
      </c>
      <c r="M10" s="25" t="s">
        <v>51</v>
      </c>
      <c r="N10" s="25" t="s">
        <v>61</v>
      </c>
      <c r="O10" s="25" t="s">
        <v>62</v>
      </c>
      <c r="P10" s="25" t="s">
        <v>63</v>
      </c>
      <c r="Q10" s="25" t="s">
        <v>68</v>
      </c>
      <c r="R10" s="25" t="s">
        <v>70</v>
      </c>
    </row>
    <row r="11" spans="1:18" ht="15" customHeight="1" x14ac:dyDescent="0.25">
      <c r="A11" s="4"/>
      <c r="E11" s="20"/>
      <c r="I11" s="20"/>
    </row>
    <row r="12" spans="1:18" ht="15" customHeight="1" x14ac:dyDescent="0.25">
      <c r="A12" s="20" t="s">
        <v>42</v>
      </c>
      <c r="B12" s="8">
        <v>0</v>
      </c>
      <c r="C12" s="8">
        <f>+B16</f>
        <v>-271155.93999999948</v>
      </c>
      <c r="D12" s="8">
        <f>+C16</f>
        <v>-5569602.5799999991</v>
      </c>
      <c r="E12" s="46" t="s">
        <v>28</v>
      </c>
      <c r="F12" s="8">
        <v>-1847545.72</v>
      </c>
      <c r="G12" s="8">
        <f>+F16</f>
        <v>-1998288.8599999994</v>
      </c>
      <c r="H12" s="8">
        <f>+G16</f>
        <v>1317668.370000001</v>
      </c>
      <c r="I12" s="46" t="s">
        <v>28</v>
      </c>
      <c r="J12" s="8">
        <v>716135.02</v>
      </c>
      <c r="K12" s="8">
        <f>+J16</f>
        <v>10660452.480000002</v>
      </c>
      <c r="L12" s="8">
        <f>+K16</f>
        <v>9529567.9400000013</v>
      </c>
      <c r="M12" s="46" t="s">
        <v>28</v>
      </c>
      <c r="N12" s="8">
        <f>+L16</f>
        <v>8480101.5800000019</v>
      </c>
      <c r="O12" s="8">
        <f>+N16</f>
        <v>10191266.74</v>
      </c>
      <c r="P12" s="8">
        <f>+O16</f>
        <v>-200340.82999999821</v>
      </c>
      <c r="Q12" s="46" t="s">
        <v>28</v>
      </c>
      <c r="R12" s="46" t="s">
        <v>28</v>
      </c>
    </row>
    <row r="13" spans="1:18" ht="15" customHeight="1" x14ac:dyDescent="0.25">
      <c r="A13" s="20" t="s">
        <v>41</v>
      </c>
      <c r="B13" s="8">
        <f>3009046.2+2204403.4+392508.33+6302878.03</f>
        <v>11908835.960000001</v>
      </c>
      <c r="C13" s="8">
        <f>392508.33+6302878.03</f>
        <v>6695386.3600000003</v>
      </c>
      <c r="D13" s="8">
        <f>6188542.4+3023503.8+392508.33+6302878.03</f>
        <v>15907432.559999999</v>
      </c>
      <c r="E13" s="47">
        <f>SUM(B13:D13)</f>
        <v>34511654.879999995</v>
      </c>
      <c r="F13" s="8">
        <f>3344491.2+2011287.6+392508.33+6302878.03</f>
        <v>12051165.16</v>
      </c>
      <c r="G13" s="32">
        <f>3128210.2+2131460.3+392508.33+6302878.3+3614746.4</f>
        <v>15569803.529999999</v>
      </c>
      <c r="H13" s="8">
        <f>3298980.3+2204403.3+392508.33+6302878.3</f>
        <v>12198770.23</v>
      </c>
      <c r="I13" s="47">
        <f>SUM(F13:H13)</f>
        <v>39819738.920000002</v>
      </c>
      <c r="J13" s="8">
        <f>3287977.9+2036351+392508.33+6302878.03+10878737.6</f>
        <v>22898452.859999999</v>
      </c>
      <c r="K13" s="32">
        <f>3193731+2208244.3+392508.33+6302878.03</f>
        <v>12097361.66</v>
      </c>
      <c r="L13" s="8">
        <f>3141201.1+2204403.3+392508.01+6302878.03</f>
        <v>12040990.440000001</v>
      </c>
      <c r="M13" s="47">
        <f>SUM(J13:L13)</f>
        <v>47036804.959999993</v>
      </c>
      <c r="N13" s="8">
        <f>3104923.9+3924053.6+1098371.7+392508.33+6302878.03</f>
        <v>14822735.559999999</v>
      </c>
      <c r="O13" s="32">
        <f>3169795.1+3118850.7+392452+6302848</f>
        <v>12983945.800000001</v>
      </c>
      <c r="P13" s="8">
        <f>3183240+1385879.1+2256190+392452+6302848</f>
        <v>13520609.1</v>
      </c>
      <c r="Q13" s="47">
        <f>SUM(N13:P13)</f>
        <v>41327290.460000001</v>
      </c>
      <c r="R13" s="47">
        <f>+E13+I13+M13+Q13</f>
        <v>162695489.22</v>
      </c>
    </row>
    <row r="14" spans="1:18" ht="15" customHeight="1" x14ac:dyDescent="0.25">
      <c r="A14" s="20" t="s">
        <v>16</v>
      </c>
      <c r="B14" s="8">
        <f>+B12+B13</f>
        <v>11908835.960000001</v>
      </c>
      <c r="C14" s="8">
        <f>+C12+C13</f>
        <v>6424230.4200000009</v>
      </c>
      <c r="D14" s="8">
        <f>+D12+D13</f>
        <v>10337829.98</v>
      </c>
      <c r="E14" s="46" t="s">
        <v>28</v>
      </c>
      <c r="F14" s="8">
        <f>+F12+F13</f>
        <v>10203619.439999999</v>
      </c>
      <c r="G14" s="8">
        <f>+G12+G13</f>
        <v>13571514.67</v>
      </c>
      <c r="H14" s="8">
        <f>+H12+H13</f>
        <v>13516438.600000001</v>
      </c>
      <c r="I14" s="46" t="s">
        <v>28</v>
      </c>
      <c r="J14" s="8">
        <f>+J12+J13</f>
        <v>23614587.879999999</v>
      </c>
      <c r="K14" s="8">
        <f>+K12+K13</f>
        <v>22757814.140000001</v>
      </c>
      <c r="L14" s="8">
        <f>+L12+L13</f>
        <v>21570558.380000003</v>
      </c>
      <c r="M14" s="46" t="s">
        <v>28</v>
      </c>
      <c r="N14" s="8">
        <f>+N12+N13</f>
        <v>23302837.140000001</v>
      </c>
      <c r="O14" s="8">
        <f>+O12+O13</f>
        <v>23175212.539999999</v>
      </c>
      <c r="P14" s="8">
        <f>+P12+P13</f>
        <v>13320268.270000001</v>
      </c>
      <c r="Q14" s="46" t="s">
        <v>28</v>
      </c>
      <c r="R14" s="46" t="s">
        <v>28</v>
      </c>
    </row>
    <row r="15" spans="1:18" ht="15" customHeight="1" x14ac:dyDescent="0.25">
      <c r="A15" s="20" t="s">
        <v>17</v>
      </c>
      <c r="B15" s="8">
        <v>12179991.9</v>
      </c>
      <c r="C15" s="8">
        <v>11993833</v>
      </c>
      <c r="D15" s="8">
        <v>12185375.699999999</v>
      </c>
      <c r="E15" s="47">
        <f>SUM(B15:D15)</f>
        <v>36359200.599999994</v>
      </c>
      <c r="F15" s="8">
        <f>+'Cuadro 3'!F21</f>
        <v>12201908.299999999</v>
      </c>
      <c r="G15" s="8">
        <f>+'Cuadro 3'!G21</f>
        <v>12253846.299999999</v>
      </c>
      <c r="H15" s="8">
        <f>+'Cuadro 3'!H21</f>
        <v>12800303.579999998</v>
      </c>
      <c r="I15" s="47">
        <f>SUM(F15:H15)</f>
        <v>37256058.179999992</v>
      </c>
      <c r="J15" s="8">
        <f>+'Cuadro 3'!J21</f>
        <v>12954135.399999997</v>
      </c>
      <c r="K15" s="8">
        <f>+'Cuadro 3'!K21</f>
        <v>13228246.199999999</v>
      </c>
      <c r="L15" s="8">
        <f>+'Cuadro 3'!L21</f>
        <v>13090456.800000001</v>
      </c>
      <c r="M15" s="47">
        <f>SUM(J15:L15)</f>
        <v>39272838.399999991</v>
      </c>
      <c r="N15" s="8">
        <f>+'Cuadro 3'!N21</f>
        <v>13111570.4</v>
      </c>
      <c r="O15" s="8">
        <f>+'Cuadro 3'!O21</f>
        <v>23375553.369999997</v>
      </c>
      <c r="P15" s="8">
        <f>+'Cuadro 3'!P21</f>
        <v>13785248.829999998</v>
      </c>
      <c r="Q15" s="47">
        <f>SUM(N15:P15)</f>
        <v>50272372.599999994</v>
      </c>
      <c r="R15" s="47">
        <f>+E15+I15+M15+Q15</f>
        <v>163160469.77999997</v>
      </c>
    </row>
    <row r="16" spans="1:18" ht="15" customHeight="1" x14ac:dyDescent="0.25">
      <c r="A16" s="20" t="s">
        <v>18</v>
      </c>
      <c r="B16" s="8">
        <f>+B14-B15</f>
        <v>-271155.93999999948</v>
      </c>
      <c r="C16" s="8">
        <f>+C14-C15</f>
        <v>-5569602.5799999991</v>
      </c>
      <c r="D16" s="8">
        <f>+D14-D15</f>
        <v>-1847545.7199999988</v>
      </c>
      <c r="E16" s="46" t="s">
        <v>28</v>
      </c>
      <c r="F16" s="8">
        <f>+F14-F15</f>
        <v>-1998288.8599999994</v>
      </c>
      <c r="G16" s="8">
        <f>+G14-G15</f>
        <v>1317668.370000001</v>
      </c>
      <c r="H16" s="8">
        <f>+H14-H15</f>
        <v>716135.02000000328</v>
      </c>
      <c r="I16" s="46" t="s">
        <v>28</v>
      </c>
      <c r="J16" s="8">
        <f>+J14-J15</f>
        <v>10660452.480000002</v>
      </c>
      <c r="K16" s="8">
        <f>+K14-K15</f>
        <v>9529567.9400000013</v>
      </c>
      <c r="L16" s="8">
        <f>+L14-L15</f>
        <v>8480101.5800000019</v>
      </c>
      <c r="M16" s="46" t="s">
        <v>28</v>
      </c>
      <c r="N16" s="8">
        <f>+N14-N15</f>
        <v>10191266.74</v>
      </c>
      <c r="O16" s="8">
        <f>+O14-O15</f>
        <v>-200340.82999999821</v>
      </c>
      <c r="P16" s="8">
        <f>+P14-P15</f>
        <v>-464980.5599999968</v>
      </c>
      <c r="Q16" s="46" t="s">
        <v>28</v>
      </c>
      <c r="R16" s="46" t="s">
        <v>28</v>
      </c>
    </row>
    <row r="17" spans="1:18" ht="15" customHeight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" customHeight="1" thickTop="1" x14ac:dyDescent="0.25">
      <c r="A18" s="30" t="s">
        <v>44</v>
      </c>
      <c r="B18" s="30"/>
      <c r="C18" s="30"/>
      <c r="D18" s="30"/>
      <c r="E18" s="30"/>
      <c r="F18" s="30"/>
      <c r="G18" s="30"/>
      <c r="H18" s="30"/>
      <c r="I18" s="30"/>
      <c r="R18" s="50"/>
    </row>
    <row r="19" spans="1:18" ht="15" customHeight="1" x14ac:dyDescent="0.25">
      <c r="A19" s="29" t="s">
        <v>40</v>
      </c>
      <c r="B19" s="29"/>
      <c r="C19" s="29"/>
      <c r="D19" s="29"/>
      <c r="E19" s="29"/>
      <c r="F19" s="29"/>
      <c r="G19" s="29"/>
      <c r="H19" s="29"/>
      <c r="I19" s="29"/>
    </row>
    <row r="20" spans="1:18" ht="15" customHeight="1" x14ac:dyDescent="0.25"/>
  </sheetData>
  <mergeCells count="4">
    <mergeCell ref="B3:D3"/>
    <mergeCell ref="B8:C8"/>
    <mergeCell ref="A1:Q1"/>
    <mergeCell ref="A2:Q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1</vt:lpstr>
      <vt:lpstr>Cuadro 2</vt:lpstr>
      <vt:lpstr>Cuadro 3</vt:lpstr>
      <vt:lpstr>Cuadro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2019-07-12T21:09:29Z</cp:lastPrinted>
  <dcterms:created xsi:type="dcterms:W3CDTF">2011-03-10T14:40:05Z</dcterms:created>
  <dcterms:modified xsi:type="dcterms:W3CDTF">2020-12-11T15:24:04Z</dcterms:modified>
</cp:coreProperties>
</file>