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phanieTatiana\Desktop\INDICADORES 2020\IV Trimestre - Anual 2020\PANI\"/>
    </mc:Choice>
  </mc:AlternateContent>
  <bookViews>
    <workbookView xWindow="0" yWindow="0" windowWidth="28800" windowHeight="12330" tabRatio="738"/>
  </bookViews>
  <sheets>
    <sheet name="I Trimestre" sheetId="1" r:id="rId1"/>
    <sheet name="II trimestre" sheetId="2" r:id="rId2"/>
    <sheet name="I Semestre" sheetId="6" r:id="rId3"/>
    <sheet name="III Trimestre" sheetId="3" r:id="rId4"/>
    <sheet name="III Trimestre Acumulado" sheetId="7" r:id="rId5"/>
    <sheet name="IV Trimestre" sheetId="4" r:id="rId6"/>
    <sheet name="Anual" sheetId="5" r:id="rId7"/>
  </sheets>
  <calcPr calcId="162913"/>
</workbook>
</file>

<file path=xl/calcChain.xml><?xml version="1.0" encoding="utf-8"?>
<calcChain xmlns="http://schemas.openxmlformats.org/spreadsheetml/2006/main">
  <c r="B21" i="5" l="1"/>
  <c r="F62" i="7" l="1"/>
  <c r="F63" i="7"/>
  <c r="F37" i="7"/>
  <c r="F38" i="7"/>
  <c r="F39" i="7"/>
  <c r="F70" i="3"/>
  <c r="F67" i="3"/>
  <c r="F62" i="3"/>
  <c r="F63" i="3"/>
  <c r="F37" i="3"/>
  <c r="F38" i="3"/>
  <c r="F39" i="3"/>
  <c r="F67" i="6" l="1"/>
  <c r="F70" i="6"/>
  <c r="F62" i="6"/>
  <c r="F63" i="6"/>
  <c r="F37" i="6"/>
  <c r="F38" i="6"/>
  <c r="F39" i="6"/>
  <c r="F67" i="2" l="1"/>
  <c r="F70" i="2"/>
  <c r="F63" i="2"/>
  <c r="F37" i="2"/>
  <c r="F38" i="2"/>
  <c r="F39" i="2"/>
  <c r="F63" i="1"/>
  <c r="F37" i="1"/>
  <c r="F38" i="1"/>
  <c r="B28" i="5" l="1"/>
  <c r="B29" i="5"/>
  <c r="G24" i="5" l="1"/>
  <c r="F22" i="5"/>
  <c r="F24" i="5"/>
  <c r="G71" i="5" l="1"/>
  <c r="G70" i="5"/>
  <c r="G69" i="5"/>
  <c r="G68" i="5"/>
  <c r="G67" i="5"/>
  <c r="F62" i="5"/>
  <c r="G54" i="5"/>
  <c r="F55" i="5"/>
  <c r="G55" i="5"/>
  <c r="G56" i="5"/>
  <c r="G49" i="5"/>
  <c r="F50" i="5"/>
  <c r="G50" i="5"/>
  <c r="G51" i="5"/>
  <c r="F37" i="5"/>
  <c r="F38" i="5"/>
  <c r="F63" i="5" s="1"/>
  <c r="G38" i="5"/>
  <c r="F39" i="5"/>
  <c r="G40" i="5"/>
  <c r="B18" i="5" l="1"/>
  <c r="G18" i="5"/>
  <c r="B16" i="5"/>
  <c r="G16" i="5"/>
  <c r="F16" i="5"/>
  <c r="B17" i="5"/>
  <c r="G17" i="5"/>
  <c r="B24" i="5" l="1"/>
  <c r="B22" i="5"/>
  <c r="G25" i="5"/>
  <c r="G22" i="5"/>
  <c r="G23" i="5"/>
  <c r="F15" i="5" l="1"/>
  <c r="G25" i="4" l="1"/>
  <c r="G67" i="4"/>
  <c r="G68" i="4"/>
  <c r="G70" i="4"/>
  <c r="G71" i="4"/>
  <c r="F62" i="4"/>
  <c r="G54" i="4"/>
  <c r="G55" i="4"/>
  <c r="G56" i="4" s="1"/>
  <c r="G49" i="4"/>
  <c r="G50" i="4"/>
  <c r="G51" i="4" s="1"/>
  <c r="F37" i="4"/>
  <c r="G37" i="4"/>
  <c r="F38" i="4"/>
  <c r="F63" i="4" s="1"/>
  <c r="G38" i="4"/>
  <c r="F39" i="4"/>
  <c r="G40" i="4"/>
  <c r="B22" i="4"/>
  <c r="B23" i="4"/>
  <c r="B24" i="4"/>
  <c r="B21" i="4"/>
  <c r="B16" i="4"/>
  <c r="B17" i="4"/>
  <c r="B18" i="4"/>
  <c r="B15" i="4"/>
  <c r="G69" i="4" l="1"/>
  <c r="F15" i="7"/>
  <c r="C62" i="3"/>
  <c r="D62" i="3"/>
  <c r="E62" i="3"/>
  <c r="C63" i="3"/>
  <c r="D63" i="3"/>
  <c r="E63" i="3"/>
  <c r="C64" i="3"/>
  <c r="D64" i="3"/>
  <c r="E64" i="3"/>
  <c r="F15" i="6"/>
  <c r="C37" i="1" l="1"/>
  <c r="D37" i="1"/>
  <c r="E37" i="1"/>
  <c r="C38" i="1"/>
  <c r="C40" i="1" s="1"/>
  <c r="D38" i="1"/>
  <c r="E38" i="1"/>
  <c r="E40" i="1" s="1"/>
  <c r="C39" i="1"/>
  <c r="D39" i="1"/>
  <c r="E39" i="1"/>
  <c r="D40" i="1"/>
  <c r="C71" i="4" l="1"/>
  <c r="C70" i="4"/>
  <c r="C68" i="4"/>
  <c r="C67" i="4"/>
  <c r="C71" i="3"/>
  <c r="C70" i="3"/>
  <c r="C68" i="3"/>
  <c r="C67" i="3"/>
  <c r="C71" i="2"/>
  <c r="C70" i="2"/>
  <c r="C68" i="2"/>
  <c r="C67" i="2"/>
  <c r="D67" i="2"/>
  <c r="E67" i="2"/>
  <c r="C71" i="1"/>
  <c r="C70" i="1"/>
  <c r="C68" i="1"/>
  <c r="C67" i="1"/>
  <c r="C16" i="5" l="1"/>
  <c r="F17" i="5"/>
  <c r="E71" i="2"/>
  <c r="D71" i="2"/>
  <c r="E70" i="2"/>
  <c r="D70" i="2"/>
  <c r="E68" i="2"/>
  <c r="D68" i="2"/>
  <c r="E71" i="1"/>
  <c r="D71" i="1"/>
  <c r="E70" i="1"/>
  <c r="D70" i="1"/>
  <c r="E68" i="1"/>
  <c r="D68" i="1"/>
  <c r="E67" i="1"/>
  <c r="D67" i="1"/>
  <c r="F17" i="7"/>
  <c r="E17" i="5" l="1"/>
  <c r="D25" i="4"/>
  <c r="E25" i="4"/>
  <c r="F25" i="4"/>
  <c r="C25" i="4"/>
  <c r="B25" i="4" s="1"/>
  <c r="C62" i="2" l="1"/>
  <c r="D62" i="2"/>
  <c r="E62" i="2"/>
  <c r="C49" i="2"/>
  <c r="D49" i="2"/>
  <c r="E49" i="2"/>
  <c r="F49" i="2"/>
  <c r="C50" i="2"/>
  <c r="D50" i="2"/>
  <c r="D51" i="2" s="1"/>
  <c r="D69" i="2" s="1"/>
  <c r="E50" i="2"/>
  <c r="E51" i="2" s="1"/>
  <c r="E69" i="2" s="1"/>
  <c r="F50" i="2"/>
  <c r="F51" i="2" s="1"/>
  <c r="C54" i="2"/>
  <c r="D54" i="2"/>
  <c r="E54" i="2"/>
  <c r="F54" i="2"/>
  <c r="C55" i="2"/>
  <c r="D55" i="2"/>
  <c r="E55" i="2"/>
  <c r="E56" i="2" s="1"/>
  <c r="F55" i="2"/>
  <c r="F56" i="2" s="1"/>
  <c r="C37" i="2"/>
  <c r="D37" i="2"/>
  <c r="E37" i="2"/>
  <c r="C38" i="2"/>
  <c r="C40" i="2" s="1"/>
  <c r="D38" i="2"/>
  <c r="D40" i="2" s="1"/>
  <c r="E38" i="2"/>
  <c r="E63" i="2" s="1"/>
  <c r="C39" i="2"/>
  <c r="D39" i="2"/>
  <c r="E39" i="2"/>
  <c r="C49" i="3"/>
  <c r="D49" i="3"/>
  <c r="E49" i="3"/>
  <c r="F49" i="3"/>
  <c r="C50" i="3"/>
  <c r="C51" i="3" s="1"/>
  <c r="C69" i="3" s="1"/>
  <c r="D50" i="3"/>
  <c r="D51" i="3" s="1"/>
  <c r="E50" i="3"/>
  <c r="E51" i="3" s="1"/>
  <c r="F50" i="3"/>
  <c r="F51" i="3" s="1"/>
  <c r="C54" i="3"/>
  <c r="D54" i="3"/>
  <c r="E54" i="3"/>
  <c r="F54" i="3"/>
  <c r="C55" i="3"/>
  <c r="D55" i="3"/>
  <c r="E55" i="3"/>
  <c r="F55" i="3"/>
  <c r="C56" i="3"/>
  <c r="D56" i="3"/>
  <c r="D67" i="3"/>
  <c r="E67" i="3"/>
  <c r="D68" i="3"/>
  <c r="E68" i="3"/>
  <c r="D70" i="3"/>
  <c r="E70" i="3"/>
  <c r="D71" i="3"/>
  <c r="E71" i="3"/>
  <c r="C37" i="3"/>
  <c r="D37" i="3"/>
  <c r="E37" i="3"/>
  <c r="C38" i="3"/>
  <c r="D38" i="3"/>
  <c r="D40" i="3" s="1"/>
  <c r="E38" i="3"/>
  <c r="C39" i="3"/>
  <c r="D39" i="3"/>
  <c r="E39" i="3"/>
  <c r="C40" i="3"/>
  <c r="E40" i="3"/>
  <c r="E64" i="1"/>
  <c r="C62" i="1"/>
  <c r="D62" i="1"/>
  <c r="E62" i="1"/>
  <c r="E63" i="1"/>
  <c r="E54" i="1"/>
  <c r="F54" i="1"/>
  <c r="E55" i="1"/>
  <c r="F55" i="1"/>
  <c r="D54" i="1"/>
  <c r="D55" i="1"/>
  <c r="C54" i="1"/>
  <c r="C55" i="1"/>
  <c r="C49" i="1"/>
  <c r="D49" i="1"/>
  <c r="E49" i="1"/>
  <c r="C50" i="1"/>
  <c r="D50" i="1"/>
  <c r="E50" i="1"/>
  <c r="D69" i="3" l="1"/>
  <c r="F56" i="3"/>
  <c r="E69" i="3"/>
  <c r="E56" i="3"/>
  <c r="E40" i="2"/>
  <c r="E64" i="2" s="1"/>
  <c r="C51" i="1"/>
  <c r="C69" i="1" s="1"/>
  <c r="D64" i="2"/>
  <c r="C64" i="2"/>
  <c r="C56" i="2"/>
  <c r="C51" i="2"/>
  <c r="C69" i="2" s="1"/>
  <c r="C63" i="2"/>
  <c r="D56" i="2"/>
  <c r="D63" i="2"/>
  <c r="C56" i="1"/>
  <c r="D56" i="1"/>
  <c r="C64" i="1"/>
  <c r="E56" i="1"/>
  <c r="C63" i="1"/>
  <c r="E51" i="1"/>
  <c r="E69" i="1" s="1"/>
  <c r="D51" i="1"/>
  <c r="D69" i="1" s="1"/>
  <c r="F56" i="1"/>
  <c r="D64" i="1"/>
  <c r="D63" i="1"/>
  <c r="F16" i="7"/>
  <c r="D25" i="3"/>
  <c r="E25" i="3"/>
  <c r="F25" i="3"/>
  <c r="C25" i="3"/>
  <c r="F17" i="6" l="1"/>
  <c r="F16" i="6"/>
  <c r="D25" i="2"/>
  <c r="E25" i="2"/>
  <c r="F25" i="2"/>
  <c r="C25" i="2"/>
  <c r="D25" i="1"/>
  <c r="E25" i="1"/>
  <c r="F25" i="1"/>
  <c r="C25" i="1"/>
  <c r="F49" i="6" l="1"/>
  <c r="B25" i="3"/>
  <c r="B16" i="3"/>
  <c r="B17" i="3"/>
  <c r="B18" i="3"/>
  <c r="B15" i="3"/>
  <c r="B25" i="2"/>
  <c r="B16" i="2"/>
  <c r="B17" i="2"/>
  <c r="B18" i="2"/>
  <c r="B15" i="2"/>
  <c r="B25" i="1"/>
  <c r="B18" i="1"/>
  <c r="B17" i="1"/>
  <c r="B16" i="1"/>
  <c r="B15" i="1"/>
  <c r="D67" i="4" l="1"/>
  <c r="E67" i="4"/>
  <c r="D68" i="4"/>
  <c r="E68" i="4"/>
  <c r="D70" i="4"/>
  <c r="E70" i="4"/>
  <c r="D71" i="4"/>
  <c r="E71" i="4"/>
  <c r="C17" i="5" l="1"/>
  <c r="C15" i="5"/>
  <c r="C17" i="7"/>
  <c r="C16" i="7"/>
  <c r="C15" i="7"/>
  <c r="C17" i="6"/>
  <c r="C16" i="6"/>
  <c r="C15" i="6"/>
  <c r="C49" i="6" l="1"/>
  <c r="C62" i="6"/>
  <c r="B71" i="4" l="1"/>
  <c r="B68" i="4"/>
  <c r="B37" i="4"/>
  <c r="B21" i="3" l="1"/>
  <c r="B21" i="2" l="1"/>
  <c r="B24" i="2" l="1"/>
  <c r="B23" i="2"/>
  <c r="B71" i="2" l="1"/>
  <c r="B68" i="2"/>
  <c r="B22" i="1"/>
  <c r="B23" i="1"/>
  <c r="B24" i="1"/>
  <c r="B21" i="1"/>
  <c r="B71" i="1" l="1"/>
  <c r="B68" i="1"/>
  <c r="B70" i="1"/>
  <c r="B67" i="1"/>
  <c r="B75" i="1"/>
  <c r="B59" i="1"/>
  <c r="C54" i="4"/>
  <c r="D54" i="4"/>
  <c r="E54" i="4"/>
  <c r="B54" i="4" l="1"/>
  <c r="B54" i="2"/>
  <c r="B54" i="3"/>
  <c r="F21" i="5" l="1"/>
  <c r="F18" i="5"/>
  <c r="F18" i="7" l="1"/>
  <c r="D16" i="7"/>
  <c r="E16" i="7"/>
  <c r="D15" i="7"/>
  <c r="E15" i="7"/>
  <c r="B16" i="7" l="1"/>
  <c r="B15" i="7"/>
  <c r="F54" i="7"/>
  <c r="F49" i="7"/>
  <c r="F18" i="6"/>
  <c r="F54" i="6" s="1"/>
  <c r="F55" i="4" l="1"/>
  <c r="F50" i="4"/>
  <c r="E38" i="4"/>
  <c r="E37" i="4"/>
  <c r="E39" i="4" s="1"/>
  <c r="B28" i="4"/>
  <c r="B54" i="1"/>
  <c r="B70" i="4" l="1"/>
  <c r="B67" i="4"/>
  <c r="E63" i="4"/>
  <c r="B22" i="3" l="1"/>
  <c r="B23" i="3"/>
  <c r="B24" i="3"/>
  <c r="B22" i="2"/>
  <c r="B70" i="2" l="1"/>
  <c r="B67" i="2"/>
  <c r="B71" i="3"/>
  <c r="B68" i="3"/>
  <c r="B70" i="3"/>
  <c r="B67" i="3"/>
  <c r="D49" i="4" l="1"/>
  <c r="D50" i="4"/>
  <c r="F21" i="6"/>
  <c r="F22" i="6"/>
  <c r="F23" i="6"/>
  <c r="F24" i="6"/>
  <c r="F21" i="7"/>
  <c r="F22" i="7"/>
  <c r="F67" i="7" s="1"/>
  <c r="F23" i="7"/>
  <c r="F24" i="7"/>
  <c r="F23" i="5"/>
  <c r="E18" i="7"/>
  <c r="D18" i="7"/>
  <c r="C18" i="7"/>
  <c r="D17" i="7"/>
  <c r="E17" i="7"/>
  <c r="B23" i="5" l="1"/>
  <c r="F50" i="6"/>
  <c r="F51" i="6" s="1"/>
  <c r="F55" i="6"/>
  <c r="F56" i="6" s="1"/>
  <c r="B18" i="7"/>
  <c r="B17" i="7"/>
  <c r="F70" i="7"/>
  <c r="E54" i="7"/>
  <c r="D54" i="7"/>
  <c r="C54" i="7"/>
  <c r="F25" i="5"/>
  <c r="B25" i="5" s="1"/>
  <c r="F25" i="7"/>
  <c r="F55" i="7"/>
  <c r="F56" i="7" s="1"/>
  <c r="F25" i="6"/>
  <c r="D51" i="4"/>
  <c r="D69" i="4" s="1"/>
  <c r="F50" i="7"/>
  <c r="F51" i="7" s="1"/>
  <c r="D18" i="5"/>
  <c r="E18" i="5"/>
  <c r="C18" i="5"/>
  <c r="D16" i="5"/>
  <c r="E16" i="5"/>
  <c r="D17" i="5"/>
  <c r="E15" i="5"/>
  <c r="D15" i="5"/>
  <c r="B15" i="5" l="1"/>
  <c r="B54" i="7"/>
  <c r="B28" i="3"/>
  <c r="E17" i="6"/>
  <c r="E16" i="6"/>
  <c r="E15" i="6"/>
  <c r="D17" i="6"/>
  <c r="D16" i="6"/>
  <c r="D15" i="6"/>
  <c r="D18" i="6"/>
  <c r="E18" i="6"/>
  <c r="C18" i="6"/>
  <c r="B18" i="6" l="1"/>
  <c r="C54" i="6"/>
  <c r="E49" i="6"/>
  <c r="E54" i="6"/>
  <c r="E62" i="6"/>
  <c r="B17" i="6"/>
  <c r="D49" i="6"/>
  <c r="D54" i="6"/>
  <c r="D62" i="6"/>
  <c r="B15" i="6"/>
  <c r="B16" i="6"/>
  <c r="B54" i="6" l="1"/>
  <c r="C22" i="5" l="1"/>
  <c r="E22" i="5"/>
  <c r="E70" i="5" s="1"/>
  <c r="C23" i="5"/>
  <c r="D23" i="5"/>
  <c r="D68" i="5" s="1"/>
  <c r="E23" i="5"/>
  <c r="C21" i="5"/>
  <c r="D21" i="5"/>
  <c r="E21" i="5"/>
  <c r="E37" i="5" s="1"/>
  <c r="D24" i="5"/>
  <c r="E24" i="5"/>
  <c r="C24" i="5"/>
  <c r="C24" i="7"/>
  <c r="D24" i="7"/>
  <c r="E24" i="7"/>
  <c r="C24" i="6"/>
  <c r="D24" i="6"/>
  <c r="E24" i="6"/>
  <c r="C71" i="5" l="1"/>
  <c r="C68" i="5"/>
  <c r="C67" i="5"/>
  <c r="C70" i="5"/>
  <c r="E67" i="5"/>
  <c r="E71" i="5"/>
  <c r="E68" i="5"/>
  <c r="D71" i="5"/>
  <c r="B24" i="6"/>
  <c r="B24" i="7"/>
  <c r="E25" i="5"/>
  <c r="D25" i="5"/>
  <c r="C25" i="5"/>
  <c r="C22" i="7"/>
  <c r="E22" i="7"/>
  <c r="C23" i="7"/>
  <c r="D23" i="7"/>
  <c r="E23" i="7"/>
  <c r="C21" i="7"/>
  <c r="D21" i="7"/>
  <c r="E21" i="7"/>
  <c r="C22" i="6"/>
  <c r="E22" i="6"/>
  <c r="C23" i="6"/>
  <c r="D23" i="6"/>
  <c r="E23" i="6"/>
  <c r="C21" i="6"/>
  <c r="C37" i="6" s="1"/>
  <c r="C39" i="6" s="1"/>
  <c r="D21" i="6"/>
  <c r="D37" i="6" s="1"/>
  <c r="D39" i="6" s="1"/>
  <c r="E21" i="6"/>
  <c r="E37" i="6" s="1"/>
  <c r="E39" i="6" s="1"/>
  <c r="D22" i="5"/>
  <c r="D71" i="6" l="1"/>
  <c r="D68" i="6"/>
  <c r="D55" i="6"/>
  <c r="D56" i="6" s="1"/>
  <c r="D38" i="6"/>
  <c r="E67" i="6"/>
  <c r="E70" i="6"/>
  <c r="D67" i="5"/>
  <c r="D70" i="5"/>
  <c r="E50" i="6"/>
  <c r="E51" i="6" s="1"/>
  <c r="E55" i="6"/>
  <c r="E56" i="6" s="1"/>
  <c r="E71" i="6"/>
  <c r="E38" i="6"/>
  <c r="E68" i="6"/>
  <c r="E69" i="6" s="1"/>
  <c r="C71" i="6"/>
  <c r="C68" i="6"/>
  <c r="C50" i="6"/>
  <c r="C51" i="6" s="1"/>
  <c r="C55" i="6"/>
  <c r="C56" i="6" s="1"/>
  <c r="C38" i="6"/>
  <c r="C70" i="6"/>
  <c r="C67" i="6"/>
  <c r="C71" i="7"/>
  <c r="C68" i="7"/>
  <c r="C70" i="7"/>
  <c r="C67" i="7"/>
  <c r="D68" i="7"/>
  <c r="D71" i="7"/>
  <c r="E67" i="7"/>
  <c r="E70" i="7"/>
  <c r="B68" i="5"/>
  <c r="B71" i="5"/>
  <c r="E71" i="7"/>
  <c r="E68" i="7"/>
  <c r="B21" i="7"/>
  <c r="B23" i="6"/>
  <c r="B21" i="6"/>
  <c r="B23" i="7"/>
  <c r="D25" i="6"/>
  <c r="E25" i="7"/>
  <c r="D25" i="7"/>
  <c r="E25" i="6"/>
  <c r="C25" i="6"/>
  <c r="C25" i="7"/>
  <c r="B28" i="2"/>
  <c r="D22" i="7"/>
  <c r="D22" i="6"/>
  <c r="B28" i="1"/>
  <c r="C69" i="6" l="1"/>
  <c r="D70" i="6"/>
  <c r="D67" i="6"/>
  <c r="C63" i="6"/>
  <c r="C40" i="6"/>
  <c r="C64" i="6" s="1"/>
  <c r="E63" i="6"/>
  <c r="E40" i="6"/>
  <c r="E64" i="6" s="1"/>
  <c r="D63" i="6"/>
  <c r="D40" i="6"/>
  <c r="D64" i="6" s="1"/>
  <c r="D50" i="6"/>
  <c r="D51" i="6" s="1"/>
  <c r="B25" i="7"/>
  <c r="B25" i="6"/>
  <c r="B67" i="5"/>
  <c r="B70" i="5"/>
  <c r="D70" i="7"/>
  <c r="D67" i="7"/>
  <c r="B68" i="7"/>
  <c r="B71" i="7"/>
  <c r="B68" i="6"/>
  <c r="B71" i="6"/>
  <c r="B22" i="7"/>
  <c r="B22" i="6"/>
  <c r="D69" i="6" l="1"/>
  <c r="B67" i="7"/>
  <c r="B70" i="7"/>
  <c r="B70" i="6"/>
  <c r="B67" i="6"/>
  <c r="B29" i="7"/>
  <c r="B28" i="7"/>
  <c r="B29" i="6"/>
  <c r="B28" i="6"/>
  <c r="D38" i="4"/>
  <c r="D40" i="4" l="1"/>
  <c r="D55" i="4"/>
  <c r="D56" i="4" l="1"/>
  <c r="D50" i="5"/>
  <c r="D55" i="5"/>
  <c r="D38" i="5"/>
  <c r="D54" i="5"/>
  <c r="D49" i="5"/>
  <c r="D38" i="7"/>
  <c r="D50" i="7"/>
  <c r="D55" i="7"/>
  <c r="D49" i="7"/>
  <c r="D56" i="7" l="1"/>
  <c r="D51" i="7"/>
  <c r="D69" i="7" s="1"/>
  <c r="D40" i="7"/>
  <c r="D40" i="5"/>
  <c r="D51" i="5"/>
  <c r="D69" i="5" s="1"/>
  <c r="D56" i="5"/>
  <c r="D37" i="5" l="1"/>
  <c r="D37" i="7"/>
  <c r="D37" i="4"/>
  <c r="B74" i="1"/>
  <c r="E55" i="4"/>
  <c r="C55" i="4"/>
  <c r="E50" i="4"/>
  <c r="C50" i="4"/>
  <c r="D63" i="5" l="1"/>
  <c r="D63" i="7"/>
  <c r="B37" i="6" l="1"/>
  <c r="B74" i="6"/>
  <c r="E37" i="7" l="1"/>
  <c r="C37" i="7"/>
  <c r="B37" i="7"/>
  <c r="B74" i="7"/>
  <c r="E38" i="7"/>
  <c r="C38" i="7"/>
  <c r="C55" i="7" l="1"/>
  <c r="C56" i="7" s="1"/>
  <c r="E55" i="7"/>
  <c r="E56" i="7" s="1"/>
  <c r="E55" i="5"/>
  <c r="E50" i="5"/>
  <c r="C55" i="5"/>
  <c r="C50" i="5"/>
  <c r="B75" i="5"/>
  <c r="E50" i="7"/>
  <c r="C50" i="7"/>
  <c r="C63" i="7"/>
  <c r="E63" i="7"/>
  <c r="C37" i="5" l="1"/>
  <c r="B37" i="5"/>
  <c r="B74" i="5"/>
  <c r="E38" i="5"/>
  <c r="C38" i="5"/>
  <c r="C38" i="4"/>
  <c r="C37" i="4"/>
  <c r="B74" i="4"/>
  <c r="B37" i="3"/>
  <c r="B74" i="3"/>
  <c r="B37" i="2"/>
  <c r="B74" i="2"/>
  <c r="B37" i="1"/>
  <c r="C63" i="4" l="1"/>
  <c r="B62" i="3"/>
  <c r="B49" i="3"/>
  <c r="E40" i="5"/>
  <c r="B39" i="6"/>
  <c r="B39" i="7"/>
  <c r="B39" i="5"/>
  <c r="B39" i="1"/>
  <c r="B50" i="2"/>
  <c r="B75" i="2"/>
  <c r="B55" i="2"/>
  <c r="B59" i="2"/>
  <c r="C62" i="4"/>
  <c r="C56" i="4"/>
  <c r="C49" i="4"/>
  <c r="C51" i="4" s="1"/>
  <c r="C69" i="4" s="1"/>
  <c r="B55" i="4"/>
  <c r="B56" i="4" s="1"/>
  <c r="B50" i="4"/>
  <c r="B75" i="4"/>
  <c r="B49" i="2"/>
  <c r="B62" i="2"/>
  <c r="B55" i="3"/>
  <c r="B50" i="3"/>
  <c r="B75" i="3"/>
  <c r="B62" i="4"/>
  <c r="B49" i="4"/>
  <c r="B51" i="4" s="1"/>
  <c r="B69" i="4" s="1"/>
  <c r="E56" i="4"/>
  <c r="E49" i="4"/>
  <c r="E51" i="4" s="1"/>
  <c r="E69" i="4" s="1"/>
  <c r="C39" i="4"/>
  <c r="C63" i="5"/>
  <c r="E63" i="5"/>
  <c r="B39" i="4"/>
  <c r="B39" i="3"/>
  <c r="B39" i="2"/>
  <c r="C40" i="5"/>
  <c r="B59" i="5"/>
  <c r="B38" i="5"/>
  <c r="B50" i="5"/>
  <c r="B55" i="5"/>
  <c r="B59" i="4"/>
  <c r="B38" i="4"/>
  <c r="B63" i="4" s="1"/>
  <c r="C40" i="4"/>
  <c r="E40" i="4"/>
  <c r="B59" i="3"/>
  <c r="B38" i="3"/>
  <c r="B63" i="3" s="1"/>
  <c r="B38" i="2"/>
  <c r="B63" i="2" s="1"/>
  <c r="B38" i="1"/>
  <c r="B50" i="1"/>
  <c r="B55" i="1"/>
  <c r="B51" i="2" l="1"/>
  <c r="B69" i="2" s="1"/>
  <c r="D62" i="4"/>
  <c r="D39" i="4"/>
  <c r="E62" i="4"/>
  <c r="E64" i="4"/>
  <c r="E39" i="5"/>
  <c r="E64" i="5" s="1"/>
  <c r="C39" i="7"/>
  <c r="C64" i="4"/>
  <c r="C40" i="7"/>
  <c r="C49" i="7"/>
  <c r="C51" i="7" s="1"/>
  <c r="C69" i="7" s="1"/>
  <c r="E39" i="7"/>
  <c r="C39" i="5"/>
  <c r="C64" i="5" s="1"/>
  <c r="E49" i="7"/>
  <c r="E51" i="7" s="1"/>
  <c r="E69" i="7" s="1"/>
  <c r="E40" i="7"/>
  <c r="B56" i="3"/>
  <c r="B56" i="2"/>
  <c r="C54" i="5"/>
  <c r="C56" i="5" s="1"/>
  <c r="C62" i="5"/>
  <c r="C49" i="5"/>
  <c r="C51" i="5" s="1"/>
  <c r="C69" i="5" s="1"/>
  <c r="E62" i="5"/>
  <c r="E49" i="5"/>
  <c r="E51" i="5" s="1"/>
  <c r="E69" i="5" s="1"/>
  <c r="E54" i="5"/>
  <c r="E56" i="5" s="1"/>
  <c r="B51" i="3"/>
  <c r="B69" i="3" s="1"/>
  <c r="B75" i="6"/>
  <c r="B59" i="6"/>
  <c r="B50" i="6"/>
  <c r="B55" i="6"/>
  <c r="B38" i="6"/>
  <c r="B75" i="7"/>
  <c r="B55" i="7"/>
  <c r="B38" i="7"/>
  <c r="B50" i="7"/>
  <c r="B59" i="7"/>
  <c r="B63" i="5"/>
  <c r="B40" i="5"/>
  <c r="B64" i="5" s="1"/>
  <c r="B40" i="4"/>
  <c r="B64" i="4" s="1"/>
  <c r="B40" i="3"/>
  <c r="B64" i="3" s="1"/>
  <c r="B40" i="2"/>
  <c r="B64" i="2" s="1"/>
  <c r="B63" i="1"/>
  <c r="B40" i="1"/>
  <c r="B64" i="1" s="1"/>
  <c r="B49" i="1"/>
  <c r="B51" i="1" s="1"/>
  <c r="B69" i="1" s="1"/>
  <c r="B62" i="1"/>
  <c r="B56" i="1"/>
  <c r="E64" i="7" l="1"/>
  <c r="E62" i="7"/>
  <c r="B62" i="5"/>
  <c r="C64" i="7"/>
  <c r="C62" i="7"/>
  <c r="B54" i="5"/>
  <c r="B56" i="5" s="1"/>
  <c r="B49" i="5"/>
  <c r="B51" i="5" s="1"/>
  <c r="B69" i="5" s="1"/>
  <c r="B40" i="7"/>
  <c r="B64" i="7" s="1"/>
  <c r="B63" i="7"/>
  <c r="B49" i="6"/>
  <c r="B51" i="6" s="1"/>
  <c r="B69" i="6" s="1"/>
  <c r="B62" i="6"/>
  <c r="B56" i="6"/>
  <c r="B63" i="6"/>
  <c r="B40" i="6"/>
  <c r="B64" i="6" s="1"/>
  <c r="B49" i="7"/>
  <c r="B51" i="7" s="1"/>
  <c r="B69" i="7" s="1"/>
  <c r="B56" i="7"/>
  <c r="B62" i="7"/>
  <c r="D62" i="7" l="1"/>
  <c r="D39" i="7"/>
  <c r="D64" i="7" s="1"/>
  <c r="D62" i="5"/>
  <c r="D39" i="5"/>
  <c r="D64" i="5" s="1"/>
</calcChain>
</file>

<file path=xl/sharedStrings.xml><?xml version="1.0" encoding="utf-8"?>
<sst xmlns="http://schemas.openxmlformats.org/spreadsheetml/2006/main" count="596" uniqueCount="129">
  <si>
    <t>Indicador</t>
  </si>
  <si>
    <t>Total programa</t>
  </si>
  <si>
    <t>Productos</t>
  </si>
  <si>
    <t>Insumos</t>
  </si>
  <si>
    <t xml:space="preserve">Beneficiarios </t>
  </si>
  <si>
    <t>Gasto FODESAF</t>
  </si>
  <si>
    <t>Ingresos FODESAF</t>
  </si>
  <si>
    <t>Otros insumos</t>
  </si>
  <si>
    <t>Población objetivo</t>
  </si>
  <si>
    <t>Cálculos intermedios</t>
  </si>
  <si>
    <t>Indicadores</t>
  </si>
  <si>
    <t>De Cobertura Potencial</t>
  </si>
  <si>
    <t>Cobertura Programada</t>
  </si>
  <si>
    <t>Cobertura Efectiva</t>
  </si>
  <si>
    <t>De resultado</t>
  </si>
  <si>
    <t>Índice efectividad en beneficiarios (IEB)</t>
  </si>
  <si>
    <t xml:space="preserve">Índice efectividad en gasto (IEG) </t>
  </si>
  <si>
    <t>Índice efectividad total (IET)</t>
  </si>
  <si>
    <t xml:space="preserve">De avance </t>
  </si>
  <si>
    <t xml:space="preserve">Índice avance beneficiarios (IAB) </t>
  </si>
  <si>
    <t>Índice avance gasto (IAG)</t>
  </si>
  <si>
    <t xml:space="preserve">Índice avance total (IAT) </t>
  </si>
  <si>
    <t>Índice transferencia efectiva del gasto (ITG)</t>
  </si>
  <si>
    <t>De expansión</t>
  </si>
  <si>
    <t xml:space="preserve">Índice de crecimiento beneficiarios (ICB) </t>
  </si>
  <si>
    <t xml:space="preserve">Índice de crecimiento del gasto real (ICGR) </t>
  </si>
  <si>
    <t xml:space="preserve">Índice de crecimiento del gasto real por beneficiario (ICGRB) </t>
  </si>
  <si>
    <t>De gasto medio</t>
  </si>
  <si>
    <t xml:space="preserve">Índice de eficiencia (IE) </t>
  </si>
  <si>
    <t>De giro de recursos</t>
  </si>
  <si>
    <t>Índice de giro efectivo (IGE)</t>
  </si>
  <si>
    <t xml:space="preserve">Índice de uso de recursos (IUR) </t>
  </si>
  <si>
    <t>De Composición</t>
  </si>
  <si>
    <t xml:space="preserve">Gasto programado mensual por beneficiario (GPB) </t>
  </si>
  <si>
    <t xml:space="preserve">Gasto efectivo mensual por beneficiario (GEB) </t>
  </si>
  <si>
    <t>n.a.</t>
  </si>
  <si>
    <t>n.d.</t>
  </si>
  <si>
    <t xml:space="preserve">Gasto programado anual por beneficiario (GPB) </t>
  </si>
  <si>
    <t xml:space="preserve">Gasto efectivo anual por beneficiario (GEB) </t>
  </si>
  <si>
    <t>Atención de 
denuncias</t>
  </si>
  <si>
    <t xml:space="preserve">Gasto mensual programado por beneficiario (GPB) </t>
  </si>
  <si>
    <t xml:space="preserve">Gasto mensual efectivo por beneficiario (GEB) </t>
  </si>
  <si>
    <t xml:space="preserve">Gasto trimestral programado por beneficiario (GPB) </t>
  </si>
  <si>
    <t xml:space="preserve">Gasto trimestral efectivo por beneficiario (GEB) </t>
  </si>
  <si>
    <t xml:space="preserve">Gasto semestral programado por beneficiario (GPB) </t>
  </si>
  <si>
    <t xml:space="preserve">Gasto semestral efectivo por beneficiario (GEB) </t>
  </si>
  <si>
    <t xml:space="preserve">Gasto acumulado programado por beneficiario (GPB) </t>
  </si>
  <si>
    <t xml:space="preserve">Gasto acumulado efectivo por beneficiario (GEB) </t>
  </si>
  <si>
    <t>Centros de Atención Infantil-
Guarderías</t>
  </si>
  <si>
    <t>Protección y apoyo a los niños, niñas 
y adolescentes en los Albergues PANI</t>
  </si>
  <si>
    <t xml:space="preserve">Proyectos fondo de niñez y adolescencia </t>
  </si>
  <si>
    <t>Efectivos 1T 2019</t>
  </si>
  <si>
    <t>IPC (1T 2019)</t>
  </si>
  <si>
    <t>Gasto efectivo real 1T 2019</t>
  </si>
  <si>
    <t>Gasto efectivo real por beneficiario 1T 2019</t>
  </si>
  <si>
    <t>Efectivos 2T 2019</t>
  </si>
  <si>
    <t>IPC (2T 2019)</t>
  </si>
  <si>
    <t>Gasto efectivo real 2T 2019</t>
  </si>
  <si>
    <t>Gasto efectivo real por beneficiario 2T 2019</t>
  </si>
  <si>
    <t>Efectivos 1S 2019</t>
  </si>
  <si>
    <t>IPC (1S 2019)</t>
  </si>
  <si>
    <t>Gasto efectivo real 1S 2019</t>
  </si>
  <si>
    <t>Gasto efectivo real por beneficiario 1S 2019</t>
  </si>
  <si>
    <t>Efectivos 3T 2019</t>
  </si>
  <si>
    <t>IPC (3T 2019)</t>
  </si>
  <si>
    <t>Gasto efectivo real 3T 2019</t>
  </si>
  <si>
    <t>Gasto efectivo real por beneficiario 3T 2019</t>
  </si>
  <si>
    <t>Efectivos 3TA 2019</t>
  </si>
  <si>
    <t>IPC (3TA 2019)</t>
  </si>
  <si>
    <t>Gasto efectivo real 3TA 2019</t>
  </si>
  <si>
    <t>Gasto efectivo real por beneficiario 3TA 2019</t>
  </si>
  <si>
    <t>Efectivos 4T 2019</t>
  </si>
  <si>
    <t>IPC (4T 2019)</t>
  </si>
  <si>
    <t>Gasto efectivo real 4T 2019</t>
  </si>
  <si>
    <t>Gasto efectivo real por beneficiario 4T 2019</t>
  </si>
  <si>
    <t>Gasto efectivo real  2019</t>
  </si>
  <si>
    <t>Gasto efectivo real por beneficiario  2019</t>
  </si>
  <si>
    <t>Programados 1T 2020</t>
  </si>
  <si>
    <t>Efectivos 1T 2020</t>
  </si>
  <si>
    <t>Programados año 2020</t>
  </si>
  <si>
    <t>En transferencias 1T 2020</t>
  </si>
  <si>
    <t>IPC (1T 2020)</t>
  </si>
  <si>
    <t>Gasto efectivo real 1T 2020</t>
  </si>
  <si>
    <t>Gasto efectivo real por beneficiario 1T 2020</t>
  </si>
  <si>
    <t>n.d</t>
  </si>
  <si>
    <t>Programados 2T 2020</t>
  </si>
  <si>
    <t>Efectivos 2T 2020</t>
  </si>
  <si>
    <t>En transferencias 2T 2020</t>
  </si>
  <si>
    <t>IPC (2T 2020)</t>
  </si>
  <si>
    <t>Gasto efectivo real 2T 2020</t>
  </si>
  <si>
    <t>Gasto efectivo real por beneficiario 2T 2020</t>
  </si>
  <si>
    <t>Programados 1S 2020</t>
  </si>
  <si>
    <t>Efectivos 1S 2020</t>
  </si>
  <si>
    <t>En transferencias 1S 2020</t>
  </si>
  <si>
    <t>IPC (1S 2020)</t>
  </si>
  <si>
    <t>Gasto efectivo real 1S 2020</t>
  </si>
  <si>
    <t>Gasto efectivo real por beneficiario 1S 2020</t>
  </si>
  <si>
    <t>Programados 3T 2020</t>
  </si>
  <si>
    <t>Efectivos 3T 2020</t>
  </si>
  <si>
    <t>En transferencias 3T 2020</t>
  </si>
  <si>
    <t>IPC (3T 2020)</t>
  </si>
  <si>
    <t>Gasto efectivo real 3T 2020</t>
  </si>
  <si>
    <t>Gasto efectivo real por beneficiario 3T 2020</t>
  </si>
  <si>
    <t>Programados 3TA 2020</t>
  </si>
  <si>
    <t>Efectivos 3TA 2020</t>
  </si>
  <si>
    <t>En transferencias 3TA 2020</t>
  </si>
  <si>
    <t>IPC (3TA 20120)</t>
  </si>
  <si>
    <t>Gasto efectivo real 3TA 2020</t>
  </si>
  <si>
    <t>Gasto efectivo real por beneficiario 3TA 2020</t>
  </si>
  <si>
    <t xml:space="preserve">Proyecto mis primeras huellas </t>
  </si>
  <si>
    <t>Programados 4T 2020</t>
  </si>
  <si>
    <t>Efectivos 4T 2020</t>
  </si>
  <si>
    <t>En transferencias 4T 2020</t>
  </si>
  <si>
    <t>IPC (4T 2020)</t>
  </si>
  <si>
    <t>Gasto efectivo real 4T 2020</t>
  </si>
  <si>
    <t>Gasto efectivo real por beneficiario 4T 2020</t>
  </si>
  <si>
    <t>Efectivos 2020</t>
  </si>
  <si>
    <t>Efectivos 2019</t>
  </si>
  <si>
    <t>Programados 2020</t>
  </si>
  <si>
    <t>En transferencias 2020</t>
  </si>
  <si>
    <t>IPC (2019)</t>
  </si>
  <si>
    <t>IPC (2020)</t>
  </si>
  <si>
    <t>Gasto efectivo real  2020</t>
  </si>
  <si>
    <t>Gasto efectivo real por beneficiario  2020</t>
  </si>
  <si>
    <r>
      <rPr>
        <b/>
        <sz val="11"/>
        <color theme="1"/>
        <rFont val="Palatino Linotype"/>
        <family val="1"/>
      </rPr>
      <t xml:space="preserve">Fuentes: </t>
    </r>
    <r>
      <rPr>
        <sz val="11"/>
        <color theme="1"/>
        <rFont val="Palatino Linotype"/>
        <family val="1"/>
      </rPr>
      <t xml:space="preserve"> Informes Trimestrales PANI 2019 y 2020 - Cronogramas de Metas e Inversión - Modificaciones 2020 - IPC, INEC 2019 y 2020</t>
    </r>
  </si>
  <si>
    <r>
      <rPr>
        <b/>
        <sz val="11"/>
        <color theme="1"/>
        <rFont val="Palatino Linotype"/>
        <family val="1"/>
      </rPr>
      <t xml:space="preserve">Fuentes: </t>
    </r>
    <r>
      <rPr>
        <sz val="11"/>
        <color theme="1"/>
        <rFont val="Palatino Linotype"/>
        <family val="1"/>
      </rPr>
      <t>Informes Trimestrales PANI 2019 y 2020 - Cronogramas de Metas e Inversión - Modificaciones 2020 - IPC, INEC 2019 y 2020</t>
    </r>
  </si>
  <si>
    <r>
      <rPr>
        <b/>
        <sz val="11"/>
        <color theme="1"/>
        <rFont val="Palatino Linotype"/>
        <family val="1"/>
      </rPr>
      <t xml:space="preserve">Nota: </t>
    </r>
    <r>
      <rPr>
        <sz val="11"/>
        <color theme="1"/>
        <rFont val="Palatino Linotype"/>
        <family val="1"/>
      </rPr>
      <t>La Unidad Ejecutora al remitir el informe del IV T ANUAL realizó un ajuste en el dato del gasto efectivo del producto "Proyectos fondo de niñez y adolescencia" por un monto de 806.277 colones. *La actualización se realizó el 01-02-2021</t>
    </r>
  </si>
  <si>
    <r>
      <rPr>
        <b/>
        <sz val="11"/>
        <color theme="1"/>
        <rFont val="Palatino Linotype"/>
        <family val="1"/>
      </rPr>
      <t xml:space="preserve">Fuentes: </t>
    </r>
    <r>
      <rPr>
        <sz val="11"/>
        <color theme="1"/>
        <rFont val="Palatino Linotype"/>
        <family val="1"/>
      </rPr>
      <t>Informes Trimestrales PANI 2019 y 2020 -Cronogramas de Metas e Inversión - Modificaciones 2020 - IPC, INEC 2019 y 2020</t>
    </r>
  </si>
  <si>
    <r>
      <rPr>
        <b/>
        <sz val="11"/>
        <color theme="1"/>
        <rFont val="Palatino Linotype"/>
        <family val="1"/>
      </rPr>
      <t xml:space="preserve">Nota: </t>
    </r>
    <r>
      <rPr>
        <sz val="11"/>
        <color theme="1"/>
        <rFont val="Palatino Linotype"/>
        <family val="1"/>
      </rPr>
      <t xml:space="preserve">El Cronograma de Metas e Inversión del año 2020 se modificó "para atrás" (Producto: Proyectos fondo de niñez y adolescencia), por ende, algunas cifras de los indicadores anuales se ajustaron manualmente. Esto con el objetivo de que los indicadores anuales reflejen la realidad del programa.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</si>
</sst>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#,##0.0____"/>
    <numFmt numFmtId="166" formatCode="#,##0.0"/>
    <numFmt numFmtId="167" formatCode="0.0000"/>
    <numFmt numFmtId="168" formatCode="_(* #,##0.0000_);_(* \(#,##0.00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 Light"/>
      <family val="2"/>
    </font>
    <font>
      <b/>
      <sz val="11"/>
      <color theme="1"/>
      <name val="Calibri Light"/>
      <family val="2"/>
    </font>
    <font>
      <b/>
      <sz val="11"/>
      <color theme="1"/>
      <name val="Palatino Linotype"/>
      <family val="1"/>
    </font>
    <font>
      <sz val="11"/>
      <color theme="1"/>
      <name val="Palatino Linotype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Font="1" applyFill="1"/>
    <xf numFmtId="166" fontId="0" fillId="0" borderId="0" xfId="0" applyNumberFormat="1" applyFont="1" applyFill="1"/>
    <xf numFmtId="0" fontId="2" fillId="0" borderId="0" xfId="0" applyFont="1" applyFill="1"/>
    <xf numFmtId="0" fontId="4" fillId="0" borderId="0" xfId="0" applyFont="1" applyFill="1" applyAlignment="1">
      <alignment vertical="center"/>
    </xf>
    <xf numFmtId="0" fontId="3" fillId="0" borderId="0" xfId="0" applyFont="1" applyFill="1"/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/>
    <xf numFmtId="0" fontId="6" fillId="0" borderId="0" xfId="0" applyFont="1" applyFill="1"/>
    <xf numFmtId="0" fontId="6" fillId="0" borderId="0" xfId="0" applyFont="1" applyFill="1" applyAlignment="1">
      <alignment horizontal="left" indent="1"/>
    </xf>
    <xf numFmtId="3" fontId="6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left"/>
    </xf>
    <xf numFmtId="4" fontId="6" fillId="0" borderId="0" xfId="0" applyNumberFormat="1" applyFont="1" applyFill="1" applyAlignment="1">
      <alignment horizontal="right"/>
    </xf>
    <xf numFmtId="2" fontId="6" fillId="0" borderId="0" xfId="0" applyNumberFormat="1" applyFont="1" applyFill="1" applyAlignment="1">
      <alignment horizontal="right"/>
    </xf>
    <xf numFmtId="168" fontId="6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left" indent="1"/>
    </xf>
    <xf numFmtId="0" fontId="6" fillId="0" borderId="0" xfId="0" applyFont="1" applyFill="1" applyAlignment="1">
      <alignment horizontal="right"/>
    </xf>
    <xf numFmtId="3" fontId="6" fillId="0" borderId="0" xfId="1" applyNumberFormat="1" applyFont="1" applyFill="1" applyAlignment="1">
      <alignment horizontal="right"/>
    </xf>
    <xf numFmtId="0" fontId="6" fillId="0" borderId="3" xfId="0" applyFont="1" applyFill="1" applyBorder="1"/>
    <xf numFmtId="3" fontId="6" fillId="0" borderId="0" xfId="0" applyNumberFormat="1" applyFont="1" applyFill="1"/>
    <xf numFmtId="2" fontId="6" fillId="0" borderId="0" xfId="0" applyNumberFormat="1" applyFont="1" applyFill="1"/>
    <xf numFmtId="3" fontId="6" fillId="0" borderId="0" xfId="1" applyNumberFormat="1" applyFont="1" applyFill="1"/>
    <xf numFmtId="4" fontId="6" fillId="0" borderId="0" xfId="0" applyNumberFormat="1" applyFont="1" applyFill="1"/>
    <xf numFmtId="0" fontId="6" fillId="0" borderId="5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67" fontId="6" fillId="0" borderId="0" xfId="0" applyNumberFormat="1" applyFont="1" applyFill="1" applyAlignment="1">
      <alignment horizontal="right"/>
    </xf>
    <xf numFmtId="165" fontId="6" fillId="0" borderId="0" xfId="0" applyNumberFormat="1" applyFont="1" applyFill="1" applyAlignment="1">
      <alignment horizontal="right"/>
    </xf>
    <xf numFmtId="164" fontId="6" fillId="0" borderId="0" xfId="1" applyNumberFormat="1" applyFont="1" applyFill="1" applyAlignment="1">
      <alignment horizontal="right"/>
    </xf>
    <xf numFmtId="165" fontId="0" fillId="0" borderId="0" xfId="0" applyNumberFormat="1" applyFont="1" applyFill="1"/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A2BFE6"/>
      <color rgb="FF4071B9"/>
      <color rgb="FF102D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s-CR" sz="1800">
                <a:latin typeface="Palatino Linotype" panose="02040502050505030304" pitchFamily="18" charset="0"/>
              </a:rPr>
              <a:t>PANI: Indicadores de resultado 2020</a:t>
            </a:r>
          </a:p>
        </c:rich>
      </c:tx>
      <c:layout>
        <c:manualLayout>
          <c:xMode val="edge"/>
          <c:yMode val="edge"/>
          <c:x val="0.29813366983142292"/>
          <c:y val="4.16667435077414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Anual!$A$49</c:f>
              <c:strCache>
                <c:ptCount val="1"/>
                <c:pt idx="0">
                  <c:v>Índice efectividad en beneficiarios (IEB)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(Anual!$B$9,Anual!$C$10,Anual!$D$10,Anual!$E$10,Anual!$F$10,Anual!$G$10)</c:f>
              <c:strCache>
                <c:ptCount val="6"/>
                <c:pt idx="0">
                  <c:v>Total programa</c:v>
                </c:pt>
                <c:pt idx="1">
                  <c:v>Atención de 
denuncias</c:v>
                </c:pt>
                <c:pt idx="2">
                  <c:v>Centros de Atención Infantil-
Guarderías</c:v>
                </c:pt>
                <c:pt idx="3">
                  <c:v>Protección y apoyo a los niños, niñas 
y adolescentes en los Albergues PANI</c:v>
                </c:pt>
                <c:pt idx="4">
                  <c:v>Proyectos fondo de niñez y adolescencia </c:v>
                </c:pt>
                <c:pt idx="5">
                  <c:v>Proyecto mis primeras huellas </c:v>
                </c:pt>
              </c:strCache>
            </c:strRef>
          </c:cat>
          <c:val>
            <c:numRef>
              <c:f>Anual!$B$49:$G$49</c:f>
              <c:numCache>
                <c:formatCode>#,##0.00</c:formatCode>
                <c:ptCount val="6"/>
                <c:pt idx="0">
                  <c:v>131.80611933756407</c:v>
                </c:pt>
                <c:pt idx="1">
                  <c:v>134.44998369286679</c:v>
                </c:pt>
                <c:pt idx="2">
                  <c:v>104.94038361845517</c:v>
                </c:pt>
                <c:pt idx="3">
                  <c:v>80.869565217391298</c:v>
                </c:pt>
                <c:pt idx="4">
                  <c:v>0</c:v>
                </c:pt>
                <c:pt idx="5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FF-496E-976F-6D352FFDCED0}"/>
            </c:ext>
          </c:extLst>
        </c:ser>
        <c:ser>
          <c:idx val="1"/>
          <c:order val="1"/>
          <c:tx>
            <c:strRef>
              <c:f>Anual!$A$50</c:f>
              <c:strCache>
                <c:ptCount val="1"/>
                <c:pt idx="0">
                  <c:v>Índice efectividad en gasto (IEG) </c:v>
                </c:pt>
              </c:strCache>
            </c:strRef>
          </c:tx>
          <c:spPr>
            <a:solidFill>
              <a:srgbClr val="4071B9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(Anual!$B$9,Anual!$C$10,Anual!$D$10,Anual!$E$10,Anual!$F$10,Anual!$G$10)</c:f>
              <c:strCache>
                <c:ptCount val="6"/>
                <c:pt idx="0">
                  <c:v>Total programa</c:v>
                </c:pt>
                <c:pt idx="1">
                  <c:v>Atención de 
denuncias</c:v>
                </c:pt>
                <c:pt idx="2">
                  <c:v>Centros de Atención Infantil-
Guarderías</c:v>
                </c:pt>
                <c:pt idx="3">
                  <c:v>Protección y apoyo a los niños, niñas 
y adolescentes en los Albergues PANI</c:v>
                </c:pt>
                <c:pt idx="4">
                  <c:v>Proyectos fondo de niñez y adolescencia </c:v>
                </c:pt>
                <c:pt idx="5">
                  <c:v>Proyecto mis primeras huellas </c:v>
                </c:pt>
              </c:strCache>
            </c:strRef>
          </c:cat>
          <c:val>
            <c:numRef>
              <c:f>Anual!$B$50:$G$50</c:f>
              <c:numCache>
                <c:formatCode>#,##0.00</c:formatCode>
                <c:ptCount val="6"/>
                <c:pt idx="0">
                  <c:v>91.387316178670758</c:v>
                </c:pt>
                <c:pt idx="1">
                  <c:v>91.92091637817353</c:v>
                </c:pt>
                <c:pt idx="2">
                  <c:v>96.702013459011994</c:v>
                </c:pt>
                <c:pt idx="3">
                  <c:v>87.650765630299688</c:v>
                </c:pt>
                <c:pt idx="4">
                  <c:v>67.087187158410913</c:v>
                </c:pt>
                <c:pt idx="5">
                  <c:v>68.846731814136021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FF-496E-976F-6D352FFDCED0}"/>
            </c:ext>
          </c:extLst>
        </c:ser>
        <c:ser>
          <c:idx val="2"/>
          <c:order val="2"/>
          <c:tx>
            <c:strRef>
              <c:f>Anual!$A$51</c:f>
              <c:strCache>
                <c:ptCount val="1"/>
                <c:pt idx="0">
                  <c:v>Índice efectividad total (IET)</c:v>
                </c:pt>
              </c:strCache>
            </c:strRef>
          </c:tx>
          <c:spPr>
            <a:solidFill>
              <a:srgbClr val="A2BFE6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(Anual!$B$9,Anual!$C$10,Anual!$D$10,Anual!$E$10,Anual!$F$10,Anual!$G$10)</c:f>
              <c:strCache>
                <c:ptCount val="6"/>
                <c:pt idx="0">
                  <c:v>Total programa</c:v>
                </c:pt>
                <c:pt idx="1">
                  <c:v>Atención de 
denuncias</c:v>
                </c:pt>
                <c:pt idx="2">
                  <c:v>Centros de Atención Infantil-
Guarderías</c:v>
                </c:pt>
                <c:pt idx="3">
                  <c:v>Protección y apoyo a los niños, niñas 
y adolescentes en los Albergues PANI</c:v>
                </c:pt>
                <c:pt idx="4">
                  <c:v>Proyectos fondo de niñez y adolescencia </c:v>
                </c:pt>
                <c:pt idx="5">
                  <c:v>Proyecto mis primeras huellas </c:v>
                </c:pt>
              </c:strCache>
            </c:strRef>
          </c:cat>
          <c:val>
            <c:numRef>
              <c:f>Anual!$B$51:$G$51</c:f>
              <c:numCache>
                <c:formatCode>#,##0.00</c:formatCode>
                <c:ptCount val="6"/>
                <c:pt idx="0">
                  <c:v>111.59671775811742</c:v>
                </c:pt>
                <c:pt idx="1">
                  <c:v>113.18545003552016</c:v>
                </c:pt>
                <c:pt idx="2">
                  <c:v>100.82119853873358</c:v>
                </c:pt>
                <c:pt idx="3">
                  <c:v>84.260165423845493</c:v>
                </c:pt>
                <c:pt idx="4">
                  <c:v>0</c:v>
                </c:pt>
                <c:pt idx="5">
                  <c:v>84.423365907068018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FF-496E-976F-6D352FFDC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46423776"/>
        <c:axId val="246424168"/>
      </c:barChart>
      <c:catAx>
        <c:axId val="2464237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246424168"/>
        <c:crosses val="autoZero"/>
        <c:auto val="1"/>
        <c:lblAlgn val="ctr"/>
        <c:lblOffset val="100"/>
        <c:noMultiLvlLbl val="0"/>
      </c:catAx>
      <c:valAx>
        <c:axId val="246424168"/>
        <c:scaling>
          <c:orientation val="minMax"/>
          <c:max val="1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246423776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1000"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s-CR" sz="1800"/>
              <a:t>PANI: Indicadores de expansión 2020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Anual!$A$62</c:f>
              <c:strCache>
                <c:ptCount val="1"/>
                <c:pt idx="0">
                  <c:v>Índice de crecimiento beneficiarios (ICB) 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(Anual!$B$9,Anual!$C$10,Anual!$D$10,Anual!$E$10,Anual!$F$10)</c:f>
              <c:strCache>
                <c:ptCount val="5"/>
                <c:pt idx="0">
                  <c:v>Total programa</c:v>
                </c:pt>
                <c:pt idx="1">
                  <c:v>Atención de 
denuncias</c:v>
                </c:pt>
                <c:pt idx="2">
                  <c:v>Centros de Atención Infantil-
Guarderías</c:v>
                </c:pt>
                <c:pt idx="3">
                  <c:v>Protección y apoyo a los niños, niñas 
y adolescentes en los Albergues PANI</c:v>
                </c:pt>
                <c:pt idx="4">
                  <c:v>Proyectos fondo de niñez y adolescencia </c:v>
                </c:pt>
              </c:strCache>
            </c:strRef>
          </c:cat>
          <c:val>
            <c:numRef>
              <c:f>Anual!$B$62:$F$62</c:f>
              <c:numCache>
                <c:formatCode>#,##0.00</c:formatCode>
                <c:ptCount val="5"/>
                <c:pt idx="0">
                  <c:v>8.5476102272210817</c:v>
                </c:pt>
                <c:pt idx="1">
                  <c:v>11.726140543330965</c:v>
                </c:pt>
                <c:pt idx="2">
                  <c:v>-21.684463014546573</c:v>
                </c:pt>
                <c:pt idx="3">
                  <c:v>-26.055988073546466</c:v>
                </c:pt>
                <c:pt idx="4">
                  <c:v>-100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D5-4135-8F0A-F233885B319E}"/>
            </c:ext>
          </c:extLst>
        </c:ser>
        <c:ser>
          <c:idx val="1"/>
          <c:order val="1"/>
          <c:tx>
            <c:strRef>
              <c:f>Anual!$A$63</c:f>
              <c:strCache>
                <c:ptCount val="1"/>
                <c:pt idx="0">
                  <c:v>Índice de crecimiento del gasto real (ICGR) </c:v>
                </c:pt>
              </c:strCache>
            </c:strRef>
          </c:tx>
          <c:spPr>
            <a:solidFill>
              <a:srgbClr val="4071B9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(Anual!$B$9,Anual!$C$10,Anual!$D$10,Anual!$E$10,Anual!$F$10)</c:f>
              <c:strCache>
                <c:ptCount val="5"/>
                <c:pt idx="0">
                  <c:v>Total programa</c:v>
                </c:pt>
                <c:pt idx="1">
                  <c:v>Atención de 
denuncias</c:v>
                </c:pt>
                <c:pt idx="2">
                  <c:v>Centros de Atención Infantil-
Guarderías</c:v>
                </c:pt>
                <c:pt idx="3">
                  <c:v>Protección y apoyo a los niños, niñas 
y adolescentes en los Albergues PANI</c:v>
                </c:pt>
                <c:pt idx="4">
                  <c:v>Proyectos fondo de niñez y adolescencia </c:v>
                </c:pt>
              </c:strCache>
            </c:strRef>
          </c:cat>
          <c:val>
            <c:numRef>
              <c:f>Anual!$B$63:$F$63</c:f>
              <c:numCache>
                <c:formatCode>#,##0.00</c:formatCode>
                <c:ptCount val="5"/>
                <c:pt idx="0">
                  <c:v>12.26975644094701</c:v>
                </c:pt>
                <c:pt idx="1">
                  <c:v>-1.2611463721363902</c:v>
                </c:pt>
                <c:pt idx="2">
                  <c:v>162.4778045323049</c:v>
                </c:pt>
                <c:pt idx="3">
                  <c:v>4.5230622390075803</c:v>
                </c:pt>
                <c:pt idx="4">
                  <c:v>-97.304673455313278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D5-4135-8F0A-F233885B319E}"/>
            </c:ext>
          </c:extLst>
        </c:ser>
        <c:ser>
          <c:idx val="2"/>
          <c:order val="2"/>
          <c:tx>
            <c:strRef>
              <c:f>Anual!$A$64</c:f>
              <c:strCache>
                <c:ptCount val="1"/>
                <c:pt idx="0">
                  <c:v>Índice de crecimiento del gasto real por beneficiario (ICGRB) </c:v>
                </c:pt>
              </c:strCache>
            </c:strRef>
          </c:tx>
          <c:spPr>
            <a:solidFill>
              <a:srgbClr val="A2BFE6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(Anual!$B$9,Anual!$C$10,Anual!$D$10,Anual!$E$10,Anual!$F$10)</c:f>
              <c:strCache>
                <c:ptCount val="5"/>
                <c:pt idx="0">
                  <c:v>Total programa</c:v>
                </c:pt>
                <c:pt idx="1">
                  <c:v>Atención de 
denuncias</c:v>
                </c:pt>
                <c:pt idx="2">
                  <c:v>Centros de Atención Infantil-
Guarderías</c:v>
                </c:pt>
                <c:pt idx="3">
                  <c:v>Protección y apoyo a los niños, niñas 
y adolescentes en los Albergues PANI</c:v>
                </c:pt>
                <c:pt idx="4">
                  <c:v>Proyectos fondo de niñez y adolescencia </c:v>
                </c:pt>
              </c:strCache>
            </c:strRef>
          </c:cat>
          <c:val>
            <c:numRef>
              <c:f>Anual!$B$64:$F$64</c:f>
              <c:numCache>
                <c:formatCode>#,##0.00</c:formatCode>
                <c:ptCount val="5"/>
                <c:pt idx="0">
                  <c:v>3.4290448273659901</c:v>
                </c:pt>
                <c:pt idx="1">
                  <c:v>-11.624215114125846</c:v>
                </c:pt>
                <c:pt idx="2">
                  <c:v>235.15419115501737</c:v>
                </c:pt>
                <c:pt idx="3">
                  <c:v>41.354329466148918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D5-4135-8F0A-F233885B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46424952"/>
        <c:axId val="246425344"/>
      </c:barChart>
      <c:catAx>
        <c:axId val="2464249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246425344"/>
        <c:crosses val="autoZero"/>
        <c:auto val="1"/>
        <c:lblAlgn val="ctr"/>
        <c:lblOffset val="100"/>
        <c:noMultiLvlLbl val="0"/>
      </c:catAx>
      <c:valAx>
        <c:axId val="246425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246424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8058369572042056E-3"/>
          <c:y val="0.87042905706778384"/>
          <c:w val="0.98700145500803937"/>
          <c:h val="0.11158330624565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s-CR" sz="1800" b="1"/>
              <a:t>PANI: Indicadores de giro de recursos 2020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Anual!$B$9</c:f>
              <c:strCache>
                <c:ptCount val="1"/>
                <c:pt idx="0">
                  <c:v>Total programa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EDF-4F5A-AC88-8C4483AF6676}"/>
              </c:ext>
            </c:extLst>
          </c:dPt>
          <c:dPt>
            <c:idx val="1"/>
            <c:invertIfNegative val="0"/>
            <c:bubble3D val="0"/>
            <c:spPr>
              <a:solidFill>
                <a:srgbClr val="102D7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EDF-4F5A-AC88-8C4483AF667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Anual!$A$74:$A$75</c:f>
              <c:strCache>
                <c:ptCount val="2"/>
                <c:pt idx="0">
                  <c:v>Índice de giro efectivo (IGE)</c:v>
                </c:pt>
                <c:pt idx="1">
                  <c:v>Índice de uso de recursos (IUR) </c:v>
                </c:pt>
              </c:strCache>
            </c:strRef>
          </c:cat>
          <c:val>
            <c:numRef>
              <c:f>Anual!$B$74:$B$75</c:f>
              <c:numCache>
                <c:formatCode>#,##0.00</c:formatCode>
                <c:ptCount val="2"/>
                <c:pt idx="0">
                  <c:v>95.607997272755981</c:v>
                </c:pt>
                <c:pt idx="1">
                  <c:v>95.585430911135802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2B-4B03-A2DA-CEF033901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90335600"/>
        <c:axId val="490335928"/>
      </c:barChart>
      <c:valAx>
        <c:axId val="490335928"/>
        <c:scaling>
          <c:orientation val="minMax"/>
          <c:max val="1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490335600"/>
        <c:crosses val="autoZero"/>
        <c:crossBetween val="between"/>
        <c:majorUnit val="10"/>
      </c:valAx>
      <c:catAx>
        <c:axId val="4903356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903359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 rtl="0">
              <a:defRPr/>
            </a:pPr>
            <a:r>
              <a:rPr lang="en-US"/>
              <a:t>PANI: Índice de eficiencia (IE) 2020 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5"/>
      <c:rotY val="0"/>
      <c:rAngAx val="0"/>
      <c:perspective val="2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Anual!$A$69</c:f>
              <c:strCache>
                <c:ptCount val="1"/>
                <c:pt idx="0">
                  <c:v>Índice de eficiencia (IE) 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(Anual!$B$9,Anual!$C$10,Anual!$D$10,Anual!$E$10,Anual!$G$10)</c:f>
              <c:strCache>
                <c:ptCount val="5"/>
                <c:pt idx="0">
                  <c:v>Total programa</c:v>
                </c:pt>
                <c:pt idx="1">
                  <c:v>Atención de 
denuncias</c:v>
                </c:pt>
                <c:pt idx="2">
                  <c:v>Centros de Atención Infantil-
Guarderías</c:v>
                </c:pt>
                <c:pt idx="3">
                  <c:v>Protección y apoyo a los niños, niñas 
y adolescentes en los Albergues PANI</c:v>
                </c:pt>
                <c:pt idx="4">
                  <c:v>Proyecto mis primeras huellas </c:v>
                </c:pt>
              </c:strCache>
            </c:strRef>
          </c:cat>
          <c:val>
            <c:numRef>
              <c:f>(Anual!$B$69,Anual!$C$69,Anual!$D$69,Anual!$E$69,Anual!$G$69)</c:f>
              <c:numCache>
                <c:formatCode>#,##0.00</c:formatCode>
                <c:ptCount val="5"/>
                <c:pt idx="0">
                  <c:v>77.375197612364801</c:v>
                </c:pt>
                <c:pt idx="1">
                  <c:v>77.382756041888427</c:v>
                </c:pt>
                <c:pt idx="2">
                  <c:v>92.906205998771838</c:v>
                </c:pt>
                <c:pt idx="3">
                  <c:v>91.325679712538985</c:v>
                </c:pt>
                <c:pt idx="4">
                  <c:v>58.122728314505849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2D-458E-9F88-533C057E21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gapDepth val="0"/>
        <c:shape val="box"/>
        <c:axId val="248352616"/>
        <c:axId val="248353008"/>
        <c:axId val="0"/>
      </c:bar3DChart>
      <c:catAx>
        <c:axId val="248352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248353008"/>
        <c:crosses val="autoZero"/>
        <c:auto val="1"/>
        <c:lblAlgn val="ctr"/>
        <c:lblOffset val="100"/>
        <c:noMultiLvlLbl val="0"/>
      </c:catAx>
      <c:valAx>
        <c:axId val="248353008"/>
        <c:scaling>
          <c:orientation val="minMax"/>
          <c:max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248352616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 rtl="0">
              <a:defRPr/>
            </a:pPr>
            <a:r>
              <a:rPr lang="es-CR"/>
              <a:t>PANI: Indicadores de gasto medio 2020</a:t>
            </a:r>
          </a:p>
        </c:rich>
      </c:tx>
      <c:layout>
        <c:manualLayout>
          <c:xMode val="edge"/>
          <c:yMode val="edge"/>
          <c:x val="0.27473551453679707"/>
          <c:y val="2.334913996568411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Anual!$A$70</c:f>
              <c:strCache>
                <c:ptCount val="1"/>
                <c:pt idx="0">
                  <c:v>Gasto programado anual por beneficiario (GPB) 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(Anual!$B$9,Anual!$C$10,Anual!$D$10,Anual!$E$10,Anual!$G$10)</c:f>
              <c:strCache>
                <c:ptCount val="5"/>
                <c:pt idx="0">
                  <c:v>Total programa</c:v>
                </c:pt>
                <c:pt idx="1">
                  <c:v>Atención de 
denuncias</c:v>
                </c:pt>
                <c:pt idx="2">
                  <c:v>Centros de Atención Infantil-
Guarderías</c:v>
                </c:pt>
                <c:pt idx="3">
                  <c:v>Protección y apoyo a los niños, niñas 
y adolescentes en los Albergues PANI</c:v>
                </c:pt>
                <c:pt idx="4">
                  <c:v>Proyecto mis primeras huellas </c:v>
                </c:pt>
              </c:strCache>
            </c:strRef>
          </c:cat>
          <c:val>
            <c:numRef>
              <c:f>(Anual!$B$70,Anual!$C$70,Anual!$D$70,Anual!$E$70,Anual!$G$70)</c:f>
              <c:numCache>
                <c:formatCode>#,##0.00</c:formatCode>
                <c:ptCount val="5"/>
                <c:pt idx="0">
                  <c:v>240633.60538505521</c:v>
                </c:pt>
                <c:pt idx="1">
                  <c:v>2022326.2927959752</c:v>
                </c:pt>
                <c:pt idx="2">
                  <c:v>912253.54202799348</c:v>
                </c:pt>
                <c:pt idx="3">
                  <c:v>5483738.8151086951</c:v>
                </c:pt>
                <c:pt idx="4">
                  <c:v>269817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5E-4D58-8C04-DFDAF3735ACC}"/>
            </c:ext>
          </c:extLst>
        </c:ser>
        <c:ser>
          <c:idx val="1"/>
          <c:order val="1"/>
          <c:tx>
            <c:strRef>
              <c:f>Anual!$A$71</c:f>
              <c:strCache>
                <c:ptCount val="1"/>
                <c:pt idx="0">
                  <c:v>Gasto efectivo anual por beneficiario (GEB) </c:v>
                </c:pt>
              </c:strCache>
            </c:strRef>
          </c:tx>
          <c:spPr>
            <a:solidFill>
              <a:srgbClr val="4071B9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(Anual!$B$9,Anual!$C$10,Anual!$D$10,Anual!$E$10,Anual!$G$10)</c:f>
              <c:strCache>
                <c:ptCount val="5"/>
                <c:pt idx="0">
                  <c:v>Total programa</c:v>
                </c:pt>
                <c:pt idx="1">
                  <c:v>Atención de 
denuncias</c:v>
                </c:pt>
                <c:pt idx="2">
                  <c:v>Centros de Atención Infantil-
Guarderías</c:v>
                </c:pt>
                <c:pt idx="3">
                  <c:v>Protección y apoyo a los niños, niñas 
y adolescentes en los Albergues PANI</c:v>
                </c:pt>
                <c:pt idx="4">
                  <c:v>Proyecto mis primeras huellas </c:v>
                </c:pt>
              </c:strCache>
            </c:strRef>
          </c:cat>
          <c:val>
            <c:numRef>
              <c:f>(Anual!$B$71,Anual!$C$71,Anual!$D$71,Anual!$E$71,Anual!$G$71)</c:f>
              <c:numCache>
                <c:formatCode>#,##0.00</c:formatCode>
                <c:ptCount val="5"/>
                <c:pt idx="0">
                  <c:v>166842.47657893263</c:v>
                </c:pt>
                <c:pt idx="1">
                  <c:v>1382626.3190491043</c:v>
                </c:pt>
                <c:pt idx="2">
                  <c:v>840636.85739860684</c:v>
                </c:pt>
                <c:pt idx="3">
                  <c:v>5943569.8011827953</c:v>
                </c:pt>
                <c:pt idx="4">
                  <c:v>185760.18637894737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5E-4D58-8C04-DFDAF3735A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8353792"/>
        <c:axId val="248354184"/>
        <c:axId val="0"/>
      </c:bar3DChart>
      <c:catAx>
        <c:axId val="248353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248354184"/>
        <c:crosses val="autoZero"/>
        <c:auto val="1"/>
        <c:lblAlgn val="ctr"/>
        <c:lblOffset val="100"/>
        <c:noMultiLvlLbl val="0"/>
      </c:catAx>
      <c:valAx>
        <c:axId val="248354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24835379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n-US" sz="1800"/>
              <a:t>PANI: Indicadores de avance 2020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title>
    <c:autoTitleDeleted val="0"/>
    <c:plotArea>
      <c:layout>
        <c:manualLayout>
          <c:layoutTarget val="inner"/>
          <c:xMode val="edge"/>
          <c:yMode val="edge"/>
          <c:x val="4.6609831225317887E-2"/>
          <c:y val="0.1258629772405033"/>
          <c:w val="0.93684363131235004"/>
          <c:h val="0.5636474776110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Anual!$A$54</c:f>
              <c:strCache>
                <c:ptCount val="1"/>
                <c:pt idx="0">
                  <c:v>Índice avance beneficiarios (IAB) 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(Anual!$B$9,Anual!$C$10,Anual!$D$10,Anual!$E$10,Anual!$F$10,Anual!$G$10)</c:f>
              <c:strCache>
                <c:ptCount val="6"/>
                <c:pt idx="0">
                  <c:v>Total programa</c:v>
                </c:pt>
                <c:pt idx="1">
                  <c:v>Atención de 
denuncias</c:v>
                </c:pt>
                <c:pt idx="2">
                  <c:v>Centros de Atención Infantil-
Guarderías</c:v>
                </c:pt>
                <c:pt idx="3">
                  <c:v>Protección y apoyo a los niños, niñas 
y adolescentes en los Albergues PANI</c:v>
                </c:pt>
                <c:pt idx="4">
                  <c:v>Proyectos fondo de niñez y adolescencia </c:v>
                </c:pt>
                <c:pt idx="5">
                  <c:v>Proyecto mis primeras huellas </c:v>
                </c:pt>
              </c:strCache>
            </c:strRef>
          </c:cat>
          <c:val>
            <c:numRef>
              <c:f>Anual!$B$54:$G$54</c:f>
              <c:numCache>
                <c:formatCode>#,##0.00</c:formatCode>
                <c:ptCount val="6"/>
                <c:pt idx="0">
                  <c:v>131.80611933756407</c:v>
                </c:pt>
                <c:pt idx="1">
                  <c:v>134.44998369286679</c:v>
                </c:pt>
                <c:pt idx="2">
                  <c:v>104.94038361845517</c:v>
                </c:pt>
                <c:pt idx="3">
                  <c:v>80.869565217391298</c:v>
                </c:pt>
                <c:pt idx="4">
                  <c:v>0</c:v>
                </c:pt>
                <c:pt idx="5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64-404D-BF2B-FBC3470BF25C}"/>
            </c:ext>
          </c:extLst>
        </c:ser>
        <c:ser>
          <c:idx val="1"/>
          <c:order val="1"/>
          <c:tx>
            <c:strRef>
              <c:f>Anual!$A$55</c:f>
              <c:strCache>
                <c:ptCount val="1"/>
                <c:pt idx="0">
                  <c:v>Índice avance gasto (IAG)</c:v>
                </c:pt>
              </c:strCache>
            </c:strRef>
          </c:tx>
          <c:spPr>
            <a:solidFill>
              <a:srgbClr val="4071B9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(Anual!$B$9,Anual!$C$10,Anual!$D$10,Anual!$E$10,Anual!$F$10,Anual!$G$10)</c:f>
              <c:strCache>
                <c:ptCount val="6"/>
                <c:pt idx="0">
                  <c:v>Total programa</c:v>
                </c:pt>
                <c:pt idx="1">
                  <c:v>Atención de 
denuncias</c:v>
                </c:pt>
                <c:pt idx="2">
                  <c:v>Centros de Atención Infantil-
Guarderías</c:v>
                </c:pt>
                <c:pt idx="3">
                  <c:v>Protección y apoyo a los niños, niñas 
y adolescentes en los Albergues PANI</c:v>
                </c:pt>
                <c:pt idx="4">
                  <c:v>Proyectos fondo de niñez y adolescencia </c:v>
                </c:pt>
                <c:pt idx="5">
                  <c:v>Proyecto mis primeras huellas </c:v>
                </c:pt>
              </c:strCache>
            </c:strRef>
          </c:cat>
          <c:val>
            <c:numRef>
              <c:f>Anual!$B$55:$G$55</c:f>
              <c:numCache>
                <c:formatCode>#,##0.00</c:formatCode>
                <c:ptCount val="6"/>
                <c:pt idx="0">
                  <c:v>91.387316178670758</c:v>
                </c:pt>
                <c:pt idx="1">
                  <c:v>91.92091637817353</c:v>
                </c:pt>
                <c:pt idx="2">
                  <c:v>96.702013459011994</c:v>
                </c:pt>
                <c:pt idx="3">
                  <c:v>87.650765630299688</c:v>
                </c:pt>
                <c:pt idx="4">
                  <c:v>67.087187158410913</c:v>
                </c:pt>
                <c:pt idx="5">
                  <c:v>68.846731814136021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64-404D-BF2B-FBC3470BF25C}"/>
            </c:ext>
          </c:extLst>
        </c:ser>
        <c:ser>
          <c:idx val="2"/>
          <c:order val="2"/>
          <c:tx>
            <c:strRef>
              <c:f>Anual!$A$56</c:f>
              <c:strCache>
                <c:ptCount val="1"/>
                <c:pt idx="0">
                  <c:v>Índice avance total (IAT) </c:v>
                </c:pt>
              </c:strCache>
            </c:strRef>
          </c:tx>
          <c:spPr>
            <a:solidFill>
              <a:srgbClr val="A2BFE6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(Anual!$B$9,Anual!$C$10,Anual!$D$10,Anual!$E$10,Anual!$F$10,Anual!$G$10)</c:f>
              <c:strCache>
                <c:ptCount val="6"/>
                <c:pt idx="0">
                  <c:v>Total programa</c:v>
                </c:pt>
                <c:pt idx="1">
                  <c:v>Atención de 
denuncias</c:v>
                </c:pt>
                <c:pt idx="2">
                  <c:v>Centros de Atención Infantil-
Guarderías</c:v>
                </c:pt>
                <c:pt idx="3">
                  <c:v>Protección y apoyo a los niños, niñas 
y adolescentes en los Albergues PANI</c:v>
                </c:pt>
                <c:pt idx="4">
                  <c:v>Proyectos fondo de niñez y adolescencia </c:v>
                </c:pt>
                <c:pt idx="5">
                  <c:v>Proyecto mis primeras huellas </c:v>
                </c:pt>
              </c:strCache>
            </c:strRef>
          </c:cat>
          <c:val>
            <c:numRef>
              <c:f>Anual!$B$56:$G$56</c:f>
              <c:numCache>
                <c:formatCode>#,##0.00</c:formatCode>
                <c:ptCount val="6"/>
                <c:pt idx="0">
                  <c:v>111.59671775811742</c:v>
                </c:pt>
                <c:pt idx="1">
                  <c:v>113.18545003552016</c:v>
                </c:pt>
                <c:pt idx="2">
                  <c:v>100.82119853873358</c:v>
                </c:pt>
                <c:pt idx="3">
                  <c:v>84.260165423845493</c:v>
                </c:pt>
                <c:pt idx="4">
                  <c:v>0</c:v>
                </c:pt>
                <c:pt idx="5">
                  <c:v>84.423365907068018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64-404D-BF2B-FBC3470BF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"/>
        <c:axId val="548439192"/>
        <c:axId val="548439584"/>
      </c:barChart>
      <c:catAx>
        <c:axId val="548439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548439584"/>
        <c:crosses val="autoZero"/>
        <c:auto val="1"/>
        <c:lblAlgn val="ctr"/>
        <c:lblOffset val="100"/>
        <c:tickLblSkip val="1"/>
        <c:noMultiLvlLbl val="0"/>
      </c:catAx>
      <c:valAx>
        <c:axId val="548439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548439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943567941216131"/>
          <c:y val="0.91613635050261599"/>
          <c:w val="0.60112859940489316"/>
          <c:h val="5.71069834640384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1000"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chart" Target="../charts/chart3.xml"/><Relationship Id="rId7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178594</xdr:rowOff>
    </xdr:from>
    <xdr:ext cx="12537280" cy="404812"/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31094"/>
          <a:ext cx="12537280" cy="404812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6</xdr:col>
      <xdr:colOff>23811</xdr:colOff>
      <xdr:row>5</xdr:row>
      <xdr:rowOff>178594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525374" cy="1131094"/>
        </a:xfrm>
        <a:prstGeom prst="rect">
          <a:avLst/>
        </a:prstGeom>
      </xdr:spPr>
    </xdr:pic>
    <xdr:clientData/>
  </xdr:twoCellAnchor>
  <xdr:twoCellAnchor editAs="oneCell">
    <xdr:from>
      <xdr:col>0</xdr:col>
      <xdr:colOff>462643</xdr:colOff>
      <xdr:row>0</xdr:row>
      <xdr:rowOff>95250</xdr:rowOff>
    </xdr:from>
    <xdr:to>
      <xdr:col>1</xdr:col>
      <xdr:colOff>585107</xdr:colOff>
      <xdr:row>5</xdr:row>
      <xdr:rowOff>136071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2643" y="95250"/>
          <a:ext cx="4408714" cy="993321"/>
        </a:xfrm>
        <a:prstGeom prst="rect">
          <a:avLst/>
        </a:prstGeom>
      </xdr:spPr>
    </xdr:pic>
    <xdr:clientData/>
  </xdr:twoCellAnchor>
  <xdr:twoCellAnchor>
    <xdr:from>
      <xdr:col>0</xdr:col>
      <xdr:colOff>23812</xdr:colOff>
      <xdr:row>6</xdr:row>
      <xdr:rowOff>35719</xdr:rowOff>
    </xdr:from>
    <xdr:to>
      <xdr:col>5</xdr:col>
      <xdr:colOff>1607344</xdr:colOff>
      <xdr:row>7</xdr:row>
      <xdr:rowOff>136068</xdr:rowOff>
    </xdr:to>
    <xdr:sp macro="" textlink="">
      <xdr:nvSpPr>
        <xdr:cNvPr id="13" name="CuadroTexto 12"/>
        <xdr:cNvSpPr txBox="1"/>
      </xdr:nvSpPr>
      <xdr:spPr>
        <a:xfrm>
          <a:off x="23812" y="1178719"/>
          <a:ext cx="12442032" cy="2908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Patronato Nacional de la Infancia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Programa  Protección y Atención de los Niños, Niñas y Adolescentes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 Trimestre 2020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 08-05-2020</a:t>
          </a:r>
          <a:endParaRPr lang="es-CR" sz="1100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endParaRPr lang="es-CR" sz="1050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1</xdr:rowOff>
    </xdr:from>
    <xdr:ext cx="12525607" cy="381000"/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3001"/>
          <a:ext cx="12525607" cy="381000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6</xdr:col>
      <xdr:colOff>11906</xdr:colOff>
      <xdr:row>6</xdr:row>
      <xdr:rowOff>23812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513469" cy="1166812"/>
        </a:xfrm>
        <a:prstGeom prst="rect">
          <a:avLst/>
        </a:prstGeom>
      </xdr:spPr>
    </xdr:pic>
    <xdr:clientData/>
  </xdr:twoCellAnchor>
  <xdr:twoCellAnchor editAs="oneCell">
    <xdr:from>
      <xdr:col>0</xdr:col>
      <xdr:colOff>462643</xdr:colOff>
      <xdr:row>0</xdr:row>
      <xdr:rowOff>95250</xdr:rowOff>
    </xdr:from>
    <xdr:to>
      <xdr:col>1</xdr:col>
      <xdr:colOff>585107</xdr:colOff>
      <xdr:row>5</xdr:row>
      <xdr:rowOff>136071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2643" y="95250"/>
          <a:ext cx="4408714" cy="993321"/>
        </a:xfrm>
        <a:prstGeom prst="rect">
          <a:avLst/>
        </a:prstGeom>
      </xdr:spPr>
    </xdr:pic>
    <xdr:clientData/>
  </xdr:twoCellAnchor>
  <xdr:twoCellAnchor>
    <xdr:from>
      <xdr:col>0</xdr:col>
      <xdr:colOff>11906</xdr:colOff>
      <xdr:row>6</xdr:row>
      <xdr:rowOff>59532</xdr:rowOff>
    </xdr:from>
    <xdr:to>
      <xdr:col>5</xdr:col>
      <xdr:colOff>1631156</xdr:colOff>
      <xdr:row>7</xdr:row>
      <xdr:rowOff>190499</xdr:rowOff>
    </xdr:to>
    <xdr:sp macro="" textlink="">
      <xdr:nvSpPr>
        <xdr:cNvPr id="13" name="CuadroTexto 12"/>
        <xdr:cNvSpPr txBox="1"/>
      </xdr:nvSpPr>
      <xdr:spPr>
        <a:xfrm>
          <a:off x="11906" y="1202532"/>
          <a:ext cx="12477750" cy="3214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Patronato Nacional de la Infancia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Programa  Protección y Atención de los Niños, Niñas y Adolescentes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 Trimestre 2020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04-08-2020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12525606" cy="380999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3000"/>
          <a:ext cx="12525606" cy="380999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6</xdr:col>
      <xdr:colOff>11906</xdr:colOff>
      <xdr:row>6</xdr:row>
      <xdr:rowOff>35718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513469" cy="1178718"/>
        </a:xfrm>
        <a:prstGeom prst="rect">
          <a:avLst/>
        </a:prstGeom>
      </xdr:spPr>
    </xdr:pic>
    <xdr:clientData/>
  </xdr:twoCellAnchor>
  <xdr:twoCellAnchor editAs="oneCell">
    <xdr:from>
      <xdr:col>0</xdr:col>
      <xdr:colOff>462643</xdr:colOff>
      <xdr:row>0</xdr:row>
      <xdr:rowOff>95250</xdr:rowOff>
    </xdr:from>
    <xdr:to>
      <xdr:col>1</xdr:col>
      <xdr:colOff>585107</xdr:colOff>
      <xdr:row>5</xdr:row>
      <xdr:rowOff>136071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2643" y="95250"/>
          <a:ext cx="4408714" cy="993321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6</xdr:row>
      <xdr:rowOff>47624</xdr:rowOff>
    </xdr:from>
    <xdr:to>
      <xdr:col>5</xdr:col>
      <xdr:colOff>1631157</xdr:colOff>
      <xdr:row>7</xdr:row>
      <xdr:rowOff>119062</xdr:rowOff>
    </xdr:to>
    <xdr:sp macro="" textlink="">
      <xdr:nvSpPr>
        <xdr:cNvPr id="5" name="CuadroTexto 4"/>
        <xdr:cNvSpPr txBox="1"/>
      </xdr:nvSpPr>
      <xdr:spPr>
        <a:xfrm>
          <a:off x="71438" y="1190624"/>
          <a:ext cx="12418219" cy="2619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2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Patronato Nacional de la Infancia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Programa  Protección y Atención de los Niños, Niñas y Adolescentes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 Semestre 2020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 04-08-2020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1</xdr:rowOff>
    </xdr:from>
    <xdr:ext cx="12525606" cy="404812"/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3001"/>
          <a:ext cx="12525606" cy="404812"/>
        </a:xfrm>
        <a:prstGeom prst="rect">
          <a:avLst/>
        </a:prstGeom>
      </xdr:spPr>
    </xdr:pic>
    <xdr:clientData/>
  </xdr:oneCellAnchor>
  <xdr:twoCellAnchor>
    <xdr:from>
      <xdr:col>0</xdr:col>
      <xdr:colOff>83344</xdr:colOff>
      <xdr:row>6</xdr:row>
      <xdr:rowOff>35722</xdr:rowOff>
    </xdr:from>
    <xdr:to>
      <xdr:col>6</xdr:col>
      <xdr:colOff>23813</xdr:colOff>
      <xdr:row>7</xdr:row>
      <xdr:rowOff>119061</xdr:rowOff>
    </xdr:to>
    <xdr:sp macro="" textlink="">
      <xdr:nvSpPr>
        <xdr:cNvPr id="9" name="CuadroTexto 8"/>
        <xdr:cNvSpPr txBox="1"/>
      </xdr:nvSpPr>
      <xdr:spPr>
        <a:xfrm>
          <a:off x="83344" y="1178722"/>
          <a:ext cx="12442032" cy="2738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Patronato Nacional de la Infancia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Programa  Protección y Atención de los Niños, Niñas y Adolescentes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III Trimestre 2020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</a:t>
          </a:r>
          <a:r>
            <a:rPr lang="es-CR" sz="1100" b="0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11-1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1-2020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11906</xdr:colOff>
      <xdr:row>6</xdr:row>
      <xdr:rowOff>11906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513469" cy="1154906"/>
        </a:xfrm>
        <a:prstGeom prst="rect">
          <a:avLst/>
        </a:prstGeom>
      </xdr:spPr>
    </xdr:pic>
    <xdr:clientData/>
  </xdr:twoCellAnchor>
  <xdr:twoCellAnchor editAs="oneCell">
    <xdr:from>
      <xdr:col>0</xdr:col>
      <xdr:colOff>462643</xdr:colOff>
      <xdr:row>0</xdr:row>
      <xdr:rowOff>95250</xdr:rowOff>
    </xdr:from>
    <xdr:to>
      <xdr:col>1</xdr:col>
      <xdr:colOff>585107</xdr:colOff>
      <xdr:row>5</xdr:row>
      <xdr:rowOff>136071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2643" y="95250"/>
          <a:ext cx="4408714" cy="99332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12525606" cy="388935"/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3000"/>
          <a:ext cx="12525606" cy="388935"/>
        </a:xfrm>
        <a:prstGeom prst="rect">
          <a:avLst/>
        </a:prstGeom>
      </xdr:spPr>
    </xdr:pic>
    <xdr:clientData/>
  </xdr:oneCellAnchor>
  <xdr:twoCellAnchor>
    <xdr:from>
      <xdr:col>0</xdr:col>
      <xdr:colOff>11906</xdr:colOff>
      <xdr:row>6</xdr:row>
      <xdr:rowOff>59535</xdr:rowOff>
    </xdr:from>
    <xdr:to>
      <xdr:col>6</xdr:col>
      <xdr:colOff>0</xdr:colOff>
      <xdr:row>7</xdr:row>
      <xdr:rowOff>178593</xdr:rowOff>
    </xdr:to>
    <xdr:sp macro="" textlink="">
      <xdr:nvSpPr>
        <xdr:cNvPr id="11" name="CuadroTexto 10"/>
        <xdr:cNvSpPr txBox="1"/>
      </xdr:nvSpPr>
      <xdr:spPr>
        <a:xfrm>
          <a:off x="11906" y="1202535"/>
          <a:ext cx="12489657" cy="3095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Patronato Nacional de la Infancia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Programa  Protección y Atención de los Niños, Niñas y Adolescentes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III Trimestre Acumulado 2020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</a:t>
          </a:r>
          <a:r>
            <a:rPr lang="es-CR" sz="1100" b="0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11-11-2020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050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11906</xdr:colOff>
      <xdr:row>6</xdr:row>
      <xdr:rowOff>35718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513469" cy="1178718"/>
        </a:xfrm>
        <a:prstGeom prst="rect">
          <a:avLst/>
        </a:prstGeom>
      </xdr:spPr>
    </xdr:pic>
    <xdr:clientData/>
  </xdr:twoCellAnchor>
  <xdr:twoCellAnchor editAs="oneCell">
    <xdr:from>
      <xdr:col>0</xdr:col>
      <xdr:colOff>462643</xdr:colOff>
      <xdr:row>0</xdr:row>
      <xdr:rowOff>95250</xdr:rowOff>
    </xdr:from>
    <xdr:to>
      <xdr:col>1</xdr:col>
      <xdr:colOff>585107</xdr:colOff>
      <xdr:row>5</xdr:row>
      <xdr:rowOff>136071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2643" y="95250"/>
          <a:ext cx="4408714" cy="99332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11907</xdr:rowOff>
    </xdr:from>
    <xdr:ext cx="14170262" cy="404812"/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54907"/>
          <a:ext cx="14170262" cy="404812"/>
        </a:xfrm>
        <a:prstGeom prst="rect">
          <a:avLst/>
        </a:prstGeom>
      </xdr:spPr>
    </xdr:pic>
    <xdr:clientData/>
  </xdr:oneCellAnchor>
  <xdr:twoCellAnchor>
    <xdr:from>
      <xdr:col>0</xdr:col>
      <xdr:colOff>59531</xdr:colOff>
      <xdr:row>6</xdr:row>
      <xdr:rowOff>59535</xdr:rowOff>
    </xdr:from>
    <xdr:to>
      <xdr:col>6</xdr:col>
      <xdr:colOff>1523999</xdr:colOff>
      <xdr:row>7</xdr:row>
      <xdr:rowOff>119063</xdr:rowOff>
    </xdr:to>
    <xdr:sp macro="" textlink="">
      <xdr:nvSpPr>
        <xdr:cNvPr id="7" name="CuadroTexto 6"/>
        <xdr:cNvSpPr txBox="1"/>
      </xdr:nvSpPr>
      <xdr:spPr>
        <a:xfrm>
          <a:off x="59531" y="1202535"/>
          <a:ext cx="13966031" cy="250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                   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Patronato Nacional de la Infancia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Programa  Protección y Atención de los Niños, Niñas y Adolescentes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IV Trimestre 2020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01-02-2021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11907</xdr:colOff>
      <xdr:row>6</xdr:row>
      <xdr:rowOff>11906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4156532" cy="1154906"/>
        </a:xfrm>
        <a:prstGeom prst="rect">
          <a:avLst/>
        </a:prstGeom>
      </xdr:spPr>
    </xdr:pic>
    <xdr:clientData/>
  </xdr:twoCellAnchor>
  <xdr:twoCellAnchor editAs="oneCell">
    <xdr:from>
      <xdr:col>0</xdr:col>
      <xdr:colOff>462643</xdr:colOff>
      <xdr:row>0</xdr:row>
      <xdr:rowOff>95250</xdr:rowOff>
    </xdr:from>
    <xdr:to>
      <xdr:col>1</xdr:col>
      <xdr:colOff>585107</xdr:colOff>
      <xdr:row>5</xdr:row>
      <xdr:rowOff>136071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2643" y="95250"/>
          <a:ext cx="4408714" cy="99332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361156</xdr:colOff>
      <xdr:row>11</xdr:row>
      <xdr:rowOff>0</xdr:rowOff>
    </xdr:from>
    <xdr:to>
      <xdr:col>32</xdr:col>
      <xdr:colOff>412749</xdr:colOff>
      <xdr:row>30</xdr:row>
      <xdr:rowOff>158750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283632</xdr:colOff>
      <xdr:row>11</xdr:row>
      <xdr:rowOff>2381</xdr:rowOff>
    </xdr:from>
    <xdr:to>
      <xdr:col>20</xdr:col>
      <xdr:colOff>273844</xdr:colOff>
      <xdr:row>30</xdr:row>
      <xdr:rowOff>166687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292098</xdr:colOff>
      <xdr:row>51</xdr:row>
      <xdr:rowOff>204258</xdr:rowOff>
    </xdr:from>
    <xdr:to>
      <xdr:col>20</xdr:col>
      <xdr:colOff>309562</xdr:colOff>
      <xdr:row>69</xdr:row>
      <xdr:rowOff>119062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374387</xdr:colOff>
      <xdr:row>52</xdr:row>
      <xdr:rowOff>1584</xdr:rowOff>
    </xdr:from>
    <xdr:to>
      <xdr:col>32</xdr:col>
      <xdr:colOff>357187</xdr:colOff>
      <xdr:row>69</xdr:row>
      <xdr:rowOff>119063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374118</xdr:colOff>
      <xdr:row>31</xdr:row>
      <xdr:rowOff>53974</xdr:rowOff>
    </xdr:from>
    <xdr:to>
      <xdr:col>32</xdr:col>
      <xdr:colOff>404812</xdr:colOff>
      <xdr:row>51</xdr:row>
      <xdr:rowOff>130968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292366</xdr:colOff>
      <xdr:row>31</xdr:row>
      <xdr:rowOff>57147</xdr:rowOff>
    </xdr:from>
    <xdr:to>
      <xdr:col>20</xdr:col>
      <xdr:colOff>317500</xdr:colOff>
      <xdr:row>51</xdr:row>
      <xdr:rowOff>103188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0</xdr:col>
      <xdr:colOff>0</xdr:colOff>
      <xdr:row>6</xdr:row>
      <xdr:rowOff>11907</xdr:rowOff>
    </xdr:from>
    <xdr:ext cx="14170262" cy="404812"/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154907"/>
          <a:ext cx="14170262" cy="404812"/>
        </a:xfrm>
        <a:prstGeom prst="rect">
          <a:avLst/>
        </a:prstGeom>
      </xdr:spPr>
    </xdr:pic>
    <xdr:clientData/>
  </xdr:oneCellAnchor>
  <xdr:twoCellAnchor>
    <xdr:from>
      <xdr:col>0</xdr:col>
      <xdr:colOff>107156</xdr:colOff>
      <xdr:row>6</xdr:row>
      <xdr:rowOff>83348</xdr:rowOff>
    </xdr:from>
    <xdr:to>
      <xdr:col>7</xdr:col>
      <xdr:colOff>166687</xdr:colOff>
      <xdr:row>7</xdr:row>
      <xdr:rowOff>142876</xdr:rowOff>
    </xdr:to>
    <xdr:sp macro="" textlink="">
      <xdr:nvSpPr>
        <xdr:cNvPr id="15" name="CuadroTexto 14"/>
        <xdr:cNvSpPr txBox="1"/>
      </xdr:nvSpPr>
      <xdr:spPr>
        <a:xfrm>
          <a:off x="107156" y="1226348"/>
          <a:ext cx="14204156" cy="250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                    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Patronato Nacional de la Infancia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Programa  Protección y Atención de los Niños, Niñas y Adolescentes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IV Trimestre 2020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 01-02-2021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11907</xdr:colOff>
      <xdr:row>6</xdr:row>
      <xdr:rowOff>11906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14156532" cy="1154906"/>
        </a:xfrm>
        <a:prstGeom prst="rect">
          <a:avLst/>
        </a:prstGeom>
      </xdr:spPr>
    </xdr:pic>
    <xdr:clientData/>
  </xdr:twoCellAnchor>
  <xdr:twoCellAnchor editAs="oneCell">
    <xdr:from>
      <xdr:col>0</xdr:col>
      <xdr:colOff>462643</xdr:colOff>
      <xdr:row>0</xdr:row>
      <xdr:rowOff>95250</xdr:rowOff>
    </xdr:from>
    <xdr:to>
      <xdr:col>1</xdr:col>
      <xdr:colOff>585107</xdr:colOff>
      <xdr:row>5</xdr:row>
      <xdr:rowOff>136071</xdr:rowOff>
    </xdr:to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62643" y="95250"/>
          <a:ext cx="4408714" cy="9933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F79"/>
  <sheetViews>
    <sheetView showGridLines="0" tabSelected="1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2578125" defaultRowHeight="15" x14ac:dyDescent="0.25"/>
  <cols>
    <col min="1" max="1" width="64.28515625" style="1" customWidth="1"/>
    <col min="2" max="6" width="24.7109375" style="1" customWidth="1"/>
    <col min="7" max="16384" width="11.42578125" style="1"/>
  </cols>
  <sheetData>
    <row r="9" spans="1:6" s="5" customFormat="1" ht="17.25" x14ac:dyDescent="0.25">
      <c r="A9" s="24" t="s">
        <v>0</v>
      </c>
      <c r="B9" s="26" t="s">
        <v>1</v>
      </c>
      <c r="C9" s="28" t="s">
        <v>2</v>
      </c>
      <c r="D9" s="28"/>
      <c r="E9" s="28"/>
      <c r="F9" s="28"/>
    </row>
    <row r="10" spans="1:6" s="4" customFormat="1" ht="69.75" thickBot="1" x14ac:dyDescent="0.3">
      <c r="A10" s="25"/>
      <c r="B10" s="27"/>
      <c r="C10" s="6" t="s">
        <v>39</v>
      </c>
      <c r="D10" s="6" t="s">
        <v>48</v>
      </c>
      <c r="E10" s="6" t="s">
        <v>49</v>
      </c>
      <c r="F10" s="6" t="s">
        <v>50</v>
      </c>
    </row>
    <row r="11" spans="1:6" ht="15.75" thickTop="1" x14ac:dyDescent="0.25"/>
    <row r="12" spans="1:6" ht="17.25" x14ac:dyDescent="0.35">
      <c r="A12" s="7" t="s">
        <v>3</v>
      </c>
      <c r="B12" s="8"/>
      <c r="C12" s="8"/>
      <c r="D12" s="8"/>
      <c r="E12" s="8"/>
      <c r="F12" s="8"/>
    </row>
    <row r="13" spans="1:6" ht="16.5" x14ac:dyDescent="0.3">
      <c r="A13" s="8"/>
      <c r="B13" s="8"/>
      <c r="C13" s="8"/>
      <c r="D13" s="8"/>
      <c r="E13" s="8"/>
      <c r="F13" s="8"/>
    </row>
    <row r="14" spans="1:6" ht="17.25" x14ac:dyDescent="0.35">
      <c r="A14" s="7" t="s">
        <v>4</v>
      </c>
      <c r="B14" s="8"/>
      <c r="C14" s="8"/>
      <c r="D14" s="8"/>
      <c r="E14" s="8"/>
      <c r="F14" s="8"/>
    </row>
    <row r="15" spans="1:6" ht="16.5" x14ac:dyDescent="0.3">
      <c r="A15" s="9" t="s">
        <v>51</v>
      </c>
      <c r="B15" s="10">
        <f>C15+D15+E15+F15</f>
        <v>19763</v>
      </c>
      <c r="C15" s="10">
        <v>15285</v>
      </c>
      <c r="D15" s="10">
        <v>4042</v>
      </c>
      <c r="E15" s="10">
        <v>436</v>
      </c>
      <c r="F15" s="10">
        <v>0</v>
      </c>
    </row>
    <row r="16" spans="1:6" ht="16.5" x14ac:dyDescent="0.3">
      <c r="A16" s="9" t="s">
        <v>77</v>
      </c>
      <c r="B16" s="10">
        <f>C16+D16+E16+F16</f>
        <v>19200</v>
      </c>
      <c r="C16" s="10">
        <v>15090</v>
      </c>
      <c r="D16" s="10">
        <v>3650</v>
      </c>
      <c r="E16" s="10">
        <v>460</v>
      </c>
      <c r="F16" s="10">
        <v>0</v>
      </c>
    </row>
    <row r="17" spans="1:6" ht="16.5" x14ac:dyDescent="0.3">
      <c r="A17" s="9" t="s">
        <v>78</v>
      </c>
      <c r="B17" s="10">
        <f>C17+D17+E17+F17</f>
        <v>26416</v>
      </c>
      <c r="C17" s="10">
        <v>21208</v>
      </c>
      <c r="D17" s="10">
        <v>4809</v>
      </c>
      <c r="E17" s="10">
        <v>399</v>
      </c>
      <c r="F17" s="10">
        <v>0</v>
      </c>
    </row>
    <row r="18" spans="1:6" ht="16.5" x14ac:dyDescent="0.3">
      <c r="A18" s="9" t="s">
        <v>79</v>
      </c>
      <c r="B18" s="10">
        <f>C18+D18+E18+F18</f>
        <v>67910</v>
      </c>
      <c r="C18" s="10">
        <v>60360</v>
      </c>
      <c r="D18" s="10">
        <v>3650</v>
      </c>
      <c r="E18" s="10">
        <v>460</v>
      </c>
      <c r="F18" s="10">
        <v>3440</v>
      </c>
    </row>
    <row r="19" spans="1:6" ht="16.5" x14ac:dyDescent="0.3">
      <c r="A19" s="8"/>
      <c r="B19" s="10"/>
      <c r="C19" s="10"/>
      <c r="D19" s="10"/>
      <c r="E19" s="10"/>
      <c r="F19" s="10"/>
    </row>
    <row r="20" spans="1:6" ht="17.25" x14ac:dyDescent="0.35">
      <c r="A20" s="11" t="s">
        <v>5</v>
      </c>
      <c r="B20" s="10"/>
      <c r="C20" s="10"/>
      <c r="D20" s="10"/>
      <c r="E20" s="10"/>
      <c r="F20" s="10"/>
    </row>
    <row r="21" spans="1:6" ht="16.5" x14ac:dyDescent="0.3">
      <c r="A21" s="9" t="s">
        <v>51</v>
      </c>
      <c r="B21" s="10">
        <f>SUM(C21:F21)</f>
        <v>3279630644</v>
      </c>
      <c r="C21" s="10">
        <v>2649117342</v>
      </c>
      <c r="D21" s="10">
        <v>103303411</v>
      </c>
      <c r="E21" s="10">
        <v>526828720</v>
      </c>
      <c r="F21" s="10">
        <v>381171</v>
      </c>
    </row>
    <row r="22" spans="1:6" ht="16.5" x14ac:dyDescent="0.3">
      <c r="A22" s="9" t="s">
        <v>77</v>
      </c>
      <c r="B22" s="10">
        <f>SUM(C22:F22)</f>
        <v>3819489282.9865389</v>
      </c>
      <c r="C22" s="10">
        <v>2504145532.054616</v>
      </c>
      <c r="D22" s="10">
        <v>733223784.40499973</v>
      </c>
      <c r="E22" s="10">
        <v>582119966.52692306</v>
      </c>
      <c r="F22" s="10">
        <v>0</v>
      </c>
    </row>
    <row r="23" spans="1:6" ht="16.5" x14ac:dyDescent="0.3">
      <c r="A23" s="9" t="s">
        <v>78</v>
      </c>
      <c r="B23" s="10">
        <f>SUM(C23:F23)</f>
        <v>4020575983.3399997</v>
      </c>
      <c r="C23" s="10">
        <v>2694542107.1699996</v>
      </c>
      <c r="D23" s="10">
        <v>743099137.62</v>
      </c>
      <c r="E23" s="10">
        <v>576743920.25</v>
      </c>
      <c r="F23" s="10">
        <v>6190818.2999999998</v>
      </c>
    </row>
    <row r="24" spans="1:6" ht="16.5" x14ac:dyDescent="0.3">
      <c r="A24" s="9" t="s">
        <v>79</v>
      </c>
      <c r="B24" s="10">
        <f>SUM(C24:F24)</f>
        <v>16835688942.000002</v>
      </c>
      <c r="C24" s="10">
        <v>10851297305.570004</v>
      </c>
      <c r="D24" s="10">
        <v>2932895137.6199989</v>
      </c>
      <c r="E24" s="10">
        <v>2522519854.9499993</v>
      </c>
      <c r="F24" s="10">
        <v>528976643.86000013</v>
      </c>
    </row>
    <row r="25" spans="1:6" ht="16.5" x14ac:dyDescent="0.3">
      <c r="A25" s="9" t="s">
        <v>80</v>
      </c>
      <c r="B25" s="10">
        <f>C25+D25+E25+F25</f>
        <v>4020575983.3399997</v>
      </c>
      <c r="C25" s="17">
        <f>+C23</f>
        <v>2694542107.1699996</v>
      </c>
      <c r="D25" s="17">
        <f t="shared" ref="D25:F25" si="0">+D23</f>
        <v>743099137.62</v>
      </c>
      <c r="E25" s="17">
        <f t="shared" si="0"/>
        <v>576743920.25</v>
      </c>
      <c r="F25" s="17">
        <f t="shared" si="0"/>
        <v>6190818.2999999998</v>
      </c>
    </row>
    <row r="26" spans="1:6" ht="16.5" x14ac:dyDescent="0.3">
      <c r="A26" s="8"/>
      <c r="B26" s="10"/>
      <c r="C26" s="10"/>
      <c r="D26" s="10"/>
      <c r="E26" s="10"/>
      <c r="F26" s="10"/>
    </row>
    <row r="27" spans="1:6" ht="17.25" x14ac:dyDescent="0.35">
      <c r="A27" s="11" t="s">
        <v>6</v>
      </c>
      <c r="B27" s="10"/>
      <c r="C27" s="10"/>
      <c r="D27" s="10"/>
      <c r="E27" s="10"/>
      <c r="F27" s="10"/>
    </row>
    <row r="28" spans="1:6" ht="16.5" x14ac:dyDescent="0.3">
      <c r="A28" s="9" t="s">
        <v>77</v>
      </c>
      <c r="B28" s="10">
        <f>B22</f>
        <v>3819489282.9865389</v>
      </c>
      <c r="C28" s="10"/>
      <c r="D28" s="10"/>
      <c r="E28" s="10"/>
      <c r="F28" s="10"/>
    </row>
    <row r="29" spans="1:6" ht="16.5" x14ac:dyDescent="0.3">
      <c r="A29" s="9" t="s">
        <v>78</v>
      </c>
      <c r="B29" s="10">
        <v>3921269701.5100002</v>
      </c>
      <c r="C29" s="10"/>
      <c r="D29" s="10"/>
      <c r="E29" s="10"/>
      <c r="F29" s="10"/>
    </row>
    <row r="30" spans="1:6" ht="16.5" x14ac:dyDescent="0.3">
      <c r="A30" s="8"/>
      <c r="B30" s="16"/>
      <c r="C30" s="16"/>
      <c r="D30" s="16"/>
      <c r="E30" s="16"/>
      <c r="F30" s="16"/>
    </row>
    <row r="31" spans="1:6" ht="17.25" x14ac:dyDescent="0.35">
      <c r="A31" s="7" t="s">
        <v>7</v>
      </c>
      <c r="B31" s="16"/>
      <c r="C31" s="16"/>
      <c r="D31" s="16"/>
      <c r="E31" s="16"/>
      <c r="F31" s="16"/>
    </row>
    <row r="32" spans="1:6" ht="16.5" x14ac:dyDescent="0.3">
      <c r="A32" s="9" t="s">
        <v>52</v>
      </c>
      <c r="B32" s="13">
        <v>1.0451016243</v>
      </c>
      <c r="C32" s="13">
        <v>1.0451016243</v>
      </c>
      <c r="D32" s="13">
        <v>1.0451016243</v>
      </c>
      <c r="E32" s="13">
        <v>1.0451016243</v>
      </c>
      <c r="F32" s="13">
        <v>1.0451016243</v>
      </c>
    </row>
    <row r="33" spans="1:6" ht="16.5" x14ac:dyDescent="0.3">
      <c r="A33" s="9" t="s">
        <v>81</v>
      </c>
      <c r="B33" s="13">
        <v>1.0649999999999999</v>
      </c>
      <c r="C33" s="13">
        <v>1.0649999999999999</v>
      </c>
      <c r="D33" s="13">
        <v>1.0649999999999999</v>
      </c>
      <c r="E33" s="13">
        <v>1.0649999999999999</v>
      </c>
      <c r="F33" s="13">
        <v>1.0649999999999999</v>
      </c>
    </row>
    <row r="34" spans="1:6" ht="16.5" x14ac:dyDescent="0.3">
      <c r="A34" s="9" t="s">
        <v>8</v>
      </c>
      <c r="B34" s="29" t="s">
        <v>36</v>
      </c>
      <c r="C34" s="29" t="s">
        <v>36</v>
      </c>
      <c r="D34" s="29" t="s">
        <v>36</v>
      </c>
      <c r="E34" s="29" t="s">
        <v>36</v>
      </c>
      <c r="F34" s="29" t="s">
        <v>36</v>
      </c>
    </row>
    <row r="35" spans="1:6" ht="16.5" x14ac:dyDescent="0.3">
      <c r="A35" s="8"/>
      <c r="B35" s="16"/>
      <c r="C35" s="16"/>
      <c r="D35" s="16"/>
      <c r="E35" s="16"/>
      <c r="F35" s="16"/>
    </row>
    <row r="36" spans="1:6" ht="17.25" x14ac:dyDescent="0.35">
      <c r="A36" s="7" t="s">
        <v>9</v>
      </c>
      <c r="B36" s="16"/>
      <c r="C36" s="16"/>
      <c r="D36" s="16"/>
      <c r="E36" s="16"/>
      <c r="F36" s="16"/>
    </row>
    <row r="37" spans="1:6" ht="16.5" x14ac:dyDescent="0.3">
      <c r="A37" s="9" t="s">
        <v>53</v>
      </c>
      <c r="B37" s="17">
        <f t="shared" ref="B37:F37" si="1">B21/B32</f>
        <v>3138097356.0314465</v>
      </c>
      <c r="C37" s="17">
        <f t="shared" si="1"/>
        <v>2534794014.6723585</v>
      </c>
      <c r="D37" s="17">
        <f t="shared" si="1"/>
        <v>98845326.232452974</v>
      </c>
      <c r="E37" s="17">
        <f t="shared" si="1"/>
        <v>504093293.65731806</v>
      </c>
      <c r="F37" s="17">
        <f t="shared" si="1"/>
        <v>364721.46931673278</v>
      </c>
    </row>
    <row r="38" spans="1:6" ht="16.5" x14ac:dyDescent="0.3">
      <c r="A38" s="9" t="s">
        <v>82</v>
      </c>
      <c r="B38" s="17">
        <f>B23/B33</f>
        <v>3775188716.7511735</v>
      </c>
      <c r="C38" s="17">
        <f t="shared" ref="C38:F38" si="2">C23/C33</f>
        <v>2530086485.6056337</v>
      </c>
      <c r="D38" s="17">
        <f t="shared" si="2"/>
        <v>697745669.1267606</v>
      </c>
      <c r="E38" s="17">
        <f t="shared" si="2"/>
        <v>541543587.08920193</v>
      </c>
      <c r="F38" s="17">
        <f t="shared" si="2"/>
        <v>5812974.9295774652</v>
      </c>
    </row>
    <row r="39" spans="1:6" ht="16.5" x14ac:dyDescent="0.3">
      <c r="A39" s="9" t="s">
        <v>54</v>
      </c>
      <c r="B39" s="10">
        <f>B37/B15</f>
        <v>158786.48768058728</v>
      </c>
      <c r="C39" s="10">
        <f t="shared" ref="C39:E39" si="3">C37/C15</f>
        <v>165835.39513721678</v>
      </c>
      <c r="D39" s="10">
        <f t="shared" si="3"/>
        <v>24454.55869184883</v>
      </c>
      <c r="E39" s="10">
        <f t="shared" si="3"/>
        <v>1156177.2790305461</v>
      </c>
      <c r="F39" s="10" t="s">
        <v>84</v>
      </c>
    </row>
    <row r="40" spans="1:6" ht="16.5" x14ac:dyDescent="0.3">
      <c r="A40" s="9" t="s">
        <v>83</v>
      </c>
      <c r="B40" s="10">
        <f>B38/B17</f>
        <v>142912.95868985364</v>
      </c>
      <c r="C40" s="10">
        <f t="shared" ref="C40:E40" si="4">C38/C17</f>
        <v>119298.68377997141</v>
      </c>
      <c r="D40" s="10">
        <f t="shared" si="4"/>
        <v>145091.63425384916</v>
      </c>
      <c r="E40" s="10">
        <f t="shared" si="4"/>
        <v>1357252.0979679246</v>
      </c>
      <c r="F40" s="10" t="s">
        <v>84</v>
      </c>
    </row>
    <row r="41" spans="1:6" ht="16.5" x14ac:dyDescent="0.3">
      <c r="A41" s="8"/>
      <c r="B41" s="16"/>
      <c r="C41" s="16"/>
      <c r="D41" s="16"/>
      <c r="E41" s="16"/>
      <c r="F41" s="16"/>
    </row>
    <row r="42" spans="1:6" ht="17.25" x14ac:dyDescent="0.35">
      <c r="A42" s="7" t="s">
        <v>10</v>
      </c>
      <c r="B42" s="16"/>
      <c r="C42" s="16"/>
      <c r="D42" s="16"/>
      <c r="E42" s="16"/>
      <c r="F42" s="16"/>
    </row>
    <row r="43" spans="1:6" ht="16.5" x14ac:dyDescent="0.3">
      <c r="A43" s="8"/>
      <c r="B43" s="16"/>
      <c r="C43" s="16"/>
      <c r="D43" s="16"/>
      <c r="E43" s="16"/>
      <c r="F43" s="16"/>
    </row>
    <row r="44" spans="1:6" ht="17.25" x14ac:dyDescent="0.35">
      <c r="A44" s="7" t="s">
        <v>11</v>
      </c>
      <c r="B44" s="16"/>
      <c r="C44" s="16"/>
      <c r="D44" s="16"/>
      <c r="E44" s="16"/>
      <c r="F44" s="16"/>
    </row>
    <row r="45" spans="1:6" ht="16.5" x14ac:dyDescent="0.3">
      <c r="A45" s="8" t="s">
        <v>12</v>
      </c>
      <c r="B45" s="30" t="s">
        <v>35</v>
      </c>
      <c r="C45" s="30" t="s">
        <v>35</v>
      </c>
      <c r="D45" s="30" t="s">
        <v>35</v>
      </c>
      <c r="E45" s="30" t="s">
        <v>35</v>
      </c>
      <c r="F45" s="30" t="s">
        <v>35</v>
      </c>
    </row>
    <row r="46" spans="1:6" ht="16.5" x14ac:dyDescent="0.3">
      <c r="A46" s="8" t="s">
        <v>13</v>
      </c>
      <c r="B46" s="30" t="s">
        <v>35</v>
      </c>
      <c r="C46" s="30" t="s">
        <v>35</v>
      </c>
      <c r="D46" s="30" t="s">
        <v>35</v>
      </c>
      <c r="E46" s="30" t="s">
        <v>35</v>
      </c>
      <c r="F46" s="30" t="s">
        <v>35</v>
      </c>
    </row>
    <row r="47" spans="1:6" ht="16.5" x14ac:dyDescent="0.3">
      <c r="A47" s="8"/>
      <c r="B47" s="16"/>
      <c r="C47" s="16"/>
      <c r="D47" s="16"/>
      <c r="E47" s="16"/>
      <c r="F47" s="16"/>
    </row>
    <row r="48" spans="1:6" ht="17.25" x14ac:dyDescent="0.35">
      <c r="A48" s="7" t="s">
        <v>14</v>
      </c>
      <c r="B48" s="16"/>
      <c r="C48" s="16"/>
      <c r="D48" s="16"/>
      <c r="E48" s="16"/>
      <c r="F48" s="16"/>
    </row>
    <row r="49" spans="1:6" ht="16.5" x14ac:dyDescent="0.3">
      <c r="A49" s="8" t="s">
        <v>15</v>
      </c>
      <c r="B49" s="12">
        <f>B17/B16*100</f>
        <v>137.58333333333331</v>
      </c>
      <c r="C49" s="12">
        <f t="shared" ref="C49:E49" si="5">C17/C16*100</f>
        <v>140.54340622929092</v>
      </c>
      <c r="D49" s="12">
        <f t="shared" si="5"/>
        <v>131.75342465753425</v>
      </c>
      <c r="E49" s="12">
        <f t="shared" si="5"/>
        <v>86.739130434782609</v>
      </c>
      <c r="F49" s="12" t="s">
        <v>36</v>
      </c>
    </row>
    <row r="50" spans="1:6" ht="16.5" x14ac:dyDescent="0.3">
      <c r="A50" s="8" t="s">
        <v>16</v>
      </c>
      <c r="B50" s="12">
        <f>B23/B22*100</f>
        <v>105.26475362162103</v>
      </c>
      <c r="C50" s="12">
        <f t="shared" ref="C50:E50" si="6">C23/C22*100</f>
        <v>107.60325518937255</v>
      </c>
      <c r="D50" s="12">
        <f t="shared" si="6"/>
        <v>101.34684027237523</v>
      </c>
      <c r="E50" s="12">
        <f t="shared" si="6"/>
        <v>99.076471073652058</v>
      </c>
      <c r="F50" s="12" t="s">
        <v>36</v>
      </c>
    </row>
    <row r="51" spans="1:6" ht="16.5" x14ac:dyDescent="0.3">
      <c r="A51" s="8" t="s">
        <v>17</v>
      </c>
      <c r="B51" s="12">
        <f>AVERAGE(B49:B50)</f>
        <v>121.42404347747717</v>
      </c>
      <c r="C51" s="12">
        <f t="shared" ref="C51:E51" si="7">AVERAGE(C49:C50)</f>
        <v>124.07333070933174</v>
      </c>
      <c r="D51" s="12">
        <f t="shared" si="7"/>
        <v>116.55013246495474</v>
      </c>
      <c r="E51" s="12">
        <f t="shared" si="7"/>
        <v>92.907800754217334</v>
      </c>
      <c r="F51" s="12" t="s">
        <v>36</v>
      </c>
    </row>
    <row r="52" spans="1:6" ht="16.5" x14ac:dyDescent="0.3">
      <c r="A52" s="8"/>
      <c r="B52" s="12"/>
      <c r="C52" s="12"/>
      <c r="D52" s="12"/>
      <c r="E52" s="12"/>
      <c r="F52" s="12"/>
    </row>
    <row r="53" spans="1:6" ht="17.25" x14ac:dyDescent="0.35">
      <c r="A53" s="7" t="s">
        <v>18</v>
      </c>
      <c r="B53" s="12"/>
      <c r="C53" s="12"/>
      <c r="D53" s="12"/>
      <c r="E53" s="12"/>
      <c r="F53" s="12"/>
    </row>
    <row r="54" spans="1:6" ht="16.5" x14ac:dyDescent="0.3">
      <c r="A54" s="8" t="s">
        <v>19</v>
      </c>
      <c r="B54" s="12">
        <f>B17/B18*100</f>
        <v>38.898542188190248</v>
      </c>
      <c r="C54" s="12">
        <f>C17/C18*100</f>
        <v>35.135851557322731</v>
      </c>
      <c r="D54" s="12">
        <f>D17/D18*100</f>
        <v>131.75342465753425</v>
      </c>
      <c r="E54" s="12">
        <f>E17/E18*100</f>
        <v>86.739130434782609</v>
      </c>
      <c r="F54" s="12">
        <f>F17/F18*100</f>
        <v>0</v>
      </c>
    </row>
    <row r="55" spans="1:6" ht="16.5" x14ac:dyDescent="0.3">
      <c r="A55" s="8" t="s">
        <v>20</v>
      </c>
      <c r="B55" s="12">
        <f>B23/B24*100</f>
        <v>23.881267925483385</v>
      </c>
      <c r="C55" s="12">
        <f>C23/C24*100</f>
        <v>24.831520428316743</v>
      </c>
      <c r="D55" s="12">
        <f>D23/D24*100</f>
        <v>25.336710068093808</v>
      </c>
      <c r="E55" s="12">
        <f>E23/E24*100</f>
        <v>22.863801016996636</v>
      </c>
      <c r="F55" s="12">
        <f>F23/F24*100</f>
        <v>1.1703386854332405</v>
      </c>
    </row>
    <row r="56" spans="1:6" ht="16.5" x14ac:dyDescent="0.3">
      <c r="A56" s="8" t="s">
        <v>21</v>
      </c>
      <c r="B56" s="12">
        <f>(B54+B55)/2</f>
        <v>31.389905056836817</v>
      </c>
      <c r="C56" s="12">
        <f>(C54+C55)/2</f>
        <v>29.983685992819737</v>
      </c>
      <c r="D56" s="12">
        <f>(D54+D55)/2</f>
        <v>78.545067362814024</v>
      </c>
      <c r="E56" s="12">
        <f>(E54+E55)/2</f>
        <v>54.801465725889621</v>
      </c>
      <c r="F56" s="12">
        <f>(F54+F55)/2</f>
        <v>0.58516934271662024</v>
      </c>
    </row>
    <row r="57" spans="1:6" ht="16.5" x14ac:dyDescent="0.3">
      <c r="A57" s="8"/>
      <c r="B57" s="12"/>
      <c r="C57" s="12"/>
      <c r="D57" s="12"/>
      <c r="E57" s="12"/>
      <c r="F57" s="12"/>
    </row>
    <row r="58" spans="1:6" ht="17.25" x14ac:dyDescent="0.35">
      <c r="A58" s="7" t="s">
        <v>32</v>
      </c>
      <c r="B58" s="12"/>
      <c r="C58" s="12"/>
      <c r="D58" s="12"/>
      <c r="E58" s="12"/>
      <c r="F58" s="12"/>
    </row>
    <row r="59" spans="1:6" ht="16.5" x14ac:dyDescent="0.3">
      <c r="A59" s="8" t="s">
        <v>22</v>
      </c>
      <c r="B59" s="12">
        <f>B25/B23*100</f>
        <v>100</v>
      </c>
      <c r="C59" s="12"/>
      <c r="D59" s="12"/>
      <c r="E59" s="12"/>
      <c r="F59" s="12"/>
    </row>
    <row r="60" spans="1:6" ht="16.5" x14ac:dyDescent="0.3">
      <c r="A60" s="8"/>
      <c r="B60" s="12"/>
      <c r="C60" s="12"/>
      <c r="D60" s="12"/>
      <c r="E60" s="12"/>
      <c r="F60" s="12"/>
    </row>
    <row r="61" spans="1:6" ht="17.25" x14ac:dyDescent="0.35">
      <c r="A61" s="7" t="s">
        <v>23</v>
      </c>
      <c r="B61" s="12"/>
      <c r="C61" s="12"/>
      <c r="D61" s="12"/>
      <c r="E61" s="12"/>
      <c r="F61" s="12"/>
    </row>
    <row r="62" spans="1:6" ht="16.5" x14ac:dyDescent="0.3">
      <c r="A62" s="8" t="s">
        <v>24</v>
      </c>
      <c r="B62" s="12">
        <f>((B17/B15)-1)*100</f>
        <v>33.663917421444125</v>
      </c>
      <c r="C62" s="12">
        <f t="shared" ref="C62:E62" si="8">((C17/C15)-1)*100</f>
        <v>38.750408897612033</v>
      </c>
      <c r="D62" s="12">
        <f t="shared" si="8"/>
        <v>18.975754576942116</v>
      </c>
      <c r="E62" s="12">
        <f t="shared" si="8"/>
        <v>-8.4862385321100913</v>
      </c>
      <c r="F62" s="12" t="s">
        <v>84</v>
      </c>
    </row>
    <row r="63" spans="1:6" ht="16.5" x14ac:dyDescent="0.3">
      <c r="A63" s="8" t="s">
        <v>25</v>
      </c>
      <c r="B63" s="12">
        <f t="shared" ref="B63" si="9">((B38/B37)-1)*100</f>
        <v>20.301835425699366</v>
      </c>
      <c r="C63" s="12">
        <f t="shared" ref="C63:E63" si="10">((C38/C37)-1)*100</f>
        <v>-0.18571643452981457</v>
      </c>
      <c r="D63" s="12">
        <f t="shared" si="10"/>
        <v>605.8964704976371</v>
      </c>
      <c r="E63" s="12">
        <f t="shared" si="10"/>
        <v>7.429238576092323</v>
      </c>
      <c r="F63" s="12">
        <f t="shared" ref="F63" si="11">((F38/F37)-1)*100</f>
        <v>1493.8121055685208</v>
      </c>
    </row>
    <row r="64" spans="1:6" ht="16.5" x14ac:dyDescent="0.3">
      <c r="A64" s="8" t="s">
        <v>26</v>
      </c>
      <c r="B64" s="12">
        <f>((B40/B39)-1)*100</f>
        <v>-9.9967756845057316</v>
      </c>
      <c r="C64" s="12">
        <f t="shared" ref="C64:E64" si="12">((C40/C39)-1)*100</f>
        <v>-28.061989612494731</v>
      </c>
      <c r="D64" s="12">
        <f t="shared" si="12"/>
        <v>493.3111943754314</v>
      </c>
      <c r="E64" s="12">
        <f t="shared" si="12"/>
        <v>17.391348418988105</v>
      </c>
      <c r="F64" s="12" t="s">
        <v>84</v>
      </c>
    </row>
    <row r="65" spans="1:6" ht="16.5" x14ac:dyDescent="0.3">
      <c r="A65" s="8"/>
      <c r="B65" s="12"/>
      <c r="C65" s="12"/>
      <c r="D65" s="12"/>
      <c r="E65" s="12"/>
      <c r="F65" s="12"/>
    </row>
    <row r="66" spans="1:6" ht="17.25" x14ac:dyDescent="0.35">
      <c r="A66" s="7" t="s">
        <v>27</v>
      </c>
      <c r="B66" s="12"/>
      <c r="C66" s="12"/>
      <c r="D66" s="12"/>
      <c r="E66" s="12"/>
      <c r="F66" s="12"/>
    </row>
    <row r="67" spans="1:6" ht="16.5" x14ac:dyDescent="0.3">
      <c r="A67" s="8" t="s">
        <v>40</v>
      </c>
      <c r="B67" s="12">
        <f>B22/(B16*3)</f>
        <v>66310.577829627407</v>
      </c>
      <c r="C67" s="12">
        <f>C22/(C16)</f>
        <v>165947.35136213491</v>
      </c>
      <c r="D67" s="12">
        <f t="shared" ref="D67:E67" si="13">D22/(D16*3)</f>
        <v>66961.07620136984</v>
      </c>
      <c r="E67" s="12">
        <f t="shared" si="13"/>
        <v>421826.06270066887</v>
      </c>
      <c r="F67" s="12" t="s">
        <v>36</v>
      </c>
    </row>
    <row r="68" spans="1:6" ht="16.5" x14ac:dyDescent="0.3">
      <c r="A68" s="8" t="s">
        <v>41</v>
      </c>
      <c r="B68" s="12">
        <f t="shared" ref="B68:E68" si="14">B23/(B17*3)</f>
        <v>50734.100334898038</v>
      </c>
      <c r="C68" s="12">
        <f>C23/(C17)</f>
        <v>127053.09822566954</v>
      </c>
      <c r="D68" s="12">
        <f t="shared" si="14"/>
        <v>51507.530160116446</v>
      </c>
      <c r="E68" s="12">
        <f t="shared" si="14"/>
        <v>481824.49477861321</v>
      </c>
      <c r="F68" s="12" t="s">
        <v>36</v>
      </c>
    </row>
    <row r="69" spans="1:6" ht="16.5" x14ac:dyDescent="0.3">
      <c r="A69" s="8" t="s">
        <v>28</v>
      </c>
      <c r="B69" s="12">
        <f>(B68/B67)*B51</f>
        <v>92.90131086903186</v>
      </c>
      <c r="C69" s="12">
        <f t="shared" ref="C69:E69" si="15">(C68/C67)*C51</f>
        <v>94.993387628093473</v>
      </c>
      <c r="D69" s="12">
        <f t="shared" si="15"/>
        <v>89.65222489929775</v>
      </c>
      <c r="E69" s="12">
        <f t="shared" si="15"/>
        <v>106.12254224594608</v>
      </c>
      <c r="F69" s="12" t="s">
        <v>36</v>
      </c>
    </row>
    <row r="70" spans="1:6" ht="16.5" x14ac:dyDescent="0.3">
      <c r="A70" s="8" t="s">
        <v>42</v>
      </c>
      <c r="B70" s="12">
        <f t="shared" ref="B70:E71" si="16">B22/B16</f>
        <v>198931.73348888222</v>
      </c>
      <c r="C70" s="12">
        <f>(C22/C16)*3</f>
        <v>497842.05408640474</v>
      </c>
      <c r="D70" s="12">
        <f t="shared" si="16"/>
        <v>200883.22860410952</v>
      </c>
      <c r="E70" s="12">
        <f t="shared" si="16"/>
        <v>1265478.1881020067</v>
      </c>
      <c r="F70" s="12" t="s">
        <v>36</v>
      </c>
    </row>
    <row r="71" spans="1:6" ht="16.5" x14ac:dyDescent="0.3">
      <c r="A71" s="8" t="s">
        <v>43</v>
      </c>
      <c r="B71" s="12">
        <f t="shared" si="16"/>
        <v>152202.30100469411</v>
      </c>
      <c r="C71" s="12">
        <f>(C23/C17)*3</f>
        <v>381159.29467700864</v>
      </c>
      <c r="D71" s="12">
        <f t="shared" si="16"/>
        <v>154522.59048034935</v>
      </c>
      <c r="E71" s="12">
        <f t="shared" si="16"/>
        <v>1445473.4843358395</v>
      </c>
      <c r="F71" s="12" t="s">
        <v>36</v>
      </c>
    </row>
    <row r="72" spans="1:6" ht="16.5" x14ac:dyDescent="0.3">
      <c r="A72" s="8"/>
      <c r="B72" s="12"/>
      <c r="C72" s="12"/>
      <c r="D72" s="12"/>
      <c r="E72" s="12"/>
      <c r="F72" s="12"/>
    </row>
    <row r="73" spans="1:6" ht="17.25" x14ac:dyDescent="0.35">
      <c r="A73" s="7" t="s">
        <v>29</v>
      </c>
      <c r="B73" s="12"/>
      <c r="C73" s="12"/>
      <c r="D73" s="12"/>
      <c r="E73" s="12"/>
      <c r="F73" s="12"/>
    </row>
    <row r="74" spans="1:6" ht="16.5" x14ac:dyDescent="0.3">
      <c r="A74" s="8" t="s">
        <v>30</v>
      </c>
      <c r="B74" s="12">
        <f>(B29/B28)*100</f>
        <v>102.66476512911898</v>
      </c>
      <c r="C74" s="12"/>
      <c r="D74" s="12"/>
      <c r="E74" s="12"/>
      <c r="F74" s="12"/>
    </row>
    <row r="75" spans="1:6" ht="16.5" x14ac:dyDescent="0.3">
      <c r="A75" s="8" t="s">
        <v>31</v>
      </c>
      <c r="B75" s="12">
        <f>(B23/B29)*100</f>
        <v>102.53250322954727</v>
      </c>
      <c r="C75" s="12"/>
      <c r="D75" s="12"/>
      <c r="E75" s="12"/>
      <c r="F75" s="12"/>
    </row>
    <row r="76" spans="1:6" ht="17.25" thickBot="1" x14ac:dyDescent="0.35">
      <c r="A76" s="18"/>
      <c r="B76" s="18"/>
      <c r="C76" s="18"/>
      <c r="D76" s="18"/>
      <c r="E76" s="18"/>
      <c r="F76" s="18"/>
    </row>
    <row r="77" spans="1:6" s="5" customFormat="1" ht="16.5" customHeight="1" thickTop="1" x14ac:dyDescent="0.25">
      <c r="A77" s="23" t="s">
        <v>125</v>
      </c>
      <c r="B77" s="23"/>
      <c r="C77" s="23"/>
      <c r="D77" s="23"/>
      <c r="E77" s="23"/>
      <c r="F77" s="23"/>
    </row>
    <row r="78" spans="1:6" ht="16.5" x14ac:dyDescent="0.3">
      <c r="A78" s="8"/>
      <c r="B78" s="8"/>
      <c r="C78" s="8"/>
      <c r="D78" s="8"/>
      <c r="E78" s="8"/>
      <c r="F78" s="8"/>
    </row>
    <row r="79" spans="1:6" x14ac:dyDescent="0.25">
      <c r="A79" s="3"/>
    </row>
  </sheetData>
  <mergeCells count="4">
    <mergeCell ref="A9:A10"/>
    <mergeCell ref="B9:B10"/>
    <mergeCell ref="C9:F9"/>
    <mergeCell ref="A77:F77"/>
  </mergeCells>
  <pageMargins left="0.7" right="0.7" top="0.75" bottom="0.75" header="0.3" footer="0.3"/>
  <pageSetup orientation="portrait" r:id="rId1"/>
  <ignoredErrors>
    <ignoredError sqref="C67:C7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G80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2578125" defaultRowHeight="15" x14ac:dyDescent="0.25"/>
  <cols>
    <col min="1" max="1" width="64.28515625" style="1" customWidth="1"/>
    <col min="2" max="6" width="24.7109375" style="1" customWidth="1"/>
    <col min="7" max="16384" width="11.42578125" style="1"/>
  </cols>
  <sheetData>
    <row r="9" spans="1:6" s="5" customFormat="1" ht="17.25" x14ac:dyDescent="0.25">
      <c r="A9" s="24" t="s">
        <v>0</v>
      </c>
      <c r="B9" s="26" t="s">
        <v>1</v>
      </c>
      <c r="C9" s="28" t="s">
        <v>2</v>
      </c>
      <c r="D9" s="28"/>
      <c r="E9" s="28"/>
      <c r="F9" s="28"/>
    </row>
    <row r="10" spans="1:6" s="4" customFormat="1" ht="69.75" thickBot="1" x14ac:dyDescent="0.3">
      <c r="A10" s="25"/>
      <c r="B10" s="27"/>
      <c r="C10" s="6" t="s">
        <v>39</v>
      </c>
      <c r="D10" s="6" t="s">
        <v>48</v>
      </c>
      <c r="E10" s="6" t="s">
        <v>49</v>
      </c>
      <c r="F10" s="6" t="s">
        <v>50</v>
      </c>
    </row>
    <row r="11" spans="1:6" ht="17.25" thickTop="1" x14ac:dyDescent="0.3">
      <c r="A11" s="8"/>
      <c r="B11" s="8"/>
      <c r="C11" s="8"/>
      <c r="D11" s="8"/>
      <c r="E11" s="8"/>
      <c r="F11" s="8"/>
    </row>
    <row r="12" spans="1:6" ht="17.25" x14ac:dyDescent="0.35">
      <c r="A12" s="7" t="s">
        <v>3</v>
      </c>
      <c r="B12" s="8"/>
      <c r="C12" s="8"/>
      <c r="D12" s="8"/>
      <c r="E12" s="8"/>
      <c r="F12" s="8"/>
    </row>
    <row r="13" spans="1:6" ht="16.5" x14ac:dyDescent="0.3">
      <c r="A13" s="8"/>
      <c r="B13" s="8"/>
      <c r="C13" s="8"/>
      <c r="D13" s="8"/>
      <c r="E13" s="8"/>
      <c r="F13" s="8"/>
    </row>
    <row r="14" spans="1:6" ht="17.25" x14ac:dyDescent="0.35">
      <c r="A14" s="7" t="s">
        <v>4</v>
      </c>
      <c r="B14" s="8"/>
      <c r="C14" s="8"/>
      <c r="D14" s="8"/>
      <c r="E14" s="8"/>
      <c r="F14" s="8"/>
    </row>
    <row r="15" spans="1:6" ht="16.5" x14ac:dyDescent="0.3">
      <c r="A15" s="9" t="s">
        <v>55</v>
      </c>
      <c r="B15" s="10">
        <f>C15+D15+E15+F15</f>
        <v>25422.333333333332</v>
      </c>
      <c r="C15" s="10">
        <v>20281</v>
      </c>
      <c r="D15" s="10">
        <v>4155</v>
      </c>
      <c r="E15" s="10">
        <v>551</v>
      </c>
      <c r="F15" s="10">
        <v>435.33333333333331</v>
      </c>
    </row>
    <row r="16" spans="1:6" ht="16.5" x14ac:dyDescent="0.3">
      <c r="A16" s="9" t="s">
        <v>85</v>
      </c>
      <c r="B16" s="10">
        <f t="shared" ref="B16:B18" si="0">C16+D16+E16+F16</f>
        <v>22640</v>
      </c>
      <c r="C16" s="10">
        <v>15090</v>
      </c>
      <c r="D16" s="10">
        <v>3650</v>
      </c>
      <c r="E16" s="10">
        <v>460</v>
      </c>
      <c r="F16" s="10">
        <v>3440</v>
      </c>
    </row>
    <row r="17" spans="1:6" ht="16.5" x14ac:dyDescent="0.3">
      <c r="A17" s="9" t="s">
        <v>86</v>
      </c>
      <c r="B17" s="10">
        <f t="shared" si="0"/>
        <v>25469.666666666668</v>
      </c>
      <c r="C17" s="10">
        <v>19591</v>
      </c>
      <c r="D17" s="10">
        <v>5473</v>
      </c>
      <c r="E17" s="10">
        <v>405.66666666666669</v>
      </c>
      <c r="F17" s="10">
        <v>0</v>
      </c>
    </row>
    <row r="18" spans="1:6" ht="16.5" x14ac:dyDescent="0.3">
      <c r="A18" s="9" t="s">
        <v>79</v>
      </c>
      <c r="B18" s="10">
        <f t="shared" si="0"/>
        <v>67910</v>
      </c>
      <c r="C18" s="10">
        <v>60360</v>
      </c>
      <c r="D18" s="10">
        <v>3650</v>
      </c>
      <c r="E18" s="10">
        <v>460</v>
      </c>
      <c r="F18" s="10">
        <v>3440</v>
      </c>
    </row>
    <row r="19" spans="1:6" ht="16.5" x14ac:dyDescent="0.3">
      <c r="A19" s="8"/>
      <c r="B19" s="10"/>
      <c r="C19" s="10"/>
      <c r="D19" s="10"/>
      <c r="E19" s="10"/>
      <c r="F19" s="10"/>
    </row>
    <row r="20" spans="1:6" ht="17.25" x14ac:dyDescent="0.35">
      <c r="A20" s="11" t="s">
        <v>5</v>
      </c>
      <c r="B20" s="10"/>
      <c r="C20" s="10"/>
      <c r="D20" s="10"/>
      <c r="E20" s="10"/>
      <c r="F20" s="10"/>
    </row>
    <row r="21" spans="1:6" ht="16.5" x14ac:dyDescent="0.3">
      <c r="A21" s="9" t="s">
        <v>55</v>
      </c>
      <c r="B21" s="10">
        <f>SUM(C21:F21)</f>
        <v>2931082532.04</v>
      </c>
      <c r="C21" s="10">
        <v>2186326953.1700001</v>
      </c>
      <c r="D21" s="10">
        <v>287444857.19999999</v>
      </c>
      <c r="E21" s="10">
        <v>454136709.53000003</v>
      </c>
      <c r="F21" s="10">
        <v>3174012.14</v>
      </c>
    </row>
    <row r="22" spans="1:6" ht="16.5" x14ac:dyDescent="0.3">
      <c r="A22" s="9" t="s">
        <v>85</v>
      </c>
      <c r="B22" s="10">
        <f>SUM(C22:F22)</f>
        <v>3907652056.9632058</v>
      </c>
      <c r="C22" s="10">
        <v>2504145532.054616</v>
      </c>
      <c r="D22" s="10">
        <v>733223784.40499973</v>
      </c>
      <c r="E22" s="10">
        <v>582119966.52692306</v>
      </c>
      <c r="F22" s="10">
        <v>88162773.976666704</v>
      </c>
    </row>
    <row r="23" spans="1:6" ht="16.5" x14ac:dyDescent="0.3">
      <c r="A23" s="9" t="s">
        <v>86</v>
      </c>
      <c r="B23" s="10">
        <f>SUM(C23:F23)</f>
        <v>3533034701.1199994</v>
      </c>
      <c r="C23" s="10">
        <v>2342067414.9299998</v>
      </c>
      <c r="D23" s="10">
        <v>660436500</v>
      </c>
      <c r="E23" s="10">
        <v>526575918.47000003</v>
      </c>
      <c r="F23" s="10">
        <v>3954867.7199999997</v>
      </c>
    </row>
    <row r="24" spans="1:6" ht="16.5" x14ac:dyDescent="0.3">
      <c r="A24" s="9" t="s">
        <v>79</v>
      </c>
      <c r="B24" s="10">
        <f>SUM(C24:F24)</f>
        <v>16835688942.000002</v>
      </c>
      <c r="C24" s="10">
        <v>10851297305.570004</v>
      </c>
      <c r="D24" s="10">
        <v>2932895137.6199989</v>
      </c>
      <c r="E24" s="10">
        <v>2522519854.9499993</v>
      </c>
      <c r="F24" s="10">
        <v>528976643.86000013</v>
      </c>
    </row>
    <row r="25" spans="1:6" ht="16.5" x14ac:dyDescent="0.3">
      <c r="A25" s="9" t="s">
        <v>87</v>
      </c>
      <c r="B25" s="10">
        <f>C25+D25+E25+F25</f>
        <v>3533034701.1199994</v>
      </c>
      <c r="C25" s="10">
        <f>+C23</f>
        <v>2342067414.9299998</v>
      </c>
      <c r="D25" s="10">
        <f t="shared" ref="D25:F25" si="1">+D23</f>
        <v>660436500</v>
      </c>
      <c r="E25" s="10">
        <f t="shared" si="1"/>
        <v>526575918.47000003</v>
      </c>
      <c r="F25" s="10">
        <f t="shared" si="1"/>
        <v>3954867.7199999997</v>
      </c>
    </row>
    <row r="26" spans="1:6" ht="16.5" x14ac:dyDescent="0.3">
      <c r="A26" s="8"/>
      <c r="B26" s="10"/>
      <c r="C26" s="10"/>
      <c r="D26" s="10"/>
      <c r="E26" s="10"/>
      <c r="F26" s="10"/>
    </row>
    <row r="27" spans="1:6" ht="17.25" x14ac:dyDescent="0.35">
      <c r="A27" s="11" t="s">
        <v>6</v>
      </c>
      <c r="B27" s="10"/>
      <c r="C27" s="10"/>
      <c r="D27" s="10"/>
      <c r="E27" s="10"/>
      <c r="F27" s="10"/>
    </row>
    <row r="28" spans="1:6" ht="16.5" x14ac:dyDescent="0.3">
      <c r="A28" s="9" t="s">
        <v>85</v>
      </c>
      <c r="B28" s="10">
        <f>B22</f>
        <v>3907652056.9632058</v>
      </c>
      <c r="C28" s="10"/>
      <c r="D28" s="10"/>
      <c r="E28" s="10"/>
      <c r="F28" s="10"/>
    </row>
    <row r="29" spans="1:6" ht="16.5" x14ac:dyDescent="0.3">
      <c r="A29" s="9" t="s">
        <v>86</v>
      </c>
      <c r="B29" s="10">
        <v>3969356837.0900002</v>
      </c>
      <c r="C29" s="10"/>
      <c r="D29" s="10"/>
      <c r="E29" s="10"/>
      <c r="F29" s="10"/>
    </row>
    <row r="30" spans="1:6" ht="16.5" x14ac:dyDescent="0.3">
      <c r="A30" s="8"/>
      <c r="B30" s="16"/>
      <c r="C30" s="16"/>
      <c r="D30" s="16"/>
      <c r="E30" s="16"/>
      <c r="F30" s="16"/>
    </row>
    <row r="31" spans="1:6" ht="17.25" x14ac:dyDescent="0.35">
      <c r="A31" s="7" t="s">
        <v>7</v>
      </c>
      <c r="B31" s="16"/>
      <c r="C31" s="16"/>
      <c r="D31" s="16"/>
      <c r="E31" s="16"/>
      <c r="F31" s="16"/>
    </row>
    <row r="32" spans="1:6" ht="16.5" x14ac:dyDescent="0.3">
      <c r="A32" s="9" t="s">
        <v>56</v>
      </c>
      <c r="B32" s="31">
        <v>1.0552807376</v>
      </c>
      <c r="C32" s="31">
        <v>1.0552807376</v>
      </c>
      <c r="D32" s="31">
        <v>1.0552807376</v>
      </c>
      <c r="E32" s="31">
        <v>1.0552807376</v>
      </c>
      <c r="F32" s="31">
        <v>1.0552807376</v>
      </c>
    </row>
    <row r="33" spans="1:6" ht="16.5" x14ac:dyDescent="0.3">
      <c r="A33" s="9" t="s">
        <v>88</v>
      </c>
      <c r="B33" s="31">
        <v>1.0586</v>
      </c>
      <c r="C33" s="31">
        <v>1.0586</v>
      </c>
      <c r="D33" s="31">
        <v>1.0586</v>
      </c>
      <c r="E33" s="31">
        <v>1.0586</v>
      </c>
      <c r="F33" s="31">
        <v>1.0586</v>
      </c>
    </row>
    <row r="34" spans="1:6" ht="16.5" x14ac:dyDescent="0.3">
      <c r="A34" s="9" t="s">
        <v>8</v>
      </c>
      <c r="B34" s="14" t="s">
        <v>36</v>
      </c>
      <c r="C34" s="14" t="s">
        <v>36</v>
      </c>
      <c r="D34" s="14" t="s">
        <v>36</v>
      </c>
      <c r="E34" s="14" t="s">
        <v>36</v>
      </c>
      <c r="F34" s="14" t="s">
        <v>36</v>
      </c>
    </row>
    <row r="35" spans="1:6" ht="16.5" x14ac:dyDescent="0.3">
      <c r="A35" s="8"/>
      <c r="B35" s="16"/>
      <c r="C35" s="16"/>
      <c r="D35" s="16"/>
      <c r="E35" s="16"/>
      <c r="F35" s="16"/>
    </row>
    <row r="36" spans="1:6" ht="17.25" x14ac:dyDescent="0.35">
      <c r="A36" s="7" t="s">
        <v>9</v>
      </c>
      <c r="B36" s="16"/>
      <c r="C36" s="16"/>
      <c r="D36" s="16"/>
      <c r="E36" s="16"/>
      <c r="F36" s="16"/>
    </row>
    <row r="37" spans="1:6" ht="16.5" x14ac:dyDescent="0.3">
      <c r="A37" s="9" t="s">
        <v>57</v>
      </c>
      <c r="B37" s="17">
        <f t="shared" ref="B37" si="2">B21/B32</f>
        <v>2777538173.117887</v>
      </c>
      <c r="C37" s="17">
        <f t="shared" ref="C37:F37" si="3">C21/C32</f>
        <v>2071796513.7336931</v>
      </c>
      <c r="D37" s="17">
        <f t="shared" si="3"/>
        <v>272387097.53551364</v>
      </c>
      <c r="E37" s="17">
        <f t="shared" si="3"/>
        <v>430346819.90200299</v>
      </c>
      <c r="F37" s="17">
        <f t="shared" ref="F37" si="4">F21/F32</f>
        <v>3007741.9466772233</v>
      </c>
    </row>
    <row r="38" spans="1:6" ht="16.5" x14ac:dyDescent="0.3">
      <c r="A38" s="9" t="s">
        <v>89</v>
      </c>
      <c r="B38" s="17">
        <f t="shared" ref="B38" si="5">B23/B33</f>
        <v>3337459570.3003964</v>
      </c>
      <c r="C38" s="17">
        <f t="shared" ref="C38:F38" si="6">C23/C33</f>
        <v>2212419624.9102588</v>
      </c>
      <c r="D38" s="17">
        <f t="shared" si="6"/>
        <v>623877290.76138294</v>
      </c>
      <c r="E38" s="17">
        <f t="shared" si="6"/>
        <v>497426713.08331764</v>
      </c>
      <c r="F38" s="17">
        <f t="shared" ref="F38" si="7">F23/F33</f>
        <v>3735941.54543737</v>
      </c>
    </row>
    <row r="39" spans="1:6" ht="16.5" x14ac:dyDescent="0.3">
      <c r="A39" s="9" t="s">
        <v>58</v>
      </c>
      <c r="B39" s="10">
        <f>B37/B15</f>
        <v>109255.83174051243</v>
      </c>
      <c r="C39" s="10">
        <f t="shared" ref="C39:E39" si="8">C37/C15</f>
        <v>102154.55420017224</v>
      </c>
      <c r="D39" s="10">
        <f t="shared" si="8"/>
        <v>65556.461500725301</v>
      </c>
      <c r="E39" s="10">
        <f t="shared" si="8"/>
        <v>781028.71125590382</v>
      </c>
      <c r="F39" s="10">
        <f t="shared" ref="F39" si="9">F37/F15</f>
        <v>6909.0550076812178</v>
      </c>
    </row>
    <row r="40" spans="1:6" ht="16.5" x14ac:dyDescent="0.3">
      <c r="A40" s="9" t="s">
        <v>90</v>
      </c>
      <c r="B40" s="10">
        <f t="shared" ref="B40" si="10">B38/B17</f>
        <v>131036.6411142822</v>
      </c>
      <c r="C40" s="10">
        <f t="shared" ref="C40:E40" si="11">C38/C17</f>
        <v>112930.40809097335</v>
      </c>
      <c r="D40" s="10">
        <f t="shared" si="11"/>
        <v>113991.83094489</v>
      </c>
      <c r="E40" s="10">
        <f t="shared" si="11"/>
        <v>1226195.6772801585</v>
      </c>
      <c r="F40" s="10" t="s">
        <v>36</v>
      </c>
    </row>
    <row r="41" spans="1:6" ht="16.5" x14ac:dyDescent="0.3">
      <c r="A41" s="8"/>
      <c r="B41" s="10"/>
      <c r="C41" s="10"/>
      <c r="D41" s="10"/>
      <c r="E41" s="10"/>
      <c r="F41" s="10"/>
    </row>
    <row r="42" spans="1:6" ht="17.25" x14ac:dyDescent="0.35">
      <c r="A42" s="7" t="s">
        <v>10</v>
      </c>
      <c r="B42" s="16"/>
      <c r="C42" s="16"/>
      <c r="D42" s="16"/>
      <c r="E42" s="16"/>
      <c r="F42" s="16"/>
    </row>
    <row r="43" spans="1:6" ht="16.5" x14ac:dyDescent="0.3">
      <c r="A43" s="8"/>
      <c r="B43" s="16"/>
      <c r="C43" s="16"/>
      <c r="D43" s="16"/>
      <c r="E43" s="16"/>
      <c r="F43" s="16"/>
    </row>
    <row r="44" spans="1:6" ht="17.25" x14ac:dyDescent="0.35">
      <c r="A44" s="7" t="s">
        <v>11</v>
      </c>
      <c r="B44" s="16"/>
      <c r="C44" s="16"/>
      <c r="D44" s="16"/>
      <c r="E44" s="16"/>
      <c r="F44" s="16"/>
    </row>
    <row r="45" spans="1:6" ht="16.5" x14ac:dyDescent="0.3">
      <c r="A45" s="8" t="s">
        <v>12</v>
      </c>
      <c r="B45" s="30" t="s">
        <v>35</v>
      </c>
      <c r="C45" s="30" t="s">
        <v>35</v>
      </c>
      <c r="D45" s="30" t="s">
        <v>35</v>
      </c>
      <c r="E45" s="30" t="s">
        <v>35</v>
      </c>
      <c r="F45" s="30" t="s">
        <v>35</v>
      </c>
    </row>
    <row r="46" spans="1:6" ht="16.5" x14ac:dyDescent="0.3">
      <c r="A46" s="8" t="s">
        <v>13</v>
      </c>
      <c r="B46" s="30" t="s">
        <v>35</v>
      </c>
      <c r="C46" s="30" t="s">
        <v>35</v>
      </c>
      <c r="D46" s="30" t="s">
        <v>35</v>
      </c>
      <c r="E46" s="30" t="s">
        <v>35</v>
      </c>
      <c r="F46" s="30" t="s">
        <v>35</v>
      </c>
    </row>
    <row r="47" spans="1:6" ht="16.5" x14ac:dyDescent="0.3">
      <c r="A47" s="8"/>
      <c r="B47" s="16"/>
      <c r="C47" s="16"/>
      <c r="D47" s="16"/>
      <c r="E47" s="16"/>
      <c r="F47" s="16"/>
    </row>
    <row r="48" spans="1:6" ht="17.25" x14ac:dyDescent="0.35">
      <c r="A48" s="7" t="s">
        <v>14</v>
      </c>
      <c r="B48" s="16"/>
      <c r="C48" s="16"/>
      <c r="D48" s="16"/>
      <c r="E48" s="16"/>
      <c r="F48" s="16"/>
    </row>
    <row r="49" spans="1:7" ht="16.5" x14ac:dyDescent="0.3">
      <c r="A49" s="8" t="s">
        <v>15</v>
      </c>
      <c r="B49" s="12">
        <f>B17/B16*100</f>
        <v>112.49852767962309</v>
      </c>
      <c r="C49" s="12">
        <f t="shared" ref="C49:F49" si="12">C17/C16*100</f>
        <v>129.82770046388336</v>
      </c>
      <c r="D49" s="12">
        <f t="shared" si="12"/>
        <v>149.94520547945206</v>
      </c>
      <c r="E49" s="12">
        <f t="shared" si="12"/>
        <v>88.188405797101453</v>
      </c>
      <c r="F49" s="12">
        <f t="shared" si="12"/>
        <v>0</v>
      </c>
      <c r="G49" s="32"/>
    </row>
    <row r="50" spans="1:7" ht="16.5" x14ac:dyDescent="0.3">
      <c r="A50" s="8" t="s">
        <v>16</v>
      </c>
      <c r="B50" s="12">
        <f>B23/B22*100</f>
        <v>90.413236634626656</v>
      </c>
      <c r="C50" s="12">
        <f t="shared" ref="C50:F50" si="13">C23/C22*100</f>
        <v>93.527607918552818</v>
      </c>
      <c r="D50" s="12">
        <f t="shared" si="13"/>
        <v>90.072978270329088</v>
      </c>
      <c r="E50" s="12">
        <f t="shared" si="13"/>
        <v>90.45831593987181</v>
      </c>
      <c r="F50" s="12">
        <f t="shared" si="13"/>
        <v>4.4858703300859171</v>
      </c>
      <c r="G50" s="32"/>
    </row>
    <row r="51" spans="1:7" ht="16.5" x14ac:dyDescent="0.3">
      <c r="A51" s="8" t="s">
        <v>17</v>
      </c>
      <c r="B51" s="12">
        <f>AVERAGE(B49:B50)</f>
        <v>101.45588215712488</v>
      </c>
      <c r="C51" s="12">
        <f t="shared" ref="C51:F51" si="14">AVERAGE(C49:C50)</f>
        <v>111.6776541912181</v>
      </c>
      <c r="D51" s="12">
        <f t="shared" si="14"/>
        <v>120.00909187489057</v>
      </c>
      <c r="E51" s="12">
        <f t="shared" si="14"/>
        <v>89.323360868486631</v>
      </c>
      <c r="F51" s="12">
        <f t="shared" si="14"/>
        <v>2.2429351650429585</v>
      </c>
      <c r="G51" s="32"/>
    </row>
    <row r="52" spans="1:7" ht="16.5" x14ac:dyDescent="0.3">
      <c r="A52" s="8"/>
      <c r="B52" s="12"/>
      <c r="C52" s="12"/>
      <c r="D52" s="12"/>
      <c r="E52" s="12"/>
      <c r="F52" s="12"/>
      <c r="G52" s="32"/>
    </row>
    <row r="53" spans="1:7" ht="17.25" x14ac:dyDescent="0.35">
      <c r="A53" s="7" t="s">
        <v>18</v>
      </c>
      <c r="B53" s="12"/>
      <c r="C53" s="12"/>
      <c r="D53" s="12"/>
      <c r="E53" s="12"/>
      <c r="F53" s="12"/>
    </row>
    <row r="54" spans="1:7" ht="16.5" x14ac:dyDescent="0.3">
      <c r="A54" s="8" t="s">
        <v>19</v>
      </c>
      <c r="B54" s="12">
        <f>B17/B18*100</f>
        <v>37.505031168703681</v>
      </c>
      <c r="C54" s="12">
        <f t="shared" ref="C54:F54" si="15">C17/C18*100</f>
        <v>32.45692511597084</v>
      </c>
      <c r="D54" s="12">
        <f t="shared" si="15"/>
        <v>149.94520547945206</v>
      </c>
      <c r="E54" s="12">
        <f t="shared" si="15"/>
        <v>88.188405797101453</v>
      </c>
      <c r="F54" s="12">
        <f t="shared" si="15"/>
        <v>0</v>
      </c>
      <c r="G54" s="32"/>
    </row>
    <row r="55" spans="1:7" ht="16.5" x14ac:dyDescent="0.3">
      <c r="A55" s="8" t="s">
        <v>20</v>
      </c>
      <c r="B55" s="12">
        <f>B23/B24*100</f>
        <v>20.985388321746289</v>
      </c>
      <c r="C55" s="12">
        <f t="shared" ref="C55:F55" si="16">C23/C24*100</f>
        <v>21.58329413505065</v>
      </c>
      <c r="D55" s="12">
        <f t="shared" si="16"/>
        <v>22.518244567582272</v>
      </c>
      <c r="E55" s="12">
        <f t="shared" si="16"/>
        <v>20.874995986124269</v>
      </c>
      <c r="F55" s="12">
        <f t="shared" si="16"/>
        <v>0.74764505501431966</v>
      </c>
      <c r="G55" s="32"/>
    </row>
    <row r="56" spans="1:7" ht="16.5" x14ac:dyDescent="0.3">
      <c r="A56" s="8" t="s">
        <v>21</v>
      </c>
      <c r="B56" s="12">
        <f>(B54+B55)/2</f>
        <v>29.245209745224983</v>
      </c>
      <c r="C56" s="12">
        <f t="shared" ref="C56:F56" si="17">(C54+C55)/2</f>
        <v>27.020109625510745</v>
      </c>
      <c r="D56" s="12">
        <f t="shared" si="17"/>
        <v>86.231725023517157</v>
      </c>
      <c r="E56" s="12">
        <f t="shared" si="17"/>
        <v>54.531700891612857</v>
      </c>
      <c r="F56" s="12">
        <f t="shared" si="17"/>
        <v>0.37382252750715983</v>
      </c>
      <c r="G56" s="32"/>
    </row>
    <row r="57" spans="1:7" ht="16.5" x14ac:dyDescent="0.3">
      <c r="A57" s="8"/>
      <c r="B57" s="12"/>
      <c r="C57" s="12"/>
      <c r="D57" s="12"/>
      <c r="E57" s="12"/>
      <c r="F57" s="12"/>
    </row>
    <row r="58" spans="1:7" ht="17.25" x14ac:dyDescent="0.35">
      <c r="A58" s="7" t="s">
        <v>32</v>
      </c>
      <c r="B58" s="12"/>
      <c r="C58" s="12"/>
      <c r="D58" s="12"/>
      <c r="E58" s="12"/>
      <c r="F58" s="12"/>
    </row>
    <row r="59" spans="1:7" ht="16.5" x14ac:dyDescent="0.3">
      <c r="A59" s="8" t="s">
        <v>22</v>
      </c>
      <c r="B59" s="12">
        <f t="shared" ref="B59" si="18">B25/B23*100</f>
        <v>100</v>
      </c>
      <c r="C59" s="12"/>
      <c r="D59" s="12"/>
      <c r="E59" s="12"/>
      <c r="F59" s="12"/>
    </row>
    <row r="60" spans="1:7" ht="16.5" x14ac:dyDescent="0.3">
      <c r="A60" s="8"/>
      <c r="B60" s="12"/>
      <c r="C60" s="12"/>
      <c r="D60" s="12"/>
      <c r="E60" s="12"/>
      <c r="F60" s="12"/>
    </row>
    <row r="61" spans="1:7" ht="17.25" x14ac:dyDescent="0.35">
      <c r="A61" s="7" t="s">
        <v>23</v>
      </c>
      <c r="B61" s="12"/>
      <c r="C61" s="12"/>
      <c r="D61" s="12"/>
      <c r="E61" s="12"/>
      <c r="F61" s="12"/>
    </row>
    <row r="62" spans="1:7" ht="16.5" x14ac:dyDescent="0.3">
      <c r="A62" s="8" t="s">
        <v>24</v>
      </c>
      <c r="B62" s="12">
        <f>((B17/B15)-1)*100</f>
        <v>0.18618799743008729</v>
      </c>
      <c r="C62" s="12">
        <f t="shared" ref="C62:E62" si="19">((C17/C15)-1)*100</f>
        <v>-3.4021991026083498</v>
      </c>
      <c r="D62" s="12">
        <f t="shared" si="19"/>
        <v>31.720818291215402</v>
      </c>
      <c r="E62" s="12">
        <f t="shared" si="19"/>
        <v>-26.376285541439803</v>
      </c>
      <c r="F62" s="12" t="s">
        <v>36</v>
      </c>
    </row>
    <row r="63" spans="1:7" ht="16.5" x14ac:dyDescent="0.3">
      <c r="A63" s="8" t="s">
        <v>25</v>
      </c>
      <c r="B63" s="12">
        <f>((B38/B37)-1)*100</f>
        <v>20.158909159256577</v>
      </c>
      <c r="C63" s="12">
        <f t="shared" ref="C63:E63" si="20">((C38/C37)-1)*100</f>
        <v>6.7874962740979594</v>
      </c>
      <c r="D63" s="12">
        <f t="shared" si="20"/>
        <v>129.04069113627611</v>
      </c>
      <c r="E63" s="12">
        <f t="shared" si="20"/>
        <v>15.587403015221501</v>
      </c>
      <c r="F63" s="12">
        <f t="shared" ref="F63" si="21">((F38/F37)-1)*100</f>
        <v>24.210840280517388</v>
      </c>
    </row>
    <row r="64" spans="1:7" ht="16.5" x14ac:dyDescent="0.3">
      <c r="A64" s="8" t="s">
        <v>26</v>
      </c>
      <c r="B64" s="12">
        <f t="shared" ref="B64" si="22">((B40/B39)-1)*100</f>
        <v>19.935603460966899</v>
      </c>
      <c r="C64" s="12">
        <f t="shared" ref="C64:E64" si="23">((C40/C39)-1)*100</f>
        <v>10.54857903807771</v>
      </c>
      <c r="D64" s="12">
        <f t="shared" si="23"/>
        <v>73.883440831578156</v>
      </c>
      <c r="E64" s="12">
        <f t="shared" si="23"/>
        <v>56.997516174331238</v>
      </c>
      <c r="F64" s="12" t="s">
        <v>36</v>
      </c>
    </row>
    <row r="65" spans="1:6" ht="16.5" x14ac:dyDescent="0.3">
      <c r="A65" s="8"/>
      <c r="B65" s="12"/>
      <c r="C65" s="12"/>
      <c r="D65" s="12"/>
      <c r="E65" s="12"/>
      <c r="F65" s="12"/>
    </row>
    <row r="66" spans="1:6" ht="17.25" x14ac:dyDescent="0.35">
      <c r="A66" s="7" t="s">
        <v>27</v>
      </c>
      <c r="B66" s="12"/>
      <c r="C66" s="12"/>
      <c r="D66" s="12"/>
      <c r="E66" s="12"/>
      <c r="F66" s="12"/>
    </row>
    <row r="67" spans="1:6" ht="16.5" x14ac:dyDescent="0.3">
      <c r="A67" s="8" t="s">
        <v>40</v>
      </c>
      <c r="B67" s="12">
        <f>B22/(B16*3)</f>
        <v>57533.157493568993</v>
      </c>
      <c r="C67" s="12">
        <f>C22/(C16)</f>
        <v>165947.35136213491</v>
      </c>
      <c r="D67" s="12">
        <f t="shared" ref="D67:E67" si="24">D22/(D16*3)</f>
        <v>66961.07620136984</v>
      </c>
      <c r="E67" s="12">
        <f t="shared" si="24"/>
        <v>421826.06270066887</v>
      </c>
      <c r="F67" s="12">
        <f>F22/F16</f>
        <v>25628.71336531009</v>
      </c>
    </row>
    <row r="68" spans="1:6" ht="16.5" x14ac:dyDescent="0.3">
      <c r="A68" s="8" t="s">
        <v>41</v>
      </c>
      <c r="B68" s="12">
        <f t="shared" ref="B68:E68" si="25">B23/(B17*3)</f>
        <v>46238.462761193048</v>
      </c>
      <c r="C68" s="12">
        <f>C23/(C17)</f>
        <v>119548.13000510438</v>
      </c>
      <c r="D68" s="12">
        <f t="shared" si="25"/>
        <v>40223.917412753515</v>
      </c>
      <c r="E68" s="12">
        <f t="shared" si="25"/>
        <v>432683.58132292522</v>
      </c>
      <c r="F68" s="12" t="s">
        <v>36</v>
      </c>
    </row>
    <row r="69" spans="1:6" ht="16.5" x14ac:dyDescent="0.3">
      <c r="A69" s="8" t="s">
        <v>28</v>
      </c>
      <c r="B69" s="12">
        <f>(B68/B67)*B51</f>
        <v>81.538442063614937</v>
      </c>
      <c r="C69" s="12">
        <f t="shared" ref="C69" si="26">(C68/C67)*C51</f>
        <v>80.452351979889244</v>
      </c>
      <c r="D69" s="12">
        <f t="shared" ref="D69:E69" si="27">(D68/D67)*D51</f>
        <v>72.090176475634294</v>
      </c>
      <c r="E69" s="12">
        <f t="shared" si="27"/>
        <v>91.622483990047556</v>
      </c>
      <c r="F69" s="12" t="s">
        <v>36</v>
      </c>
    </row>
    <row r="70" spans="1:6" ht="16.5" x14ac:dyDescent="0.3">
      <c r="A70" s="8" t="s">
        <v>42</v>
      </c>
      <c r="B70" s="12">
        <f t="shared" ref="B70:E71" si="28">B22/B16</f>
        <v>172599.47248070696</v>
      </c>
      <c r="C70" s="12">
        <f>(C22/C16)*3</f>
        <v>497842.05408640474</v>
      </c>
      <c r="D70" s="12">
        <f t="shared" si="28"/>
        <v>200883.22860410952</v>
      </c>
      <c r="E70" s="12">
        <f t="shared" si="28"/>
        <v>1265478.1881020067</v>
      </c>
      <c r="F70" s="12">
        <f t="shared" ref="F70" si="29">F22/F16</f>
        <v>25628.71336531009</v>
      </c>
    </row>
    <row r="71" spans="1:6" ht="16.5" x14ac:dyDescent="0.3">
      <c r="A71" s="8" t="s">
        <v>43</v>
      </c>
      <c r="B71" s="12">
        <f t="shared" si="28"/>
        <v>138715.38828357912</v>
      </c>
      <c r="C71" s="12">
        <f>(C23/C17)*3</f>
        <v>358644.39001531317</v>
      </c>
      <c r="D71" s="12">
        <f t="shared" si="28"/>
        <v>120671.75223826055</v>
      </c>
      <c r="E71" s="12">
        <f t="shared" si="28"/>
        <v>1298050.7439687757</v>
      </c>
      <c r="F71" s="12" t="s">
        <v>36</v>
      </c>
    </row>
    <row r="72" spans="1:6" ht="16.5" x14ac:dyDescent="0.3">
      <c r="A72" s="8"/>
      <c r="B72" s="12"/>
      <c r="C72" s="12"/>
      <c r="D72" s="12"/>
      <c r="E72" s="12"/>
      <c r="F72" s="12"/>
    </row>
    <row r="73" spans="1:6" ht="17.25" x14ac:dyDescent="0.35">
      <c r="A73" s="7" t="s">
        <v>29</v>
      </c>
      <c r="B73" s="12"/>
      <c r="C73" s="12"/>
      <c r="D73" s="12"/>
      <c r="E73" s="12"/>
      <c r="F73" s="12"/>
    </row>
    <row r="74" spans="1:6" ht="16.5" x14ac:dyDescent="0.3">
      <c r="A74" s="8" t="s">
        <v>30</v>
      </c>
      <c r="B74" s="12">
        <f>(B29/B28)*100</f>
        <v>101.57907559903754</v>
      </c>
      <c r="C74" s="12"/>
      <c r="D74" s="12"/>
      <c r="E74" s="12"/>
      <c r="F74" s="12"/>
    </row>
    <row r="75" spans="1:6" ht="16.5" x14ac:dyDescent="0.3">
      <c r="A75" s="8" t="s">
        <v>31</v>
      </c>
      <c r="B75" s="12">
        <f>(B23/B29)*100</f>
        <v>89.007737175630808</v>
      </c>
      <c r="C75" s="12"/>
      <c r="D75" s="12"/>
      <c r="E75" s="12"/>
      <c r="F75" s="12"/>
    </row>
    <row r="76" spans="1:6" ht="17.25" thickBot="1" x14ac:dyDescent="0.35">
      <c r="A76" s="18"/>
      <c r="B76" s="18"/>
      <c r="C76" s="18"/>
      <c r="D76" s="18"/>
      <c r="E76" s="18"/>
      <c r="F76" s="18"/>
    </row>
    <row r="77" spans="1:6" s="5" customFormat="1" ht="16.5" customHeight="1" thickTop="1" x14ac:dyDescent="0.25">
      <c r="A77" s="23" t="s">
        <v>125</v>
      </c>
      <c r="B77" s="23"/>
      <c r="C77" s="23"/>
      <c r="D77" s="23"/>
      <c r="E77" s="23"/>
      <c r="F77" s="23"/>
    </row>
    <row r="78" spans="1:6" x14ac:dyDescent="0.25">
      <c r="A78" s="3"/>
    </row>
    <row r="79" spans="1:6" x14ac:dyDescent="0.25">
      <c r="A79" s="3"/>
    </row>
    <row r="80" spans="1:6" x14ac:dyDescent="0.25">
      <c r="A80" s="3"/>
    </row>
  </sheetData>
  <mergeCells count="4">
    <mergeCell ref="A77:F77"/>
    <mergeCell ref="A9:A10"/>
    <mergeCell ref="B9:B10"/>
    <mergeCell ref="C9:F9"/>
  </mergeCells>
  <pageMargins left="0.7" right="0.7" top="0.75" bottom="0.75" header="0.3" footer="0.3"/>
  <pageSetup orientation="portrait" r:id="rId1"/>
  <ignoredErrors>
    <ignoredError sqref="F41:F48 F57:F61" evalError="1"/>
    <ignoredError sqref="C67:C71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F77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2578125" defaultRowHeight="15" x14ac:dyDescent="0.25"/>
  <cols>
    <col min="1" max="1" width="64.28515625" style="1" customWidth="1"/>
    <col min="2" max="6" width="24.7109375" style="1" customWidth="1"/>
    <col min="7" max="16384" width="11.42578125" style="1"/>
  </cols>
  <sheetData>
    <row r="9" spans="1:6" s="5" customFormat="1" ht="17.25" x14ac:dyDescent="0.25">
      <c r="A9" s="24" t="s">
        <v>0</v>
      </c>
      <c r="B9" s="26" t="s">
        <v>1</v>
      </c>
      <c r="C9" s="28" t="s">
        <v>2</v>
      </c>
      <c r="D9" s="28"/>
      <c r="E9" s="28"/>
      <c r="F9" s="28"/>
    </row>
    <row r="10" spans="1:6" s="4" customFormat="1" ht="69.75" thickBot="1" x14ac:dyDescent="0.3">
      <c r="A10" s="25"/>
      <c r="B10" s="27"/>
      <c r="C10" s="6" t="s">
        <v>39</v>
      </c>
      <c r="D10" s="6" t="s">
        <v>48</v>
      </c>
      <c r="E10" s="6" t="s">
        <v>49</v>
      </c>
      <c r="F10" s="6" t="s">
        <v>50</v>
      </c>
    </row>
    <row r="11" spans="1:6" ht="17.25" thickTop="1" x14ac:dyDescent="0.3">
      <c r="A11" s="8"/>
      <c r="B11" s="8"/>
      <c r="C11" s="8"/>
      <c r="D11" s="8"/>
      <c r="E11" s="8"/>
      <c r="F11" s="8"/>
    </row>
    <row r="12" spans="1:6" ht="17.25" x14ac:dyDescent="0.35">
      <c r="A12" s="7" t="s">
        <v>3</v>
      </c>
      <c r="B12" s="8"/>
      <c r="C12" s="8"/>
      <c r="D12" s="8"/>
      <c r="E12" s="8"/>
      <c r="F12" s="8"/>
    </row>
    <row r="13" spans="1:6" ht="16.5" x14ac:dyDescent="0.3">
      <c r="A13" s="8"/>
      <c r="B13" s="8"/>
      <c r="C13" s="8"/>
      <c r="D13" s="8"/>
      <c r="E13" s="8"/>
      <c r="F13" s="8"/>
    </row>
    <row r="14" spans="1:6" ht="17.25" x14ac:dyDescent="0.35">
      <c r="A14" s="7" t="s">
        <v>4</v>
      </c>
      <c r="B14" s="8"/>
      <c r="C14" s="8"/>
      <c r="D14" s="8"/>
      <c r="E14" s="8"/>
      <c r="F14" s="8"/>
    </row>
    <row r="15" spans="1:6" ht="16.5" x14ac:dyDescent="0.3">
      <c r="A15" s="9" t="s">
        <v>59</v>
      </c>
      <c r="B15" s="10">
        <f>C15+D15+E15+F15</f>
        <v>40593.333333333336</v>
      </c>
      <c r="C15" s="10">
        <f>(+'I Trimestre'!C15+'II trimestre'!C15)</f>
        <v>35566</v>
      </c>
      <c r="D15" s="10">
        <f>(+'I Trimestre'!D15+'II trimestre'!D15)/2</f>
        <v>4098.5</v>
      </c>
      <c r="E15" s="10">
        <f>(+'I Trimestre'!E15+'II trimestre'!E15)/2</f>
        <v>493.5</v>
      </c>
      <c r="F15" s="10">
        <f>(+'I Trimestre'!F15+'II trimestre'!F15)</f>
        <v>435.33333333333331</v>
      </c>
    </row>
    <row r="16" spans="1:6" ht="16.5" x14ac:dyDescent="0.3">
      <c r="A16" s="9" t="s">
        <v>91</v>
      </c>
      <c r="B16" s="10">
        <f t="shared" ref="B16:B18" si="0">C16+D16+E16+F16</f>
        <v>37730</v>
      </c>
      <c r="C16" s="10">
        <f>(+'I Trimestre'!C16+'II trimestre'!C16)</f>
        <v>30180</v>
      </c>
      <c r="D16" s="10">
        <f>(+'I Trimestre'!D16+'II trimestre'!D16)/2</f>
        <v>3650</v>
      </c>
      <c r="E16" s="10">
        <f>(+'I Trimestre'!E16+'II trimestre'!E16)/2</f>
        <v>460</v>
      </c>
      <c r="F16" s="10">
        <f>(+'I Trimestre'!F16+'II trimestre'!F16)</f>
        <v>3440</v>
      </c>
    </row>
    <row r="17" spans="1:6" ht="16.5" x14ac:dyDescent="0.3">
      <c r="A17" s="9" t="s">
        <v>92</v>
      </c>
      <c r="B17" s="10">
        <f t="shared" si="0"/>
        <v>46342.333333333336</v>
      </c>
      <c r="C17" s="10">
        <f>(+'I Trimestre'!C17+'II trimestre'!C17)</f>
        <v>40799</v>
      </c>
      <c r="D17" s="10">
        <f>(+'I Trimestre'!D17+'II trimestre'!D17)/2</f>
        <v>5141</v>
      </c>
      <c r="E17" s="10">
        <f>(+'I Trimestre'!E17+'II trimestre'!E17)/2</f>
        <v>402.33333333333337</v>
      </c>
      <c r="F17" s="10">
        <f>(+'I Trimestre'!F17+'II trimestre'!F17)</f>
        <v>0</v>
      </c>
    </row>
    <row r="18" spans="1:6" ht="16.5" x14ac:dyDescent="0.3">
      <c r="A18" s="9" t="s">
        <v>79</v>
      </c>
      <c r="B18" s="10">
        <f t="shared" si="0"/>
        <v>67910</v>
      </c>
      <c r="C18" s="10">
        <f>+'II trimestre'!C18</f>
        <v>60360</v>
      </c>
      <c r="D18" s="10">
        <f>+'II trimestre'!D18</f>
        <v>3650</v>
      </c>
      <c r="E18" s="10">
        <f>+'II trimestre'!E18</f>
        <v>460</v>
      </c>
      <c r="F18" s="10">
        <f>+'II trimestre'!F18</f>
        <v>3440</v>
      </c>
    </row>
    <row r="19" spans="1:6" ht="16.5" x14ac:dyDescent="0.3">
      <c r="A19" s="8"/>
      <c r="B19" s="10"/>
      <c r="C19" s="10"/>
      <c r="D19" s="10"/>
      <c r="E19" s="10"/>
      <c r="F19" s="10"/>
    </row>
    <row r="20" spans="1:6" ht="17.25" x14ac:dyDescent="0.35">
      <c r="A20" s="11" t="s">
        <v>5</v>
      </c>
      <c r="B20" s="10"/>
      <c r="C20" s="10"/>
      <c r="D20" s="10"/>
      <c r="E20" s="10"/>
      <c r="F20" s="10"/>
    </row>
    <row r="21" spans="1:6" ht="16.5" x14ac:dyDescent="0.3">
      <c r="A21" s="9" t="s">
        <v>59</v>
      </c>
      <c r="B21" s="10">
        <f>SUM(C21:F21)</f>
        <v>6210713176.04</v>
      </c>
      <c r="C21" s="10">
        <f>+'I Trimestre'!C21+'II trimestre'!C21</f>
        <v>4835444295.1700001</v>
      </c>
      <c r="D21" s="10">
        <f>+'I Trimestre'!D21+'II trimestre'!D21</f>
        <v>390748268.19999999</v>
      </c>
      <c r="E21" s="10">
        <f>+'I Trimestre'!E21+'II trimestre'!E21</f>
        <v>980965429.52999997</v>
      </c>
      <c r="F21" s="10">
        <f>+'I Trimestre'!F21+'II trimestre'!F21</f>
        <v>3555183.14</v>
      </c>
    </row>
    <row r="22" spans="1:6" ht="16.5" x14ac:dyDescent="0.3">
      <c r="A22" s="9" t="s">
        <v>91</v>
      </c>
      <c r="B22" s="10">
        <f>SUM(C22:F22)</f>
        <v>7727141339.9497442</v>
      </c>
      <c r="C22" s="10">
        <f>+'I Trimestre'!C22+'II trimestre'!C22</f>
        <v>5008291064.1092319</v>
      </c>
      <c r="D22" s="10">
        <f>+'I Trimestre'!D22+'II trimestre'!D22</f>
        <v>1466447568.8099995</v>
      </c>
      <c r="E22" s="10">
        <f>+'I Trimestre'!E22+'II trimestre'!E22</f>
        <v>1164239933.0538461</v>
      </c>
      <c r="F22" s="10">
        <f>+'I Trimestre'!F22+'II trimestre'!F22</f>
        <v>88162773.976666704</v>
      </c>
    </row>
    <row r="23" spans="1:6" ht="16.5" x14ac:dyDescent="0.3">
      <c r="A23" s="9" t="s">
        <v>92</v>
      </c>
      <c r="B23" s="10">
        <f>SUM(C23:F23)</f>
        <v>7553610684.46</v>
      </c>
      <c r="C23" s="10">
        <f>+'I Trimestre'!C23+'II trimestre'!C23</f>
        <v>5036609522.0999994</v>
      </c>
      <c r="D23" s="10">
        <f>+'I Trimestre'!D23+'II trimestre'!D23</f>
        <v>1403535637.6199999</v>
      </c>
      <c r="E23" s="10">
        <f>+'I Trimestre'!E23+'II trimestre'!E23</f>
        <v>1103319838.72</v>
      </c>
      <c r="F23" s="10">
        <f>+'I Trimestre'!F23+'II trimestre'!F23</f>
        <v>10145686.02</v>
      </c>
    </row>
    <row r="24" spans="1:6" ht="16.5" x14ac:dyDescent="0.3">
      <c r="A24" s="9" t="s">
        <v>79</v>
      </c>
      <c r="B24" s="10">
        <f>SUM(C24:F24)</f>
        <v>16835688942.000002</v>
      </c>
      <c r="C24" s="10">
        <f>+'II trimestre'!C24</f>
        <v>10851297305.570004</v>
      </c>
      <c r="D24" s="10">
        <f>+'II trimestre'!D24</f>
        <v>2932895137.6199989</v>
      </c>
      <c r="E24" s="10">
        <f>+'II trimestre'!E24</f>
        <v>2522519854.9499993</v>
      </c>
      <c r="F24" s="10">
        <f>+'II trimestre'!F24</f>
        <v>528976643.86000013</v>
      </c>
    </row>
    <row r="25" spans="1:6" ht="16.5" x14ac:dyDescent="0.3">
      <c r="A25" s="9" t="s">
        <v>93</v>
      </c>
      <c r="B25" s="10">
        <f>C25+D25+E25+F25</f>
        <v>7553610684.46</v>
      </c>
      <c r="C25" s="10">
        <f t="shared" ref="C25:F25" si="1">C23</f>
        <v>5036609522.0999994</v>
      </c>
      <c r="D25" s="10">
        <f t="shared" si="1"/>
        <v>1403535637.6199999</v>
      </c>
      <c r="E25" s="10">
        <f t="shared" si="1"/>
        <v>1103319838.72</v>
      </c>
      <c r="F25" s="10">
        <f t="shared" si="1"/>
        <v>10145686.02</v>
      </c>
    </row>
    <row r="26" spans="1:6" ht="16.5" x14ac:dyDescent="0.3">
      <c r="A26" s="8"/>
      <c r="B26" s="10"/>
      <c r="C26" s="10"/>
      <c r="D26" s="10"/>
      <c r="E26" s="10"/>
      <c r="F26" s="10"/>
    </row>
    <row r="27" spans="1:6" ht="17.25" x14ac:dyDescent="0.35">
      <c r="A27" s="11" t="s">
        <v>6</v>
      </c>
      <c r="B27" s="10"/>
      <c r="C27" s="10"/>
      <c r="D27" s="10"/>
      <c r="E27" s="10"/>
      <c r="F27" s="10"/>
    </row>
    <row r="28" spans="1:6" ht="16.5" x14ac:dyDescent="0.3">
      <c r="A28" s="9" t="s">
        <v>91</v>
      </c>
      <c r="B28" s="10">
        <f>'I Trimestre'!B28+'II trimestre'!B28</f>
        <v>7727141339.9497452</v>
      </c>
      <c r="C28" s="10"/>
      <c r="D28" s="10"/>
      <c r="E28" s="10"/>
      <c r="F28" s="10"/>
    </row>
    <row r="29" spans="1:6" ht="16.5" x14ac:dyDescent="0.3">
      <c r="A29" s="9" t="s">
        <v>92</v>
      </c>
      <c r="B29" s="10">
        <f>'I Trimestre'!B29+'II trimestre'!B29</f>
        <v>7890626538.6000004</v>
      </c>
      <c r="C29" s="10"/>
      <c r="D29" s="10"/>
      <c r="E29" s="10"/>
      <c r="F29" s="10"/>
    </row>
    <row r="30" spans="1:6" ht="16.5" x14ac:dyDescent="0.3">
      <c r="A30" s="8"/>
      <c r="B30" s="16"/>
      <c r="C30" s="16"/>
      <c r="D30" s="16"/>
      <c r="E30" s="16"/>
      <c r="F30" s="16"/>
    </row>
    <row r="31" spans="1:6" ht="17.25" x14ac:dyDescent="0.35">
      <c r="A31" s="7" t="s">
        <v>7</v>
      </c>
      <c r="B31" s="16"/>
      <c r="C31" s="16"/>
      <c r="D31" s="16"/>
      <c r="E31" s="16"/>
      <c r="F31" s="16"/>
    </row>
    <row r="32" spans="1:6" ht="16.5" x14ac:dyDescent="0.3">
      <c r="A32" s="9" t="s">
        <v>60</v>
      </c>
      <c r="B32" s="31">
        <v>1.0552807376</v>
      </c>
      <c r="C32" s="31">
        <v>1.0552807376</v>
      </c>
      <c r="D32" s="31">
        <v>1.0552807376</v>
      </c>
      <c r="E32" s="31">
        <v>1.0552807376</v>
      </c>
      <c r="F32" s="31">
        <v>1.0552807376</v>
      </c>
    </row>
    <row r="33" spans="1:6" ht="16.5" x14ac:dyDescent="0.3">
      <c r="A33" s="9" t="s">
        <v>94</v>
      </c>
      <c r="B33" s="31">
        <v>1.0586</v>
      </c>
      <c r="C33" s="31">
        <v>1.0586</v>
      </c>
      <c r="D33" s="31">
        <v>1.0586</v>
      </c>
      <c r="E33" s="31">
        <v>1.0586</v>
      </c>
      <c r="F33" s="31">
        <v>1.0586</v>
      </c>
    </row>
    <row r="34" spans="1:6" ht="16.5" x14ac:dyDescent="0.3">
      <c r="A34" s="9" t="s">
        <v>8</v>
      </c>
      <c r="B34" s="14" t="s">
        <v>36</v>
      </c>
      <c r="C34" s="14" t="s">
        <v>36</v>
      </c>
      <c r="D34" s="14" t="s">
        <v>36</v>
      </c>
      <c r="E34" s="14" t="s">
        <v>36</v>
      </c>
      <c r="F34" s="14" t="s">
        <v>36</v>
      </c>
    </row>
    <row r="35" spans="1:6" ht="16.5" x14ac:dyDescent="0.3">
      <c r="A35" s="8"/>
      <c r="B35" s="16"/>
      <c r="C35" s="16"/>
      <c r="D35" s="16"/>
      <c r="E35" s="16"/>
      <c r="F35" s="16"/>
    </row>
    <row r="36" spans="1:6" ht="17.25" x14ac:dyDescent="0.35">
      <c r="A36" s="7" t="s">
        <v>9</v>
      </c>
      <c r="B36" s="16"/>
      <c r="C36" s="16"/>
      <c r="D36" s="16"/>
      <c r="E36" s="16"/>
      <c r="F36" s="16"/>
    </row>
    <row r="37" spans="1:6" ht="16.5" x14ac:dyDescent="0.3">
      <c r="A37" s="9" t="s">
        <v>61</v>
      </c>
      <c r="B37" s="17">
        <f>B21/B32</f>
        <v>5885365812.859314</v>
      </c>
      <c r="C37" s="17">
        <f t="shared" ref="C37:F37" si="2">C21/C32</f>
        <v>4582140204.8587914</v>
      </c>
      <c r="D37" s="17">
        <f t="shared" si="2"/>
        <v>370278973.43096542</v>
      </c>
      <c r="E37" s="17">
        <f t="shared" si="2"/>
        <v>929577689.21375978</v>
      </c>
      <c r="F37" s="17">
        <f t="shared" ref="F37" si="3">F21/F32</f>
        <v>3368945.355797424</v>
      </c>
    </row>
    <row r="38" spans="1:6" ht="16.5" x14ac:dyDescent="0.3">
      <c r="A38" s="9" t="s">
        <v>95</v>
      </c>
      <c r="B38" s="17">
        <f>B23/B33</f>
        <v>7135472023.8617039</v>
      </c>
      <c r="C38" s="17">
        <f t="shared" ref="C38:F38" si="4">C23/C33</f>
        <v>4757802306.914793</v>
      </c>
      <c r="D38" s="17">
        <f t="shared" si="4"/>
        <v>1325841335.3674664</v>
      </c>
      <c r="E38" s="17">
        <f t="shared" si="4"/>
        <v>1042244321.4812016</v>
      </c>
      <c r="F38" s="17">
        <f t="shared" ref="F38" si="5">F23/F33</f>
        <v>9584060.0982429627</v>
      </c>
    </row>
    <row r="39" spans="1:6" ht="16.5" x14ac:dyDescent="0.3">
      <c r="A39" s="9" t="s">
        <v>62</v>
      </c>
      <c r="B39" s="10">
        <f>B37/B15</f>
        <v>144983.55590883511</v>
      </c>
      <c r="C39" s="10">
        <f t="shared" ref="C39:E39" si="6">C37/C15</f>
        <v>128834.84802504614</v>
      </c>
      <c r="D39" s="10">
        <f t="shared" si="6"/>
        <v>90344.997787230794</v>
      </c>
      <c r="E39" s="10">
        <f t="shared" si="6"/>
        <v>1883642.733969118</v>
      </c>
      <c r="F39" s="10">
        <f t="shared" ref="F39" si="7">F37/F15</f>
        <v>7738.7718739603924</v>
      </c>
    </row>
    <row r="40" spans="1:6" ht="16.5" x14ac:dyDescent="0.3">
      <c r="A40" s="9" t="s">
        <v>96</v>
      </c>
      <c r="B40" s="10">
        <f>B38/B17</f>
        <v>153973.0848798083</v>
      </c>
      <c r="C40" s="10">
        <f t="shared" ref="C40:E40" si="8">C38/C17</f>
        <v>116615.65986702598</v>
      </c>
      <c r="D40" s="10">
        <f t="shared" si="8"/>
        <v>257895.61084759122</v>
      </c>
      <c r="E40" s="10">
        <f t="shared" si="8"/>
        <v>2590499.5562913045</v>
      </c>
      <c r="F40" s="10" t="s">
        <v>36</v>
      </c>
    </row>
    <row r="41" spans="1:6" ht="16.5" x14ac:dyDescent="0.3">
      <c r="A41" s="8"/>
      <c r="B41" s="16"/>
      <c r="C41" s="16"/>
      <c r="D41" s="16"/>
      <c r="E41" s="16"/>
      <c r="F41" s="16"/>
    </row>
    <row r="42" spans="1:6" ht="17.25" x14ac:dyDescent="0.35">
      <c r="A42" s="7" t="s">
        <v>10</v>
      </c>
      <c r="B42" s="16"/>
      <c r="C42" s="16"/>
      <c r="D42" s="16"/>
      <c r="E42" s="16"/>
      <c r="F42" s="16"/>
    </row>
    <row r="43" spans="1:6" ht="16.5" x14ac:dyDescent="0.3">
      <c r="A43" s="8"/>
      <c r="B43" s="16"/>
      <c r="C43" s="16"/>
      <c r="D43" s="16"/>
      <c r="E43" s="16"/>
      <c r="F43" s="16"/>
    </row>
    <row r="44" spans="1:6" ht="17.25" x14ac:dyDescent="0.35">
      <c r="A44" s="7" t="s">
        <v>11</v>
      </c>
      <c r="B44" s="16"/>
      <c r="C44" s="16"/>
      <c r="D44" s="16"/>
      <c r="E44" s="16"/>
      <c r="F44" s="16"/>
    </row>
    <row r="45" spans="1:6" ht="16.5" x14ac:dyDescent="0.3">
      <c r="A45" s="8" t="s">
        <v>12</v>
      </c>
      <c r="B45" s="30" t="s">
        <v>35</v>
      </c>
      <c r="C45" s="30" t="s">
        <v>35</v>
      </c>
      <c r="D45" s="30" t="s">
        <v>35</v>
      </c>
      <c r="E45" s="30" t="s">
        <v>35</v>
      </c>
      <c r="F45" s="30" t="s">
        <v>35</v>
      </c>
    </row>
    <row r="46" spans="1:6" ht="16.5" x14ac:dyDescent="0.3">
      <c r="A46" s="8" t="s">
        <v>13</v>
      </c>
      <c r="B46" s="30" t="s">
        <v>35</v>
      </c>
      <c r="C46" s="30" t="s">
        <v>35</v>
      </c>
      <c r="D46" s="30" t="s">
        <v>35</v>
      </c>
      <c r="E46" s="30" t="s">
        <v>35</v>
      </c>
      <c r="F46" s="30" t="s">
        <v>35</v>
      </c>
    </row>
    <row r="47" spans="1:6" ht="16.5" x14ac:dyDescent="0.3">
      <c r="A47" s="8"/>
      <c r="B47" s="16"/>
      <c r="C47" s="16"/>
      <c r="D47" s="16"/>
      <c r="E47" s="16"/>
      <c r="F47" s="16"/>
    </row>
    <row r="48" spans="1:6" ht="17.25" x14ac:dyDescent="0.35">
      <c r="A48" s="7" t="s">
        <v>14</v>
      </c>
      <c r="B48" s="16"/>
      <c r="C48" s="16"/>
      <c r="D48" s="16"/>
      <c r="E48" s="16"/>
      <c r="F48" s="16"/>
    </row>
    <row r="49" spans="1:6" ht="16.5" x14ac:dyDescent="0.3">
      <c r="A49" s="8" t="s">
        <v>15</v>
      </c>
      <c r="B49" s="12">
        <f>B17/B16*100</f>
        <v>122.82622139764999</v>
      </c>
      <c r="C49" s="12">
        <f t="shared" ref="C49:F49" si="9">C17/C16*100</f>
        <v>135.18555334658714</v>
      </c>
      <c r="D49" s="12">
        <f t="shared" si="9"/>
        <v>140.84931506849315</v>
      </c>
      <c r="E49" s="12">
        <f t="shared" si="9"/>
        <v>87.463768115942045</v>
      </c>
      <c r="F49" s="12">
        <f t="shared" si="9"/>
        <v>0</v>
      </c>
    </row>
    <row r="50" spans="1:6" ht="16.5" x14ac:dyDescent="0.3">
      <c r="A50" s="8" t="s">
        <v>16</v>
      </c>
      <c r="B50" s="12">
        <f>B23/B22*100</f>
        <v>97.754270979973128</v>
      </c>
      <c r="C50" s="12">
        <f t="shared" ref="C50:F50" si="10">C23/C22*100</f>
        <v>100.5654315539627</v>
      </c>
      <c r="D50" s="12">
        <f t="shared" si="10"/>
        <v>95.70990927135216</v>
      </c>
      <c r="E50" s="12">
        <f t="shared" si="10"/>
        <v>94.767393506761934</v>
      </c>
      <c r="F50" s="12">
        <f t="shared" si="10"/>
        <v>11.507902442685358</v>
      </c>
    </row>
    <row r="51" spans="1:6" ht="16.5" x14ac:dyDescent="0.3">
      <c r="A51" s="8" t="s">
        <v>17</v>
      </c>
      <c r="B51" s="12">
        <f>AVERAGE(B49:B50)</f>
        <v>110.29024618881155</v>
      </c>
      <c r="C51" s="12">
        <f t="shared" ref="C51:F51" si="11">AVERAGE(C49:C50)</f>
        <v>117.87549245027492</v>
      </c>
      <c r="D51" s="12">
        <f t="shared" si="11"/>
        <v>118.27961216992266</v>
      </c>
      <c r="E51" s="12">
        <f t="shared" si="11"/>
        <v>91.11558081135199</v>
      </c>
      <c r="F51" s="12">
        <f t="shared" si="11"/>
        <v>5.7539512213426791</v>
      </c>
    </row>
    <row r="52" spans="1:6" ht="16.5" x14ac:dyDescent="0.3">
      <c r="A52" s="8"/>
      <c r="B52" s="12"/>
      <c r="C52" s="12"/>
      <c r="D52" s="12"/>
      <c r="E52" s="12"/>
      <c r="F52" s="12"/>
    </row>
    <row r="53" spans="1:6" ht="17.25" x14ac:dyDescent="0.35">
      <c r="A53" s="7" t="s">
        <v>18</v>
      </c>
      <c r="B53" s="12"/>
      <c r="C53" s="12"/>
      <c r="D53" s="12"/>
      <c r="E53" s="12"/>
      <c r="F53" s="12"/>
    </row>
    <row r="54" spans="1:6" ht="16.5" x14ac:dyDescent="0.3">
      <c r="A54" s="8" t="s">
        <v>19</v>
      </c>
      <c r="B54" s="12">
        <f>B17/(B18)*100</f>
        <v>68.240808913758414</v>
      </c>
      <c r="C54" s="12">
        <f t="shared" ref="C54:F54" si="12">C17/(C18)*100</f>
        <v>67.592776673293571</v>
      </c>
      <c r="D54" s="12">
        <f t="shared" si="12"/>
        <v>140.84931506849315</v>
      </c>
      <c r="E54" s="12">
        <f t="shared" si="12"/>
        <v>87.463768115942045</v>
      </c>
      <c r="F54" s="12">
        <f t="shared" si="12"/>
        <v>0</v>
      </c>
    </row>
    <row r="55" spans="1:6" ht="16.5" x14ac:dyDescent="0.3">
      <c r="A55" s="8" t="s">
        <v>20</v>
      </c>
      <c r="B55" s="12">
        <f>B23/B24*100</f>
        <v>44.866656247229677</v>
      </c>
      <c r="C55" s="12">
        <f t="shared" ref="C55:F55" si="13">C23/C24*100</f>
        <v>46.414814563367393</v>
      </c>
      <c r="D55" s="12">
        <f t="shared" si="13"/>
        <v>47.85495463567608</v>
      </c>
      <c r="E55" s="12">
        <f t="shared" si="13"/>
        <v>43.738797003120901</v>
      </c>
      <c r="F55" s="12">
        <f t="shared" si="13"/>
        <v>1.9179837404475601</v>
      </c>
    </row>
    <row r="56" spans="1:6" ht="16.5" x14ac:dyDescent="0.3">
      <c r="A56" s="8" t="s">
        <v>21</v>
      </c>
      <c r="B56" s="12">
        <f>(B54+B55)/2</f>
        <v>56.553732580494042</v>
      </c>
      <c r="C56" s="12">
        <f t="shared" ref="C56:F56" si="14">(C54+C55)/2</f>
        <v>57.003795618330486</v>
      </c>
      <c r="D56" s="12">
        <f t="shared" si="14"/>
        <v>94.352134852084617</v>
      </c>
      <c r="E56" s="12">
        <f t="shared" si="14"/>
        <v>65.601282559531469</v>
      </c>
      <c r="F56" s="12">
        <f t="shared" si="14"/>
        <v>0.95899187022378007</v>
      </c>
    </row>
    <row r="57" spans="1:6" ht="16.5" x14ac:dyDescent="0.3">
      <c r="A57" s="8"/>
      <c r="B57" s="12"/>
      <c r="C57" s="12"/>
      <c r="D57" s="12"/>
      <c r="E57" s="12"/>
      <c r="F57" s="12"/>
    </row>
    <row r="58" spans="1:6" ht="17.25" x14ac:dyDescent="0.35">
      <c r="A58" s="7" t="s">
        <v>32</v>
      </c>
      <c r="B58" s="12"/>
      <c r="C58" s="12"/>
      <c r="D58" s="12"/>
      <c r="E58" s="12"/>
      <c r="F58" s="12"/>
    </row>
    <row r="59" spans="1:6" ht="16.5" x14ac:dyDescent="0.3">
      <c r="A59" s="8" t="s">
        <v>22</v>
      </c>
      <c r="B59" s="12">
        <f t="shared" ref="B59" si="15">B25/B23*100</f>
        <v>100</v>
      </c>
      <c r="C59" s="12"/>
      <c r="D59" s="12"/>
      <c r="E59" s="12"/>
      <c r="F59" s="12"/>
    </row>
    <row r="60" spans="1:6" ht="16.5" x14ac:dyDescent="0.3">
      <c r="A60" s="8"/>
      <c r="B60" s="12"/>
      <c r="C60" s="12"/>
      <c r="D60" s="12"/>
      <c r="E60" s="12"/>
      <c r="F60" s="12"/>
    </row>
    <row r="61" spans="1:6" ht="17.25" x14ac:dyDescent="0.35">
      <c r="A61" s="7" t="s">
        <v>23</v>
      </c>
      <c r="B61" s="12"/>
      <c r="C61" s="12"/>
      <c r="D61" s="12"/>
      <c r="E61" s="12"/>
      <c r="F61" s="12"/>
    </row>
    <row r="62" spans="1:6" ht="16.5" x14ac:dyDescent="0.3">
      <c r="A62" s="8" t="s">
        <v>24</v>
      </c>
      <c r="B62" s="12">
        <f>((B17/B15)-1)*100</f>
        <v>14.16242404335688</v>
      </c>
      <c r="C62" s="12">
        <f t="shared" ref="C62:E62" si="16">((C17/C15)-1)*100</f>
        <v>14.71349041219141</v>
      </c>
      <c r="D62" s="12">
        <f t="shared" si="16"/>
        <v>25.436135171404175</v>
      </c>
      <c r="E62" s="12">
        <f t="shared" si="16"/>
        <v>-18.473488686254637</v>
      </c>
      <c r="F62" s="12">
        <f t="shared" ref="F62" si="17">((F17/F15)-1)*100</f>
        <v>-100</v>
      </c>
    </row>
    <row r="63" spans="1:6" ht="16.5" x14ac:dyDescent="0.3">
      <c r="A63" s="8" t="s">
        <v>25</v>
      </c>
      <c r="B63" s="12">
        <f>((B38/B37)-1)*100</f>
        <v>21.240926235561307</v>
      </c>
      <c r="C63" s="12">
        <f t="shared" ref="C63:E63" si="18">((C38/C37)-1)*100</f>
        <v>3.8336256465861585</v>
      </c>
      <c r="D63" s="12">
        <f t="shared" si="18"/>
        <v>258.0655209995756</v>
      </c>
      <c r="E63" s="12">
        <f t="shared" si="18"/>
        <v>12.120195393537859</v>
      </c>
      <c r="F63" s="12">
        <f t="shared" ref="F63" si="19">((F38/F37)-1)*100</f>
        <v>184.48250375300108</v>
      </c>
    </row>
    <row r="64" spans="1:6" ht="16.5" x14ac:dyDescent="0.3">
      <c r="A64" s="8" t="s">
        <v>26</v>
      </c>
      <c r="B64" s="12">
        <f>((B40/B39)-1)*100</f>
        <v>6.2003783219565678</v>
      </c>
      <c r="C64" s="12">
        <f t="shared" ref="C64:E64" si="20">((C40/C39)-1)*100</f>
        <v>-9.4843812410479895</v>
      </c>
      <c r="D64" s="12">
        <f t="shared" si="20"/>
        <v>185.45643606628298</v>
      </c>
      <c r="E64" s="12">
        <f t="shared" si="20"/>
        <v>37.526055741617895</v>
      </c>
      <c r="F64" s="12" t="s">
        <v>36</v>
      </c>
    </row>
    <row r="65" spans="1:6" ht="16.5" x14ac:dyDescent="0.3">
      <c r="A65" s="8"/>
      <c r="B65" s="12"/>
      <c r="C65" s="12"/>
      <c r="D65" s="12"/>
      <c r="E65" s="12"/>
      <c r="F65" s="12"/>
    </row>
    <row r="66" spans="1:6" ht="17.25" x14ac:dyDescent="0.35">
      <c r="A66" s="7" t="s">
        <v>27</v>
      </c>
      <c r="B66" s="12"/>
      <c r="C66" s="12"/>
      <c r="D66" s="12"/>
      <c r="E66" s="12"/>
      <c r="F66" s="12"/>
    </row>
    <row r="67" spans="1:6" ht="16.5" x14ac:dyDescent="0.3">
      <c r="A67" s="8" t="s">
        <v>40</v>
      </c>
      <c r="B67" s="12">
        <f>B22/(B16*6)</f>
        <v>34133.498277010971</v>
      </c>
      <c r="C67" s="12">
        <f>C22/C16</f>
        <v>165947.35136213491</v>
      </c>
      <c r="D67" s="12">
        <f t="shared" ref="D67:E67" si="21">D22/(D16*6)</f>
        <v>66961.07620136984</v>
      </c>
      <c r="E67" s="12">
        <f t="shared" si="21"/>
        <v>421826.06270066887</v>
      </c>
      <c r="F67" s="12">
        <f>F22/F16</f>
        <v>25628.71336531009</v>
      </c>
    </row>
    <row r="68" spans="1:6" ht="16.5" x14ac:dyDescent="0.3">
      <c r="A68" s="8" t="s">
        <v>41</v>
      </c>
      <c r="B68" s="12">
        <f>B23/(B17*6)</f>
        <v>27165.984608960851</v>
      </c>
      <c r="C68" s="12">
        <f>C23/C17</f>
        <v>123449.33753523369</v>
      </c>
      <c r="D68" s="12">
        <f>D23/(D17*6)</f>
        <v>45501.382273876676</v>
      </c>
      <c r="E68" s="12">
        <f t="shared" ref="E68:F68" si="22">E23/(E17*6)</f>
        <v>457050.47171499586</v>
      </c>
      <c r="F68" s="12" t="s">
        <v>36</v>
      </c>
    </row>
    <row r="69" spans="1:6" ht="16.5" x14ac:dyDescent="0.3">
      <c r="A69" s="8" t="s">
        <v>28</v>
      </c>
      <c r="B69" s="12">
        <f>(B68/B67)*B51</f>
        <v>87.77720660708458</v>
      </c>
      <c r="C69" s="12">
        <f t="shared" ref="C69:E69" si="23">(C68/C67)*C51</f>
        <v>87.68836221357256</v>
      </c>
      <c r="D69" s="12">
        <f t="shared" si="23"/>
        <v>80.373347530507999</v>
      </c>
      <c r="E69" s="12">
        <f t="shared" si="23"/>
        <v>98.724149294600281</v>
      </c>
      <c r="F69" s="12" t="s">
        <v>36</v>
      </c>
    </row>
    <row r="70" spans="1:6" ht="16.5" x14ac:dyDescent="0.3">
      <c r="A70" s="8" t="s">
        <v>44</v>
      </c>
      <c r="B70" s="12">
        <f t="shared" ref="B70:F71" si="24">B22/B16</f>
        <v>204800.98966206584</v>
      </c>
      <c r="C70" s="12">
        <f>(C22/C16)*6</f>
        <v>995684.10817280947</v>
      </c>
      <c r="D70" s="12">
        <f>D22/D16</f>
        <v>401766.45720821904</v>
      </c>
      <c r="E70" s="12">
        <f t="shared" si="24"/>
        <v>2530956.3762040134</v>
      </c>
      <c r="F70" s="12">
        <f t="shared" si="24"/>
        <v>25628.71336531009</v>
      </c>
    </row>
    <row r="71" spans="1:6" ht="16.5" x14ac:dyDescent="0.3">
      <c r="A71" s="8" t="s">
        <v>45</v>
      </c>
      <c r="B71" s="12">
        <f t="shared" si="24"/>
        <v>162995.90765376508</v>
      </c>
      <c r="C71" s="12">
        <f>(C23/C17*6)</f>
        <v>740696.0252114021</v>
      </c>
      <c r="D71" s="12">
        <f>D23/D17</f>
        <v>273008.29364326003</v>
      </c>
      <c r="E71" s="12">
        <f t="shared" si="24"/>
        <v>2742302.8302899748</v>
      </c>
      <c r="F71" s="12" t="s">
        <v>36</v>
      </c>
    </row>
    <row r="72" spans="1:6" ht="16.5" x14ac:dyDescent="0.3">
      <c r="A72" s="8"/>
      <c r="B72" s="12"/>
      <c r="C72" s="12"/>
      <c r="D72" s="12"/>
      <c r="E72" s="12"/>
      <c r="F72" s="12"/>
    </row>
    <row r="73" spans="1:6" ht="17.25" x14ac:dyDescent="0.35">
      <c r="A73" s="7" t="s">
        <v>29</v>
      </c>
      <c r="B73" s="12"/>
      <c r="C73" s="12"/>
      <c r="D73" s="12"/>
      <c r="E73" s="12"/>
      <c r="F73" s="12"/>
    </row>
    <row r="74" spans="1:6" ht="16.5" x14ac:dyDescent="0.3">
      <c r="A74" s="8" t="s">
        <v>30</v>
      </c>
      <c r="B74" s="12">
        <f>(B29/B28)*100</f>
        <v>102.11572677990277</v>
      </c>
      <c r="C74" s="12"/>
      <c r="D74" s="12"/>
      <c r="E74" s="12"/>
      <c r="F74" s="12"/>
    </row>
    <row r="75" spans="1:6" ht="16.5" x14ac:dyDescent="0.3">
      <c r="A75" s="8" t="s">
        <v>31</v>
      </c>
      <c r="B75" s="12">
        <f>(B23/B29)*100</f>
        <v>95.728908819960495</v>
      </c>
      <c r="C75" s="12"/>
      <c r="D75" s="12"/>
      <c r="E75" s="12"/>
      <c r="F75" s="12"/>
    </row>
    <row r="76" spans="1:6" ht="17.25" thickBot="1" x14ac:dyDescent="0.35">
      <c r="A76" s="18"/>
      <c r="B76" s="18"/>
      <c r="C76" s="18"/>
      <c r="D76" s="18"/>
      <c r="E76" s="18"/>
      <c r="F76" s="18"/>
    </row>
    <row r="77" spans="1:6" s="5" customFormat="1" ht="16.5" customHeight="1" thickTop="1" x14ac:dyDescent="0.25">
      <c r="A77" s="23" t="s">
        <v>125</v>
      </c>
      <c r="B77" s="23"/>
      <c r="C77" s="23"/>
      <c r="D77" s="23"/>
      <c r="E77" s="23"/>
      <c r="F77" s="23"/>
    </row>
  </sheetData>
  <mergeCells count="4">
    <mergeCell ref="A77:F77"/>
    <mergeCell ref="A9:A10"/>
    <mergeCell ref="B9:B10"/>
    <mergeCell ref="C9:F9"/>
  </mergeCells>
  <pageMargins left="0.7" right="0.7" top="0.75" bottom="0.75" header="0.3" footer="0.3"/>
  <ignoredErrors>
    <ignoredError sqref="F41:F48" evalError="1"/>
    <ignoredError sqref="C67:C71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F78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2578125" defaultRowHeight="15" x14ac:dyDescent="0.25"/>
  <cols>
    <col min="1" max="1" width="64.28515625" style="1" customWidth="1"/>
    <col min="2" max="6" width="24.7109375" style="1" customWidth="1"/>
    <col min="7" max="16384" width="11.42578125" style="1"/>
  </cols>
  <sheetData>
    <row r="9" spans="1:6" s="5" customFormat="1" ht="17.25" x14ac:dyDescent="0.25">
      <c r="A9" s="24" t="s">
        <v>0</v>
      </c>
      <c r="B9" s="26" t="s">
        <v>1</v>
      </c>
      <c r="C9" s="28" t="s">
        <v>2</v>
      </c>
      <c r="D9" s="28"/>
      <c r="E9" s="28"/>
      <c r="F9" s="28"/>
    </row>
    <row r="10" spans="1:6" s="4" customFormat="1" ht="69.75" thickBot="1" x14ac:dyDescent="0.3">
      <c r="A10" s="25"/>
      <c r="B10" s="27"/>
      <c r="C10" s="6" t="s">
        <v>39</v>
      </c>
      <c r="D10" s="6" t="s">
        <v>48</v>
      </c>
      <c r="E10" s="6" t="s">
        <v>49</v>
      </c>
      <c r="F10" s="6" t="s">
        <v>50</v>
      </c>
    </row>
    <row r="11" spans="1:6" ht="17.25" thickTop="1" x14ac:dyDescent="0.3">
      <c r="A11" s="8"/>
      <c r="B11" s="8"/>
      <c r="C11" s="8"/>
      <c r="D11" s="8"/>
      <c r="E11" s="8"/>
      <c r="F11" s="8"/>
    </row>
    <row r="12" spans="1:6" ht="17.25" x14ac:dyDescent="0.35">
      <c r="A12" s="7" t="s">
        <v>3</v>
      </c>
      <c r="B12" s="8"/>
      <c r="C12" s="8"/>
      <c r="D12" s="8"/>
      <c r="E12" s="8"/>
      <c r="F12" s="8"/>
    </row>
    <row r="13" spans="1:6" ht="16.5" x14ac:dyDescent="0.3">
      <c r="A13" s="8"/>
      <c r="B13" s="8"/>
      <c r="C13" s="8"/>
      <c r="D13" s="8"/>
      <c r="E13" s="8"/>
      <c r="F13" s="8"/>
    </row>
    <row r="14" spans="1:6" ht="17.25" x14ac:dyDescent="0.35">
      <c r="A14" s="7" t="s">
        <v>4</v>
      </c>
      <c r="B14" s="8"/>
      <c r="C14" s="8"/>
      <c r="D14" s="8"/>
      <c r="E14" s="8"/>
      <c r="F14" s="8"/>
    </row>
    <row r="15" spans="1:6" ht="16.5" x14ac:dyDescent="0.3">
      <c r="A15" s="9" t="s">
        <v>63</v>
      </c>
      <c r="B15" s="10">
        <f>C15+D15+E15+F15</f>
        <v>30838</v>
      </c>
      <c r="C15" s="10">
        <v>21700</v>
      </c>
      <c r="D15" s="10">
        <v>4425</v>
      </c>
      <c r="E15" s="10">
        <v>434</v>
      </c>
      <c r="F15" s="10">
        <v>4279</v>
      </c>
    </row>
    <row r="16" spans="1:6" ht="16.5" x14ac:dyDescent="0.3">
      <c r="A16" s="9" t="s">
        <v>97</v>
      </c>
      <c r="B16" s="10">
        <f t="shared" ref="B16:B18" si="0">C16+D16+E16+F16</f>
        <v>22640</v>
      </c>
      <c r="C16" s="10">
        <v>15090</v>
      </c>
      <c r="D16" s="10">
        <v>3650</v>
      </c>
      <c r="E16" s="10">
        <v>460</v>
      </c>
      <c r="F16" s="10">
        <v>3440</v>
      </c>
    </row>
    <row r="17" spans="1:6" ht="16.5" x14ac:dyDescent="0.3">
      <c r="A17" s="9" t="s">
        <v>98</v>
      </c>
      <c r="B17" s="10">
        <f t="shared" si="0"/>
        <v>24134.333333333332</v>
      </c>
      <c r="C17" s="10">
        <v>22523</v>
      </c>
      <c r="D17" s="10">
        <v>1284.3333333333333</v>
      </c>
      <c r="E17" s="10">
        <v>327</v>
      </c>
      <c r="F17" s="10">
        <v>0</v>
      </c>
    </row>
    <row r="18" spans="1:6" ht="16.5" x14ac:dyDescent="0.3">
      <c r="A18" s="9" t="s">
        <v>79</v>
      </c>
      <c r="B18" s="10">
        <f t="shared" si="0"/>
        <v>67910</v>
      </c>
      <c r="C18" s="10">
        <v>60360</v>
      </c>
      <c r="D18" s="10">
        <v>3650</v>
      </c>
      <c r="E18" s="10">
        <v>460</v>
      </c>
      <c r="F18" s="10">
        <v>3440</v>
      </c>
    </row>
    <row r="19" spans="1:6" ht="16.5" x14ac:dyDescent="0.3">
      <c r="A19" s="8"/>
      <c r="B19" s="10"/>
      <c r="C19" s="10"/>
      <c r="D19" s="10"/>
      <c r="E19" s="10"/>
      <c r="F19" s="10"/>
    </row>
    <row r="20" spans="1:6" ht="17.25" x14ac:dyDescent="0.35">
      <c r="A20" s="11" t="s">
        <v>5</v>
      </c>
      <c r="B20" s="10"/>
      <c r="C20" s="10"/>
      <c r="D20" s="10"/>
      <c r="E20" s="10"/>
      <c r="F20" s="10"/>
    </row>
    <row r="21" spans="1:6" ht="16.5" x14ac:dyDescent="0.3">
      <c r="A21" s="9" t="s">
        <v>63</v>
      </c>
      <c r="B21" s="10">
        <f>SUM(C21:F21)</f>
        <v>3287916709.5200005</v>
      </c>
      <c r="C21" s="10">
        <v>2373480099.5700002</v>
      </c>
      <c r="D21" s="10">
        <v>345717308.70000005</v>
      </c>
      <c r="E21" s="10">
        <v>515023998.89000005</v>
      </c>
      <c r="F21" s="10">
        <v>53695302.359999999</v>
      </c>
    </row>
    <row r="22" spans="1:6" ht="16.5" x14ac:dyDescent="0.3">
      <c r="A22" s="9" t="s">
        <v>97</v>
      </c>
      <c r="B22" s="10">
        <f>SUM(C22:F22)</f>
        <v>4083977604.9165392</v>
      </c>
      <c r="C22" s="10">
        <v>2504145532.054616</v>
      </c>
      <c r="D22" s="10">
        <v>733223784.40499997</v>
      </c>
      <c r="E22" s="10">
        <v>582119966.52692306</v>
      </c>
      <c r="F22" s="10">
        <v>264488321.93000007</v>
      </c>
    </row>
    <row r="23" spans="1:6" ht="16.5" x14ac:dyDescent="0.3">
      <c r="A23" s="9" t="s">
        <v>98</v>
      </c>
      <c r="B23" s="10">
        <f>SUM(C23:F23)</f>
        <v>3366921439.9700003</v>
      </c>
      <c r="C23" s="10">
        <v>2153269582.3100004</v>
      </c>
      <c r="D23" s="10">
        <v>722453090.94999993</v>
      </c>
      <c r="E23" s="10">
        <v>490392490.20999998</v>
      </c>
      <c r="F23" s="10">
        <v>806276.5</v>
      </c>
    </row>
    <row r="24" spans="1:6" ht="16.5" x14ac:dyDescent="0.3">
      <c r="A24" s="9" t="s">
        <v>79</v>
      </c>
      <c r="B24" s="10">
        <f>SUM(C24:F24)</f>
        <v>16835688942.000002</v>
      </c>
      <c r="C24" s="10">
        <v>10851297305.570004</v>
      </c>
      <c r="D24" s="10">
        <v>2932895137.6199989</v>
      </c>
      <c r="E24" s="10">
        <v>2522519854.9499993</v>
      </c>
      <c r="F24" s="10">
        <v>528976643.86000013</v>
      </c>
    </row>
    <row r="25" spans="1:6" ht="16.5" x14ac:dyDescent="0.3">
      <c r="A25" s="9" t="s">
        <v>99</v>
      </c>
      <c r="B25" s="10">
        <f>C25+D25+E25+F25</f>
        <v>3366921439.9700003</v>
      </c>
      <c r="C25" s="10">
        <f>+C23</f>
        <v>2153269582.3100004</v>
      </c>
      <c r="D25" s="10">
        <f t="shared" ref="D25:F25" si="1">+D23</f>
        <v>722453090.94999993</v>
      </c>
      <c r="E25" s="10">
        <f t="shared" si="1"/>
        <v>490392490.20999998</v>
      </c>
      <c r="F25" s="10">
        <f t="shared" si="1"/>
        <v>806276.5</v>
      </c>
    </row>
    <row r="26" spans="1:6" ht="16.5" x14ac:dyDescent="0.3">
      <c r="A26" s="8"/>
      <c r="B26" s="10"/>
      <c r="C26" s="10"/>
      <c r="D26" s="10"/>
      <c r="E26" s="10"/>
      <c r="F26" s="10"/>
    </row>
    <row r="27" spans="1:6" ht="17.25" x14ac:dyDescent="0.35">
      <c r="A27" s="11" t="s">
        <v>6</v>
      </c>
      <c r="B27" s="10"/>
      <c r="C27" s="10"/>
      <c r="D27" s="10"/>
      <c r="E27" s="10"/>
      <c r="F27" s="10"/>
    </row>
    <row r="28" spans="1:6" ht="16.5" x14ac:dyDescent="0.3">
      <c r="A28" s="9" t="s">
        <v>97</v>
      </c>
      <c r="B28" s="10">
        <f>B22</f>
        <v>4083977604.9165392</v>
      </c>
      <c r="C28" s="10"/>
      <c r="D28" s="10"/>
      <c r="E28" s="10"/>
      <c r="F28" s="10"/>
    </row>
    <row r="29" spans="1:6" ht="16.5" x14ac:dyDescent="0.3">
      <c r="A29" s="9" t="s">
        <v>98</v>
      </c>
      <c r="B29" s="10">
        <v>4272672656.6500001</v>
      </c>
      <c r="C29" s="10"/>
      <c r="D29" s="10"/>
      <c r="E29" s="10"/>
      <c r="F29" s="10"/>
    </row>
    <row r="30" spans="1:6" ht="16.5" x14ac:dyDescent="0.3">
      <c r="A30" s="8"/>
      <c r="B30" s="16"/>
      <c r="C30" s="16"/>
      <c r="D30" s="16"/>
      <c r="E30" s="16"/>
      <c r="F30" s="16"/>
    </row>
    <row r="31" spans="1:6" ht="17.25" x14ac:dyDescent="0.35">
      <c r="A31" s="7" t="s">
        <v>7</v>
      </c>
      <c r="B31" s="16"/>
      <c r="C31" s="16"/>
      <c r="D31" s="16"/>
      <c r="E31" s="16"/>
      <c r="F31" s="16"/>
    </row>
    <row r="32" spans="1:6" ht="16.5" x14ac:dyDescent="0.3">
      <c r="A32" s="9" t="s">
        <v>64</v>
      </c>
      <c r="B32" s="13">
        <v>1.060947463</v>
      </c>
      <c r="C32" s="13">
        <v>1.060947463</v>
      </c>
      <c r="D32" s="13">
        <v>1.060947463</v>
      </c>
      <c r="E32" s="13">
        <v>1.060947463</v>
      </c>
      <c r="F32" s="13">
        <v>1.060947463</v>
      </c>
    </row>
    <row r="33" spans="1:6" ht="16.5" x14ac:dyDescent="0.3">
      <c r="A33" s="9" t="s">
        <v>100</v>
      </c>
      <c r="B33" s="13">
        <v>1.0641</v>
      </c>
      <c r="C33" s="13">
        <v>1.0641</v>
      </c>
      <c r="D33" s="13">
        <v>1.0641</v>
      </c>
      <c r="E33" s="13">
        <v>1.0641</v>
      </c>
      <c r="F33" s="13">
        <v>1.0641</v>
      </c>
    </row>
    <row r="34" spans="1:6" ht="16.5" x14ac:dyDescent="0.3">
      <c r="A34" s="9" t="s">
        <v>8</v>
      </c>
      <c r="B34" s="29" t="s">
        <v>36</v>
      </c>
      <c r="C34" s="29" t="s">
        <v>36</v>
      </c>
      <c r="D34" s="29" t="s">
        <v>36</v>
      </c>
      <c r="E34" s="29" t="s">
        <v>36</v>
      </c>
      <c r="F34" s="29" t="s">
        <v>36</v>
      </c>
    </row>
    <row r="35" spans="1:6" ht="16.5" x14ac:dyDescent="0.3">
      <c r="A35" s="8"/>
      <c r="B35" s="16"/>
      <c r="C35" s="16"/>
      <c r="D35" s="16"/>
      <c r="E35" s="16"/>
      <c r="F35" s="16"/>
    </row>
    <row r="36" spans="1:6" ht="17.25" x14ac:dyDescent="0.35">
      <c r="A36" s="7" t="s">
        <v>9</v>
      </c>
      <c r="B36" s="16"/>
      <c r="C36" s="16"/>
      <c r="D36" s="16"/>
      <c r="E36" s="16"/>
      <c r="F36" s="16"/>
    </row>
    <row r="37" spans="1:6" ht="16.5" x14ac:dyDescent="0.3">
      <c r="A37" s="9" t="s">
        <v>65</v>
      </c>
      <c r="B37" s="17">
        <f>B21/B32</f>
        <v>3099038193.863894</v>
      </c>
      <c r="C37" s="17">
        <f t="shared" ref="C37:E37" si="2">C21/C32</f>
        <v>2237132546.4680433</v>
      </c>
      <c r="D37" s="17">
        <f t="shared" si="2"/>
        <v>325857142.56050777</v>
      </c>
      <c r="E37" s="17">
        <f t="shared" si="2"/>
        <v>485437796.7347098</v>
      </c>
      <c r="F37" s="17">
        <f t="shared" ref="F37" si="3">F21/F32</f>
        <v>50610708.100632876</v>
      </c>
    </row>
    <row r="38" spans="1:6" ht="16.5" x14ac:dyDescent="0.3">
      <c r="A38" s="9" t="s">
        <v>101</v>
      </c>
      <c r="B38" s="17">
        <f>B23/B33</f>
        <v>3164102471.5440278</v>
      </c>
      <c r="C38" s="17">
        <f t="shared" ref="C38:E38" si="4">C23/C33</f>
        <v>2023559423.2778878</v>
      </c>
      <c r="D38" s="17">
        <f t="shared" si="4"/>
        <v>678933456.39507556</v>
      </c>
      <c r="E38" s="17">
        <f t="shared" si="4"/>
        <v>460851884.41875762</v>
      </c>
      <c r="F38" s="17">
        <f t="shared" ref="F38" si="5">F23/F33</f>
        <v>757707.45230711391</v>
      </c>
    </row>
    <row r="39" spans="1:6" ht="16.5" x14ac:dyDescent="0.3">
      <c r="A39" s="9" t="s">
        <v>66</v>
      </c>
      <c r="B39" s="10">
        <f t="shared" ref="B39" si="6">B37/B15</f>
        <v>100494.13690459478</v>
      </c>
      <c r="C39" s="10">
        <f t="shared" ref="C39:E39" si="7">C37/C15</f>
        <v>103093.66573585453</v>
      </c>
      <c r="D39" s="10">
        <f t="shared" si="7"/>
        <v>73640.032217063897</v>
      </c>
      <c r="E39" s="10">
        <f t="shared" si="7"/>
        <v>1118520.2689739857</v>
      </c>
      <c r="F39" s="10">
        <f t="shared" ref="F39" si="8">F37/F15</f>
        <v>11827.69527941876</v>
      </c>
    </row>
    <row r="40" spans="1:6" ht="16.5" x14ac:dyDescent="0.3">
      <c r="A40" s="9" t="s">
        <v>102</v>
      </c>
      <c r="B40" s="10">
        <f>B38/B17</f>
        <v>131103.78595682615</v>
      </c>
      <c r="C40" s="10">
        <f t="shared" ref="C40:E40" si="9">C38/C17</f>
        <v>89844.133697903817</v>
      </c>
      <c r="D40" s="10">
        <f t="shared" si="9"/>
        <v>528627.13967952935</v>
      </c>
      <c r="E40" s="10">
        <f t="shared" si="9"/>
        <v>1409332.9798738766</v>
      </c>
      <c r="F40" s="10" t="s">
        <v>36</v>
      </c>
    </row>
    <row r="41" spans="1:6" ht="16.5" x14ac:dyDescent="0.3">
      <c r="A41" s="8"/>
      <c r="B41" s="16"/>
      <c r="C41" s="16"/>
      <c r="D41" s="16"/>
      <c r="E41" s="16"/>
      <c r="F41" s="16"/>
    </row>
    <row r="42" spans="1:6" ht="17.25" x14ac:dyDescent="0.35">
      <c r="A42" s="7" t="s">
        <v>10</v>
      </c>
      <c r="B42" s="16"/>
      <c r="C42" s="16"/>
      <c r="D42" s="16"/>
      <c r="E42" s="16"/>
      <c r="F42" s="16"/>
    </row>
    <row r="43" spans="1:6" ht="16.5" x14ac:dyDescent="0.3">
      <c r="A43" s="8"/>
      <c r="B43" s="16"/>
      <c r="C43" s="16"/>
      <c r="D43" s="16"/>
      <c r="E43" s="16"/>
      <c r="F43" s="16"/>
    </row>
    <row r="44" spans="1:6" ht="17.25" x14ac:dyDescent="0.35">
      <c r="A44" s="7" t="s">
        <v>11</v>
      </c>
      <c r="B44" s="16"/>
      <c r="C44" s="16"/>
      <c r="D44" s="16"/>
      <c r="E44" s="16"/>
      <c r="F44" s="16"/>
    </row>
    <row r="45" spans="1:6" ht="16.5" x14ac:dyDescent="0.3">
      <c r="A45" s="8" t="s">
        <v>12</v>
      </c>
      <c r="B45" s="30" t="s">
        <v>35</v>
      </c>
      <c r="C45" s="30" t="s">
        <v>35</v>
      </c>
      <c r="D45" s="30" t="s">
        <v>35</v>
      </c>
      <c r="E45" s="30" t="s">
        <v>35</v>
      </c>
      <c r="F45" s="30" t="s">
        <v>35</v>
      </c>
    </row>
    <row r="46" spans="1:6" ht="16.5" x14ac:dyDescent="0.3">
      <c r="A46" s="8" t="s">
        <v>13</v>
      </c>
      <c r="B46" s="30" t="s">
        <v>35</v>
      </c>
      <c r="C46" s="30" t="s">
        <v>35</v>
      </c>
      <c r="D46" s="30" t="s">
        <v>35</v>
      </c>
      <c r="E46" s="30" t="s">
        <v>35</v>
      </c>
      <c r="F46" s="30" t="s">
        <v>35</v>
      </c>
    </row>
    <row r="47" spans="1:6" ht="16.5" x14ac:dyDescent="0.3">
      <c r="A47" s="8"/>
      <c r="B47" s="16"/>
      <c r="C47" s="16"/>
      <c r="D47" s="16"/>
      <c r="E47" s="16"/>
      <c r="F47" s="16"/>
    </row>
    <row r="48" spans="1:6" ht="17.25" x14ac:dyDescent="0.35">
      <c r="A48" s="7" t="s">
        <v>14</v>
      </c>
      <c r="B48" s="16"/>
      <c r="C48" s="16"/>
      <c r="D48" s="16"/>
      <c r="E48" s="16"/>
      <c r="F48" s="16"/>
    </row>
    <row r="49" spans="1:6" ht="16.5" x14ac:dyDescent="0.3">
      <c r="A49" s="8" t="s">
        <v>15</v>
      </c>
      <c r="B49" s="12">
        <f>B17/B16*100</f>
        <v>106.60041224970553</v>
      </c>
      <c r="C49" s="12">
        <f t="shared" ref="C49:F49" si="10">C17/C16*100</f>
        <v>149.25778661365143</v>
      </c>
      <c r="D49" s="12">
        <f t="shared" si="10"/>
        <v>35.187214611872143</v>
      </c>
      <c r="E49" s="12">
        <f t="shared" si="10"/>
        <v>71.086956521739125</v>
      </c>
      <c r="F49" s="12">
        <f t="shared" si="10"/>
        <v>0</v>
      </c>
    </row>
    <row r="50" spans="1:6" ht="16.5" x14ac:dyDescent="0.3">
      <c r="A50" s="8" t="s">
        <v>16</v>
      </c>
      <c r="B50" s="12">
        <f>B23/B22*100</f>
        <v>82.442211140352413</v>
      </c>
      <c r="C50" s="12">
        <f t="shared" ref="C50:F50" si="11">C23/C22*100</f>
        <v>85.988196562332902</v>
      </c>
      <c r="D50" s="12">
        <f t="shared" si="11"/>
        <v>98.531049635311504</v>
      </c>
      <c r="E50" s="12">
        <f t="shared" si="11"/>
        <v>84.242513297698281</v>
      </c>
      <c r="F50" s="12">
        <f t="shared" si="11"/>
        <v>0.30484389409578189</v>
      </c>
    </row>
    <row r="51" spans="1:6" ht="16.5" x14ac:dyDescent="0.3">
      <c r="A51" s="8" t="s">
        <v>17</v>
      </c>
      <c r="B51" s="12">
        <f>AVERAGE(B49:B50)</f>
        <v>94.52131169502897</v>
      </c>
      <c r="C51" s="12">
        <f t="shared" ref="C51:F51" si="12">AVERAGE(C49:C50)</f>
        <v>117.62299158799217</v>
      </c>
      <c r="D51" s="12">
        <f t="shared" si="12"/>
        <v>66.85913212359182</v>
      </c>
      <c r="E51" s="12">
        <f t="shared" si="12"/>
        <v>77.664734909718703</v>
      </c>
      <c r="F51" s="12">
        <f t="shared" si="12"/>
        <v>0.15242194704789094</v>
      </c>
    </row>
    <row r="52" spans="1:6" ht="16.5" x14ac:dyDescent="0.3">
      <c r="A52" s="8"/>
      <c r="B52" s="12"/>
      <c r="C52" s="12"/>
      <c r="D52" s="12"/>
      <c r="E52" s="12"/>
      <c r="F52" s="12"/>
    </row>
    <row r="53" spans="1:6" ht="17.25" x14ac:dyDescent="0.35">
      <c r="A53" s="7" t="s">
        <v>18</v>
      </c>
      <c r="B53" s="12"/>
      <c r="C53" s="12"/>
      <c r="D53" s="12"/>
      <c r="E53" s="12"/>
      <c r="F53" s="12"/>
    </row>
    <row r="54" spans="1:6" ht="16.5" x14ac:dyDescent="0.3">
      <c r="A54" s="8" t="s">
        <v>19</v>
      </c>
      <c r="B54" s="12">
        <f>B17/B18*100</f>
        <v>35.538703185588766</v>
      </c>
      <c r="C54" s="12">
        <f t="shared" ref="C54:F54" si="13">C17/C18*100</f>
        <v>37.314446653412858</v>
      </c>
      <c r="D54" s="12">
        <f t="shared" si="13"/>
        <v>35.187214611872143</v>
      </c>
      <c r="E54" s="12">
        <f t="shared" si="13"/>
        <v>71.086956521739125</v>
      </c>
      <c r="F54" s="12">
        <f t="shared" si="13"/>
        <v>0</v>
      </c>
    </row>
    <row r="55" spans="1:6" ht="16.5" x14ac:dyDescent="0.3">
      <c r="A55" s="8" t="s">
        <v>20</v>
      </c>
      <c r="B55" s="12">
        <f>B23/B24*100</f>
        <v>19.998714941629384</v>
      </c>
      <c r="C55" s="12">
        <f t="shared" ref="C55:F55" si="14">C23/C24*100</f>
        <v>19.843429975922977</v>
      </c>
      <c r="D55" s="12">
        <f t="shared" si="14"/>
        <v>24.632762408827887</v>
      </c>
      <c r="E55" s="12">
        <f t="shared" si="14"/>
        <v>19.440579991776534</v>
      </c>
      <c r="F55" s="12">
        <f t="shared" si="14"/>
        <v>0.15242194704789094</v>
      </c>
    </row>
    <row r="56" spans="1:6" ht="16.5" x14ac:dyDescent="0.3">
      <c r="A56" s="8" t="s">
        <v>21</v>
      </c>
      <c r="B56" s="12">
        <f>(B54+B55)/2</f>
        <v>27.768709063609073</v>
      </c>
      <c r="C56" s="12">
        <f t="shared" ref="C56:F56" si="15">(C54+C55)/2</f>
        <v>28.578938314667916</v>
      </c>
      <c r="D56" s="12">
        <f t="shared" si="15"/>
        <v>29.909988510350015</v>
      </c>
      <c r="E56" s="12">
        <f t="shared" si="15"/>
        <v>45.263768256757828</v>
      </c>
      <c r="F56" s="12">
        <f t="shared" si="15"/>
        <v>7.6210973523945472E-2</v>
      </c>
    </row>
    <row r="57" spans="1:6" ht="16.5" x14ac:dyDescent="0.3">
      <c r="A57" s="8"/>
      <c r="B57" s="12"/>
      <c r="C57" s="12"/>
      <c r="D57" s="12"/>
      <c r="E57" s="12"/>
      <c r="F57" s="12"/>
    </row>
    <row r="58" spans="1:6" ht="17.25" x14ac:dyDescent="0.35">
      <c r="A58" s="7" t="s">
        <v>32</v>
      </c>
      <c r="B58" s="12"/>
      <c r="C58" s="12"/>
      <c r="D58" s="12"/>
      <c r="E58" s="12"/>
      <c r="F58" s="12"/>
    </row>
    <row r="59" spans="1:6" ht="16.5" x14ac:dyDescent="0.3">
      <c r="A59" s="8" t="s">
        <v>22</v>
      </c>
      <c r="B59" s="12">
        <f t="shared" ref="B59" si="16">B25/B23*100</f>
        <v>100</v>
      </c>
      <c r="C59" s="12"/>
      <c r="D59" s="12"/>
      <c r="E59" s="12"/>
      <c r="F59" s="12"/>
    </row>
    <row r="60" spans="1:6" ht="16.5" x14ac:dyDescent="0.3">
      <c r="A60" s="8"/>
      <c r="B60" s="12"/>
      <c r="C60" s="12"/>
      <c r="D60" s="12"/>
      <c r="E60" s="12"/>
      <c r="F60" s="12"/>
    </row>
    <row r="61" spans="1:6" ht="17.25" x14ac:dyDescent="0.35">
      <c r="A61" s="7" t="s">
        <v>23</v>
      </c>
      <c r="B61" s="12"/>
      <c r="C61" s="12"/>
      <c r="D61" s="12"/>
      <c r="E61" s="12"/>
      <c r="F61" s="12"/>
    </row>
    <row r="62" spans="1:6" ht="16.5" x14ac:dyDescent="0.3">
      <c r="A62" s="8" t="s">
        <v>24</v>
      </c>
      <c r="B62" s="12">
        <f>((B17/B15)-1)*100</f>
        <v>-21.738331495773622</v>
      </c>
      <c r="C62" s="12">
        <f t="shared" ref="C62:F62" si="17">((C17/C15)-1)*100</f>
        <v>3.7926267281106041</v>
      </c>
      <c r="D62" s="12">
        <f t="shared" si="17"/>
        <v>-70.975517890772124</v>
      </c>
      <c r="E62" s="12">
        <f t="shared" si="17"/>
        <v>-24.654377880184331</v>
      </c>
      <c r="F62" s="12">
        <f t="shared" si="17"/>
        <v>-100</v>
      </c>
    </row>
    <row r="63" spans="1:6" ht="16.5" x14ac:dyDescent="0.3">
      <c r="A63" s="8" t="s">
        <v>25</v>
      </c>
      <c r="B63" s="12">
        <f>((B38/B37)-1)*100</f>
        <v>2.0994990577709371</v>
      </c>
      <c r="C63" s="12">
        <f t="shared" ref="C63:F63" si="18">((C38/C37)-1)*100</f>
        <v>-9.5467353298910318</v>
      </c>
      <c r="D63" s="12">
        <f t="shared" si="18"/>
        <v>108.35309947794246</v>
      </c>
      <c r="E63" s="12">
        <f t="shared" si="18"/>
        <v>-5.0646885103156292</v>
      </c>
      <c r="F63" s="12">
        <f t="shared" si="18"/>
        <v>-98.502871268268947</v>
      </c>
    </row>
    <row r="64" spans="1:6" ht="16.5" x14ac:dyDescent="0.3">
      <c r="A64" s="8" t="s">
        <v>26</v>
      </c>
      <c r="B64" s="12">
        <f t="shared" ref="B64:E64" si="19">((B40/B39)-1)*100</f>
        <v>30.459139204599552</v>
      </c>
      <c r="C64" s="12">
        <f t="shared" si="19"/>
        <v>-12.851936094598216</v>
      </c>
      <c r="D64" s="12">
        <f t="shared" si="19"/>
        <v>617.85294460671855</v>
      </c>
      <c r="E64" s="12">
        <f t="shared" si="19"/>
        <v>25.999771212608614</v>
      </c>
      <c r="F64" s="12" t="s">
        <v>36</v>
      </c>
    </row>
    <row r="65" spans="1:6" ht="16.5" x14ac:dyDescent="0.3">
      <c r="A65" s="8"/>
      <c r="B65" s="12"/>
      <c r="C65" s="12"/>
      <c r="D65" s="12"/>
      <c r="E65" s="12"/>
      <c r="F65" s="12"/>
    </row>
    <row r="66" spans="1:6" ht="17.25" x14ac:dyDescent="0.35">
      <c r="A66" s="7" t="s">
        <v>27</v>
      </c>
      <c r="B66" s="12"/>
      <c r="C66" s="12"/>
      <c r="D66" s="12"/>
      <c r="E66" s="12"/>
      <c r="F66" s="12"/>
    </row>
    <row r="67" spans="1:6" ht="16.5" x14ac:dyDescent="0.3">
      <c r="A67" s="8" t="s">
        <v>40</v>
      </c>
      <c r="B67" s="12">
        <f>B22/(B16*3)</f>
        <v>60129.234465791211</v>
      </c>
      <c r="C67" s="12">
        <f>C22/(C16)</f>
        <v>165947.35136213491</v>
      </c>
      <c r="D67" s="12">
        <f t="shared" ref="D67:F67" si="20">D22/(D16*3)</f>
        <v>66961.076201369855</v>
      </c>
      <c r="E67" s="12">
        <f t="shared" si="20"/>
        <v>421826.06270066887</v>
      </c>
      <c r="F67" s="12">
        <f>F22/(F16*3)</f>
        <v>25628.713365310083</v>
      </c>
    </row>
    <row r="68" spans="1:6" ht="16.5" x14ac:dyDescent="0.3">
      <c r="A68" s="8" t="s">
        <v>41</v>
      </c>
      <c r="B68" s="12">
        <f t="shared" ref="B68:E68" si="21">B23/(B17*3)</f>
        <v>46502.512878886235</v>
      </c>
      <c r="C68" s="12">
        <f>C23/(C17)</f>
        <v>95603.142667939464</v>
      </c>
      <c r="D68" s="12">
        <f t="shared" si="21"/>
        <v>187504.04644432908</v>
      </c>
      <c r="E68" s="12">
        <f t="shared" si="21"/>
        <v>499890.40796126402</v>
      </c>
      <c r="F68" s="12" t="s">
        <v>36</v>
      </c>
    </row>
    <row r="69" spans="1:6" ht="16.5" x14ac:dyDescent="0.3">
      <c r="A69" s="8" t="s">
        <v>28</v>
      </c>
      <c r="B69" s="12">
        <f>(B68/B67)*B51</f>
        <v>73.100523455491285</v>
      </c>
      <c r="C69" s="12">
        <f t="shared" ref="C69" si="22">(C68/C67)*C51</f>
        <v>67.763224622231121</v>
      </c>
      <c r="D69" s="12">
        <f t="shared" ref="D69:E69" si="23">(D68/D67)*D51</f>
        <v>187.21858318449537</v>
      </c>
      <c r="E69" s="12">
        <f t="shared" si="23"/>
        <v>92.037594286279145</v>
      </c>
      <c r="F69" s="12" t="s">
        <v>36</v>
      </c>
    </row>
    <row r="70" spans="1:6" ht="16.5" x14ac:dyDescent="0.3">
      <c r="A70" s="8" t="s">
        <v>42</v>
      </c>
      <c r="B70" s="12">
        <f t="shared" ref="B70:F71" si="24">B22/B16</f>
        <v>180387.70339737364</v>
      </c>
      <c r="C70" s="12">
        <f>(C22/C16)*3</f>
        <v>497842.05408640474</v>
      </c>
      <c r="D70" s="12">
        <f t="shared" si="24"/>
        <v>200883.22860410958</v>
      </c>
      <c r="E70" s="12">
        <f t="shared" si="24"/>
        <v>1265478.1881020067</v>
      </c>
      <c r="F70" s="12">
        <f>F22/F16</f>
        <v>76886.140095930255</v>
      </c>
    </row>
    <row r="71" spans="1:6" ht="16.5" x14ac:dyDescent="0.3">
      <c r="A71" s="8" t="s">
        <v>43</v>
      </c>
      <c r="B71" s="12">
        <f t="shared" si="24"/>
        <v>139507.53863665872</v>
      </c>
      <c r="C71" s="12">
        <f>(C23/C17)*3</f>
        <v>286809.42800381838</v>
      </c>
      <c r="D71" s="12">
        <f t="shared" si="24"/>
        <v>562512.13933298725</v>
      </c>
      <c r="E71" s="12">
        <f t="shared" si="24"/>
        <v>1499671.2238837921</v>
      </c>
      <c r="F71" s="12" t="s">
        <v>36</v>
      </c>
    </row>
    <row r="72" spans="1:6" ht="16.5" x14ac:dyDescent="0.3">
      <c r="A72" s="8"/>
      <c r="B72" s="12"/>
      <c r="C72" s="12"/>
      <c r="D72" s="12"/>
      <c r="E72" s="12"/>
      <c r="F72" s="12"/>
    </row>
    <row r="73" spans="1:6" ht="17.25" x14ac:dyDescent="0.35">
      <c r="A73" s="7" t="s">
        <v>29</v>
      </c>
      <c r="B73" s="12"/>
      <c r="C73" s="12"/>
      <c r="D73" s="12"/>
      <c r="E73" s="12"/>
      <c r="F73" s="12"/>
    </row>
    <row r="74" spans="1:6" ht="16.5" x14ac:dyDescent="0.3">
      <c r="A74" s="8" t="s">
        <v>30</v>
      </c>
      <c r="B74" s="12">
        <f>(B29/B28)*100</f>
        <v>104.62037430142365</v>
      </c>
      <c r="C74" s="12"/>
      <c r="D74" s="12"/>
      <c r="E74" s="12"/>
      <c r="F74" s="12"/>
    </row>
    <row r="75" spans="1:6" ht="16.5" x14ac:dyDescent="0.3">
      <c r="A75" s="8" t="s">
        <v>31</v>
      </c>
      <c r="B75" s="12">
        <f>(B23/B29)*100</f>
        <v>78.801296297054577</v>
      </c>
      <c r="C75" s="12"/>
      <c r="D75" s="12"/>
      <c r="E75" s="12"/>
      <c r="F75" s="12"/>
    </row>
    <row r="76" spans="1:6" ht="17.25" thickBot="1" x14ac:dyDescent="0.35">
      <c r="A76" s="18"/>
      <c r="B76" s="18"/>
      <c r="C76" s="18"/>
      <c r="D76" s="18"/>
      <c r="E76" s="18"/>
      <c r="F76" s="18"/>
    </row>
    <row r="77" spans="1:6" s="5" customFormat="1" ht="16.5" customHeight="1" thickTop="1" x14ac:dyDescent="0.25">
      <c r="A77" s="23" t="s">
        <v>124</v>
      </c>
      <c r="B77" s="23"/>
      <c r="C77" s="23"/>
      <c r="D77" s="23"/>
      <c r="E77" s="23"/>
      <c r="F77" s="23"/>
    </row>
    <row r="78" spans="1:6" ht="37.5" customHeight="1" x14ac:dyDescent="0.25">
      <c r="A78" s="33" t="s">
        <v>126</v>
      </c>
      <c r="B78" s="33"/>
      <c r="C78" s="33"/>
      <c r="D78" s="33"/>
      <c r="E78" s="33"/>
      <c r="F78" s="33"/>
    </row>
  </sheetData>
  <mergeCells count="5">
    <mergeCell ref="A77:F77"/>
    <mergeCell ref="A9:A10"/>
    <mergeCell ref="B9:B10"/>
    <mergeCell ref="C9:F9"/>
    <mergeCell ref="A78:F78"/>
  </mergeCells>
  <pageMargins left="0.7" right="0.7" top="0.75" bottom="0.75" header="0.3" footer="0.3"/>
  <pageSetup paperSize="9" orientation="portrait" r:id="rId1"/>
  <ignoredErrors>
    <ignoredError sqref="C67:C71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F80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2578125" defaultRowHeight="15" x14ac:dyDescent="0.25"/>
  <cols>
    <col min="1" max="1" width="64.28515625" style="1" customWidth="1"/>
    <col min="2" max="6" width="24.7109375" style="1" customWidth="1"/>
    <col min="7" max="16384" width="11.42578125" style="1"/>
  </cols>
  <sheetData>
    <row r="9" spans="1:6" s="5" customFormat="1" ht="17.25" x14ac:dyDescent="0.25">
      <c r="A9" s="24" t="s">
        <v>0</v>
      </c>
      <c r="B9" s="26" t="s">
        <v>1</v>
      </c>
      <c r="C9" s="28" t="s">
        <v>2</v>
      </c>
      <c r="D9" s="28"/>
      <c r="E9" s="28"/>
      <c r="F9" s="28"/>
    </row>
    <row r="10" spans="1:6" s="4" customFormat="1" ht="69.75" thickBot="1" x14ac:dyDescent="0.3">
      <c r="A10" s="25"/>
      <c r="B10" s="27"/>
      <c r="C10" s="6" t="s">
        <v>39</v>
      </c>
      <c r="D10" s="6" t="s">
        <v>48</v>
      </c>
      <c r="E10" s="6" t="s">
        <v>49</v>
      </c>
      <c r="F10" s="6" t="s">
        <v>50</v>
      </c>
    </row>
    <row r="11" spans="1:6" ht="17.25" thickTop="1" x14ac:dyDescent="0.3">
      <c r="A11" s="8"/>
      <c r="B11" s="8"/>
      <c r="C11" s="8"/>
      <c r="D11" s="8"/>
      <c r="E11" s="8"/>
      <c r="F11" s="8"/>
    </row>
    <row r="12" spans="1:6" ht="17.25" x14ac:dyDescent="0.35">
      <c r="A12" s="7" t="s">
        <v>3</v>
      </c>
      <c r="B12" s="8"/>
      <c r="C12" s="8"/>
      <c r="D12" s="8"/>
      <c r="E12" s="8"/>
      <c r="F12" s="8"/>
    </row>
    <row r="13" spans="1:6" ht="16.5" x14ac:dyDescent="0.3">
      <c r="A13" s="8"/>
      <c r="B13" s="8"/>
      <c r="C13" s="8"/>
      <c r="D13" s="8"/>
      <c r="E13" s="8"/>
      <c r="F13" s="8"/>
    </row>
    <row r="14" spans="1:6" ht="17.25" x14ac:dyDescent="0.35">
      <c r="A14" s="7" t="s">
        <v>4</v>
      </c>
      <c r="B14" s="8"/>
      <c r="C14" s="8"/>
      <c r="D14" s="8"/>
      <c r="E14" s="8"/>
      <c r="F14" s="8"/>
    </row>
    <row r="15" spans="1:6" ht="16.5" x14ac:dyDescent="0.3">
      <c r="A15" s="9" t="s">
        <v>67</v>
      </c>
      <c r="B15" s="10">
        <f>C15+D15+E15+F15</f>
        <v>64304.166666666664</v>
      </c>
      <c r="C15" s="10">
        <f>(+'I Trimestre'!C15+'II trimestre'!C15+'III Trimestre'!C15)</f>
        <v>57266</v>
      </c>
      <c r="D15" s="10">
        <f>(+'I Trimestre'!D15+'II trimestre'!D15+'III Trimestre'!D15)/3</f>
        <v>4207.333333333333</v>
      </c>
      <c r="E15" s="10">
        <f>(+'I Trimestre'!E15+'II trimestre'!E15+'III Trimestre'!E15)/3</f>
        <v>473.66666666666669</v>
      </c>
      <c r="F15" s="10">
        <f>(+'I Trimestre'!F15+'II trimestre'!F15+'III Trimestre'!F15)/2</f>
        <v>2357.1666666666665</v>
      </c>
    </row>
    <row r="16" spans="1:6" ht="16.5" x14ac:dyDescent="0.3">
      <c r="A16" s="9" t="s">
        <v>103</v>
      </c>
      <c r="B16" s="10">
        <f t="shared" ref="B16:B18" si="0">C16+D16+E16+F16</f>
        <v>52820</v>
      </c>
      <c r="C16" s="10">
        <f>(+'I Trimestre'!C16+'II trimestre'!C16+'III Trimestre'!C16)</f>
        <v>45270</v>
      </c>
      <c r="D16" s="10">
        <f>(+'I Trimestre'!D16+'II trimestre'!D16+'III Trimestre'!D16)/3</f>
        <v>3650</v>
      </c>
      <c r="E16" s="10">
        <f>(+'I Trimestre'!E16+'II trimestre'!E16+'III Trimestre'!E16)/3</f>
        <v>460</v>
      </c>
      <c r="F16" s="10">
        <f>(+'I Trimestre'!F16+'II trimestre'!F16+'III Trimestre'!F16)/2</f>
        <v>3440</v>
      </c>
    </row>
    <row r="17" spans="1:6" ht="16.5" x14ac:dyDescent="0.3">
      <c r="A17" s="9" t="s">
        <v>104</v>
      </c>
      <c r="B17" s="10">
        <f t="shared" si="0"/>
        <v>67554.666666666657</v>
      </c>
      <c r="C17" s="10">
        <f>(+'I Trimestre'!C17+'II trimestre'!C17+'III Trimestre'!C17)</f>
        <v>63322</v>
      </c>
      <c r="D17" s="10">
        <f>(+'I Trimestre'!D17+'II trimestre'!D17+'III Trimestre'!D17)/3</f>
        <v>3855.4444444444448</v>
      </c>
      <c r="E17" s="10">
        <f>(+'I Trimestre'!E17+'II trimestre'!E17+'III Trimestre'!E17)/3</f>
        <v>377.22222222222223</v>
      </c>
      <c r="F17" s="10">
        <f>(+'I Trimestre'!F17+'II trimestre'!F17+'III Trimestre'!F17)/2</f>
        <v>0</v>
      </c>
    </row>
    <row r="18" spans="1:6" ht="16.5" x14ac:dyDescent="0.3">
      <c r="A18" s="9" t="s">
        <v>79</v>
      </c>
      <c r="B18" s="10">
        <f t="shared" si="0"/>
        <v>67910</v>
      </c>
      <c r="C18" s="10">
        <f>+'III Trimestre'!C18</f>
        <v>60360</v>
      </c>
      <c r="D18" s="10">
        <f>+'III Trimestre'!D18</f>
        <v>3650</v>
      </c>
      <c r="E18" s="10">
        <f>+'III Trimestre'!E18</f>
        <v>460</v>
      </c>
      <c r="F18" s="10">
        <f>+'III Trimestre'!F18</f>
        <v>3440</v>
      </c>
    </row>
    <row r="19" spans="1:6" ht="16.5" x14ac:dyDescent="0.3">
      <c r="A19" s="8"/>
      <c r="B19" s="10"/>
      <c r="C19" s="10"/>
      <c r="D19" s="10"/>
      <c r="E19" s="10"/>
      <c r="F19" s="10"/>
    </row>
    <row r="20" spans="1:6" ht="17.25" x14ac:dyDescent="0.35">
      <c r="A20" s="11" t="s">
        <v>5</v>
      </c>
      <c r="B20" s="10"/>
      <c r="C20" s="10"/>
      <c r="D20" s="10"/>
      <c r="E20" s="10"/>
      <c r="F20" s="10"/>
    </row>
    <row r="21" spans="1:6" ht="16.5" x14ac:dyDescent="0.3">
      <c r="A21" s="9" t="s">
        <v>67</v>
      </c>
      <c r="B21" s="10">
        <f>SUM(C21:F21)</f>
        <v>9498629885.5599995</v>
      </c>
      <c r="C21" s="10">
        <f>+'I Trimestre'!C21+'II trimestre'!C21+'III Trimestre'!C21</f>
        <v>7208924394.7399998</v>
      </c>
      <c r="D21" s="10">
        <f>+'I Trimestre'!D21+'II trimestre'!D21+'III Trimestre'!D21</f>
        <v>736465576.9000001</v>
      </c>
      <c r="E21" s="10">
        <f>+'I Trimestre'!E21+'II trimestre'!E21+'III Trimestre'!E21</f>
        <v>1495989428.4200001</v>
      </c>
      <c r="F21" s="10">
        <f>+'I Trimestre'!F21+'II trimestre'!F21+'III Trimestre'!F21</f>
        <v>57250485.5</v>
      </c>
    </row>
    <row r="22" spans="1:6" ht="16.5" x14ac:dyDescent="0.3">
      <c r="A22" s="9" t="s">
        <v>103</v>
      </c>
      <c r="B22" s="10">
        <f>SUM(C22:F22)</f>
        <v>11811118944.866283</v>
      </c>
      <c r="C22" s="10">
        <f>+'I Trimestre'!C22+'II trimestre'!C22+'III Trimestre'!C22</f>
        <v>7512436596.1638479</v>
      </c>
      <c r="D22" s="10">
        <f>+'I Trimestre'!D22+'II trimestre'!D22+'III Trimestre'!D22</f>
        <v>2199671353.2149992</v>
      </c>
      <c r="E22" s="10">
        <f>+'I Trimestre'!E22+'II trimestre'!E22+'III Trimestre'!E22</f>
        <v>1746359899.5807691</v>
      </c>
      <c r="F22" s="10">
        <f>+'I Trimestre'!F22+'II trimestre'!F22+'III Trimestre'!F22</f>
        <v>352651095.90666676</v>
      </c>
    </row>
    <row r="23" spans="1:6" ht="16.5" x14ac:dyDescent="0.3">
      <c r="A23" s="9" t="s">
        <v>104</v>
      </c>
      <c r="B23" s="10">
        <f>SUM(C23:F23)</f>
        <v>10920532124.43</v>
      </c>
      <c r="C23" s="10">
        <f>+'I Trimestre'!C23+'II trimestre'!C23+'III Trimestre'!C23</f>
        <v>7189879104.4099998</v>
      </c>
      <c r="D23" s="10">
        <f>+'I Trimestre'!D23+'II trimestre'!D23+'III Trimestre'!D23</f>
        <v>2125988728.5699997</v>
      </c>
      <c r="E23" s="10">
        <f>+'I Trimestre'!E23+'II trimestre'!E23+'III Trimestre'!E23</f>
        <v>1593712328.9300001</v>
      </c>
      <c r="F23" s="10">
        <f>+'I Trimestre'!F23+'II trimestre'!F23+'III Trimestre'!F23</f>
        <v>10951962.52</v>
      </c>
    </row>
    <row r="24" spans="1:6" ht="16.5" x14ac:dyDescent="0.3">
      <c r="A24" s="9" t="s">
        <v>79</v>
      </c>
      <c r="B24" s="10">
        <f>SUM(C24:F24)</f>
        <v>16835688942.000002</v>
      </c>
      <c r="C24" s="10">
        <f>+'III Trimestre'!C24</f>
        <v>10851297305.570004</v>
      </c>
      <c r="D24" s="10">
        <f>+'III Trimestre'!D24</f>
        <v>2932895137.6199989</v>
      </c>
      <c r="E24" s="10">
        <f>+'III Trimestre'!E24</f>
        <v>2522519854.9499993</v>
      </c>
      <c r="F24" s="10">
        <f>+'III Trimestre'!F24</f>
        <v>528976643.86000013</v>
      </c>
    </row>
    <row r="25" spans="1:6" ht="16.5" x14ac:dyDescent="0.3">
      <c r="A25" s="9" t="s">
        <v>105</v>
      </c>
      <c r="B25" s="10">
        <f>C25+D25+E25+F25</f>
        <v>10920532124.43</v>
      </c>
      <c r="C25" s="10">
        <f t="shared" ref="C25:F25" si="1">C23</f>
        <v>7189879104.4099998</v>
      </c>
      <c r="D25" s="10">
        <f t="shared" si="1"/>
        <v>2125988728.5699997</v>
      </c>
      <c r="E25" s="10">
        <f t="shared" si="1"/>
        <v>1593712328.9300001</v>
      </c>
      <c r="F25" s="10">
        <f t="shared" si="1"/>
        <v>10951962.52</v>
      </c>
    </row>
    <row r="26" spans="1:6" ht="16.5" x14ac:dyDescent="0.3">
      <c r="A26" s="8"/>
      <c r="B26" s="10"/>
      <c r="C26" s="10"/>
      <c r="D26" s="10"/>
      <c r="E26" s="10"/>
      <c r="F26" s="10"/>
    </row>
    <row r="27" spans="1:6" ht="17.25" x14ac:dyDescent="0.35">
      <c r="A27" s="7" t="s">
        <v>6</v>
      </c>
      <c r="B27" s="10"/>
      <c r="C27" s="10"/>
      <c r="D27" s="10"/>
      <c r="E27" s="10"/>
      <c r="F27" s="10"/>
    </row>
    <row r="28" spans="1:6" ht="16.5" x14ac:dyDescent="0.3">
      <c r="A28" s="9" t="s">
        <v>103</v>
      </c>
      <c r="B28" s="10">
        <f>'I Trimestre'!B28+'II trimestre'!B28+'III Trimestre'!B28</f>
        <v>11811118944.866283</v>
      </c>
      <c r="C28" s="10"/>
      <c r="D28" s="10"/>
      <c r="E28" s="10"/>
      <c r="F28" s="10"/>
    </row>
    <row r="29" spans="1:6" ht="16.5" x14ac:dyDescent="0.3">
      <c r="A29" s="9" t="s">
        <v>104</v>
      </c>
      <c r="B29" s="10">
        <f>'I Trimestre'!B29+'II trimestre'!B29+'III Trimestre'!B29</f>
        <v>12163299195.25</v>
      </c>
      <c r="C29" s="10"/>
      <c r="D29" s="10"/>
      <c r="E29" s="10"/>
      <c r="F29" s="10"/>
    </row>
    <row r="30" spans="1:6" ht="16.5" x14ac:dyDescent="0.3">
      <c r="A30" s="8"/>
      <c r="B30" s="16"/>
      <c r="C30" s="16"/>
      <c r="D30" s="16"/>
      <c r="E30" s="16"/>
      <c r="F30" s="16"/>
    </row>
    <row r="31" spans="1:6" ht="17.25" x14ac:dyDescent="0.35">
      <c r="A31" s="7" t="s">
        <v>7</v>
      </c>
      <c r="B31" s="16"/>
      <c r="C31" s="16"/>
      <c r="D31" s="16"/>
      <c r="E31" s="16"/>
      <c r="F31" s="16"/>
    </row>
    <row r="32" spans="1:6" ht="16.5" x14ac:dyDescent="0.3">
      <c r="A32" s="9" t="s">
        <v>68</v>
      </c>
      <c r="B32" s="13">
        <v>1.060947463</v>
      </c>
      <c r="C32" s="13">
        <v>1.060947463</v>
      </c>
      <c r="D32" s="13">
        <v>1.060947463</v>
      </c>
      <c r="E32" s="13">
        <v>1.060947463</v>
      </c>
      <c r="F32" s="13">
        <v>1.060947463</v>
      </c>
    </row>
    <row r="33" spans="1:6" ht="16.5" x14ac:dyDescent="0.3">
      <c r="A33" s="9" t="s">
        <v>106</v>
      </c>
      <c r="B33" s="13">
        <v>1.0641</v>
      </c>
      <c r="C33" s="13">
        <v>1.0641</v>
      </c>
      <c r="D33" s="13">
        <v>1.0641</v>
      </c>
      <c r="E33" s="13">
        <v>1.0641</v>
      </c>
      <c r="F33" s="13">
        <v>1.0641</v>
      </c>
    </row>
    <row r="34" spans="1:6" ht="16.5" x14ac:dyDescent="0.3">
      <c r="A34" s="9" t="s">
        <v>8</v>
      </c>
      <c r="B34" s="14" t="s">
        <v>36</v>
      </c>
      <c r="C34" s="14" t="s">
        <v>36</v>
      </c>
      <c r="D34" s="14" t="s">
        <v>36</v>
      </c>
      <c r="E34" s="14" t="s">
        <v>36</v>
      </c>
      <c r="F34" s="14" t="s">
        <v>36</v>
      </c>
    </row>
    <row r="35" spans="1:6" ht="16.5" x14ac:dyDescent="0.3">
      <c r="A35" s="8"/>
      <c r="B35" s="16"/>
      <c r="C35" s="16"/>
      <c r="D35" s="16"/>
      <c r="E35" s="16"/>
      <c r="F35" s="16"/>
    </row>
    <row r="36" spans="1:6" ht="17.25" x14ac:dyDescent="0.35">
      <c r="A36" s="7" t="s">
        <v>9</v>
      </c>
      <c r="B36" s="16"/>
      <c r="C36" s="16"/>
      <c r="D36" s="16"/>
      <c r="E36" s="16"/>
      <c r="F36" s="16"/>
    </row>
    <row r="37" spans="1:6" ht="16.5" x14ac:dyDescent="0.3">
      <c r="A37" s="9" t="s">
        <v>69</v>
      </c>
      <c r="B37" s="17">
        <f>B21/B32</f>
        <v>8952969130.7249966</v>
      </c>
      <c r="C37" s="17">
        <f t="shared" ref="C37:E37" si="2">C21/C32</f>
        <v>6794798655.114933</v>
      </c>
      <c r="D37" s="17">
        <f>D21/D32</f>
        <v>694158384.44773221</v>
      </c>
      <c r="E37" s="17">
        <f t="shared" si="2"/>
        <v>1410050431.8940063</v>
      </c>
      <c r="F37" s="17">
        <f t="shared" ref="F37" si="3">F21/F32</f>
        <v>53961659.26832515</v>
      </c>
    </row>
    <row r="38" spans="1:6" ht="16.5" x14ac:dyDescent="0.3">
      <c r="A38" s="9" t="s">
        <v>107</v>
      </c>
      <c r="B38" s="17">
        <f>B23/B33</f>
        <v>10262693472.822104</v>
      </c>
      <c r="C38" s="17">
        <f t="shared" ref="C38:E38" si="4">C23/C33</f>
        <v>6756770138.5302134</v>
      </c>
      <c r="D38" s="17">
        <f>D23/D33</f>
        <v>1997921932.6848977</v>
      </c>
      <c r="E38" s="17">
        <f t="shared" si="4"/>
        <v>1497709171.0647495</v>
      </c>
      <c r="F38" s="17">
        <f t="shared" ref="F38" si="5">F23/F33</f>
        <v>10292230.54224227</v>
      </c>
    </row>
    <row r="39" spans="1:6" ht="16.5" x14ac:dyDescent="0.3">
      <c r="A39" s="9" t="s">
        <v>70</v>
      </c>
      <c r="B39" s="10">
        <f>B37/B15</f>
        <v>139228.44497984834</v>
      </c>
      <c r="C39" s="10">
        <f t="shared" ref="C39:E39" si="6">C37/C15</f>
        <v>118653.27864902269</v>
      </c>
      <c r="D39" s="10">
        <f>D37/D15</f>
        <v>164987.73200310543</v>
      </c>
      <c r="E39" s="10">
        <f t="shared" si="6"/>
        <v>2976883.3889387888</v>
      </c>
      <c r="F39" s="10">
        <f t="shared" ref="F39" si="7">F37/F15</f>
        <v>22892.593905815662</v>
      </c>
    </row>
    <row r="40" spans="1:6" ht="16.5" x14ac:dyDescent="0.3">
      <c r="A40" s="9" t="s">
        <v>108</v>
      </c>
      <c r="B40" s="10">
        <f>B38/B17</f>
        <v>151916.86939202974</v>
      </c>
      <c r="C40" s="10">
        <f t="shared" ref="C40:E40" si="8">C38/C17</f>
        <v>106704.93886058895</v>
      </c>
      <c r="D40" s="10">
        <f>D38/D17</f>
        <v>518207.94242381846</v>
      </c>
      <c r="E40" s="10">
        <f t="shared" si="8"/>
        <v>3970363.0455324729</v>
      </c>
      <c r="F40" s="10" t="s">
        <v>36</v>
      </c>
    </row>
    <row r="41" spans="1:6" ht="16.5" x14ac:dyDescent="0.3">
      <c r="A41" s="8"/>
      <c r="B41" s="16"/>
      <c r="C41" s="16"/>
      <c r="D41" s="16"/>
      <c r="E41" s="16"/>
      <c r="F41" s="16"/>
    </row>
    <row r="42" spans="1:6" ht="17.25" x14ac:dyDescent="0.35">
      <c r="A42" s="7" t="s">
        <v>10</v>
      </c>
      <c r="B42" s="16"/>
      <c r="C42" s="16"/>
      <c r="D42" s="16"/>
      <c r="E42" s="16"/>
      <c r="F42" s="16"/>
    </row>
    <row r="43" spans="1:6" ht="16.5" x14ac:dyDescent="0.3">
      <c r="A43" s="8"/>
      <c r="B43" s="16"/>
      <c r="C43" s="16"/>
      <c r="D43" s="16"/>
      <c r="E43" s="16"/>
      <c r="F43" s="16"/>
    </row>
    <row r="44" spans="1:6" ht="17.25" x14ac:dyDescent="0.35">
      <c r="A44" s="7" t="s">
        <v>11</v>
      </c>
      <c r="B44" s="16"/>
      <c r="C44" s="16"/>
      <c r="D44" s="16"/>
      <c r="E44" s="16"/>
      <c r="F44" s="16"/>
    </row>
    <row r="45" spans="1:6" ht="16.5" x14ac:dyDescent="0.3">
      <c r="A45" s="8" t="s">
        <v>12</v>
      </c>
      <c r="B45" s="30" t="s">
        <v>35</v>
      </c>
      <c r="C45" s="30" t="s">
        <v>35</v>
      </c>
      <c r="D45" s="30" t="s">
        <v>35</v>
      </c>
      <c r="E45" s="30" t="s">
        <v>35</v>
      </c>
      <c r="F45" s="30" t="s">
        <v>35</v>
      </c>
    </row>
    <row r="46" spans="1:6" ht="16.5" x14ac:dyDescent="0.3">
      <c r="A46" s="8" t="s">
        <v>13</v>
      </c>
      <c r="B46" s="30" t="s">
        <v>35</v>
      </c>
      <c r="C46" s="30" t="s">
        <v>35</v>
      </c>
      <c r="D46" s="30" t="s">
        <v>35</v>
      </c>
      <c r="E46" s="30" t="s">
        <v>35</v>
      </c>
      <c r="F46" s="30" t="s">
        <v>35</v>
      </c>
    </row>
    <row r="47" spans="1:6" ht="16.5" x14ac:dyDescent="0.3">
      <c r="A47" s="8"/>
      <c r="B47" s="16"/>
      <c r="C47" s="16"/>
      <c r="D47" s="16"/>
      <c r="E47" s="16"/>
      <c r="F47" s="16"/>
    </row>
    <row r="48" spans="1:6" ht="17.25" x14ac:dyDescent="0.35">
      <c r="A48" s="7" t="s">
        <v>14</v>
      </c>
      <c r="B48" s="16"/>
      <c r="C48" s="16"/>
      <c r="D48" s="16"/>
      <c r="E48" s="16"/>
      <c r="F48" s="16"/>
    </row>
    <row r="49" spans="1:6" ht="16.5" x14ac:dyDescent="0.3">
      <c r="A49" s="8" t="s">
        <v>15</v>
      </c>
      <c r="B49" s="12">
        <f t="shared" ref="B49:F49" si="9">B17/B16*100</f>
        <v>127.89599899028144</v>
      </c>
      <c r="C49" s="12">
        <f t="shared" si="9"/>
        <v>139.8762977689419</v>
      </c>
      <c r="D49" s="12">
        <f t="shared" si="9"/>
        <v>105.62861491628617</v>
      </c>
      <c r="E49" s="12">
        <f t="shared" si="9"/>
        <v>82.004830917874401</v>
      </c>
      <c r="F49" s="12">
        <f t="shared" si="9"/>
        <v>0</v>
      </c>
    </row>
    <row r="50" spans="1:6" ht="16.5" x14ac:dyDescent="0.3">
      <c r="A50" s="8" t="s">
        <v>16</v>
      </c>
      <c r="B50" s="12">
        <f t="shared" ref="B50:F50" si="10">B23/B22*100</f>
        <v>92.459759108400334</v>
      </c>
      <c r="C50" s="12">
        <f t="shared" si="10"/>
        <v>95.706353223419427</v>
      </c>
      <c r="D50" s="12">
        <f t="shared" si="10"/>
        <v>96.650289392671937</v>
      </c>
      <c r="E50" s="12">
        <f t="shared" si="10"/>
        <v>91.259100103740735</v>
      </c>
      <c r="F50" s="12">
        <f t="shared" si="10"/>
        <v>3.1056085312431767</v>
      </c>
    </row>
    <row r="51" spans="1:6" ht="16.5" x14ac:dyDescent="0.3">
      <c r="A51" s="8" t="s">
        <v>17</v>
      </c>
      <c r="B51" s="12">
        <f t="shared" ref="B51:F51" si="11">AVERAGE(B49:B50)</f>
        <v>110.17787904934089</v>
      </c>
      <c r="C51" s="12">
        <f t="shared" si="11"/>
        <v>117.79132549618066</v>
      </c>
      <c r="D51" s="12">
        <f t="shared" si="11"/>
        <v>101.13945215447905</v>
      </c>
      <c r="E51" s="12">
        <f t="shared" si="11"/>
        <v>86.631965510807561</v>
      </c>
      <c r="F51" s="12">
        <f t="shared" si="11"/>
        <v>1.5528042656215884</v>
      </c>
    </row>
    <row r="52" spans="1:6" ht="16.5" x14ac:dyDescent="0.3">
      <c r="A52" s="8"/>
      <c r="B52" s="12"/>
      <c r="C52" s="12"/>
      <c r="D52" s="12"/>
      <c r="E52" s="12"/>
      <c r="F52" s="12"/>
    </row>
    <row r="53" spans="1:6" ht="17.25" x14ac:dyDescent="0.35">
      <c r="A53" s="7" t="s">
        <v>18</v>
      </c>
      <c r="B53" s="12"/>
      <c r="C53" s="12"/>
      <c r="D53" s="12"/>
      <c r="E53" s="12"/>
      <c r="F53" s="12"/>
    </row>
    <row r="54" spans="1:6" ht="16.5" x14ac:dyDescent="0.3">
      <c r="A54" s="8" t="s">
        <v>19</v>
      </c>
      <c r="B54" s="12">
        <f>B17/(B18)*100</f>
        <v>99.476758454817642</v>
      </c>
      <c r="C54" s="12">
        <f t="shared" ref="C54:F54" si="12">C17/(C18)*100</f>
        <v>104.90722332670643</v>
      </c>
      <c r="D54" s="12">
        <f t="shared" si="12"/>
        <v>105.62861491628617</v>
      </c>
      <c r="E54" s="12">
        <f t="shared" si="12"/>
        <v>82.004830917874401</v>
      </c>
      <c r="F54" s="12">
        <f t="shared" si="12"/>
        <v>0</v>
      </c>
    </row>
    <row r="55" spans="1:6" ht="16.5" x14ac:dyDescent="0.3">
      <c r="A55" s="8" t="s">
        <v>20</v>
      </c>
      <c r="B55" s="12">
        <f>B23/B24*100</f>
        <v>64.865371188859072</v>
      </c>
      <c r="C55" s="12">
        <f t="shared" ref="C55:F55" si="13">C23/C24*100</f>
        <v>66.258244539290374</v>
      </c>
      <c r="D55" s="12">
        <f t="shared" si="13"/>
        <v>72.487717044503952</v>
      </c>
      <c r="E55" s="12">
        <f t="shared" si="13"/>
        <v>63.179376994897439</v>
      </c>
      <c r="F55" s="12">
        <f t="shared" si="13"/>
        <v>2.0704056874954508</v>
      </c>
    </row>
    <row r="56" spans="1:6" ht="16.5" x14ac:dyDescent="0.3">
      <c r="A56" s="8" t="s">
        <v>21</v>
      </c>
      <c r="B56" s="12">
        <f>(B54+B55)/2</f>
        <v>82.171064821838357</v>
      </c>
      <c r="C56" s="12">
        <f t="shared" ref="C56:F56" si="14">(C54+C55)/2</f>
        <v>85.582733932998394</v>
      </c>
      <c r="D56" s="12">
        <f t="shared" si="14"/>
        <v>89.05816598039506</v>
      </c>
      <c r="E56" s="12">
        <f t="shared" si="14"/>
        <v>72.592103956385927</v>
      </c>
      <c r="F56" s="12">
        <f t="shared" si="14"/>
        <v>1.0352028437477254</v>
      </c>
    </row>
    <row r="57" spans="1:6" ht="16.5" x14ac:dyDescent="0.3">
      <c r="A57" s="8"/>
      <c r="B57" s="12"/>
      <c r="C57" s="12"/>
      <c r="D57" s="12"/>
      <c r="E57" s="12"/>
      <c r="F57" s="12"/>
    </row>
    <row r="58" spans="1:6" ht="17.25" x14ac:dyDescent="0.35">
      <c r="A58" s="7" t="s">
        <v>32</v>
      </c>
      <c r="B58" s="12"/>
      <c r="C58" s="12"/>
      <c r="D58" s="12"/>
      <c r="E58" s="12"/>
      <c r="F58" s="12"/>
    </row>
    <row r="59" spans="1:6" ht="16.5" x14ac:dyDescent="0.3">
      <c r="A59" s="8" t="s">
        <v>22</v>
      </c>
      <c r="B59" s="12">
        <f>B25/B23*100</f>
        <v>100</v>
      </c>
      <c r="C59" s="12"/>
      <c r="D59" s="12"/>
      <c r="E59" s="12"/>
      <c r="F59" s="12"/>
    </row>
    <row r="60" spans="1:6" ht="16.5" x14ac:dyDescent="0.3">
      <c r="A60" s="8"/>
      <c r="B60" s="12"/>
      <c r="C60" s="12"/>
      <c r="D60" s="12"/>
      <c r="E60" s="12"/>
      <c r="F60" s="12"/>
    </row>
    <row r="61" spans="1:6" ht="17.25" x14ac:dyDescent="0.35">
      <c r="A61" s="7" t="s">
        <v>23</v>
      </c>
      <c r="B61" s="12"/>
      <c r="C61" s="12"/>
      <c r="D61" s="12"/>
      <c r="E61" s="12"/>
      <c r="F61" s="12"/>
    </row>
    <row r="62" spans="1:6" ht="16.5" x14ac:dyDescent="0.3">
      <c r="A62" s="8" t="s">
        <v>24</v>
      </c>
      <c r="B62" s="12">
        <f>((B17/B15)-1)*100</f>
        <v>5.0548823948681321</v>
      </c>
      <c r="C62" s="12">
        <f t="shared" ref="C62:E62" si="15">((C17/C15)-1)*100</f>
        <v>10.57521042154157</v>
      </c>
      <c r="D62" s="12">
        <f>((D17/D15)-1)*100</f>
        <v>-8.363703586330729</v>
      </c>
      <c r="E62" s="12">
        <f t="shared" si="15"/>
        <v>-20.361247947454842</v>
      </c>
      <c r="F62" s="12">
        <f t="shared" ref="F62" si="16">((F17/F15)-1)*100</f>
        <v>-100</v>
      </c>
    </row>
    <row r="63" spans="1:6" ht="16.5" x14ac:dyDescent="0.3">
      <c r="A63" s="8" t="s">
        <v>25</v>
      </c>
      <c r="B63" s="12">
        <f>((B38/B37)-1)*100</f>
        <v>14.628938433422789</v>
      </c>
      <c r="C63" s="12">
        <f t="shared" ref="C63:E63" si="17">((C38/C37)-1)*100</f>
        <v>-0.5596709853366022</v>
      </c>
      <c r="D63" s="12">
        <f>((D38/D37)-1)*100</f>
        <v>187.81931868105738</v>
      </c>
      <c r="E63" s="12">
        <f t="shared" si="17"/>
        <v>6.2167095011629092</v>
      </c>
      <c r="F63" s="12">
        <f t="shared" ref="F63" si="18">((F38/F37)-1)*100</f>
        <v>-80.926771560036727</v>
      </c>
    </row>
    <row r="64" spans="1:6" ht="16.5" x14ac:dyDescent="0.3">
      <c r="A64" s="8" t="s">
        <v>26</v>
      </c>
      <c r="B64" s="12">
        <f>((B40/B39)-1)*100</f>
        <v>9.1133851376548058</v>
      </c>
      <c r="C64" s="12">
        <f t="shared" ref="C64:E64" si="19">((C40/C39)-1)*100</f>
        <v>-10.069961761256518</v>
      </c>
      <c r="D64" s="12">
        <f>((D40/D39)-1)*100</f>
        <v>214.08877262102413</v>
      </c>
      <c r="E64" s="12">
        <f t="shared" si="19"/>
        <v>33.373146569501458</v>
      </c>
      <c r="F64" s="12" t="s">
        <v>36</v>
      </c>
    </row>
    <row r="65" spans="1:6" ht="16.5" x14ac:dyDescent="0.3">
      <c r="A65" s="8"/>
      <c r="B65" s="12"/>
      <c r="C65" s="12"/>
      <c r="D65" s="12"/>
      <c r="E65" s="12"/>
      <c r="F65" s="12"/>
    </row>
    <row r="66" spans="1:6" ht="17.25" x14ac:dyDescent="0.35">
      <c r="A66" s="7" t="s">
        <v>27</v>
      </c>
      <c r="B66" s="12"/>
      <c r="C66" s="12"/>
      <c r="D66" s="12"/>
      <c r="E66" s="12"/>
      <c r="F66" s="12"/>
    </row>
    <row r="67" spans="1:6" ht="16.5" x14ac:dyDescent="0.3">
      <c r="A67" s="8" t="s">
        <v>40</v>
      </c>
      <c r="B67" s="12">
        <f>B22/(B16*9)</f>
        <v>24845.63705849275</v>
      </c>
      <c r="C67" s="12">
        <f>C22/C16</f>
        <v>165947.35136213491</v>
      </c>
      <c r="D67" s="12">
        <f t="shared" ref="D67:E67" si="20">D22/(D16*9)</f>
        <v>66961.07620136984</v>
      </c>
      <c r="E67" s="12">
        <f t="shared" si="20"/>
        <v>421826.06270066887</v>
      </c>
      <c r="F67" s="12">
        <f>F22/(F16*5)</f>
        <v>20502.970692248065</v>
      </c>
    </row>
    <row r="68" spans="1:6" ht="16.5" x14ac:dyDescent="0.3">
      <c r="A68" s="8" t="s">
        <v>41</v>
      </c>
      <c r="B68" s="12">
        <f>B23/(B17*9)</f>
        <v>17961.637857784317</v>
      </c>
      <c r="C68" s="12">
        <f>C23/C17</f>
        <v>113544.7254415527</v>
      </c>
      <c r="D68" s="12">
        <f t="shared" ref="D68:E68" si="21">D23/(D17*9)</f>
        <v>61269.452392576146</v>
      </c>
      <c r="E68" s="12">
        <f t="shared" si="21"/>
        <v>469429.25741678942</v>
      </c>
      <c r="F68" s="12" t="s">
        <v>36</v>
      </c>
    </row>
    <row r="69" spans="1:6" ht="16.5" x14ac:dyDescent="0.3">
      <c r="A69" s="8" t="s">
        <v>28</v>
      </c>
      <c r="B69" s="12">
        <f>(B68/B67)*B51</f>
        <v>79.650811881539909</v>
      </c>
      <c r="C69" s="12">
        <f t="shared" ref="C69:E69" si="22">(C68/C67)*C51</f>
        <v>80.595343059582873</v>
      </c>
      <c r="D69" s="12">
        <f t="shared" si="22"/>
        <v>92.54270092904089</v>
      </c>
      <c r="E69" s="12">
        <f t="shared" si="22"/>
        <v>96.408408190636948</v>
      </c>
      <c r="F69" s="12" t="s">
        <v>36</v>
      </c>
    </row>
    <row r="70" spans="1:6" ht="16.5" x14ac:dyDescent="0.3">
      <c r="A70" s="8" t="s">
        <v>46</v>
      </c>
      <c r="B70" s="12">
        <f t="shared" ref="B70:F71" si="23">B22/B16</f>
        <v>223610.73352643475</v>
      </c>
      <c r="C70" s="12">
        <f>(C22/C16)*9</f>
        <v>1493526.1622592141</v>
      </c>
      <c r="D70" s="12">
        <f t="shared" si="23"/>
        <v>602649.68581232859</v>
      </c>
      <c r="E70" s="12">
        <f t="shared" si="23"/>
        <v>3796434.5643060198</v>
      </c>
      <c r="F70" s="12">
        <f t="shared" si="23"/>
        <v>102514.85346124033</v>
      </c>
    </row>
    <row r="71" spans="1:6" ht="16.5" x14ac:dyDescent="0.3">
      <c r="A71" s="8" t="s">
        <v>47</v>
      </c>
      <c r="B71" s="12">
        <f t="shared" si="23"/>
        <v>161654.74072005885</v>
      </c>
      <c r="C71" s="12">
        <f>(C23/C17)*9</f>
        <v>1021902.5289739743</v>
      </c>
      <c r="D71" s="12">
        <f t="shared" si="23"/>
        <v>551425.07153318531</v>
      </c>
      <c r="E71" s="12">
        <f t="shared" si="23"/>
        <v>4224863.3167511048</v>
      </c>
      <c r="F71" s="12" t="s">
        <v>36</v>
      </c>
    </row>
    <row r="72" spans="1:6" ht="16.5" x14ac:dyDescent="0.3">
      <c r="A72" s="8"/>
      <c r="B72" s="12"/>
      <c r="C72" s="12"/>
      <c r="D72" s="12"/>
      <c r="E72" s="12"/>
      <c r="F72" s="12"/>
    </row>
    <row r="73" spans="1:6" ht="17.25" x14ac:dyDescent="0.35">
      <c r="A73" s="7" t="s">
        <v>29</v>
      </c>
      <c r="B73" s="12"/>
      <c r="C73" s="12"/>
      <c r="D73" s="12"/>
      <c r="E73" s="12"/>
      <c r="F73" s="12"/>
    </row>
    <row r="74" spans="1:6" ht="16.5" x14ac:dyDescent="0.3">
      <c r="A74" s="8" t="s">
        <v>30</v>
      </c>
      <c r="B74" s="12">
        <f>(B29/B28)*100</f>
        <v>102.98176872172465</v>
      </c>
      <c r="C74" s="12"/>
      <c r="D74" s="12"/>
      <c r="E74" s="12"/>
      <c r="F74" s="12"/>
    </row>
    <row r="75" spans="1:6" ht="16.5" x14ac:dyDescent="0.3">
      <c r="A75" s="8" t="s">
        <v>31</v>
      </c>
      <c r="B75" s="12">
        <f>(B23/B29)*100</f>
        <v>89.782648187217802</v>
      </c>
      <c r="C75" s="12"/>
      <c r="D75" s="12"/>
      <c r="E75" s="12"/>
      <c r="F75" s="12"/>
    </row>
    <row r="76" spans="1:6" ht="17.25" thickBot="1" x14ac:dyDescent="0.35">
      <c r="A76" s="18"/>
      <c r="B76" s="18"/>
      <c r="C76" s="18"/>
      <c r="D76" s="18"/>
      <c r="E76" s="18"/>
      <c r="F76" s="18"/>
    </row>
    <row r="77" spans="1:6" s="5" customFormat="1" ht="16.5" customHeight="1" thickTop="1" x14ac:dyDescent="0.25">
      <c r="A77" s="23" t="s">
        <v>125</v>
      </c>
      <c r="B77" s="23"/>
      <c r="C77" s="23"/>
      <c r="D77" s="23"/>
      <c r="E77" s="23"/>
      <c r="F77" s="23"/>
    </row>
    <row r="78" spans="1:6" x14ac:dyDescent="0.25">
      <c r="A78" s="3"/>
    </row>
    <row r="79" spans="1:6" x14ac:dyDescent="0.25">
      <c r="A79" s="3"/>
    </row>
    <row r="80" spans="1:6" x14ac:dyDescent="0.25">
      <c r="A80" s="3"/>
    </row>
  </sheetData>
  <mergeCells count="4">
    <mergeCell ref="A77:F77"/>
    <mergeCell ref="A9:A10"/>
    <mergeCell ref="B9:B10"/>
    <mergeCell ref="C9:F9"/>
  </mergeCells>
  <pageMargins left="0.7" right="0.7" top="0.75" bottom="0.75" header="0.3" footer="0.3"/>
  <ignoredErrors>
    <ignoredError sqref="C67:C71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G79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2578125" defaultRowHeight="15" x14ac:dyDescent="0.25"/>
  <cols>
    <col min="1" max="1" width="64.28515625" style="1" customWidth="1"/>
    <col min="2" max="7" width="24.7109375" style="1" customWidth="1"/>
    <col min="8" max="16384" width="11.42578125" style="1"/>
  </cols>
  <sheetData>
    <row r="8" spans="1:7" ht="17.25" customHeight="1" x14ac:dyDescent="0.25"/>
    <row r="9" spans="1:7" s="5" customFormat="1" ht="17.25" x14ac:dyDescent="0.3">
      <c r="A9" s="24" t="s">
        <v>0</v>
      </c>
      <c r="B9" s="26" t="s">
        <v>1</v>
      </c>
      <c r="C9" s="28" t="s">
        <v>2</v>
      </c>
      <c r="D9" s="28"/>
      <c r="E9" s="28"/>
      <c r="F9" s="28"/>
      <c r="G9" s="8"/>
    </row>
    <row r="10" spans="1:7" s="4" customFormat="1" ht="69.75" thickBot="1" x14ac:dyDescent="0.3">
      <c r="A10" s="25"/>
      <c r="B10" s="27"/>
      <c r="C10" s="6" t="s">
        <v>39</v>
      </c>
      <c r="D10" s="6" t="s">
        <v>48</v>
      </c>
      <c r="E10" s="6" t="s">
        <v>49</v>
      </c>
      <c r="F10" s="6" t="s">
        <v>50</v>
      </c>
      <c r="G10" s="6" t="s">
        <v>109</v>
      </c>
    </row>
    <row r="11" spans="1:7" ht="17.25" thickTop="1" x14ac:dyDescent="0.3">
      <c r="A11" s="8"/>
      <c r="B11" s="8"/>
      <c r="C11" s="8"/>
      <c r="D11" s="8"/>
      <c r="E11" s="8"/>
      <c r="F11" s="8"/>
      <c r="G11" s="8"/>
    </row>
    <row r="12" spans="1:7" ht="17.25" x14ac:dyDescent="0.35">
      <c r="A12" s="7" t="s">
        <v>3</v>
      </c>
      <c r="B12" s="8"/>
      <c r="C12" s="8"/>
      <c r="D12" s="8"/>
      <c r="E12" s="8"/>
      <c r="F12" s="8"/>
      <c r="G12" s="8"/>
    </row>
    <row r="13" spans="1:7" ht="16.5" x14ac:dyDescent="0.3">
      <c r="A13" s="8"/>
      <c r="B13" s="8"/>
      <c r="C13" s="8"/>
      <c r="D13" s="8"/>
      <c r="E13" s="8"/>
      <c r="F13" s="8"/>
      <c r="G13" s="8"/>
    </row>
    <row r="14" spans="1:7" ht="17.25" x14ac:dyDescent="0.35">
      <c r="A14" s="7" t="s">
        <v>4</v>
      </c>
      <c r="B14" s="8"/>
      <c r="C14" s="8"/>
      <c r="D14" s="8"/>
      <c r="E14" s="8"/>
      <c r="F14" s="8"/>
      <c r="G14" s="8"/>
    </row>
    <row r="15" spans="1:7" ht="16.5" x14ac:dyDescent="0.3">
      <c r="A15" s="9" t="s">
        <v>71</v>
      </c>
      <c r="B15" s="10">
        <f>C15+D15+E15+F15+G15</f>
        <v>28683.333333333332</v>
      </c>
      <c r="C15" s="10">
        <v>20219</v>
      </c>
      <c r="D15" s="10">
        <v>4610</v>
      </c>
      <c r="E15" s="10">
        <v>591.33333333333337</v>
      </c>
      <c r="F15" s="10">
        <v>3263</v>
      </c>
      <c r="G15" s="19">
        <v>0</v>
      </c>
    </row>
    <row r="16" spans="1:7" ht="16.5" x14ac:dyDescent="0.3">
      <c r="A16" s="9" t="s">
        <v>110</v>
      </c>
      <c r="B16" s="10">
        <f t="shared" ref="B16:B18" si="0">C16+D16+E16+F16+G16</f>
        <v>23389</v>
      </c>
      <c r="C16" s="10">
        <v>19119</v>
      </c>
      <c r="D16" s="10">
        <v>1910</v>
      </c>
      <c r="E16" s="10">
        <v>460</v>
      </c>
      <c r="F16" s="10">
        <v>0</v>
      </c>
      <c r="G16" s="19">
        <v>1900</v>
      </c>
    </row>
    <row r="17" spans="1:7" ht="16.5" x14ac:dyDescent="0.3">
      <c r="A17" s="9" t="s">
        <v>111</v>
      </c>
      <c r="B17" s="10">
        <f t="shared" si="0"/>
        <v>27434.333333333332</v>
      </c>
      <c r="C17" s="10">
        <v>23249</v>
      </c>
      <c r="D17" s="10">
        <v>1929</v>
      </c>
      <c r="E17" s="10">
        <v>356.33333333333331</v>
      </c>
      <c r="F17" s="10">
        <v>0</v>
      </c>
      <c r="G17" s="19">
        <v>1900</v>
      </c>
    </row>
    <row r="18" spans="1:7" ht="16.5" x14ac:dyDescent="0.3">
      <c r="A18" s="9" t="s">
        <v>79</v>
      </c>
      <c r="B18" s="10">
        <f t="shared" si="0"/>
        <v>69964</v>
      </c>
      <c r="C18" s="10">
        <v>64389</v>
      </c>
      <c r="D18" s="10">
        <v>3215</v>
      </c>
      <c r="E18" s="10">
        <v>460</v>
      </c>
      <c r="F18" s="10">
        <v>0</v>
      </c>
      <c r="G18" s="19">
        <v>1900</v>
      </c>
    </row>
    <row r="19" spans="1:7" ht="16.5" x14ac:dyDescent="0.3">
      <c r="A19" s="8"/>
      <c r="B19" s="10"/>
      <c r="C19" s="10"/>
      <c r="D19" s="10"/>
      <c r="E19" s="10"/>
      <c r="F19" s="10"/>
      <c r="G19" s="19"/>
    </row>
    <row r="20" spans="1:7" ht="17.25" x14ac:dyDescent="0.35">
      <c r="A20" s="11" t="s">
        <v>5</v>
      </c>
      <c r="B20" s="10"/>
      <c r="C20" s="10"/>
      <c r="D20" s="10"/>
      <c r="E20" s="10"/>
      <c r="F20" s="10"/>
      <c r="G20" s="19"/>
    </row>
    <row r="21" spans="1:7" ht="16.5" x14ac:dyDescent="0.3">
      <c r="A21" s="9" t="s">
        <v>71</v>
      </c>
      <c r="B21" s="10">
        <f>SUM(C21:G21)</f>
        <v>4083976882.6200004</v>
      </c>
      <c r="C21" s="10">
        <v>2803448194.3500004</v>
      </c>
      <c r="D21" s="10">
        <v>334482814.85000002</v>
      </c>
      <c r="E21" s="10">
        <v>600570389.19000006</v>
      </c>
      <c r="F21" s="10">
        <v>345475484.23000002</v>
      </c>
      <c r="G21" s="19">
        <v>0</v>
      </c>
    </row>
    <row r="22" spans="1:7" ht="16.5" x14ac:dyDescent="0.3">
      <c r="A22" s="9" t="s">
        <v>110</v>
      </c>
      <c r="B22" s="10">
        <f t="shared" ref="B22:B25" si="1">SUM(C22:G22)</f>
        <v>5367076032.1803856</v>
      </c>
      <c r="C22" s="10">
        <v>3338860709.4061546</v>
      </c>
      <c r="D22" s="10">
        <v>733223784.40499973</v>
      </c>
      <c r="E22" s="10">
        <v>776159955.36923075</v>
      </c>
      <c r="F22" s="10">
        <v>6179283</v>
      </c>
      <c r="G22" s="19">
        <v>512652300</v>
      </c>
    </row>
    <row r="23" spans="1:7" ht="16.5" x14ac:dyDescent="0.3">
      <c r="A23" s="9" t="s">
        <v>111</v>
      </c>
      <c r="B23" s="10">
        <f t="shared" si="1"/>
        <v>4465152731.1700001</v>
      </c>
      <c r="C23" s="10">
        <v>2784732817.79</v>
      </c>
      <c r="D23" s="10">
        <v>710179922.14999998</v>
      </c>
      <c r="E23" s="10">
        <v>617295637.11000001</v>
      </c>
      <c r="F23" s="10">
        <v>0</v>
      </c>
      <c r="G23" s="19">
        <v>352944354.12</v>
      </c>
    </row>
    <row r="24" spans="1:7" ht="16.5" x14ac:dyDescent="0.3">
      <c r="A24" s="9" t="s">
        <v>79</v>
      </c>
      <c r="B24" s="10">
        <f t="shared" si="1"/>
        <v>16835689567.160004</v>
      </c>
      <c r="C24" s="10">
        <v>10851297305.570004</v>
      </c>
      <c r="D24" s="10">
        <v>2932895137.6199989</v>
      </c>
      <c r="E24" s="10">
        <v>2522519854.9499998</v>
      </c>
      <c r="F24" s="10">
        <v>16324969.02</v>
      </c>
      <c r="G24" s="19">
        <v>512652300</v>
      </c>
    </row>
    <row r="25" spans="1:7" ht="16.5" x14ac:dyDescent="0.3">
      <c r="A25" s="9" t="s">
        <v>112</v>
      </c>
      <c r="B25" s="10">
        <f t="shared" si="1"/>
        <v>4465152731.1700001</v>
      </c>
      <c r="C25" s="10">
        <f>+C23</f>
        <v>2784732817.79</v>
      </c>
      <c r="D25" s="10">
        <f t="shared" ref="D25:G25" si="2">+D23</f>
        <v>710179922.14999998</v>
      </c>
      <c r="E25" s="10">
        <f t="shared" si="2"/>
        <v>617295637.11000001</v>
      </c>
      <c r="F25" s="10">
        <f t="shared" si="2"/>
        <v>0</v>
      </c>
      <c r="G25" s="10">
        <f t="shared" si="2"/>
        <v>352944354.12</v>
      </c>
    </row>
    <row r="26" spans="1:7" ht="16.5" x14ac:dyDescent="0.3">
      <c r="A26" s="8"/>
      <c r="B26" s="10"/>
      <c r="C26" s="10"/>
      <c r="D26" s="10"/>
      <c r="E26" s="10"/>
      <c r="F26" s="10"/>
      <c r="G26" s="19"/>
    </row>
    <row r="27" spans="1:7" ht="17.25" x14ac:dyDescent="0.35">
      <c r="A27" s="15" t="s">
        <v>6</v>
      </c>
      <c r="B27" s="10"/>
      <c r="C27" s="10"/>
      <c r="D27" s="10"/>
      <c r="E27" s="10"/>
      <c r="F27" s="10"/>
      <c r="G27" s="19"/>
    </row>
    <row r="28" spans="1:7" ht="16.5" x14ac:dyDescent="0.3">
      <c r="A28" s="9" t="s">
        <v>110</v>
      </c>
      <c r="B28" s="10">
        <f>B22</f>
        <v>5367076032.1803856</v>
      </c>
      <c r="C28" s="10"/>
      <c r="D28" s="10"/>
      <c r="E28" s="10"/>
      <c r="F28" s="10"/>
      <c r="G28" s="19"/>
    </row>
    <row r="29" spans="1:7" ht="16.5" x14ac:dyDescent="0.3">
      <c r="A29" s="9" t="s">
        <v>111</v>
      </c>
      <c r="B29" s="10">
        <v>3932966426.9699998</v>
      </c>
      <c r="C29" s="10"/>
      <c r="D29" s="10"/>
      <c r="E29" s="10"/>
      <c r="F29" s="10"/>
      <c r="G29" s="19"/>
    </row>
    <row r="30" spans="1:7" ht="16.5" x14ac:dyDescent="0.3">
      <c r="A30" s="8"/>
      <c r="B30" s="16"/>
      <c r="C30" s="16"/>
      <c r="D30" s="16"/>
      <c r="E30" s="16"/>
      <c r="F30" s="16"/>
      <c r="G30" s="8"/>
    </row>
    <row r="31" spans="1:7" ht="17.25" x14ac:dyDescent="0.35">
      <c r="A31" s="7" t="s">
        <v>7</v>
      </c>
      <c r="B31" s="16"/>
      <c r="C31" s="16"/>
      <c r="D31" s="16"/>
      <c r="E31" s="16"/>
      <c r="F31" s="16"/>
      <c r="G31" s="8"/>
    </row>
    <row r="32" spans="1:7" ht="16.5" x14ac:dyDescent="0.3">
      <c r="A32" s="9" t="s">
        <v>72</v>
      </c>
      <c r="B32" s="13">
        <v>1.0610999999999999</v>
      </c>
      <c r="C32" s="13">
        <v>1.0610999999999999</v>
      </c>
      <c r="D32" s="13">
        <v>1.0610999999999999</v>
      </c>
      <c r="E32" s="13">
        <v>1.0610999999999999</v>
      </c>
      <c r="F32" s="13">
        <v>1.0610999999999999</v>
      </c>
      <c r="G32" s="13">
        <v>1.0610999999999999</v>
      </c>
    </row>
    <row r="33" spans="1:7" ht="16.5" x14ac:dyDescent="0.3">
      <c r="A33" s="9" t="s">
        <v>113</v>
      </c>
      <c r="B33" s="13">
        <v>1.0706</v>
      </c>
      <c r="C33" s="13">
        <v>1.0706</v>
      </c>
      <c r="D33" s="13">
        <v>1.0706</v>
      </c>
      <c r="E33" s="13">
        <v>1.0706</v>
      </c>
      <c r="F33" s="13">
        <v>1.0706</v>
      </c>
      <c r="G33" s="13">
        <v>1.0706</v>
      </c>
    </row>
    <row r="34" spans="1:7" ht="16.5" x14ac:dyDescent="0.3">
      <c r="A34" s="9" t="s">
        <v>8</v>
      </c>
      <c r="B34" s="29" t="s">
        <v>36</v>
      </c>
      <c r="C34" s="29" t="s">
        <v>36</v>
      </c>
      <c r="D34" s="29" t="s">
        <v>36</v>
      </c>
      <c r="E34" s="29" t="s">
        <v>36</v>
      </c>
      <c r="F34" s="29" t="s">
        <v>36</v>
      </c>
      <c r="G34" s="29" t="s">
        <v>36</v>
      </c>
    </row>
    <row r="35" spans="1:7" ht="16.5" x14ac:dyDescent="0.3">
      <c r="A35" s="8"/>
      <c r="B35" s="16"/>
      <c r="C35" s="16"/>
      <c r="D35" s="16"/>
      <c r="E35" s="16"/>
      <c r="F35" s="16"/>
      <c r="G35" s="8"/>
    </row>
    <row r="36" spans="1:7" ht="17.25" x14ac:dyDescent="0.35">
      <c r="A36" s="15" t="s">
        <v>9</v>
      </c>
      <c r="B36" s="16"/>
      <c r="C36" s="16"/>
      <c r="D36" s="16"/>
      <c r="E36" s="16"/>
      <c r="F36" s="16"/>
      <c r="G36" s="8"/>
    </row>
    <row r="37" spans="1:7" ht="16.5" x14ac:dyDescent="0.3">
      <c r="A37" s="9" t="s">
        <v>73</v>
      </c>
      <c r="B37" s="17">
        <f>B21/B32</f>
        <v>3848814327.2264638</v>
      </c>
      <c r="C37" s="17">
        <f t="shared" ref="C37:E37" si="3">C21/C32</f>
        <v>2642020727.8767323</v>
      </c>
      <c r="D37" s="17">
        <f>D21/D32</f>
        <v>315222707.42625582</v>
      </c>
      <c r="E37" s="17">
        <f t="shared" si="3"/>
        <v>565988492.30986726</v>
      </c>
      <c r="F37" s="17">
        <f t="shared" ref="F37:G37" si="4">F21/F32</f>
        <v>325582399.61360854</v>
      </c>
      <c r="G37" s="17">
        <f t="shared" si="4"/>
        <v>0</v>
      </c>
    </row>
    <row r="38" spans="1:7" ht="16.5" x14ac:dyDescent="0.3">
      <c r="A38" s="9" t="s">
        <v>114</v>
      </c>
      <c r="B38" s="17">
        <f>B23/B33</f>
        <v>4170701224.7057724</v>
      </c>
      <c r="C38" s="17">
        <f t="shared" ref="C38:E38" si="5">C23/C33</f>
        <v>2601095477.1062956</v>
      </c>
      <c r="D38" s="17">
        <f>D23/D33</f>
        <v>663347582.80403507</v>
      </c>
      <c r="E38" s="17">
        <f t="shared" si="5"/>
        <v>576588489.73472822</v>
      </c>
      <c r="F38" s="17">
        <f t="shared" ref="F38:G38" si="6">F23/F33</f>
        <v>0</v>
      </c>
      <c r="G38" s="17">
        <f t="shared" si="6"/>
        <v>329669675.06071365</v>
      </c>
    </row>
    <row r="39" spans="1:7" ht="16.5" x14ac:dyDescent="0.3">
      <c r="A39" s="9" t="s">
        <v>74</v>
      </c>
      <c r="B39" s="10">
        <f>B37/B15</f>
        <v>134182.9515593189</v>
      </c>
      <c r="C39" s="10">
        <f t="shared" ref="C39:E39" si="7">C37/C15</f>
        <v>130670.19772870727</v>
      </c>
      <c r="D39" s="10">
        <f>D37/D15</f>
        <v>68378.027641270237</v>
      </c>
      <c r="E39" s="10">
        <f t="shared" si="7"/>
        <v>957139.50221510802</v>
      </c>
      <c r="F39" s="10">
        <f t="shared" ref="F39:G39" si="8">F37/F15</f>
        <v>99780.079562858882</v>
      </c>
      <c r="G39" s="10" t="s">
        <v>36</v>
      </c>
    </row>
    <row r="40" spans="1:7" ht="16.5" x14ac:dyDescent="0.3">
      <c r="A40" s="9" t="s">
        <v>115</v>
      </c>
      <c r="B40" s="10">
        <f>B38/B17</f>
        <v>152024.87970204389</v>
      </c>
      <c r="C40" s="10">
        <f t="shared" ref="C40:E40" si="9">C38/C17</f>
        <v>111879.88632226313</v>
      </c>
      <c r="D40" s="10">
        <f>D38/D17</f>
        <v>343881.58776777348</v>
      </c>
      <c r="E40" s="10">
        <f t="shared" si="9"/>
        <v>1618115.4997232785</v>
      </c>
      <c r="F40" s="10" t="s">
        <v>36</v>
      </c>
      <c r="G40" s="10">
        <f t="shared" ref="F40:G40" si="10">G38/G17</f>
        <v>173510.35529511244</v>
      </c>
    </row>
    <row r="41" spans="1:7" ht="16.5" x14ac:dyDescent="0.3">
      <c r="A41" s="8"/>
      <c r="B41" s="16"/>
      <c r="C41" s="16"/>
      <c r="D41" s="16"/>
      <c r="E41" s="16"/>
      <c r="F41" s="16"/>
      <c r="G41" s="8"/>
    </row>
    <row r="42" spans="1:7" ht="17.25" x14ac:dyDescent="0.35">
      <c r="A42" s="7" t="s">
        <v>10</v>
      </c>
      <c r="B42" s="16"/>
      <c r="C42" s="16"/>
      <c r="D42" s="16"/>
      <c r="E42" s="16"/>
      <c r="F42" s="16"/>
      <c r="G42" s="8"/>
    </row>
    <row r="43" spans="1:7" ht="16.5" x14ac:dyDescent="0.3">
      <c r="A43" s="8"/>
      <c r="B43" s="16"/>
      <c r="C43" s="16"/>
      <c r="D43" s="16"/>
      <c r="E43" s="16"/>
      <c r="F43" s="16"/>
      <c r="G43" s="8"/>
    </row>
    <row r="44" spans="1:7" ht="17.25" x14ac:dyDescent="0.35">
      <c r="A44" s="7" t="s">
        <v>11</v>
      </c>
      <c r="B44" s="16"/>
      <c r="C44" s="16"/>
      <c r="D44" s="16"/>
      <c r="E44" s="16"/>
      <c r="F44" s="16"/>
      <c r="G44" s="8"/>
    </row>
    <row r="45" spans="1:7" ht="16.5" x14ac:dyDescent="0.3">
      <c r="A45" s="8" t="s">
        <v>12</v>
      </c>
      <c r="B45" s="12" t="s">
        <v>35</v>
      </c>
      <c r="C45" s="12" t="s">
        <v>35</v>
      </c>
      <c r="D45" s="12" t="s">
        <v>35</v>
      </c>
      <c r="E45" s="12" t="s">
        <v>35</v>
      </c>
      <c r="F45" s="12" t="s">
        <v>35</v>
      </c>
      <c r="G45" s="12" t="s">
        <v>35</v>
      </c>
    </row>
    <row r="46" spans="1:7" ht="16.5" x14ac:dyDescent="0.3">
      <c r="A46" s="8" t="s">
        <v>13</v>
      </c>
      <c r="B46" s="12" t="s">
        <v>35</v>
      </c>
      <c r="C46" s="12" t="s">
        <v>35</v>
      </c>
      <c r="D46" s="12" t="s">
        <v>35</v>
      </c>
      <c r="E46" s="12" t="s">
        <v>35</v>
      </c>
      <c r="F46" s="12" t="s">
        <v>35</v>
      </c>
      <c r="G46" s="12" t="s">
        <v>35</v>
      </c>
    </row>
    <row r="47" spans="1:7" ht="16.5" x14ac:dyDescent="0.3">
      <c r="A47" s="8"/>
      <c r="B47" s="12"/>
      <c r="C47" s="12"/>
      <c r="D47" s="12"/>
      <c r="E47" s="12"/>
      <c r="F47" s="12"/>
      <c r="G47" s="8"/>
    </row>
    <row r="48" spans="1:7" ht="17.25" x14ac:dyDescent="0.35">
      <c r="A48" s="7" t="s">
        <v>14</v>
      </c>
      <c r="B48" s="12"/>
      <c r="C48" s="12"/>
      <c r="D48" s="12"/>
      <c r="E48" s="12"/>
      <c r="F48" s="12"/>
      <c r="G48" s="8"/>
    </row>
    <row r="49" spans="1:7" ht="16.5" x14ac:dyDescent="0.3">
      <c r="A49" s="8" t="s">
        <v>15</v>
      </c>
      <c r="B49" s="12">
        <f>B17/B16*100</f>
        <v>117.29587982954951</v>
      </c>
      <c r="C49" s="12">
        <f t="shared" ref="C49:F49" si="11">C17/C16*100</f>
        <v>121.60154819812752</v>
      </c>
      <c r="D49" s="12">
        <f t="shared" ref="D49" si="12">D17/D16*100</f>
        <v>100.99476439790575</v>
      </c>
      <c r="E49" s="12">
        <f t="shared" si="11"/>
        <v>77.463768115942017</v>
      </c>
      <c r="F49" s="10" t="s">
        <v>36</v>
      </c>
      <c r="G49" s="12">
        <f t="shared" ref="G49" si="13">G17/G16*100</f>
        <v>100</v>
      </c>
    </row>
    <row r="50" spans="1:7" ht="16.5" x14ac:dyDescent="0.3">
      <c r="A50" s="8" t="s">
        <v>16</v>
      </c>
      <c r="B50" s="12">
        <f>B23/B22*100</f>
        <v>83.195257611359423</v>
      </c>
      <c r="C50" s="12">
        <f t="shared" ref="C50:F50" si="14">C23/C22*100</f>
        <v>83.403683476370261</v>
      </c>
      <c r="D50" s="12">
        <f t="shared" ref="D50" si="15">D23/D22*100</f>
        <v>96.857185658032151</v>
      </c>
      <c r="E50" s="12">
        <f t="shared" si="14"/>
        <v>79.532013065057356</v>
      </c>
      <c r="F50" s="12">
        <f t="shared" si="14"/>
        <v>0</v>
      </c>
      <c r="G50" s="12">
        <f t="shared" ref="G50" si="16">G23/G22*100</f>
        <v>68.846731814136021</v>
      </c>
    </row>
    <row r="51" spans="1:7" ht="16.5" x14ac:dyDescent="0.3">
      <c r="A51" s="8" t="s">
        <v>17</v>
      </c>
      <c r="B51" s="12">
        <f>AVERAGE(B49:B50)</f>
        <v>100.24556872045446</v>
      </c>
      <c r="C51" s="12">
        <f t="shared" ref="C51:F51" si="17">AVERAGE(C49:C50)</f>
        <v>102.5026158372489</v>
      </c>
      <c r="D51" s="12">
        <f t="shared" ref="D51" si="18">AVERAGE(D49:D50)</f>
        <v>98.925975027968946</v>
      </c>
      <c r="E51" s="12">
        <f t="shared" si="17"/>
        <v>78.497890590499679</v>
      </c>
      <c r="F51" s="10" t="s">
        <v>36</v>
      </c>
      <c r="G51" s="12">
        <f t="shared" ref="G51" si="19">AVERAGE(G49:G50)</f>
        <v>84.423365907068018</v>
      </c>
    </row>
    <row r="52" spans="1:7" ht="16.5" x14ac:dyDescent="0.3">
      <c r="A52" s="8"/>
      <c r="B52" s="12"/>
      <c r="C52" s="12"/>
      <c r="D52" s="12"/>
      <c r="E52" s="12"/>
      <c r="F52" s="12"/>
      <c r="G52" s="22"/>
    </row>
    <row r="53" spans="1:7" ht="17.25" x14ac:dyDescent="0.35">
      <c r="A53" s="7" t="s">
        <v>18</v>
      </c>
      <c r="B53" s="12"/>
      <c r="C53" s="12"/>
      <c r="D53" s="12"/>
      <c r="E53" s="12"/>
      <c r="F53" s="12"/>
      <c r="G53" s="22"/>
    </row>
    <row r="54" spans="1:7" ht="16.5" x14ac:dyDescent="0.3">
      <c r="A54" s="8" t="s">
        <v>19</v>
      </c>
      <c r="B54" s="12">
        <f>B17/B18*100</f>
        <v>39.212070969832105</v>
      </c>
      <c r="C54" s="12">
        <f t="shared" ref="C54:F54" si="20">C17/C18*100</f>
        <v>36.107099038655669</v>
      </c>
      <c r="D54" s="12">
        <f t="shared" si="20"/>
        <v>60</v>
      </c>
      <c r="E54" s="12">
        <f t="shared" si="20"/>
        <v>77.463768115942017</v>
      </c>
      <c r="F54" s="10" t="s">
        <v>36</v>
      </c>
      <c r="G54" s="12">
        <f t="shared" ref="G54" si="21">G17/G18*100</f>
        <v>100</v>
      </c>
    </row>
    <row r="55" spans="1:7" ht="16.5" x14ac:dyDescent="0.3">
      <c r="A55" s="8" t="s">
        <v>20</v>
      </c>
      <c r="B55" s="12">
        <f>B23/B24*100</f>
        <v>26.521947398458845</v>
      </c>
      <c r="C55" s="12">
        <f t="shared" ref="C55:F55" si="22">C23/C24*100</f>
        <v>25.662671838883156</v>
      </c>
      <c r="D55" s="12">
        <f>D23/D24*100</f>
        <v>24.214296414508038</v>
      </c>
      <c r="E55" s="12">
        <f t="shared" si="22"/>
        <v>24.471388635402267</v>
      </c>
      <c r="F55" s="12">
        <f t="shared" si="22"/>
        <v>0</v>
      </c>
      <c r="G55" s="12">
        <f t="shared" ref="G55" si="23">G23/G24*100</f>
        <v>68.846731814136021</v>
      </c>
    </row>
    <row r="56" spans="1:7" ht="16.5" x14ac:dyDescent="0.3">
      <c r="A56" s="8" t="s">
        <v>21</v>
      </c>
      <c r="B56" s="12">
        <f>(B54+B55)/2</f>
        <v>32.867009184145473</v>
      </c>
      <c r="C56" s="12">
        <f t="shared" ref="C56:F56" si="24">(C54+C55)/2</f>
        <v>30.884885438769413</v>
      </c>
      <c r="D56" s="12">
        <f>(D54+D55)/2</f>
        <v>42.107148207254021</v>
      </c>
      <c r="E56" s="12">
        <f t="shared" si="24"/>
        <v>50.96757837567214</v>
      </c>
      <c r="F56" s="10" t="s">
        <v>36</v>
      </c>
      <c r="G56" s="12">
        <f t="shared" ref="G56" si="25">(G54+G55)/2</f>
        <v>84.423365907068018</v>
      </c>
    </row>
    <row r="57" spans="1:7" ht="16.5" x14ac:dyDescent="0.3">
      <c r="A57" s="8"/>
      <c r="B57" s="12"/>
      <c r="C57" s="12"/>
      <c r="D57" s="12"/>
      <c r="E57" s="12"/>
      <c r="F57" s="12"/>
      <c r="G57" s="22"/>
    </row>
    <row r="58" spans="1:7" ht="17.25" x14ac:dyDescent="0.35">
      <c r="A58" s="7" t="s">
        <v>32</v>
      </c>
      <c r="B58" s="12"/>
      <c r="C58" s="12"/>
      <c r="D58" s="12"/>
      <c r="E58" s="12"/>
      <c r="F58" s="12"/>
      <c r="G58" s="22"/>
    </row>
    <row r="59" spans="1:7" ht="16.5" x14ac:dyDescent="0.3">
      <c r="A59" s="8" t="s">
        <v>22</v>
      </c>
      <c r="B59" s="12">
        <f t="shared" ref="B59" si="26">B25/B23*100</f>
        <v>100</v>
      </c>
      <c r="C59" s="12"/>
      <c r="D59" s="12"/>
      <c r="E59" s="12"/>
      <c r="F59" s="12"/>
      <c r="G59" s="22"/>
    </row>
    <row r="60" spans="1:7" ht="16.5" x14ac:dyDescent="0.3">
      <c r="A60" s="8"/>
      <c r="B60" s="12"/>
      <c r="C60" s="12"/>
      <c r="D60" s="12"/>
      <c r="E60" s="12"/>
      <c r="F60" s="12"/>
      <c r="G60" s="22"/>
    </row>
    <row r="61" spans="1:7" ht="17.25" x14ac:dyDescent="0.35">
      <c r="A61" s="7" t="s">
        <v>23</v>
      </c>
      <c r="B61" s="12"/>
      <c r="C61" s="12"/>
      <c r="D61" s="12"/>
      <c r="E61" s="12"/>
      <c r="F61" s="12"/>
      <c r="G61" s="22"/>
    </row>
    <row r="62" spans="1:7" ht="16.5" x14ac:dyDescent="0.3">
      <c r="A62" s="8" t="s">
        <v>24</v>
      </c>
      <c r="B62" s="12">
        <f>((B17/B15)-1)*100</f>
        <v>-4.3544450900639191</v>
      </c>
      <c r="C62" s="12">
        <f t="shared" ref="C62:E62" si="27">((C17/C15)-1)*100</f>
        <v>14.985904347396017</v>
      </c>
      <c r="D62" s="12">
        <f>((D17/D15)-1)*100</f>
        <v>-58.156182212581342</v>
      </c>
      <c r="E62" s="12">
        <f t="shared" si="27"/>
        <v>-39.740698985343862</v>
      </c>
      <c r="F62" s="12">
        <f t="shared" ref="F62:G62" si="28">((F17/F15)-1)*100</f>
        <v>-100</v>
      </c>
      <c r="G62" s="10" t="s">
        <v>36</v>
      </c>
    </row>
    <row r="63" spans="1:7" ht="16.5" x14ac:dyDescent="0.3">
      <c r="A63" s="8" t="s">
        <v>25</v>
      </c>
      <c r="B63" s="12">
        <f>((B38/B37)-1)*100</f>
        <v>8.3632742479231794</v>
      </c>
      <c r="C63" s="12">
        <f t="shared" ref="C63:E63" si="29">((C38/C37)-1)*100</f>
        <v>-1.5490132359153197</v>
      </c>
      <c r="D63" s="12" t="s">
        <v>36</v>
      </c>
      <c r="E63" s="12">
        <f t="shared" si="29"/>
        <v>1.8728291420910592</v>
      </c>
      <c r="F63" s="12">
        <f t="shared" ref="F63:G63" si="30">((F38/F37)-1)*100</f>
        <v>-100</v>
      </c>
      <c r="G63" s="10" t="s">
        <v>36</v>
      </c>
    </row>
    <row r="64" spans="1:7" ht="16.5" x14ac:dyDescent="0.3">
      <c r="A64" s="8" t="s">
        <v>26</v>
      </c>
      <c r="B64" s="12">
        <f t="shared" ref="B64:E64" si="31">((B40/B39)-1)*100</f>
        <v>13.296717604872121</v>
      </c>
      <c r="C64" s="12">
        <f t="shared" si="31"/>
        <v>-14.379951766397337</v>
      </c>
      <c r="D64" s="12" t="s">
        <v>36</v>
      </c>
      <c r="E64" s="12">
        <f t="shared" si="31"/>
        <v>69.057435826070673</v>
      </c>
      <c r="F64" s="10" t="s">
        <v>36</v>
      </c>
      <c r="G64" s="10" t="s">
        <v>36</v>
      </c>
    </row>
    <row r="65" spans="1:7" ht="16.5" x14ac:dyDescent="0.3">
      <c r="A65" s="8"/>
      <c r="B65" s="12"/>
      <c r="C65" s="12"/>
      <c r="D65" s="12"/>
      <c r="E65" s="12"/>
      <c r="F65" s="12"/>
      <c r="G65" s="22"/>
    </row>
    <row r="66" spans="1:7" ht="17.25" x14ac:dyDescent="0.35">
      <c r="A66" s="7" t="s">
        <v>27</v>
      </c>
      <c r="B66" s="12"/>
      <c r="C66" s="12"/>
      <c r="D66" s="12"/>
      <c r="E66" s="12"/>
      <c r="F66" s="12"/>
      <c r="G66" s="22"/>
    </row>
    <row r="67" spans="1:7" ht="16.5" x14ac:dyDescent="0.3">
      <c r="A67" s="8" t="s">
        <v>40</v>
      </c>
      <c r="B67" s="12">
        <f>B22/(B16*3)</f>
        <v>76490.031384844522</v>
      </c>
      <c r="C67" s="12">
        <f>C22/C16</f>
        <v>174635.73980888931</v>
      </c>
      <c r="D67" s="12">
        <f t="shared" ref="D67:E67" si="32">D22/(D16*3)</f>
        <v>127962.26603926696</v>
      </c>
      <c r="E67" s="12">
        <f t="shared" si="32"/>
        <v>562434.7502675585</v>
      </c>
      <c r="F67" s="10" t="s">
        <v>36</v>
      </c>
      <c r="G67" s="12">
        <f t="shared" ref="F67:G67" si="33">G22/(G16*3)</f>
        <v>89939</v>
      </c>
    </row>
    <row r="68" spans="1:7" ht="16.5" x14ac:dyDescent="0.3">
      <c r="A68" s="8" t="s">
        <v>41</v>
      </c>
      <c r="B68" s="12">
        <f t="shared" ref="B68" si="34">B23/(B17*3)</f>
        <v>54252.612069669391</v>
      </c>
      <c r="C68" s="12">
        <f>C23/C17</f>
        <v>119778.6062966149</v>
      </c>
      <c r="D68" s="12">
        <f t="shared" ref="D68:E68" si="35">D23/(D17*3)</f>
        <v>122719.8759547261</v>
      </c>
      <c r="E68" s="12">
        <f t="shared" si="35"/>
        <v>577451.48466791399</v>
      </c>
      <c r="F68" s="10" t="s">
        <v>36</v>
      </c>
      <c r="G68" s="12">
        <f t="shared" ref="F68:G68" si="36">G23/(G17*3)</f>
        <v>61920.062126315788</v>
      </c>
    </row>
    <row r="69" spans="1:7" ht="16.5" x14ac:dyDescent="0.3">
      <c r="A69" s="8" t="s">
        <v>28</v>
      </c>
      <c r="B69" s="12">
        <f>(B68/B67)*B51</f>
        <v>71.101865864468493</v>
      </c>
      <c r="C69" s="12">
        <f t="shared" ref="C69:E69" si="37">(C68/C67)*C51</f>
        <v>70.304168437565394</v>
      </c>
      <c r="D69" s="12">
        <f>(D68/D67)*D51</f>
        <v>94.873150967858763</v>
      </c>
      <c r="E69" s="12">
        <f t="shared" si="37"/>
        <v>80.593746106939463</v>
      </c>
      <c r="F69" s="10" t="s">
        <v>36</v>
      </c>
      <c r="G69" s="12">
        <f t="shared" ref="F69:G69" si="38">(G68/G67)*G51</f>
        <v>58.122728314505849</v>
      </c>
    </row>
    <row r="70" spans="1:7" ht="16.5" x14ac:dyDescent="0.3">
      <c r="A70" s="8" t="s">
        <v>42</v>
      </c>
      <c r="B70" s="12">
        <f t="shared" ref="B70:B71" si="39">B22/B16</f>
        <v>229470.09415453358</v>
      </c>
      <c r="C70" s="12">
        <f>(C22/C16)*3</f>
        <v>523907.2194266679</v>
      </c>
      <c r="D70" s="12">
        <f t="shared" ref="D70:E70" si="40">D22/D16</f>
        <v>383886.79811780091</v>
      </c>
      <c r="E70" s="12">
        <f t="shared" si="40"/>
        <v>1687304.2508026755</v>
      </c>
      <c r="F70" s="10" t="s">
        <v>36</v>
      </c>
      <c r="G70" s="12">
        <f t="shared" ref="F70:G70" si="41">G22/G16</f>
        <v>269817</v>
      </c>
    </row>
    <row r="71" spans="1:7" ht="16.5" x14ac:dyDescent="0.3">
      <c r="A71" s="8" t="s">
        <v>43</v>
      </c>
      <c r="B71" s="12">
        <f t="shared" si="39"/>
        <v>162757.83620900818</v>
      </c>
      <c r="C71" s="12">
        <f>(C23/C17)*3</f>
        <v>359335.8188898447</v>
      </c>
      <c r="D71" s="12">
        <f t="shared" ref="D71:E71" si="42">D23/D17</f>
        <v>368159.62786417833</v>
      </c>
      <c r="E71" s="12">
        <f t="shared" si="42"/>
        <v>1732354.454003742</v>
      </c>
      <c r="F71" s="10" t="s">
        <v>36</v>
      </c>
      <c r="G71" s="12">
        <f t="shared" ref="F71:G71" si="43">G23/G17</f>
        <v>185760.18637894737</v>
      </c>
    </row>
    <row r="72" spans="1:7" ht="16.5" x14ac:dyDescent="0.3">
      <c r="A72" s="8"/>
      <c r="B72" s="12"/>
      <c r="C72" s="12"/>
      <c r="D72" s="12"/>
      <c r="E72" s="12"/>
      <c r="F72" s="12"/>
      <c r="G72" s="22"/>
    </row>
    <row r="73" spans="1:7" ht="17.25" x14ac:dyDescent="0.35">
      <c r="A73" s="7" t="s">
        <v>29</v>
      </c>
      <c r="B73" s="12"/>
      <c r="C73" s="12"/>
      <c r="D73" s="12"/>
      <c r="E73" s="12"/>
      <c r="F73" s="12"/>
      <c r="G73" s="22"/>
    </row>
    <row r="74" spans="1:7" ht="16.5" x14ac:dyDescent="0.3">
      <c r="A74" s="8" t="s">
        <v>30</v>
      </c>
      <c r="B74" s="12">
        <f>(B29/B28)*100</f>
        <v>73.27949899327632</v>
      </c>
      <c r="C74" s="12"/>
      <c r="D74" s="12"/>
      <c r="E74" s="12"/>
      <c r="F74" s="12"/>
      <c r="G74" s="22"/>
    </row>
    <row r="75" spans="1:7" ht="16.5" x14ac:dyDescent="0.3">
      <c r="A75" s="8" t="s">
        <v>31</v>
      </c>
      <c r="B75" s="12">
        <f>(B23/B29)*100</f>
        <v>113.53142250466659</v>
      </c>
      <c r="C75" s="12"/>
      <c r="D75" s="12"/>
      <c r="E75" s="12"/>
      <c r="F75" s="12"/>
      <c r="G75" s="22"/>
    </row>
    <row r="76" spans="1:7" ht="17.25" thickBot="1" x14ac:dyDescent="0.35">
      <c r="A76" s="18"/>
      <c r="B76" s="18"/>
      <c r="C76" s="18"/>
      <c r="D76" s="18"/>
      <c r="E76" s="18"/>
      <c r="F76" s="18"/>
      <c r="G76" s="18"/>
    </row>
    <row r="77" spans="1:7" s="5" customFormat="1" ht="16.5" customHeight="1" thickTop="1" x14ac:dyDescent="0.25">
      <c r="A77" s="23" t="s">
        <v>125</v>
      </c>
      <c r="B77" s="23"/>
      <c r="C77" s="23"/>
      <c r="D77" s="23"/>
      <c r="E77" s="23"/>
      <c r="F77" s="23"/>
    </row>
    <row r="78" spans="1:7" x14ac:dyDescent="0.25">
      <c r="A78" s="3"/>
    </row>
    <row r="79" spans="1:7" x14ac:dyDescent="0.25">
      <c r="A79" s="3"/>
    </row>
  </sheetData>
  <mergeCells count="4">
    <mergeCell ref="A77:F77"/>
    <mergeCell ref="A9:A10"/>
    <mergeCell ref="B9:B10"/>
    <mergeCell ref="C9:F9"/>
  </mergeCells>
  <pageMargins left="0.7" right="0.7" top="0.75" bottom="0.75" header="0.3" footer="0.3"/>
  <pageSetup paperSize="9" orientation="portrait" r:id="rId1"/>
  <ignoredErrors>
    <ignoredError sqref="D65:D68" evalError="1"/>
    <ignoredError sqref="C67:C71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G87"/>
  <sheetViews>
    <sheetView showGridLines="0" zoomScale="80" zoomScaleNormal="80" zoomScaleSheetLayoutView="80" workbookViewId="0">
      <pane ySplit="10" topLeftCell="A11" activePane="bottomLeft" state="frozen"/>
      <selection pane="bottomLeft" activeCell="A9" sqref="A9:A10"/>
    </sheetView>
  </sheetViews>
  <sheetFormatPr baseColWidth="10" defaultColWidth="11.42578125" defaultRowHeight="15" x14ac:dyDescent="0.25"/>
  <cols>
    <col min="1" max="1" width="64.28515625" style="1" customWidth="1"/>
    <col min="2" max="7" width="24.7109375" style="1" customWidth="1"/>
    <col min="8" max="16384" width="11.42578125" style="1"/>
  </cols>
  <sheetData>
    <row r="9" spans="1:7" s="5" customFormat="1" ht="20.25" customHeight="1" x14ac:dyDescent="0.3">
      <c r="A9" s="24" t="s">
        <v>0</v>
      </c>
      <c r="B9" s="26" t="s">
        <v>1</v>
      </c>
      <c r="C9" s="28" t="s">
        <v>2</v>
      </c>
      <c r="D9" s="28"/>
      <c r="E9" s="28"/>
      <c r="F9" s="28"/>
      <c r="G9" s="8"/>
    </row>
    <row r="10" spans="1:7" s="4" customFormat="1" ht="69.75" thickBot="1" x14ac:dyDescent="0.3">
      <c r="A10" s="25"/>
      <c r="B10" s="27"/>
      <c r="C10" s="6" t="s">
        <v>39</v>
      </c>
      <c r="D10" s="6" t="s">
        <v>48</v>
      </c>
      <c r="E10" s="6" t="s">
        <v>49</v>
      </c>
      <c r="F10" s="6" t="s">
        <v>50</v>
      </c>
      <c r="G10" s="6" t="s">
        <v>109</v>
      </c>
    </row>
    <row r="11" spans="1:7" ht="17.25" thickTop="1" x14ac:dyDescent="0.3">
      <c r="A11" s="8"/>
      <c r="B11" s="8"/>
      <c r="C11" s="8"/>
      <c r="D11" s="8"/>
      <c r="E11" s="8"/>
      <c r="F11" s="8"/>
      <c r="G11" s="8"/>
    </row>
    <row r="12" spans="1:7" ht="17.25" x14ac:dyDescent="0.35">
      <c r="A12" s="7" t="s">
        <v>3</v>
      </c>
      <c r="B12" s="8"/>
      <c r="C12" s="8"/>
      <c r="D12" s="8"/>
      <c r="E12" s="8"/>
      <c r="F12" s="8"/>
      <c r="G12" s="8"/>
    </row>
    <row r="13" spans="1:7" ht="16.5" x14ac:dyDescent="0.3">
      <c r="A13" s="8"/>
      <c r="B13" s="8"/>
      <c r="C13" s="8"/>
      <c r="D13" s="8"/>
      <c r="E13" s="8"/>
      <c r="F13" s="8"/>
      <c r="G13" s="8"/>
    </row>
    <row r="14" spans="1:7" ht="17.25" x14ac:dyDescent="0.35">
      <c r="A14" s="7" t="s">
        <v>4</v>
      </c>
      <c r="B14" s="8"/>
      <c r="C14" s="8"/>
      <c r="D14" s="8"/>
      <c r="E14" s="8"/>
      <c r="F14" s="8"/>
      <c r="G14" s="8"/>
    </row>
    <row r="15" spans="1:7" ht="16.5" x14ac:dyDescent="0.3">
      <c r="A15" s="9" t="s">
        <v>117</v>
      </c>
      <c r="B15" s="19">
        <f>C15+D15+E15+F15</f>
        <v>84955.194444444438</v>
      </c>
      <c r="C15" s="19">
        <f>(+'I Trimestre'!C15+'II trimestre'!C15+'III Trimestre'!C15+'IV Trimestre'!C15)</f>
        <v>77485</v>
      </c>
      <c r="D15" s="19">
        <f>(+'I Trimestre'!D15+'II trimestre'!D15+'III Trimestre'!D15+'IV Trimestre'!D15)/4</f>
        <v>4308</v>
      </c>
      <c r="E15" s="19">
        <f>(+'I Trimestre'!E15+'II trimestre'!E15+'III Trimestre'!E15+'IV Trimestre'!E15)/4</f>
        <v>503.08333333333337</v>
      </c>
      <c r="F15" s="19">
        <f>(+'I Trimestre'!F15+'II trimestre'!F15+'III Trimestre'!F15+'IV Trimestre'!F15)/3</f>
        <v>2659.1111111111109</v>
      </c>
      <c r="G15" s="10" t="s">
        <v>36</v>
      </c>
    </row>
    <row r="16" spans="1:7" ht="16.5" x14ac:dyDescent="0.3">
      <c r="A16" s="9" t="s">
        <v>118</v>
      </c>
      <c r="B16" s="19">
        <f>C16+D16+E16+F16+G16</f>
        <v>69964</v>
      </c>
      <c r="C16" s="19">
        <f>(+'I Trimestre'!C16+'II trimestre'!C16+'III Trimestre'!C16+'IV Trimestre'!C16)</f>
        <v>64389</v>
      </c>
      <c r="D16" s="19">
        <f>(+'I Trimestre'!D16+'II trimestre'!D16+'III Trimestre'!D16+'IV Trimestre'!D16)/4</f>
        <v>3215</v>
      </c>
      <c r="E16" s="19">
        <f>(+'I Trimestre'!E16+'II trimestre'!E16+'III Trimestre'!E16+'IV Trimestre'!E16)/4</f>
        <v>460</v>
      </c>
      <c r="F16" s="19">
        <f>+'IV Trimestre'!F16</f>
        <v>0</v>
      </c>
      <c r="G16" s="19">
        <f>+'IV Trimestre'!G16</f>
        <v>1900</v>
      </c>
    </row>
    <row r="17" spans="1:7" ht="16.5" x14ac:dyDescent="0.3">
      <c r="A17" s="9" t="s">
        <v>116</v>
      </c>
      <c r="B17" s="19">
        <f>C17+D17+E17+F17+G17</f>
        <v>92216.833333333328</v>
      </c>
      <c r="C17" s="19">
        <f>(+'I Trimestre'!C17+'II trimestre'!C17+'III Trimestre'!C17+'IV Trimestre'!C17)</f>
        <v>86571</v>
      </c>
      <c r="D17" s="19">
        <f>(+'I Trimestre'!D17+'II trimestre'!D17+'III Trimestre'!D17+'IV Trimestre'!D17)/4</f>
        <v>3373.8333333333335</v>
      </c>
      <c r="E17" s="19">
        <f>(+'I Trimestre'!E17+'II trimestre'!E17+'III Trimestre'!E17+'IV Trimestre'!E17)/4</f>
        <v>372</v>
      </c>
      <c r="F17" s="19">
        <f>(+'I Trimestre'!F17+'II trimestre'!F17+'III Trimestre'!F17+'IV Trimestre'!F17)/3</f>
        <v>0</v>
      </c>
      <c r="G17" s="19">
        <f>+'IV Trimestre'!G17</f>
        <v>1900</v>
      </c>
    </row>
    <row r="18" spans="1:7" ht="16.5" x14ac:dyDescent="0.3">
      <c r="A18" s="9" t="s">
        <v>79</v>
      </c>
      <c r="B18" s="19">
        <f>SUM(C18:G18)</f>
        <v>69964</v>
      </c>
      <c r="C18" s="19">
        <f>+'IV Trimestre'!C18</f>
        <v>64389</v>
      </c>
      <c r="D18" s="19">
        <f>+'IV Trimestre'!D18</f>
        <v>3215</v>
      </c>
      <c r="E18" s="19">
        <f>+'IV Trimestre'!E18</f>
        <v>460</v>
      </c>
      <c r="F18" s="19">
        <f>+'IV Trimestre'!F18</f>
        <v>0</v>
      </c>
      <c r="G18" s="19">
        <f>+'IV Trimestre'!G18</f>
        <v>1900</v>
      </c>
    </row>
    <row r="19" spans="1:7" ht="16.5" x14ac:dyDescent="0.3">
      <c r="A19" s="8"/>
      <c r="B19" s="19"/>
      <c r="C19" s="19"/>
      <c r="D19" s="19"/>
      <c r="E19" s="19"/>
      <c r="F19" s="19"/>
      <c r="G19" s="19"/>
    </row>
    <row r="20" spans="1:7" ht="17.25" x14ac:dyDescent="0.35">
      <c r="A20" s="11" t="s">
        <v>5</v>
      </c>
      <c r="B20" s="19"/>
      <c r="C20" s="19"/>
      <c r="D20" s="19"/>
      <c r="E20" s="19"/>
      <c r="F20" s="19"/>
      <c r="G20" s="19"/>
    </row>
    <row r="21" spans="1:7" ht="16.5" x14ac:dyDescent="0.3">
      <c r="A21" s="9" t="s">
        <v>51</v>
      </c>
      <c r="B21" s="19">
        <f>SUM(C21:F21)</f>
        <v>13582606768.18</v>
      </c>
      <c r="C21" s="19">
        <f>+'I Trimestre'!C21+'II trimestre'!C21+'III Trimestre'!C21+'IV Trimestre'!C21</f>
        <v>10012372589.09</v>
      </c>
      <c r="D21" s="19">
        <f>+'I Trimestre'!D21+'II trimestre'!D21+'III Trimestre'!D21+'IV Trimestre'!D21</f>
        <v>1070948391.7500001</v>
      </c>
      <c r="E21" s="19">
        <f>+'I Trimestre'!E21+'II trimestre'!E21+'III Trimestre'!E21+'IV Trimestre'!E21</f>
        <v>2096559817.6100001</v>
      </c>
      <c r="F21" s="19">
        <f>+'I Trimestre'!F21+'II trimestre'!F21+'III Trimestre'!F21+'IV Trimestre'!F21</f>
        <v>402725969.73000002</v>
      </c>
      <c r="G21" s="10" t="s">
        <v>36</v>
      </c>
    </row>
    <row r="22" spans="1:7" ht="16.5" x14ac:dyDescent="0.3">
      <c r="A22" s="9" t="s">
        <v>118</v>
      </c>
      <c r="B22" s="19">
        <f>SUM(C22:G22)</f>
        <v>16835689567.160004</v>
      </c>
      <c r="C22" s="19">
        <f>+'I Trimestre'!C22+'II trimestre'!C22+'III Trimestre'!C22+'IV Trimestre'!C22</f>
        <v>10851297305.570004</v>
      </c>
      <c r="D22" s="19">
        <f>+'I Trimestre'!D22+'II trimestre'!D22+'III Trimestre'!D22+'IV Trimestre'!D22</f>
        <v>2932895137.6199989</v>
      </c>
      <c r="E22" s="19">
        <f>+'I Trimestre'!E22+'II trimestre'!E22+'III Trimestre'!E22+'IV Trimestre'!E22</f>
        <v>2522519854.9499998</v>
      </c>
      <c r="F22" s="19">
        <f>+'IV Trimestre'!F22+10145686.02</f>
        <v>16324969.02</v>
      </c>
      <c r="G22" s="19">
        <f>+'IV Trimestre'!G22</f>
        <v>512652300</v>
      </c>
    </row>
    <row r="23" spans="1:7" ht="16.5" x14ac:dyDescent="0.3">
      <c r="A23" s="9" t="s">
        <v>116</v>
      </c>
      <c r="B23" s="19">
        <f>SUM(C23:G23)</f>
        <v>15385684855.6</v>
      </c>
      <c r="C23" s="19">
        <f>+'I Trimestre'!C23+'II trimestre'!C23+'III Trimestre'!C23+'IV Trimestre'!C23</f>
        <v>9974611922.2000008</v>
      </c>
      <c r="D23" s="19">
        <f>+'I Trimestre'!D23+'II trimestre'!D23+'III Trimestre'!D23+'IV Trimestre'!D23</f>
        <v>2836168650.7199998</v>
      </c>
      <c r="E23" s="19">
        <f>+'I Trimestre'!E23+'II trimestre'!E23+'III Trimestre'!E23+'IV Trimestre'!E23</f>
        <v>2211007966.04</v>
      </c>
      <c r="F23" s="19">
        <f>+'I Trimestre'!F23+'II trimestre'!F23+'III Trimestre'!F23+'IV Trimestre'!F23</f>
        <v>10951962.52</v>
      </c>
      <c r="G23" s="19">
        <f>+'IV Trimestre'!G23</f>
        <v>352944354.12</v>
      </c>
    </row>
    <row r="24" spans="1:7" ht="16.5" x14ac:dyDescent="0.3">
      <c r="A24" s="9" t="s">
        <v>79</v>
      </c>
      <c r="B24" s="19">
        <f>SUM(C24:G24)</f>
        <v>16835689567.160004</v>
      </c>
      <c r="C24" s="19">
        <f>+'IV Trimestre'!C24</f>
        <v>10851297305.570004</v>
      </c>
      <c r="D24" s="19">
        <f>+'IV Trimestre'!D24</f>
        <v>2932895137.6199989</v>
      </c>
      <c r="E24" s="19">
        <f>+'IV Trimestre'!E24</f>
        <v>2522519854.9499998</v>
      </c>
      <c r="F24" s="19">
        <f>+'IV Trimestre'!F24</f>
        <v>16324969.02</v>
      </c>
      <c r="G24" s="19">
        <f>+'IV Trimestre'!G24</f>
        <v>512652300</v>
      </c>
    </row>
    <row r="25" spans="1:7" ht="16.5" x14ac:dyDescent="0.3">
      <c r="A25" s="9" t="s">
        <v>119</v>
      </c>
      <c r="B25" s="19">
        <f>C25+D25+E25+F25+G25</f>
        <v>15385684855.6</v>
      </c>
      <c r="C25" s="19">
        <f t="shared" ref="C25:G25" si="0">C23</f>
        <v>9974611922.2000008</v>
      </c>
      <c r="D25" s="19">
        <f t="shared" si="0"/>
        <v>2836168650.7199998</v>
      </c>
      <c r="E25" s="19">
        <f t="shared" si="0"/>
        <v>2211007966.04</v>
      </c>
      <c r="F25" s="19">
        <f t="shared" si="0"/>
        <v>10951962.52</v>
      </c>
      <c r="G25" s="19">
        <f t="shared" si="0"/>
        <v>352944354.12</v>
      </c>
    </row>
    <row r="26" spans="1:7" ht="17.25" x14ac:dyDescent="0.35">
      <c r="A26" s="7"/>
      <c r="B26" s="19"/>
      <c r="C26" s="19"/>
      <c r="D26" s="19"/>
      <c r="E26" s="19"/>
      <c r="F26" s="19"/>
      <c r="G26" s="19"/>
    </row>
    <row r="27" spans="1:7" ht="17.25" x14ac:dyDescent="0.35">
      <c r="A27" s="15" t="s">
        <v>6</v>
      </c>
      <c r="B27" s="19"/>
      <c r="C27" s="19"/>
      <c r="D27" s="19"/>
      <c r="E27" s="19"/>
      <c r="F27" s="19"/>
      <c r="G27" s="19"/>
    </row>
    <row r="28" spans="1:7" ht="16.5" x14ac:dyDescent="0.3">
      <c r="A28" s="9" t="s">
        <v>118</v>
      </c>
      <c r="B28" s="19">
        <f>+B22</f>
        <v>16835689567.160004</v>
      </c>
      <c r="C28" s="19"/>
      <c r="D28" s="19"/>
      <c r="E28" s="19"/>
      <c r="F28" s="19"/>
      <c r="G28" s="19"/>
    </row>
    <row r="29" spans="1:7" ht="16.5" x14ac:dyDescent="0.3">
      <c r="A29" s="9" t="s">
        <v>116</v>
      </c>
      <c r="B29" s="19">
        <f>'I Trimestre'!B29+'II trimestre'!B29+'III Trimestre'!B29+'IV Trimestre'!B29</f>
        <v>16096265622.219999</v>
      </c>
      <c r="C29" s="19"/>
      <c r="D29" s="19"/>
      <c r="E29" s="19"/>
      <c r="F29" s="19"/>
      <c r="G29" s="19"/>
    </row>
    <row r="30" spans="1:7" ht="16.5" x14ac:dyDescent="0.3">
      <c r="A30" s="8"/>
      <c r="B30" s="19"/>
      <c r="C30" s="19"/>
      <c r="D30" s="19"/>
      <c r="E30" s="19"/>
      <c r="F30" s="19"/>
      <c r="G30" s="19"/>
    </row>
    <row r="31" spans="1:7" ht="17.25" x14ac:dyDescent="0.35">
      <c r="A31" s="7" t="s">
        <v>7</v>
      </c>
      <c r="B31" s="8"/>
      <c r="C31" s="8"/>
      <c r="D31" s="8"/>
      <c r="E31" s="8"/>
      <c r="F31" s="8"/>
      <c r="G31" s="8"/>
    </row>
    <row r="32" spans="1:7" ht="16.5" x14ac:dyDescent="0.3">
      <c r="A32" s="9" t="s">
        <v>120</v>
      </c>
      <c r="B32" s="20">
        <v>1.0610999999999999</v>
      </c>
      <c r="C32" s="20">
        <v>1.0610999999999999</v>
      </c>
      <c r="D32" s="20">
        <v>1.0610999999999999</v>
      </c>
      <c r="E32" s="20">
        <v>1.0610999999999999</v>
      </c>
      <c r="F32" s="20">
        <v>1.0610999999999999</v>
      </c>
      <c r="G32" s="20">
        <v>1.0610999999999999</v>
      </c>
    </row>
    <row r="33" spans="1:7" ht="16.5" x14ac:dyDescent="0.3">
      <c r="A33" s="9" t="s">
        <v>121</v>
      </c>
      <c r="B33" s="20">
        <v>1.0706</v>
      </c>
      <c r="C33" s="20">
        <v>1.0706</v>
      </c>
      <c r="D33" s="20">
        <v>1.0706</v>
      </c>
      <c r="E33" s="20">
        <v>1.0706</v>
      </c>
      <c r="F33" s="20">
        <v>1.0706</v>
      </c>
      <c r="G33" s="20">
        <v>1.0706</v>
      </c>
    </row>
    <row r="34" spans="1:7" ht="16.5" x14ac:dyDescent="0.3">
      <c r="A34" s="9" t="s">
        <v>8</v>
      </c>
      <c r="B34" s="14" t="s">
        <v>36</v>
      </c>
      <c r="C34" s="14" t="s">
        <v>36</v>
      </c>
      <c r="D34" s="14" t="s">
        <v>36</v>
      </c>
      <c r="E34" s="14" t="s">
        <v>36</v>
      </c>
      <c r="F34" s="14" t="s">
        <v>36</v>
      </c>
      <c r="G34" s="14" t="s">
        <v>36</v>
      </c>
    </row>
    <row r="35" spans="1:7" ht="16.5" x14ac:dyDescent="0.3">
      <c r="A35" s="8"/>
      <c r="B35" s="8"/>
      <c r="C35" s="8"/>
      <c r="D35" s="8"/>
      <c r="E35" s="8"/>
      <c r="F35" s="8"/>
      <c r="G35" s="8"/>
    </row>
    <row r="36" spans="1:7" ht="17.25" x14ac:dyDescent="0.35">
      <c r="A36" s="15" t="s">
        <v>9</v>
      </c>
      <c r="B36" s="8"/>
      <c r="C36" s="8"/>
      <c r="D36" s="8"/>
      <c r="E36" s="8"/>
      <c r="F36" s="8"/>
      <c r="G36" s="8"/>
    </row>
    <row r="37" spans="1:7" ht="16.5" x14ac:dyDescent="0.3">
      <c r="A37" s="9" t="s">
        <v>75</v>
      </c>
      <c r="B37" s="21">
        <f>B21/B32</f>
        <v>12800496435.943832</v>
      </c>
      <c r="C37" s="21">
        <f t="shared" ref="C37:E37" si="1">C21/C32</f>
        <v>9435842605.8712673</v>
      </c>
      <c r="D37" s="21">
        <f>D21/D32</f>
        <v>1009281304.071247</v>
      </c>
      <c r="E37" s="21">
        <f t="shared" si="1"/>
        <v>1975836224.3049667</v>
      </c>
      <c r="F37" s="21">
        <f t="shared" ref="F37:G37" si="2">F21/F32</f>
        <v>379536301.6963529</v>
      </c>
      <c r="G37" s="17" t="s">
        <v>36</v>
      </c>
    </row>
    <row r="38" spans="1:7" ht="16.5" x14ac:dyDescent="0.3">
      <c r="A38" s="9" t="s">
        <v>122</v>
      </c>
      <c r="B38" s="21">
        <f>B23/B33</f>
        <v>14371086171.866243</v>
      </c>
      <c r="C38" s="21">
        <f t="shared" ref="C38:E38" si="3">C23/C33</f>
        <v>9316842819.1668224</v>
      </c>
      <c r="D38" s="21">
        <f>D23/D33</f>
        <v>2649139408.4812255</v>
      </c>
      <c r="E38" s="21">
        <f t="shared" si="3"/>
        <v>2065204526.4711378</v>
      </c>
      <c r="F38" s="21">
        <f t="shared" ref="F38:G38" si="4">F23/F33</f>
        <v>10229742.686344106</v>
      </c>
      <c r="G38" s="21">
        <f t="shared" si="4"/>
        <v>329669675.06071365</v>
      </c>
    </row>
    <row r="39" spans="1:7" ht="16.5" x14ac:dyDescent="0.3">
      <c r="A39" s="9" t="s">
        <v>76</v>
      </c>
      <c r="B39" s="19">
        <f>B37/B15</f>
        <v>150673.49936223833</v>
      </c>
      <c r="C39" s="19">
        <f t="shared" ref="C39:E39" si="5">C37/C15</f>
        <v>121776.3774391336</v>
      </c>
      <c r="D39" s="19">
        <f>D37/D15</f>
        <v>234280.71125145009</v>
      </c>
      <c r="E39" s="19">
        <f t="shared" si="5"/>
        <v>3927453.1541592842</v>
      </c>
      <c r="F39" s="19">
        <f t="shared" ref="F39:G39" si="6">F37/F15</f>
        <v>142730.51626555141</v>
      </c>
      <c r="G39" s="10" t="s">
        <v>36</v>
      </c>
    </row>
    <row r="40" spans="1:7" ht="16.5" x14ac:dyDescent="0.3">
      <c r="A40" s="9" t="s">
        <v>123</v>
      </c>
      <c r="B40" s="19">
        <f>B38/B17</f>
        <v>155840.16119833049</v>
      </c>
      <c r="C40" s="19">
        <f t="shared" ref="C40:E40" si="7">C38/C17</f>
        <v>107620.8293674189</v>
      </c>
      <c r="D40" s="19">
        <f>D38/D17</f>
        <v>785201.62282701931</v>
      </c>
      <c r="E40" s="19">
        <f t="shared" si="7"/>
        <v>5551625.0711589726</v>
      </c>
      <c r="F40" s="10" t="s">
        <v>36</v>
      </c>
      <c r="G40" s="19">
        <f t="shared" ref="F40:G40" si="8">G38/G17</f>
        <v>173510.35529511244</v>
      </c>
    </row>
    <row r="41" spans="1:7" ht="16.5" x14ac:dyDescent="0.3">
      <c r="A41" s="8"/>
      <c r="B41" s="19"/>
      <c r="C41" s="19"/>
      <c r="D41" s="19"/>
      <c r="E41" s="19"/>
      <c r="F41" s="19"/>
      <c r="G41" s="19"/>
    </row>
    <row r="42" spans="1:7" ht="17.25" x14ac:dyDescent="0.35">
      <c r="A42" s="7" t="s">
        <v>10</v>
      </c>
      <c r="B42" s="8"/>
      <c r="C42" s="8"/>
      <c r="D42" s="8"/>
      <c r="E42" s="8"/>
      <c r="F42" s="8"/>
      <c r="G42" s="8"/>
    </row>
    <row r="43" spans="1:7" ht="16.5" x14ac:dyDescent="0.3">
      <c r="A43" s="8"/>
      <c r="B43" s="8"/>
      <c r="C43" s="8"/>
      <c r="D43" s="8"/>
      <c r="E43" s="8"/>
      <c r="F43" s="8"/>
      <c r="G43" s="8"/>
    </row>
    <row r="44" spans="1:7" ht="17.25" x14ac:dyDescent="0.35">
      <c r="A44" s="7" t="s">
        <v>11</v>
      </c>
      <c r="B44" s="8"/>
      <c r="C44" s="8"/>
      <c r="D44" s="8"/>
      <c r="E44" s="8"/>
      <c r="F44" s="8"/>
      <c r="G44" s="8"/>
    </row>
    <row r="45" spans="1:7" ht="16.5" x14ac:dyDescent="0.3">
      <c r="A45" s="8" t="s">
        <v>12</v>
      </c>
      <c r="B45" s="12" t="s">
        <v>35</v>
      </c>
      <c r="C45" s="12" t="s">
        <v>35</v>
      </c>
      <c r="D45" s="12" t="s">
        <v>35</v>
      </c>
      <c r="E45" s="12" t="s">
        <v>35</v>
      </c>
      <c r="F45" s="12" t="s">
        <v>35</v>
      </c>
      <c r="G45" s="12" t="s">
        <v>35</v>
      </c>
    </row>
    <row r="46" spans="1:7" ht="16.5" x14ac:dyDescent="0.3">
      <c r="A46" s="8" t="s">
        <v>13</v>
      </c>
      <c r="B46" s="12" t="s">
        <v>35</v>
      </c>
      <c r="C46" s="12" t="s">
        <v>35</v>
      </c>
      <c r="D46" s="12" t="s">
        <v>35</v>
      </c>
      <c r="E46" s="12" t="s">
        <v>35</v>
      </c>
      <c r="F46" s="12" t="s">
        <v>35</v>
      </c>
      <c r="G46" s="12" t="s">
        <v>35</v>
      </c>
    </row>
    <row r="47" spans="1:7" ht="16.5" x14ac:dyDescent="0.3">
      <c r="A47" s="8"/>
      <c r="B47" s="22"/>
      <c r="C47" s="22"/>
      <c r="D47" s="22"/>
      <c r="E47" s="22"/>
      <c r="F47" s="22"/>
      <c r="G47" s="22"/>
    </row>
    <row r="48" spans="1:7" ht="17.25" x14ac:dyDescent="0.35">
      <c r="A48" s="7" t="s">
        <v>14</v>
      </c>
      <c r="B48" s="22"/>
      <c r="C48" s="22"/>
      <c r="D48" s="22"/>
      <c r="E48" s="22"/>
      <c r="F48" s="22"/>
      <c r="G48" s="22"/>
    </row>
    <row r="49" spans="1:7" ht="16.5" x14ac:dyDescent="0.3">
      <c r="A49" s="8" t="s">
        <v>15</v>
      </c>
      <c r="B49" s="22">
        <f>B17/B16*100</f>
        <v>131.80611933756407</v>
      </c>
      <c r="C49" s="22">
        <f t="shared" ref="C49:E49" si="9">C17/C16*100</f>
        <v>134.44998369286679</v>
      </c>
      <c r="D49" s="22">
        <f>D17/D16*100</f>
        <v>104.94038361845517</v>
      </c>
      <c r="E49" s="22">
        <f t="shared" si="9"/>
        <v>80.869565217391298</v>
      </c>
      <c r="F49" s="12" t="s">
        <v>36</v>
      </c>
      <c r="G49" s="22">
        <f t="shared" ref="F49:G49" si="10">G17/G16*100</f>
        <v>100</v>
      </c>
    </row>
    <row r="50" spans="1:7" ht="16.5" x14ac:dyDescent="0.3">
      <c r="A50" s="8" t="s">
        <v>16</v>
      </c>
      <c r="B50" s="22">
        <f>B23/B22*100</f>
        <v>91.387316178670758</v>
      </c>
      <c r="C50" s="22">
        <f t="shared" ref="C50:E50" si="11">C23/C22*100</f>
        <v>91.92091637817353</v>
      </c>
      <c r="D50" s="22">
        <f>D23/D22*100</f>
        <v>96.702013459011994</v>
      </c>
      <c r="E50" s="22">
        <f t="shared" si="11"/>
        <v>87.650765630299688</v>
      </c>
      <c r="F50" s="12">
        <f t="shared" ref="F50:G50" si="12">F23/F22*100</f>
        <v>67.087187158410913</v>
      </c>
      <c r="G50" s="22">
        <f t="shared" si="12"/>
        <v>68.846731814136021</v>
      </c>
    </row>
    <row r="51" spans="1:7" ht="16.5" x14ac:dyDescent="0.3">
      <c r="A51" s="8" t="s">
        <v>17</v>
      </c>
      <c r="B51" s="22">
        <f>AVERAGE(B49:B50)</f>
        <v>111.59671775811742</v>
      </c>
      <c r="C51" s="22">
        <f t="shared" ref="C51:E51" si="13">AVERAGE(C49:C50)</f>
        <v>113.18545003552016</v>
      </c>
      <c r="D51" s="22">
        <f>AVERAGE(D49:D50)</f>
        <v>100.82119853873358</v>
      </c>
      <c r="E51" s="22">
        <f t="shared" si="13"/>
        <v>84.260165423845493</v>
      </c>
      <c r="F51" s="12" t="s">
        <v>36</v>
      </c>
      <c r="G51" s="22">
        <f t="shared" ref="F51:G51" si="14">AVERAGE(G49:G50)</f>
        <v>84.423365907068018</v>
      </c>
    </row>
    <row r="52" spans="1:7" ht="16.5" x14ac:dyDescent="0.3">
      <c r="A52" s="8"/>
      <c r="B52" s="22"/>
      <c r="C52" s="22"/>
      <c r="D52" s="22"/>
      <c r="E52" s="22"/>
      <c r="F52" s="22"/>
      <c r="G52" s="22"/>
    </row>
    <row r="53" spans="1:7" ht="17.25" x14ac:dyDescent="0.35">
      <c r="A53" s="7" t="s">
        <v>18</v>
      </c>
      <c r="B53" s="22"/>
      <c r="C53" s="22"/>
      <c r="D53" s="22"/>
      <c r="E53" s="22"/>
      <c r="F53" s="22"/>
      <c r="G53" s="22"/>
    </row>
    <row r="54" spans="1:7" ht="16.5" x14ac:dyDescent="0.3">
      <c r="A54" s="8" t="s">
        <v>19</v>
      </c>
      <c r="B54" s="22">
        <f>B17/B18*100</f>
        <v>131.80611933756407</v>
      </c>
      <c r="C54" s="22">
        <f t="shared" ref="C54:E54" si="15">C17/C18*100</f>
        <v>134.44998369286679</v>
      </c>
      <c r="D54" s="22">
        <f>D17/D18*100</f>
        <v>104.94038361845517</v>
      </c>
      <c r="E54" s="22">
        <f t="shared" si="15"/>
        <v>80.869565217391298</v>
      </c>
      <c r="F54" s="12" t="s">
        <v>36</v>
      </c>
      <c r="G54" s="22">
        <f t="shared" ref="F54:G54" si="16">G17/G18*100</f>
        <v>100</v>
      </c>
    </row>
    <row r="55" spans="1:7" ht="16.5" x14ac:dyDescent="0.3">
      <c r="A55" s="8" t="s">
        <v>20</v>
      </c>
      <c r="B55" s="22">
        <f>B23/B24*100</f>
        <v>91.387316178670758</v>
      </c>
      <c r="C55" s="22">
        <f t="shared" ref="C55:E55" si="17">C23/C24*100</f>
        <v>91.92091637817353</v>
      </c>
      <c r="D55" s="22">
        <f>D23/D24*100</f>
        <v>96.702013459011994</v>
      </c>
      <c r="E55" s="22">
        <f t="shared" si="17"/>
        <v>87.650765630299688</v>
      </c>
      <c r="F55" s="12">
        <f t="shared" ref="F55:G55" si="18">F23/F24*100</f>
        <v>67.087187158410913</v>
      </c>
      <c r="G55" s="22">
        <f t="shared" si="18"/>
        <v>68.846731814136021</v>
      </c>
    </row>
    <row r="56" spans="1:7" ht="16.5" x14ac:dyDescent="0.3">
      <c r="A56" s="8" t="s">
        <v>21</v>
      </c>
      <c r="B56" s="22">
        <f>(B54+B55)/2</f>
        <v>111.59671775811742</v>
      </c>
      <c r="C56" s="22">
        <f t="shared" ref="C56:E56" si="19">(C54+C55)/2</f>
        <v>113.18545003552016</v>
      </c>
      <c r="D56" s="22">
        <f>(D54+D55)/2</f>
        <v>100.82119853873358</v>
      </c>
      <c r="E56" s="22">
        <f t="shared" si="19"/>
        <v>84.260165423845493</v>
      </c>
      <c r="F56" s="12" t="s">
        <v>36</v>
      </c>
      <c r="G56" s="22">
        <f t="shared" ref="F56:G56" si="20">(G54+G55)/2</f>
        <v>84.423365907068018</v>
      </c>
    </row>
    <row r="57" spans="1:7" ht="16.5" x14ac:dyDescent="0.3">
      <c r="A57" s="8"/>
      <c r="B57" s="22"/>
      <c r="C57" s="22"/>
      <c r="D57" s="22"/>
      <c r="E57" s="22"/>
      <c r="F57" s="22"/>
      <c r="G57" s="22"/>
    </row>
    <row r="58" spans="1:7" ht="17.25" x14ac:dyDescent="0.35">
      <c r="A58" s="7" t="s">
        <v>32</v>
      </c>
      <c r="B58" s="22"/>
      <c r="C58" s="22"/>
      <c r="D58" s="22"/>
      <c r="E58" s="22"/>
      <c r="F58" s="22"/>
      <c r="G58" s="22"/>
    </row>
    <row r="59" spans="1:7" ht="16.5" x14ac:dyDescent="0.3">
      <c r="A59" s="8" t="s">
        <v>22</v>
      </c>
      <c r="B59" s="22">
        <f>B25/B23*100</f>
        <v>100</v>
      </c>
      <c r="C59" s="22"/>
      <c r="D59" s="22"/>
      <c r="E59" s="22"/>
      <c r="F59" s="22"/>
      <c r="G59" s="22"/>
    </row>
    <row r="60" spans="1:7" ht="16.5" x14ac:dyDescent="0.3">
      <c r="A60" s="8"/>
      <c r="B60" s="22"/>
      <c r="C60" s="22"/>
      <c r="D60" s="22"/>
      <c r="E60" s="22"/>
      <c r="F60" s="22"/>
      <c r="G60" s="22"/>
    </row>
    <row r="61" spans="1:7" ht="17.25" x14ac:dyDescent="0.35">
      <c r="A61" s="7" t="s">
        <v>23</v>
      </c>
      <c r="B61" s="22"/>
      <c r="C61" s="22"/>
      <c r="D61" s="22"/>
      <c r="E61" s="22"/>
      <c r="F61" s="22"/>
      <c r="G61" s="22"/>
    </row>
    <row r="62" spans="1:7" ht="16.5" x14ac:dyDescent="0.3">
      <c r="A62" s="8" t="s">
        <v>24</v>
      </c>
      <c r="B62" s="22">
        <f t="shared" ref="B62:E62" si="21">((B17/B15)-1)*100</f>
        <v>8.5476102272210817</v>
      </c>
      <c r="C62" s="22">
        <f t="shared" si="21"/>
        <v>11.726140543330965</v>
      </c>
      <c r="D62" s="22">
        <f t="shared" si="21"/>
        <v>-21.684463014546573</v>
      </c>
      <c r="E62" s="22">
        <f t="shared" si="21"/>
        <v>-26.055988073546466</v>
      </c>
      <c r="F62" s="12">
        <f t="shared" ref="F62:G62" si="22">((F17/F15)-1)*100</f>
        <v>-100</v>
      </c>
      <c r="G62" s="12" t="s">
        <v>36</v>
      </c>
    </row>
    <row r="63" spans="1:7" ht="16.5" x14ac:dyDescent="0.3">
      <c r="A63" s="8" t="s">
        <v>25</v>
      </c>
      <c r="B63" s="22">
        <f>((B38/B37)-1)*100</f>
        <v>12.26975644094701</v>
      </c>
      <c r="C63" s="22">
        <f t="shared" ref="C63:E63" si="23">((C38/C37)-1)*100</f>
        <v>-1.2611463721363902</v>
      </c>
      <c r="D63" s="22">
        <f>((D38/D37)-1)*100</f>
        <v>162.4778045323049</v>
      </c>
      <c r="E63" s="22">
        <f t="shared" si="23"/>
        <v>4.5230622390075803</v>
      </c>
      <c r="F63" s="12">
        <f t="shared" ref="F63:G63" si="24">((F38/F37)-1)*100</f>
        <v>-97.304673455313278</v>
      </c>
      <c r="G63" s="12" t="s">
        <v>36</v>
      </c>
    </row>
    <row r="64" spans="1:7" ht="16.5" x14ac:dyDescent="0.3">
      <c r="A64" s="8" t="s">
        <v>26</v>
      </c>
      <c r="B64" s="22">
        <f t="shared" ref="B64:E64" si="25">((B40/B39)-1)*100</f>
        <v>3.4290448273659901</v>
      </c>
      <c r="C64" s="22">
        <f t="shared" si="25"/>
        <v>-11.624215114125846</v>
      </c>
      <c r="D64" s="22">
        <f t="shared" si="25"/>
        <v>235.15419115501737</v>
      </c>
      <c r="E64" s="22">
        <f t="shared" si="25"/>
        <v>41.354329466148918</v>
      </c>
      <c r="F64" s="12" t="s">
        <v>36</v>
      </c>
      <c r="G64" s="12" t="s">
        <v>36</v>
      </c>
    </row>
    <row r="65" spans="1:7" ht="16.5" x14ac:dyDescent="0.3">
      <c r="A65" s="8"/>
      <c r="B65" s="22"/>
      <c r="C65" s="22"/>
      <c r="D65" s="22"/>
      <c r="E65" s="22"/>
      <c r="F65" s="22"/>
      <c r="G65" s="22"/>
    </row>
    <row r="66" spans="1:7" ht="17.25" x14ac:dyDescent="0.35">
      <c r="A66" s="7" t="s">
        <v>27</v>
      </c>
      <c r="B66" s="22"/>
      <c r="C66" s="22"/>
      <c r="D66" s="22"/>
      <c r="E66" s="22"/>
      <c r="F66" s="22"/>
      <c r="G66" s="22"/>
    </row>
    <row r="67" spans="1:7" ht="16.5" x14ac:dyDescent="0.3">
      <c r="A67" s="8" t="s">
        <v>33</v>
      </c>
      <c r="B67" s="22">
        <f>B22/(B16*12)</f>
        <v>20052.800448754602</v>
      </c>
      <c r="C67" s="22">
        <f>C22/(C16)</f>
        <v>168527.19106633126</v>
      </c>
      <c r="D67" s="22">
        <f>D22/(D16*12)</f>
        <v>76021.12850233278</v>
      </c>
      <c r="E67" s="22">
        <f t="shared" ref="E67:F67" si="26">E22/(E16*12)</f>
        <v>456978.23459239129</v>
      </c>
      <c r="F67" s="12" t="s">
        <v>36</v>
      </c>
      <c r="G67" s="22">
        <f>G22/(G16*3)</f>
        <v>89939</v>
      </c>
    </row>
    <row r="68" spans="1:7" ht="16.5" x14ac:dyDescent="0.3">
      <c r="A68" s="8" t="s">
        <v>34</v>
      </c>
      <c r="B68" s="22">
        <f>B23/(B17*12)</f>
        <v>13903.539714911052</v>
      </c>
      <c r="C68" s="22">
        <f>C23/(C17)</f>
        <v>115218.8599207587</v>
      </c>
      <c r="D68" s="22">
        <f>D23/(D17*12)</f>
        <v>70053.071449883908</v>
      </c>
      <c r="E68" s="22">
        <f t="shared" ref="E68:F68" si="27">E23/(E17*12)</f>
        <v>495297.48343189963</v>
      </c>
      <c r="F68" s="12" t="s">
        <v>36</v>
      </c>
      <c r="G68" s="22">
        <f>G23/(G17*3)</f>
        <v>61920.062126315788</v>
      </c>
    </row>
    <row r="69" spans="1:7" ht="16.5" x14ac:dyDescent="0.3">
      <c r="A69" s="8" t="s">
        <v>28</v>
      </c>
      <c r="B69" s="22">
        <f>(B68/B67)*B51</f>
        <v>77.375197612364801</v>
      </c>
      <c r="C69" s="22">
        <f t="shared" ref="C69:E69" si="28">(C68/C67)*C51</f>
        <v>77.382756041888427</v>
      </c>
      <c r="D69" s="22">
        <f t="shared" si="28"/>
        <v>92.906205998771838</v>
      </c>
      <c r="E69" s="22">
        <f t="shared" si="28"/>
        <v>91.325679712538985</v>
      </c>
      <c r="F69" s="12" t="s">
        <v>36</v>
      </c>
      <c r="G69" s="22">
        <f>(G68/G67)*G51</f>
        <v>58.122728314505849</v>
      </c>
    </row>
    <row r="70" spans="1:7" ht="16.5" x14ac:dyDescent="0.3">
      <c r="A70" s="8" t="s">
        <v>37</v>
      </c>
      <c r="B70" s="22">
        <f t="shared" ref="B70:E71" si="29">B22/B16</f>
        <v>240633.60538505521</v>
      </c>
      <c r="C70" s="22">
        <f>C22/C16*12</f>
        <v>2022326.2927959752</v>
      </c>
      <c r="D70" s="22">
        <f>D22/D16</f>
        <v>912253.54202799348</v>
      </c>
      <c r="E70" s="22">
        <f>E22/E16</f>
        <v>5483738.8151086951</v>
      </c>
      <c r="F70" s="12" t="s">
        <v>36</v>
      </c>
      <c r="G70" s="22">
        <f>G22/G16</f>
        <v>269817</v>
      </c>
    </row>
    <row r="71" spans="1:7" ht="16.5" x14ac:dyDescent="0.3">
      <c r="A71" s="8" t="s">
        <v>38</v>
      </c>
      <c r="B71" s="22">
        <f t="shared" si="29"/>
        <v>166842.47657893263</v>
      </c>
      <c r="C71" s="22">
        <f>C23/C17*12</f>
        <v>1382626.3190491043</v>
      </c>
      <c r="D71" s="22">
        <f t="shared" si="29"/>
        <v>840636.85739860684</v>
      </c>
      <c r="E71" s="22">
        <f t="shared" si="29"/>
        <v>5943569.8011827953</v>
      </c>
      <c r="F71" s="12" t="s">
        <v>36</v>
      </c>
      <c r="G71" s="22">
        <f>G23/G17</f>
        <v>185760.18637894737</v>
      </c>
    </row>
    <row r="72" spans="1:7" ht="16.5" x14ac:dyDescent="0.3">
      <c r="A72" s="8"/>
      <c r="B72" s="22"/>
      <c r="C72" s="22"/>
      <c r="D72" s="22"/>
      <c r="E72" s="22"/>
      <c r="F72" s="22"/>
      <c r="G72" s="22"/>
    </row>
    <row r="73" spans="1:7" ht="17.25" x14ac:dyDescent="0.35">
      <c r="A73" s="7" t="s">
        <v>29</v>
      </c>
      <c r="B73" s="22"/>
      <c r="C73" s="22"/>
      <c r="D73" s="22"/>
      <c r="E73" s="22"/>
      <c r="F73" s="22"/>
      <c r="G73" s="22"/>
    </row>
    <row r="74" spans="1:7" ht="16.5" x14ac:dyDescent="0.3">
      <c r="A74" s="8" t="s">
        <v>30</v>
      </c>
      <c r="B74" s="22">
        <f>(B29/B28)*100</f>
        <v>95.607997272755981</v>
      </c>
      <c r="C74" s="22"/>
      <c r="D74" s="22"/>
      <c r="E74" s="22"/>
      <c r="F74" s="22"/>
      <c r="G74" s="22"/>
    </row>
    <row r="75" spans="1:7" ht="16.5" x14ac:dyDescent="0.3">
      <c r="A75" s="8" t="s">
        <v>31</v>
      </c>
      <c r="B75" s="22">
        <f>(B23/B29)*100</f>
        <v>95.585430911135802</v>
      </c>
      <c r="C75" s="22"/>
      <c r="D75" s="22"/>
      <c r="E75" s="22"/>
      <c r="F75" s="22"/>
      <c r="G75" s="22"/>
    </row>
    <row r="76" spans="1:7" ht="17.25" thickBot="1" x14ac:dyDescent="0.35">
      <c r="A76" s="18"/>
      <c r="B76" s="18"/>
      <c r="C76" s="18"/>
      <c r="D76" s="18"/>
      <c r="E76" s="18"/>
      <c r="F76" s="18"/>
      <c r="G76" s="18"/>
    </row>
    <row r="77" spans="1:7" s="5" customFormat="1" ht="16.5" customHeight="1" thickTop="1" x14ac:dyDescent="0.25">
      <c r="A77" s="23" t="s">
        <v>127</v>
      </c>
      <c r="B77" s="23"/>
      <c r="C77" s="23"/>
      <c r="D77" s="23"/>
      <c r="E77" s="23"/>
      <c r="F77" s="23"/>
      <c r="G77" s="23"/>
    </row>
    <row r="78" spans="1:7" ht="41.25" customHeight="1" x14ac:dyDescent="0.25">
      <c r="A78" s="34" t="s">
        <v>128</v>
      </c>
      <c r="B78" s="34"/>
      <c r="C78" s="34"/>
      <c r="D78" s="34"/>
      <c r="E78" s="34"/>
      <c r="F78" s="34"/>
      <c r="G78" s="34"/>
    </row>
    <row r="79" spans="1:7" ht="16.5" x14ac:dyDescent="0.3">
      <c r="A79" s="8"/>
      <c r="B79" s="8"/>
      <c r="C79" s="8"/>
      <c r="D79" s="8"/>
      <c r="E79" s="8"/>
      <c r="F79" s="8"/>
      <c r="G79" s="8"/>
    </row>
    <row r="80" spans="1:7" x14ac:dyDescent="0.25">
      <c r="B80" s="2"/>
      <c r="C80" s="2"/>
      <c r="D80" s="2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</sheetData>
  <mergeCells count="5">
    <mergeCell ref="A9:A10"/>
    <mergeCell ref="B9:B10"/>
    <mergeCell ref="C9:F9"/>
    <mergeCell ref="A78:G78"/>
    <mergeCell ref="A77:G77"/>
  </mergeCells>
  <pageMargins left="0.7" right="0.7" top="0.75" bottom="0.75" header="0.3" footer="0.3"/>
  <pageSetup scale="10" orientation="portrait" r:id="rId1"/>
  <ignoredErrors>
    <ignoredError sqref="C67:C7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 Trimestre</vt:lpstr>
      <vt:lpstr>II trimestre</vt:lpstr>
      <vt:lpstr>I Semestre</vt:lpstr>
      <vt:lpstr>III Trimestre</vt:lpstr>
      <vt:lpstr>III Trimestre Acumulado</vt:lpstr>
      <vt:lpstr>IV Trimestre</vt:lpstr>
      <vt:lpstr>Anual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Astorga</dc:creator>
  <cp:lastModifiedBy>Stephanie Tatiana Salas Soto</cp:lastModifiedBy>
  <dcterms:created xsi:type="dcterms:W3CDTF">2012-04-10T15:25:06Z</dcterms:created>
  <dcterms:modified xsi:type="dcterms:W3CDTF">2021-02-01T21:40:59Z</dcterms:modified>
</cp:coreProperties>
</file>