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IMAS\"/>
    </mc:Choice>
  </mc:AlternateContent>
  <bookViews>
    <workbookView xWindow="0" yWindow="0" windowWidth="28800" windowHeight="12330" tabRatio="729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9" i="7" l="1"/>
  <c r="G19" i="7"/>
  <c r="H19" i="7"/>
  <c r="I19" i="7"/>
  <c r="F19" i="7"/>
  <c r="E19" i="7"/>
  <c r="D19" i="7"/>
  <c r="J64" i="7" l="1"/>
  <c r="K66" i="7"/>
  <c r="K65" i="7"/>
  <c r="J65" i="7"/>
  <c r="K64" i="7"/>
  <c r="J64" i="4"/>
  <c r="K66" i="4"/>
  <c r="J66" i="4"/>
  <c r="K65" i="4"/>
  <c r="J65" i="4"/>
  <c r="K64" i="4"/>
  <c r="J42" i="4"/>
  <c r="J41" i="4"/>
  <c r="K40" i="4"/>
  <c r="K42" i="4" s="1"/>
  <c r="J40" i="4"/>
  <c r="K39" i="4"/>
  <c r="K41" i="4" s="1"/>
  <c r="J39" i="4"/>
  <c r="J64" i="6"/>
  <c r="K65" i="2"/>
  <c r="K66" i="2"/>
  <c r="K64" i="2"/>
  <c r="C64" i="6"/>
  <c r="C64" i="1"/>
  <c r="I64" i="7"/>
  <c r="K39" i="7"/>
  <c r="J39" i="7"/>
  <c r="J41" i="7" s="1"/>
  <c r="J24" i="7" l="1"/>
  <c r="B26" i="7"/>
  <c r="B23" i="7"/>
  <c r="L23" i="7"/>
  <c r="J23" i="7"/>
  <c r="C23" i="7"/>
  <c r="B23" i="4"/>
  <c r="J27" i="7" l="1"/>
  <c r="B27" i="7"/>
  <c r="H25" i="7"/>
  <c r="B25" i="7"/>
  <c r="L27" i="7"/>
  <c r="L25" i="7"/>
  <c r="J25" i="7"/>
  <c r="B27" i="4"/>
  <c r="B17" i="7" l="1"/>
  <c r="K17" i="7"/>
  <c r="B77" i="6" l="1"/>
  <c r="B76" i="6"/>
  <c r="J73" i="6"/>
  <c r="I73" i="6"/>
  <c r="H73" i="6"/>
  <c r="G73" i="6"/>
  <c r="F73" i="6"/>
  <c r="E73" i="6"/>
  <c r="C73" i="6"/>
  <c r="B73" i="6"/>
  <c r="J72" i="6"/>
  <c r="I72" i="6"/>
  <c r="H72" i="6"/>
  <c r="G72" i="6"/>
  <c r="F72" i="6"/>
  <c r="E72" i="6"/>
  <c r="C72" i="6"/>
  <c r="B72" i="6"/>
  <c r="J70" i="6"/>
  <c r="I70" i="6"/>
  <c r="H70" i="6"/>
  <c r="G70" i="6"/>
  <c r="F70" i="6"/>
  <c r="E70" i="6"/>
  <c r="C70" i="6"/>
  <c r="B70" i="6"/>
  <c r="J69" i="6"/>
  <c r="I69" i="6"/>
  <c r="H69" i="6"/>
  <c r="G69" i="6"/>
  <c r="F69" i="6"/>
  <c r="E69" i="6"/>
  <c r="C69" i="6"/>
  <c r="B69" i="6"/>
  <c r="I64" i="6"/>
  <c r="H64" i="6"/>
  <c r="G64" i="6"/>
  <c r="F64" i="6"/>
  <c r="E64" i="6"/>
  <c r="B64" i="6"/>
  <c r="J61" i="6"/>
  <c r="I61" i="6"/>
  <c r="H61" i="6"/>
  <c r="G61" i="6"/>
  <c r="F61" i="6"/>
  <c r="E61" i="6"/>
  <c r="C61" i="6"/>
  <c r="B61" i="6"/>
  <c r="I58" i="6"/>
  <c r="G58" i="6"/>
  <c r="E58" i="6"/>
  <c r="J57" i="6"/>
  <c r="I57" i="6"/>
  <c r="H57" i="6"/>
  <c r="G57" i="6"/>
  <c r="F57" i="6"/>
  <c r="E57" i="6"/>
  <c r="C57" i="6"/>
  <c r="B57" i="6"/>
  <c r="J56" i="6"/>
  <c r="J58" i="6" s="1"/>
  <c r="I56" i="6"/>
  <c r="H56" i="6"/>
  <c r="H58" i="6" s="1"/>
  <c r="G56" i="6"/>
  <c r="F56" i="6"/>
  <c r="F58" i="6" s="1"/>
  <c r="E56" i="6"/>
  <c r="C56" i="6"/>
  <c r="C58" i="6" s="1"/>
  <c r="I53" i="6"/>
  <c r="I71" i="6" s="1"/>
  <c r="G53" i="6"/>
  <c r="G71" i="6" s="1"/>
  <c r="E53" i="6"/>
  <c r="E71" i="6" s="1"/>
  <c r="J52" i="6"/>
  <c r="I52" i="6"/>
  <c r="H52" i="6"/>
  <c r="G52" i="6"/>
  <c r="F52" i="6"/>
  <c r="E52" i="6"/>
  <c r="C52" i="6"/>
  <c r="B52" i="6"/>
  <c r="K51" i="6"/>
  <c r="K53" i="6" s="1"/>
  <c r="I51" i="6"/>
  <c r="H51" i="6"/>
  <c r="H53" i="6" s="1"/>
  <c r="G51" i="6"/>
  <c r="F51" i="6"/>
  <c r="F53" i="6" s="1"/>
  <c r="E51" i="6"/>
  <c r="D51" i="6"/>
  <c r="D53" i="6" s="1"/>
  <c r="G48" i="6"/>
  <c r="E48" i="6"/>
  <c r="C48" i="6"/>
  <c r="B48" i="6"/>
  <c r="G47" i="6"/>
  <c r="E47" i="6"/>
  <c r="C47" i="6"/>
  <c r="J42" i="6"/>
  <c r="H42" i="6"/>
  <c r="F42" i="6"/>
  <c r="C42" i="6"/>
  <c r="L40" i="6"/>
  <c r="L65" i="6" s="1"/>
  <c r="J40" i="6"/>
  <c r="J65" i="6" s="1"/>
  <c r="I40" i="6"/>
  <c r="I42" i="6" s="1"/>
  <c r="I66" i="6" s="1"/>
  <c r="H40" i="6"/>
  <c r="H65" i="6" s="1"/>
  <c r="G40" i="6"/>
  <c r="G42" i="6" s="1"/>
  <c r="G66" i="6" s="1"/>
  <c r="F40" i="6"/>
  <c r="F65" i="6" s="1"/>
  <c r="E40" i="6"/>
  <c r="E42" i="6" s="1"/>
  <c r="E66" i="6" s="1"/>
  <c r="C40" i="6"/>
  <c r="C65" i="6" s="1"/>
  <c r="B40" i="6"/>
  <c r="B42" i="6" s="1"/>
  <c r="B66" i="6" s="1"/>
  <c r="L39" i="6"/>
  <c r="J39" i="6"/>
  <c r="J41" i="6" s="1"/>
  <c r="I39" i="6"/>
  <c r="I41" i="6" s="1"/>
  <c r="H39" i="6"/>
  <c r="H41" i="6" s="1"/>
  <c r="G39" i="6"/>
  <c r="G41" i="6" s="1"/>
  <c r="F39" i="6"/>
  <c r="F41" i="6" s="1"/>
  <c r="E39" i="6"/>
  <c r="E41" i="6" s="1"/>
  <c r="C39" i="6"/>
  <c r="C41" i="6" s="1"/>
  <c r="B39" i="6"/>
  <c r="B41" i="6" s="1"/>
  <c r="B26" i="6"/>
  <c r="B24" i="6"/>
  <c r="B23" i="6"/>
  <c r="E23" i="6"/>
  <c r="L25" i="6"/>
  <c r="J25" i="6"/>
  <c r="J24" i="6"/>
  <c r="L23" i="6"/>
  <c r="K19" i="6"/>
  <c r="K17" i="6"/>
  <c r="B77" i="1"/>
  <c r="B76" i="1"/>
  <c r="J73" i="1"/>
  <c r="I73" i="1"/>
  <c r="H73" i="1"/>
  <c r="G73" i="1"/>
  <c r="F73" i="1"/>
  <c r="E73" i="1"/>
  <c r="C73" i="1"/>
  <c r="B73" i="1"/>
  <c r="J72" i="1"/>
  <c r="I72" i="1"/>
  <c r="H72" i="1"/>
  <c r="G72" i="1"/>
  <c r="F72" i="1"/>
  <c r="E72" i="1"/>
  <c r="C72" i="1"/>
  <c r="B72" i="1"/>
  <c r="J70" i="1"/>
  <c r="J71" i="1" s="1"/>
  <c r="I70" i="1"/>
  <c r="H70" i="1"/>
  <c r="H71" i="1" s="1"/>
  <c r="G70" i="1"/>
  <c r="F70" i="1"/>
  <c r="F71" i="1" s="1"/>
  <c r="E70" i="1"/>
  <c r="C70" i="1"/>
  <c r="C71" i="1" s="1"/>
  <c r="B70" i="1"/>
  <c r="J69" i="1"/>
  <c r="I69" i="1"/>
  <c r="H69" i="1"/>
  <c r="G69" i="1"/>
  <c r="F69" i="1"/>
  <c r="E69" i="1"/>
  <c r="C69" i="1"/>
  <c r="B69" i="1"/>
  <c r="J64" i="1"/>
  <c r="I64" i="1"/>
  <c r="H64" i="1"/>
  <c r="G64" i="1"/>
  <c r="F64" i="1"/>
  <c r="E64" i="1"/>
  <c r="B64" i="1"/>
  <c r="J61" i="1"/>
  <c r="I61" i="1"/>
  <c r="H61" i="1"/>
  <c r="G61" i="1"/>
  <c r="F61" i="1"/>
  <c r="E61" i="1"/>
  <c r="C61" i="1"/>
  <c r="B61" i="1"/>
  <c r="J58" i="1"/>
  <c r="H58" i="1"/>
  <c r="F58" i="1"/>
  <c r="C58" i="1"/>
  <c r="J57" i="1"/>
  <c r="I57" i="1"/>
  <c r="H57" i="1"/>
  <c r="G57" i="1"/>
  <c r="F57" i="1"/>
  <c r="E57" i="1"/>
  <c r="C57" i="1"/>
  <c r="B57" i="1"/>
  <c r="J56" i="1"/>
  <c r="I56" i="1"/>
  <c r="I58" i="1" s="1"/>
  <c r="H56" i="1"/>
  <c r="G56" i="1"/>
  <c r="G58" i="1" s="1"/>
  <c r="F56" i="1"/>
  <c r="E56" i="1"/>
  <c r="E58" i="1" s="1"/>
  <c r="C56" i="1"/>
  <c r="K53" i="1"/>
  <c r="H53" i="1"/>
  <c r="F53" i="1"/>
  <c r="D53" i="1"/>
  <c r="J52" i="1"/>
  <c r="I52" i="1"/>
  <c r="H52" i="1"/>
  <c r="G52" i="1"/>
  <c r="F52" i="1"/>
  <c r="E52" i="1"/>
  <c r="C52" i="1"/>
  <c r="B52" i="1"/>
  <c r="K51" i="1"/>
  <c r="I51" i="1"/>
  <c r="I53" i="1" s="1"/>
  <c r="I71" i="1" s="1"/>
  <c r="H51" i="1"/>
  <c r="G51" i="1"/>
  <c r="G53" i="1" s="1"/>
  <c r="G71" i="1" s="1"/>
  <c r="F51" i="1"/>
  <c r="E51" i="1"/>
  <c r="E53" i="1" s="1"/>
  <c r="E71" i="1" s="1"/>
  <c r="D51" i="1"/>
  <c r="G48" i="1"/>
  <c r="E48" i="1"/>
  <c r="C48" i="1"/>
  <c r="B48" i="1"/>
  <c r="G47" i="1"/>
  <c r="E47" i="1"/>
  <c r="C47" i="1"/>
  <c r="I42" i="1"/>
  <c r="I66" i="1" s="1"/>
  <c r="G42" i="1"/>
  <c r="E42" i="1"/>
  <c r="E66" i="1" s="1"/>
  <c r="B42" i="1"/>
  <c r="L40" i="1"/>
  <c r="J40" i="1"/>
  <c r="J42" i="1" s="1"/>
  <c r="I40" i="1"/>
  <c r="I65" i="1" s="1"/>
  <c r="H40" i="1"/>
  <c r="H42" i="1" s="1"/>
  <c r="G40" i="1"/>
  <c r="G65" i="1" s="1"/>
  <c r="F40" i="1"/>
  <c r="F42" i="1" s="1"/>
  <c r="E40" i="1"/>
  <c r="E65" i="1" s="1"/>
  <c r="C40" i="1"/>
  <c r="C42" i="1" s="1"/>
  <c r="B40" i="1"/>
  <c r="B65" i="1" s="1"/>
  <c r="L39" i="1"/>
  <c r="J39" i="1"/>
  <c r="J41" i="1" s="1"/>
  <c r="I39" i="1"/>
  <c r="I41" i="1" s="1"/>
  <c r="H39" i="1"/>
  <c r="H41" i="1" s="1"/>
  <c r="G39" i="1"/>
  <c r="G41" i="1" s="1"/>
  <c r="F39" i="1"/>
  <c r="F41" i="1" s="1"/>
  <c r="E39" i="1"/>
  <c r="E41" i="1" s="1"/>
  <c r="C39" i="1"/>
  <c r="C41" i="1" s="1"/>
  <c r="B39" i="1"/>
  <c r="B41" i="1" s="1"/>
  <c r="B23" i="1"/>
  <c r="B77" i="5"/>
  <c r="B76" i="5"/>
  <c r="J73" i="5"/>
  <c r="I73" i="5"/>
  <c r="H73" i="5"/>
  <c r="G73" i="5"/>
  <c r="F73" i="5"/>
  <c r="E73" i="5"/>
  <c r="C73" i="5"/>
  <c r="B73" i="5"/>
  <c r="J72" i="5"/>
  <c r="I72" i="5"/>
  <c r="H72" i="5"/>
  <c r="G72" i="5"/>
  <c r="F72" i="5"/>
  <c r="E72" i="5"/>
  <c r="C72" i="5"/>
  <c r="B72" i="5"/>
  <c r="J70" i="5"/>
  <c r="I70" i="5"/>
  <c r="H70" i="5"/>
  <c r="G70" i="5"/>
  <c r="F70" i="5"/>
  <c r="E70" i="5"/>
  <c r="C70" i="5"/>
  <c r="B70" i="5"/>
  <c r="J69" i="5"/>
  <c r="I69" i="5"/>
  <c r="H69" i="5"/>
  <c r="G69" i="5"/>
  <c r="F69" i="5"/>
  <c r="E69" i="5"/>
  <c r="C69" i="5"/>
  <c r="B69" i="5"/>
  <c r="I64" i="5"/>
  <c r="H64" i="5"/>
  <c r="G64" i="5"/>
  <c r="F64" i="5"/>
  <c r="E64" i="5"/>
  <c r="C64" i="5"/>
  <c r="B64" i="5"/>
  <c r="J61" i="5"/>
  <c r="I61" i="5"/>
  <c r="H61" i="5"/>
  <c r="G61" i="5"/>
  <c r="F61" i="5"/>
  <c r="E61" i="5"/>
  <c r="C61" i="5"/>
  <c r="B61" i="5"/>
  <c r="I58" i="5"/>
  <c r="G58" i="5"/>
  <c r="E58" i="5"/>
  <c r="J57" i="5"/>
  <c r="I57" i="5"/>
  <c r="H57" i="5"/>
  <c r="G57" i="5"/>
  <c r="F57" i="5"/>
  <c r="E57" i="5"/>
  <c r="C57" i="5"/>
  <c r="B57" i="5"/>
  <c r="J56" i="5"/>
  <c r="J58" i="5" s="1"/>
  <c r="I56" i="5"/>
  <c r="H56" i="5"/>
  <c r="H58" i="5" s="1"/>
  <c r="G56" i="5"/>
  <c r="F56" i="5"/>
  <c r="F58" i="5" s="1"/>
  <c r="E56" i="5"/>
  <c r="C56" i="5"/>
  <c r="C58" i="5" s="1"/>
  <c r="I53" i="5"/>
  <c r="I71" i="5" s="1"/>
  <c r="G53" i="5"/>
  <c r="G71" i="5" s="1"/>
  <c r="E53" i="5"/>
  <c r="E71" i="5" s="1"/>
  <c r="J52" i="5"/>
  <c r="I52" i="5"/>
  <c r="H52" i="5"/>
  <c r="G52" i="5"/>
  <c r="F52" i="5"/>
  <c r="E52" i="5"/>
  <c r="C52" i="5"/>
  <c r="B52" i="5"/>
  <c r="K51" i="5"/>
  <c r="K53" i="5" s="1"/>
  <c r="I51" i="5"/>
  <c r="H51" i="5"/>
  <c r="H53" i="5" s="1"/>
  <c r="G51" i="5"/>
  <c r="F51" i="5"/>
  <c r="F53" i="5" s="1"/>
  <c r="E51" i="5"/>
  <c r="D51" i="5"/>
  <c r="D53" i="5" s="1"/>
  <c r="G48" i="5"/>
  <c r="E48" i="5"/>
  <c r="C48" i="5"/>
  <c r="B48" i="5"/>
  <c r="G47" i="5"/>
  <c r="E47" i="5"/>
  <c r="C47" i="5"/>
  <c r="I41" i="5"/>
  <c r="G41" i="5"/>
  <c r="E41" i="5"/>
  <c r="B41" i="5"/>
  <c r="L40" i="5"/>
  <c r="J40" i="5"/>
  <c r="J42" i="5" s="1"/>
  <c r="I40" i="5"/>
  <c r="I65" i="5" s="1"/>
  <c r="H40" i="5"/>
  <c r="H65" i="5" s="1"/>
  <c r="G40" i="5"/>
  <c r="G65" i="5" s="1"/>
  <c r="F40" i="5"/>
  <c r="F65" i="5" s="1"/>
  <c r="E40" i="5"/>
  <c r="E65" i="5" s="1"/>
  <c r="C40" i="5"/>
  <c r="C65" i="5" s="1"/>
  <c r="B40" i="5"/>
  <c r="B65" i="5" s="1"/>
  <c r="L39" i="5"/>
  <c r="I39" i="5"/>
  <c r="H39" i="5"/>
  <c r="H41" i="5" s="1"/>
  <c r="G39" i="5"/>
  <c r="F39" i="5"/>
  <c r="F41" i="5" s="1"/>
  <c r="E39" i="5"/>
  <c r="C39" i="5"/>
  <c r="C41" i="5" s="1"/>
  <c r="B39" i="5"/>
  <c r="B27" i="5"/>
  <c r="B26" i="5"/>
  <c r="B25" i="5"/>
  <c r="B24" i="5"/>
  <c r="B23" i="5"/>
  <c r="L27" i="5"/>
  <c r="L25" i="5"/>
  <c r="L23" i="5"/>
  <c r="J27" i="5"/>
  <c r="J26" i="5"/>
  <c r="J24" i="5"/>
  <c r="J25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7" i="5"/>
  <c r="G27" i="5"/>
  <c r="H27" i="5"/>
  <c r="I27" i="5"/>
  <c r="E23" i="5"/>
  <c r="C23" i="5"/>
  <c r="J20" i="5"/>
  <c r="K20" i="5"/>
  <c r="L20" i="5"/>
  <c r="D19" i="5"/>
  <c r="E19" i="5"/>
  <c r="F19" i="5"/>
  <c r="G19" i="5"/>
  <c r="H19" i="5"/>
  <c r="I19" i="5"/>
  <c r="K19" i="5"/>
  <c r="D17" i="5"/>
  <c r="E17" i="5"/>
  <c r="F17" i="5"/>
  <c r="G17" i="5"/>
  <c r="H17" i="5"/>
  <c r="I17" i="5"/>
  <c r="K17" i="5"/>
  <c r="J16" i="5"/>
  <c r="K16" i="5"/>
  <c r="L16" i="5"/>
  <c r="B16" i="5"/>
  <c r="C16" i="5"/>
  <c r="D16" i="5"/>
  <c r="E16" i="5"/>
  <c r="F16" i="5"/>
  <c r="G16" i="5"/>
  <c r="H16" i="5"/>
  <c r="I16" i="5"/>
  <c r="B77" i="3"/>
  <c r="B76" i="3"/>
  <c r="J73" i="3"/>
  <c r="I73" i="3"/>
  <c r="H73" i="3"/>
  <c r="G73" i="3"/>
  <c r="F73" i="3"/>
  <c r="E73" i="3"/>
  <c r="C73" i="3"/>
  <c r="B73" i="3"/>
  <c r="J72" i="3"/>
  <c r="I72" i="3"/>
  <c r="H72" i="3"/>
  <c r="G72" i="3"/>
  <c r="F72" i="3"/>
  <c r="E72" i="3"/>
  <c r="C72" i="3"/>
  <c r="B72" i="3"/>
  <c r="J70" i="3"/>
  <c r="I70" i="3"/>
  <c r="H70" i="3"/>
  <c r="G70" i="3"/>
  <c r="F70" i="3"/>
  <c r="E70" i="3"/>
  <c r="C70" i="3"/>
  <c r="B70" i="3"/>
  <c r="J69" i="3"/>
  <c r="I69" i="3"/>
  <c r="H69" i="3"/>
  <c r="G69" i="3"/>
  <c r="F69" i="3"/>
  <c r="E69" i="3"/>
  <c r="C69" i="3"/>
  <c r="B69" i="3"/>
  <c r="H65" i="3"/>
  <c r="F65" i="3"/>
  <c r="C65" i="3"/>
  <c r="I64" i="3"/>
  <c r="H64" i="3"/>
  <c r="G64" i="3"/>
  <c r="F64" i="3"/>
  <c r="E64" i="3"/>
  <c r="C64" i="3"/>
  <c r="B64" i="3"/>
  <c r="J61" i="3"/>
  <c r="I61" i="3"/>
  <c r="H61" i="3"/>
  <c r="G61" i="3"/>
  <c r="F61" i="3"/>
  <c r="E61" i="3"/>
  <c r="C61" i="3"/>
  <c r="B61" i="3"/>
  <c r="I58" i="3"/>
  <c r="G58" i="3"/>
  <c r="E58" i="3"/>
  <c r="J57" i="3"/>
  <c r="I57" i="3"/>
  <c r="H57" i="3"/>
  <c r="G57" i="3"/>
  <c r="F57" i="3"/>
  <c r="E57" i="3"/>
  <c r="C57" i="3"/>
  <c r="B57" i="3"/>
  <c r="J56" i="3"/>
  <c r="J58" i="3" s="1"/>
  <c r="I56" i="3"/>
  <c r="H56" i="3"/>
  <c r="H58" i="3" s="1"/>
  <c r="G56" i="3"/>
  <c r="F56" i="3"/>
  <c r="F58" i="3" s="1"/>
  <c r="E56" i="3"/>
  <c r="C56" i="3"/>
  <c r="C58" i="3" s="1"/>
  <c r="I53" i="3"/>
  <c r="I71" i="3" s="1"/>
  <c r="G53" i="3"/>
  <c r="G71" i="3" s="1"/>
  <c r="E53" i="3"/>
  <c r="E71" i="3" s="1"/>
  <c r="J52" i="3"/>
  <c r="I52" i="3"/>
  <c r="H52" i="3"/>
  <c r="G52" i="3"/>
  <c r="F52" i="3"/>
  <c r="E52" i="3"/>
  <c r="C52" i="3"/>
  <c r="B52" i="3"/>
  <c r="K51" i="3"/>
  <c r="K53" i="3" s="1"/>
  <c r="I51" i="3"/>
  <c r="H51" i="3"/>
  <c r="H53" i="3" s="1"/>
  <c r="G51" i="3"/>
  <c r="F51" i="3"/>
  <c r="F53" i="3" s="1"/>
  <c r="E51" i="3"/>
  <c r="D51" i="3"/>
  <c r="D53" i="3" s="1"/>
  <c r="G48" i="3"/>
  <c r="E48" i="3"/>
  <c r="C48" i="3"/>
  <c r="B48" i="3"/>
  <c r="G47" i="3"/>
  <c r="E47" i="3"/>
  <c r="C47" i="3"/>
  <c r="J42" i="3"/>
  <c r="H42" i="3"/>
  <c r="F42" i="3"/>
  <c r="C42" i="3"/>
  <c r="J40" i="3"/>
  <c r="I40" i="3"/>
  <c r="I65" i="3" s="1"/>
  <c r="H40" i="3"/>
  <c r="G40" i="3"/>
  <c r="G65" i="3" s="1"/>
  <c r="F40" i="3"/>
  <c r="E40" i="3"/>
  <c r="E65" i="3" s="1"/>
  <c r="C40" i="3"/>
  <c r="B40" i="3"/>
  <c r="B65" i="3" s="1"/>
  <c r="L39" i="3"/>
  <c r="I39" i="3"/>
  <c r="I41" i="3" s="1"/>
  <c r="H39" i="3"/>
  <c r="H41" i="3" s="1"/>
  <c r="G39" i="3"/>
  <c r="G41" i="3" s="1"/>
  <c r="F39" i="3"/>
  <c r="F41" i="3" s="1"/>
  <c r="E39" i="3"/>
  <c r="E41" i="3" s="1"/>
  <c r="C39" i="3"/>
  <c r="C41" i="3" s="1"/>
  <c r="B39" i="3"/>
  <c r="B41" i="3" s="1"/>
  <c r="B27" i="3"/>
  <c r="L27" i="3"/>
  <c r="B26" i="3"/>
  <c r="B25" i="3"/>
  <c r="B24" i="3"/>
  <c r="B23" i="3"/>
  <c r="B19" i="3"/>
  <c r="B17" i="3"/>
  <c r="B77" i="2"/>
  <c r="B76" i="2"/>
  <c r="J73" i="2"/>
  <c r="I73" i="2"/>
  <c r="H73" i="2"/>
  <c r="G73" i="2"/>
  <c r="F73" i="2"/>
  <c r="E73" i="2"/>
  <c r="C73" i="2"/>
  <c r="B73" i="2"/>
  <c r="J72" i="2"/>
  <c r="I72" i="2"/>
  <c r="H72" i="2"/>
  <c r="G72" i="2"/>
  <c r="F72" i="2"/>
  <c r="E72" i="2"/>
  <c r="C72" i="2"/>
  <c r="B72" i="2"/>
  <c r="J70" i="2"/>
  <c r="J71" i="2" s="1"/>
  <c r="I70" i="2"/>
  <c r="H70" i="2"/>
  <c r="H71" i="2" s="1"/>
  <c r="G70" i="2"/>
  <c r="F70" i="2"/>
  <c r="F71" i="2" s="1"/>
  <c r="E70" i="2"/>
  <c r="C70" i="2"/>
  <c r="C71" i="2" s="1"/>
  <c r="B70" i="2"/>
  <c r="J69" i="2"/>
  <c r="I69" i="2"/>
  <c r="H69" i="2"/>
  <c r="G69" i="2"/>
  <c r="F69" i="2"/>
  <c r="E69" i="2"/>
  <c r="C69" i="2"/>
  <c r="B69" i="2"/>
  <c r="I64" i="2"/>
  <c r="H64" i="2"/>
  <c r="G64" i="2"/>
  <c r="F64" i="2"/>
  <c r="E64" i="2"/>
  <c r="C64" i="2"/>
  <c r="B64" i="2"/>
  <c r="J61" i="2"/>
  <c r="I61" i="2"/>
  <c r="H61" i="2"/>
  <c r="G61" i="2"/>
  <c r="F61" i="2"/>
  <c r="E61" i="2"/>
  <c r="C61" i="2"/>
  <c r="B61" i="2"/>
  <c r="J58" i="2"/>
  <c r="H58" i="2"/>
  <c r="F58" i="2"/>
  <c r="C58" i="2"/>
  <c r="J57" i="2"/>
  <c r="I57" i="2"/>
  <c r="H57" i="2"/>
  <c r="G57" i="2"/>
  <c r="F57" i="2"/>
  <c r="E57" i="2"/>
  <c r="C57" i="2"/>
  <c r="B57" i="2"/>
  <c r="J56" i="2"/>
  <c r="I56" i="2"/>
  <c r="I58" i="2" s="1"/>
  <c r="H56" i="2"/>
  <c r="G56" i="2"/>
  <c r="G58" i="2" s="1"/>
  <c r="F56" i="2"/>
  <c r="E56" i="2"/>
  <c r="E58" i="2" s="1"/>
  <c r="C56" i="2"/>
  <c r="K53" i="2"/>
  <c r="H53" i="2"/>
  <c r="F53" i="2"/>
  <c r="D53" i="2"/>
  <c r="J52" i="2"/>
  <c r="I52" i="2"/>
  <c r="H52" i="2"/>
  <c r="G52" i="2"/>
  <c r="F52" i="2"/>
  <c r="E52" i="2"/>
  <c r="C52" i="2"/>
  <c r="B52" i="2"/>
  <c r="K51" i="2"/>
  <c r="I51" i="2"/>
  <c r="I53" i="2" s="1"/>
  <c r="I71" i="2" s="1"/>
  <c r="H51" i="2"/>
  <c r="G51" i="2"/>
  <c r="G53" i="2" s="1"/>
  <c r="G71" i="2" s="1"/>
  <c r="F51" i="2"/>
  <c r="E51" i="2"/>
  <c r="E53" i="2" s="1"/>
  <c r="E71" i="2" s="1"/>
  <c r="D51" i="2"/>
  <c r="G48" i="2"/>
  <c r="E48" i="2"/>
  <c r="C48" i="2"/>
  <c r="B48" i="2"/>
  <c r="G47" i="2"/>
  <c r="E47" i="2"/>
  <c r="C47" i="2"/>
  <c r="H41" i="2"/>
  <c r="F41" i="2"/>
  <c r="C41" i="2"/>
  <c r="L40" i="2"/>
  <c r="L65" i="2" s="1"/>
  <c r="J40" i="2"/>
  <c r="J42" i="2" s="1"/>
  <c r="I40" i="2"/>
  <c r="I65" i="2" s="1"/>
  <c r="H40" i="2"/>
  <c r="H65" i="2" s="1"/>
  <c r="G40" i="2"/>
  <c r="G65" i="2" s="1"/>
  <c r="F40" i="2"/>
  <c r="F65" i="2" s="1"/>
  <c r="E40" i="2"/>
  <c r="E65" i="2" s="1"/>
  <c r="C40" i="2"/>
  <c r="C65" i="2" s="1"/>
  <c r="B40" i="2"/>
  <c r="B65" i="2" s="1"/>
  <c r="L39" i="2"/>
  <c r="I39" i="2"/>
  <c r="I41" i="2" s="1"/>
  <c r="H39" i="2"/>
  <c r="G39" i="2"/>
  <c r="G41" i="2" s="1"/>
  <c r="F39" i="2"/>
  <c r="E39" i="2"/>
  <c r="E41" i="2" s="1"/>
  <c r="C39" i="2"/>
  <c r="B39" i="2"/>
  <c r="B41" i="2" s="1"/>
  <c r="B26" i="2"/>
  <c r="L27" i="2"/>
  <c r="B27" i="2"/>
  <c r="B25" i="2"/>
  <c r="B24" i="2"/>
  <c r="B23" i="2"/>
  <c r="B19" i="2"/>
  <c r="B17" i="2"/>
  <c r="F66" i="6" l="1"/>
  <c r="J66" i="6"/>
  <c r="C66" i="6"/>
  <c r="H66" i="6"/>
  <c r="C71" i="6"/>
  <c r="F71" i="6"/>
  <c r="H71" i="6"/>
  <c r="J71" i="6"/>
  <c r="B65" i="6"/>
  <c r="E65" i="6"/>
  <c r="G65" i="6"/>
  <c r="I65" i="6"/>
  <c r="C66" i="1"/>
  <c r="F66" i="1"/>
  <c r="H66" i="1"/>
  <c r="J66" i="1"/>
  <c r="B66" i="1"/>
  <c r="G66" i="1"/>
  <c r="C65" i="1"/>
  <c r="F65" i="1"/>
  <c r="H65" i="1"/>
  <c r="J65" i="1"/>
  <c r="C71" i="5"/>
  <c r="F71" i="5"/>
  <c r="H71" i="5"/>
  <c r="J71" i="5"/>
  <c r="C42" i="5"/>
  <c r="C66" i="5" s="1"/>
  <c r="F42" i="5"/>
  <c r="F66" i="5" s="1"/>
  <c r="H42" i="5"/>
  <c r="H66" i="5" s="1"/>
  <c r="B42" i="5"/>
  <c r="B66" i="5" s="1"/>
  <c r="E42" i="5"/>
  <c r="E66" i="5" s="1"/>
  <c r="G42" i="5"/>
  <c r="G66" i="5" s="1"/>
  <c r="I42" i="5"/>
  <c r="I66" i="5" s="1"/>
  <c r="F66" i="3"/>
  <c r="C66" i="3"/>
  <c r="H66" i="3"/>
  <c r="C71" i="3"/>
  <c r="F71" i="3"/>
  <c r="H71" i="3"/>
  <c r="J71" i="3"/>
  <c r="B42" i="3"/>
  <c r="B66" i="3" s="1"/>
  <c r="E42" i="3"/>
  <c r="E66" i="3" s="1"/>
  <c r="G42" i="3"/>
  <c r="G66" i="3" s="1"/>
  <c r="I42" i="3"/>
  <c r="I66" i="3" s="1"/>
  <c r="B42" i="2"/>
  <c r="B66" i="2" s="1"/>
  <c r="E42" i="2"/>
  <c r="E66" i="2" s="1"/>
  <c r="G42" i="2"/>
  <c r="G66" i="2" s="1"/>
  <c r="I42" i="2"/>
  <c r="I66" i="2" s="1"/>
  <c r="C42" i="2"/>
  <c r="C66" i="2" s="1"/>
  <c r="F42" i="2"/>
  <c r="F66" i="2" s="1"/>
  <c r="H42" i="2"/>
  <c r="H66" i="2" s="1"/>
  <c r="L27" i="4"/>
  <c r="J72" i="4" l="1"/>
  <c r="J73" i="4"/>
  <c r="J70" i="4"/>
  <c r="J69" i="4"/>
  <c r="J57" i="4"/>
  <c r="J56" i="4"/>
  <c r="J52" i="4"/>
  <c r="K51" i="4"/>
  <c r="L40" i="4"/>
  <c r="L39" i="4"/>
  <c r="L65" i="4" l="1"/>
  <c r="J58" i="4"/>
  <c r="K53" i="4"/>
  <c r="J71" i="4" s="1"/>
  <c r="K20" i="7"/>
  <c r="J56" i="7" s="1"/>
  <c r="G17" i="7"/>
  <c r="H17" i="7"/>
  <c r="I17" i="7"/>
  <c r="F17" i="7"/>
  <c r="E17" i="7"/>
  <c r="D17" i="7"/>
  <c r="K16" i="7"/>
  <c r="I16" i="7"/>
  <c r="J26" i="7"/>
  <c r="L39" i="7"/>
  <c r="L40" i="7"/>
  <c r="I24" i="7"/>
  <c r="L65" i="7" l="1"/>
  <c r="J72" i="7"/>
  <c r="J69" i="7"/>
  <c r="K51" i="7"/>
  <c r="J73" i="7"/>
  <c r="J70" i="7"/>
  <c r="J57" i="7"/>
  <c r="J58" i="7" s="1"/>
  <c r="J52" i="7"/>
  <c r="J40" i="7"/>
  <c r="B25" i="4"/>
  <c r="B24" i="4"/>
  <c r="B26" i="4"/>
  <c r="B19" i="4"/>
  <c r="B17" i="4"/>
  <c r="J42" i="7" l="1"/>
  <c r="J66" i="7" s="1"/>
  <c r="K53" i="7"/>
  <c r="J71" i="7" s="1"/>
  <c r="J27" i="4"/>
  <c r="J61" i="4" s="1"/>
  <c r="B25" i="1" l="1"/>
  <c r="B26" i="1" l="1"/>
  <c r="B24" i="1"/>
  <c r="B19" i="1"/>
  <c r="B17" i="1"/>
  <c r="L27" i="1"/>
  <c r="L26" i="6"/>
  <c r="J23" i="6"/>
  <c r="K20" i="6"/>
  <c r="L20" i="6"/>
  <c r="L19" i="6"/>
  <c r="L17" i="6"/>
  <c r="K16" i="6"/>
  <c r="L16" i="6"/>
  <c r="L27" i="6" l="1"/>
  <c r="E48" i="7" l="1"/>
  <c r="I73" i="4" l="1"/>
  <c r="H73" i="4"/>
  <c r="G73" i="4"/>
  <c r="F73" i="4"/>
  <c r="E73" i="4"/>
  <c r="C73" i="4"/>
  <c r="H72" i="4"/>
  <c r="G72" i="4"/>
  <c r="F72" i="4"/>
  <c r="E72" i="4"/>
  <c r="C72" i="4"/>
  <c r="I70" i="4"/>
  <c r="H70" i="4"/>
  <c r="G70" i="4"/>
  <c r="F70" i="4"/>
  <c r="E70" i="4"/>
  <c r="C70" i="4"/>
  <c r="H69" i="4"/>
  <c r="G69" i="4"/>
  <c r="F69" i="4"/>
  <c r="E69" i="4"/>
  <c r="C69" i="4"/>
  <c r="I64" i="4"/>
  <c r="H64" i="4"/>
  <c r="G64" i="4"/>
  <c r="F64" i="4"/>
  <c r="E64" i="4"/>
  <c r="C64" i="4"/>
  <c r="B64" i="4"/>
  <c r="I57" i="4"/>
  <c r="H57" i="4"/>
  <c r="G57" i="4"/>
  <c r="F57" i="4"/>
  <c r="E57" i="4"/>
  <c r="C57" i="4"/>
  <c r="I56" i="4"/>
  <c r="H56" i="4"/>
  <c r="H58" i="4" s="1"/>
  <c r="G56" i="4"/>
  <c r="F56" i="4"/>
  <c r="E56" i="4"/>
  <c r="E58" i="4" s="1"/>
  <c r="C56" i="4"/>
  <c r="C58" i="4" s="1"/>
  <c r="H52" i="4"/>
  <c r="G52" i="4"/>
  <c r="F52" i="4"/>
  <c r="E52" i="4"/>
  <c r="C52" i="4"/>
  <c r="I51" i="4"/>
  <c r="H51" i="4"/>
  <c r="H53" i="4" s="1"/>
  <c r="G51" i="4"/>
  <c r="F51" i="4"/>
  <c r="F53" i="4" s="1"/>
  <c r="E51" i="4"/>
  <c r="E53" i="4" s="1"/>
  <c r="D51" i="4"/>
  <c r="D53" i="4" s="1"/>
  <c r="G48" i="4"/>
  <c r="E48" i="4"/>
  <c r="C48" i="4"/>
  <c r="B48" i="4"/>
  <c r="G47" i="4"/>
  <c r="E47" i="4"/>
  <c r="C47" i="4"/>
  <c r="I40" i="4"/>
  <c r="H40" i="4"/>
  <c r="G40" i="4"/>
  <c r="F40" i="4"/>
  <c r="E40" i="4"/>
  <c r="C40" i="4"/>
  <c r="I39" i="4"/>
  <c r="I41" i="4" s="1"/>
  <c r="H39" i="4"/>
  <c r="H41" i="4" s="1"/>
  <c r="G39" i="4"/>
  <c r="G41" i="4" s="1"/>
  <c r="F39" i="4"/>
  <c r="F41" i="4" s="1"/>
  <c r="E39" i="4"/>
  <c r="E41" i="4" s="1"/>
  <c r="C39" i="4"/>
  <c r="C41" i="4" s="1"/>
  <c r="C65" i="4" l="1"/>
  <c r="F58" i="4"/>
  <c r="E65" i="4"/>
  <c r="G53" i="4"/>
  <c r="G71" i="4" s="1"/>
  <c r="G58" i="4"/>
  <c r="F65" i="4"/>
  <c r="G65" i="4"/>
  <c r="E71" i="4"/>
  <c r="H65" i="4"/>
  <c r="F71" i="4"/>
  <c r="I65" i="4"/>
  <c r="I58" i="4"/>
  <c r="H71" i="4"/>
  <c r="C71" i="4"/>
  <c r="E42" i="4"/>
  <c r="E66" i="4" s="1"/>
  <c r="G42" i="4"/>
  <c r="G66" i="4" s="1"/>
  <c r="H42" i="4"/>
  <c r="H66" i="4" s="1"/>
  <c r="I42" i="4"/>
  <c r="I66" i="4" s="1"/>
  <c r="F42" i="4"/>
  <c r="F66" i="4" s="1"/>
  <c r="C42" i="4"/>
  <c r="C66" i="4" s="1"/>
  <c r="F24" i="7" l="1"/>
  <c r="G24" i="7"/>
  <c r="H24" i="7"/>
  <c r="E24" i="7"/>
  <c r="C24" i="7"/>
  <c r="C26" i="7"/>
  <c r="B19" i="7" l="1"/>
  <c r="B24" i="7"/>
  <c r="G72" i="7"/>
  <c r="G69" i="7"/>
  <c r="F69" i="7"/>
  <c r="F72" i="7"/>
  <c r="E72" i="7"/>
  <c r="E69" i="7"/>
  <c r="I72" i="7"/>
  <c r="I69" i="7"/>
  <c r="C72" i="7"/>
  <c r="C69" i="7"/>
  <c r="H72" i="7"/>
  <c r="H69" i="7"/>
  <c r="C19" i="7" l="1"/>
  <c r="C17" i="7"/>
  <c r="J17" i="6"/>
  <c r="J19" i="6"/>
  <c r="J20" i="6"/>
  <c r="C19" i="6"/>
  <c r="D19" i="6"/>
  <c r="E19" i="6"/>
  <c r="F19" i="6"/>
  <c r="G19" i="6"/>
  <c r="H19" i="6"/>
  <c r="I19" i="6"/>
  <c r="C17" i="6"/>
  <c r="D17" i="6"/>
  <c r="E17" i="6"/>
  <c r="F17" i="6"/>
  <c r="G17" i="6"/>
  <c r="H17" i="6"/>
  <c r="I17" i="6"/>
  <c r="B17" i="6" l="1"/>
  <c r="B69" i="7"/>
  <c r="B72" i="7"/>
  <c r="B69" i="4"/>
  <c r="B72" i="4"/>
  <c r="B19" i="5"/>
  <c r="B17" i="5"/>
  <c r="B19" i="6"/>
  <c r="C25" i="7" l="1"/>
  <c r="F23" i="7"/>
  <c r="G23" i="7"/>
  <c r="H23" i="7"/>
  <c r="I23" i="7"/>
  <c r="B20" i="7"/>
  <c r="B16" i="7"/>
  <c r="J26" i="6"/>
  <c r="C25" i="6"/>
  <c r="C24" i="6"/>
  <c r="C23" i="6"/>
  <c r="J16" i="6"/>
  <c r="B20" i="6"/>
  <c r="B16" i="6"/>
  <c r="C25" i="5"/>
  <c r="C24" i="5"/>
  <c r="B20" i="5"/>
  <c r="I27" i="4"/>
  <c r="I61" i="4" s="1"/>
  <c r="B39" i="4"/>
  <c r="B41" i="4" s="1"/>
  <c r="B40" i="4" l="1"/>
  <c r="B57" i="4"/>
  <c r="B52" i="4"/>
  <c r="B70" i="4"/>
  <c r="B77" i="4"/>
  <c r="B73" i="4"/>
  <c r="J27" i="6"/>
  <c r="C40" i="7"/>
  <c r="C42" i="7" s="1"/>
  <c r="C70" i="7"/>
  <c r="C73" i="7"/>
  <c r="J61" i="7"/>
  <c r="B65" i="4" l="1"/>
  <c r="B42" i="4"/>
  <c r="B66" i="4" s="1"/>
  <c r="I27" i="1" l="1"/>
  <c r="J27" i="1"/>
  <c r="I27" i="3" l="1"/>
  <c r="J27" i="3"/>
  <c r="I27" i="2"/>
  <c r="J27" i="2"/>
  <c r="C27" i="2"/>
  <c r="L61" i="7" l="1"/>
  <c r="D16" i="7" l="1"/>
  <c r="D51" i="7" s="1"/>
  <c r="E16" i="7"/>
  <c r="F16" i="7"/>
  <c r="G16" i="7"/>
  <c r="H16" i="7"/>
  <c r="C16" i="7"/>
  <c r="D16" i="6"/>
  <c r="E16" i="6"/>
  <c r="F16" i="6"/>
  <c r="G16" i="6"/>
  <c r="H16" i="6"/>
  <c r="I16" i="6"/>
  <c r="C16" i="6"/>
  <c r="I51" i="7" l="1"/>
  <c r="C26" i="6" l="1"/>
  <c r="I25" i="7" l="1"/>
  <c r="H51" i="7"/>
  <c r="I39" i="7"/>
  <c r="I41" i="7" s="1"/>
  <c r="H39" i="7"/>
  <c r="H41" i="7" s="1"/>
  <c r="H64" i="7"/>
  <c r="H20" i="7"/>
  <c r="H56" i="7" s="1"/>
  <c r="C27" i="7"/>
  <c r="F25" i="7"/>
  <c r="G25" i="7"/>
  <c r="C39" i="7"/>
  <c r="C41" i="7" s="1"/>
  <c r="G39" i="7"/>
  <c r="G41" i="7" s="1"/>
  <c r="I23" i="6"/>
  <c r="C20" i="6"/>
  <c r="H23" i="6"/>
  <c r="F25" i="6"/>
  <c r="G25" i="6"/>
  <c r="H25" i="6"/>
  <c r="G23" i="6"/>
  <c r="I20" i="5"/>
  <c r="F64" i="7"/>
  <c r="G64" i="7"/>
  <c r="G48" i="7"/>
  <c r="F26" i="7"/>
  <c r="G26" i="7"/>
  <c r="H26" i="7"/>
  <c r="I26" i="7"/>
  <c r="E26" i="7"/>
  <c r="F39" i="7"/>
  <c r="F41" i="7" s="1"/>
  <c r="C20" i="7"/>
  <c r="D20" i="7"/>
  <c r="C56" i="7" s="1"/>
  <c r="E20" i="7"/>
  <c r="E56" i="7" s="1"/>
  <c r="F20" i="7"/>
  <c r="F56" i="7" s="1"/>
  <c r="G20" i="7"/>
  <c r="G56" i="7" s="1"/>
  <c r="I20" i="7"/>
  <c r="I56" i="7" s="1"/>
  <c r="E51" i="7"/>
  <c r="G47" i="7"/>
  <c r="G51" i="7"/>
  <c r="F26" i="6"/>
  <c r="G26" i="6"/>
  <c r="H26" i="6"/>
  <c r="I26" i="6"/>
  <c r="E26" i="6"/>
  <c r="I25" i="6"/>
  <c r="G24" i="6"/>
  <c r="H24" i="6"/>
  <c r="I24" i="6"/>
  <c r="D20" i="6"/>
  <c r="E20" i="6"/>
  <c r="F20" i="6"/>
  <c r="G20" i="6"/>
  <c r="H20" i="6"/>
  <c r="I20" i="6"/>
  <c r="E26" i="5"/>
  <c r="E24" i="5"/>
  <c r="C20" i="5"/>
  <c r="D20" i="5"/>
  <c r="E20" i="5"/>
  <c r="F20" i="5"/>
  <c r="G20" i="5"/>
  <c r="H20" i="5"/>
  <c r="B30" i="4"/>
  <c r="B76" i="4" s="1"/>
  <c r="B30" i="3"/>
  <c r="F27" i="4"/>
  <c r="F61" i="4" s="1"/>
  <c r="G27" i="4"/>
  <c r="G61" i="4" s="1"/>
  <c r="H27" i="4"/>
  <c r="H61" i="4" s="1"/>
  <c r="F27" i="1"/>
  <c r="G27" i="1"/>
  <c r="H27" i="1"/>
  <c r="F27" i="3"/>
  <c r="G27" i="3"/>
  <c r="H27" i="3"/>
  <c r="F27" i="2"/>
  <c r="G27" i="2"/>
  <c r="H27" i="2"/>
  <c r="F24" i="6"/>
  <c r="F23" i="6"/>
  <c r="C26" i="5"/>
  <c r="E23" i="7"/>
  <c r="E27" i="4"/>
  <c r="E61" i="4" s="1"/>
  <c r="C27" i="4"/>
  <c r="E27" i="1"/>
  <c r="C27" i="1"/>
  <c r="C27" i="3"/>
  <c r="E27" i="2"/>
  <c r="E24" i="6"/>
  <c r="E64" i="7"/>
  <c r="C64" i="7"/>
  <c r="C48" i="7"/>
  <c r="B31" i="7"/>
  <c r="B31" i="6"/>
  <c r="B31" i="5"/>
  <c r="C47" i="7"/>
  <c r="C61" i="4" l="1"/>
  <c r="B27" i="1"/>
  <c r="H27" i="6"/>
  <c r="G73" i="7"/>
  <c r="G70" i="7"/>
  <c r="I73" i="7"/>
  <c r="I70" i="7"/>
  <c r="F73" i="7"/>
  <c r="F70" i="7"/>
  <c r="H40" i="7"/>
  <c r="H42" i="7" s="1"/>
  <c r="H66" i="7" s="1"/>
  <c r="H73" i="7"/>
  <c r="H70" i="7"/>
  <c r="B30" i="7"/>
  <c r="C61" i="7"/>
  <c r="I40" i="7"/>
  <c r="I65" i="7" s="1"/>
  <c r="I52" i="7"/>
  <c r="I53" i="7" s="1"/>
  <c r="I57" i="7"/>
  <c r="I58" i="7" s="1"/>
  <c r="I27" i="7"/>
  <c r="I61" i="7" s="1"/>
  <c r="E39" i="7"/>
  <c r="E41" i="7" s="1"/>
  <c r="B39" i="7"/>
  <c r="B41" i="7" s="1"/>
  <c r="I27" i="6"/>
  <c r="B61" i="4"/>
  <c r="B30" i="2"/>
  <c r="C57" i="7"/>
  <c r="C58" i="7" s="1"/>
  <c r="C65" i="7"/>
  <c r="B30" i="1"/>
  <c r="F51" i="7"/>
  <c r="C27" i="6"/>
  <c r="G27" i="7"/>
  <c r="G61" i="7" s="1"/>
  <c r="G57" i="7"/>
  <c r="G58" i="7" s="1"/>
  <c r="G40" i="7"/>
  <c r="G52" i="7"/>
  <c r="G53" i="7" s="1"/>
  <c r="F27" i="7"/>
  <c r="F61" i="7" s="1"/>
  <c r="F57" i="7"/>
  <c r="F58" i="7" s="1"/>
  <c r="F40" i="7"/>
  <c r="F52" i="7"/>
  <c r="H57" i="7"/>
  <c r="H58" i="7" s="1"/>
  <c r="F27" i="6"/>
  <c r="H27" i="7"/>
  <c r="H61" i="7" s="1"/>
  <c r="C52" i="7"/>
  <c r="D53" i="7" s="1"/>
  <c r="C71" i="7" s="1"/>
  <c r="E47" i="7"/>
  <c r="G27" i="6"/>
  <c r="C27" i="5"/>
  <c r="H52" i="7"/>
  <c r="H53" i="7" s="1"/>
  <c r="B64" i="7"/>
  <c r="B48" i="7"/>
  <c r="F53" i="7" l="1"/>
  <c r="F71" i="7" s="1"/>
  <c r="H65" i="7"/>
  <c r="I71" i="7"/>
  <c r="H71" i="7"/>
  <c r="G71" i="7"/>
  <c r="I42" i="7"/>
  <c r="I66" i="7" s="1"/>
  <c r="B30" i="5"/>
  <c r="B30" i="6"/>
  <c r="B76" i="7"/>
  <c r="C66" i="7"/>
  <c r="G65" i="7"/>
  <c r="G42" i="7"/>
  <c r="G66" i="7" s="1"/>
  <c r="F65" i="7"/>
  <c r="F42" i="7"/>
  <c r="F66" i="7" s="1"/>
  <c r="E27" i="3" l="1"/>
  <c r="E25" i="5"/>
  <c r="E25" i="6"/>
  <c r="B25" i="6" s="1"/>
  <c r="E25" i="7"/>
  <c r="E73" i="7" l="1"/>
  <c r="E70" i="7"/>
  <c r="E52" i="7"/>
  <c r="E53" i="7" s="1"/>
  <c r="E57" i="7"/>
  <c r="E58" i="7" s="1"/>
  <c r="E27" i="7"/>
  <c r="E27" i="5"/>
  <c r="E40" i="7"/>
  <c r="E27" i="6"/>
  <c r="B27" i="6" s="1"/>
  <c r="E71" i="7" l="1"/>
  <c r="B70" i="7"/>
  <c r="B73" i="7"/>
  <c r="E61" i="7"/>
  <c r="B61" i="7"/>
  <c r="B40" i="7"/>
  <c r="B57" i="7"/>
  <c r="B77" i="7"/>
  <c r="B52" i="7"/>
  <c r="E65" i="7"/>
  <c r="E42" i="7"/>
  <c r="E66" i="7" s="1"/>
  <c r="B42" i="7" l="1"/>
  <c r="B66" i="7" s="1"/>
  <c r="B65" i="7"/>
</calcChain>
</file>

<file path=xl/sharedStrings.xml><?xml version="1.0" encoding="utf-8"?>
<sst xmlns="http://schemas.openxmlformats.org/spreadsheetml/2006/main" count="961" uniqueCount="139">
  <si>
    <t>Indicador</t>
  </si>
  <si>
    <t>Avancemos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</si>
  <si>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</si>
  <si>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</si>
  <si>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</si>
  <si>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</si>
  <si>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</si>
  <si>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</si>
  <si>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</si>
  <si>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</si>
  <si>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</si>
  <si>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</si>
  <si>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</si>
  <si>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</si>
  <si>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</si>
  <si>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</si>
  <si>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</si>
  <si>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</si>
  <si>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</si>
  <si>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</si>
  <si>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</si>
  <si>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</si>
  <si>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</si>
  <si>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</si>
  <si>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</si>
  <si>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</si>
  <si>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</si>
  <si>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</si>
  <si>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</si>
  <si>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</si>
  <si>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</si>
  <si>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trimestral programado por beneficiario (GPB) </t>
  </si>
  <si>
    <t xml:space="preserve">Gasto trimestral efectivo por beneficiario (GEB) </t>
  </si>
  <si>
    <t xml:space="preserve">Gasto mensual programado por beneficiario (GPB) </t>
  </si>
  <si>
    <t xml:space="preserve">Gasto mensual efectivo por beneficiario (GEB) </t>
  </si>
  <si>
    <t xml:space="preserve">Gasto semestral programado por beneficiario (GPB) </t>
  </si>
  <si>
    <t xml:space="preserve">Gasto semestral efectivo por beneficiario (GEB) </t>
  </si>
  <si>
    <t xml:space="preserve">Gasto acumulado programado por beneficiario (GPB) </t>
  </si>
  <si>
    <t xml:space="preserve">Gasto acumulado efectivo por beneficiario (GEB) </t>
  </si>
  <si>
    <t xml:space="preserve">Gasto anual programado por beneficiario (GPB) </t>
  </si>
  <si>
    <t xml:space="preserve">Gasto anual efectivo por beneficiario (GEB) </t>
  </si>
  <si>
    <t>Beneficiarios (familias)</t>
  </si>
  <si>
    <t>Familias</t>
  </si>
  <si>
    <t>Estudiantes</t>
  </si>
  <si>
    <t>Asignación Familiar</t>
  </si>
  <si>
    <t>Prestación Alimentaria</t>
  </si>
  <si>
    <t>Seguridad Alimentaria</t>
  </si>
  <si>
    <t xml:space="preserve">                                 </t>
  </si>
  <si>
    <t>n.d.</t>
  </si>
  <si>
    <t>n.d</t>
  </si>
  <si>
    <t>Alternativas de Cuido</t>
  </si>
  <si>
    <t>Niños/Niñas</t>
  </si>
  <si>
    <t>Programa de Promoción y Protección Social</t>
  </si>
  <si>
    <t xml:space="preserve">Protección Familiar </t>
  </si>
  <si>
    <t xml:space="preserve">Fideicomiso e Intereses Avancemos </t>
  </si>
  <si>
    <t xml:space="preserve">    Subsidios </t>
  </si>
  <si>
    <t xml:space="preserve">n.d. </t>
  </si>
  <si>
    <t xml:space="preserve">Familias </t>
  </si>
  <si>
    <t>Programa de Protección y Promoción Social</t>
  </si>
  <si>
    <t xml:space="preserve">Productos </t>
  </si>
  <si>
    <t xml:space="preserve">Cuidado y Desarrollo Infantil 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</si>
  <si>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</si>
  <si>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</si>
  <si>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</si>
  <si>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</si>
  <si>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</si>
  <si>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</si>
  <si>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</si>
  <si>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</si>
  <si>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</si>
  <si>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</si>
  <si>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</si>
  <si>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</si>
  <si>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 xml:space="preserve">Crecemos </t>
  </si>
  <si>
    <t>Efectivos 3T 2019</t>
  </si>
  <si>
    <t>IPC (3T 2019)</t>
  </si>
  <si>
    <t>Gasto efectivo real 3T 2019</t>
  </si>
  <si>
    <t>Gasto efectivo real por beneficiario 3T 2019</t>
  </si>
  <si>
    <t>Efectivos 3TA 2019</t>
  </si>
  <si>
    <t>IPC (3TA 2019)</t>
  </si>
  <si>
    <t>Gasto efectivo real 3TA 2019</t>
  </si>
  <si>
    <t>Gasto efectivo real por beneficiario 3TA 2019</t>
  </si>
  <si>
    <t xml:space="preserve">Estudiantes </t>
  </si>
  <si>
    <t>Efectivos 4T 2019</t>
  </si>
  <si>
    <t>IPC (4T 2019)</t>
  </si>
  <si>
    <t>Gasto efectivo real 4T 2019</t>
  </si>
  <si>
    <t>Gasto efectivo real por beneficiario 4T 2019</t>
  </si>
  <si>
    <t xml:space="preserve">Familias diferentes 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</si>
  <si>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</si>
  <si>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</si>
  <si>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</si>
  <si>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</si>
  <si>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</si>
  <si>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</si>
  <si>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</si>
  <si>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t xml:space="preserve">*El día martes 01 de diciembre de 2020 se modificaron los datos programados sobre beneficiarios y gasto del producto "Prestación Alimentaria", esto debido a que se detectaron algunos cambios en el Cronograma de Metas e Inversión, el tema se conversó con la Analista Karla Arias, mediante llamada telefónica. </t>
  </si>
  <si>
    <r>
      <rPr>
        <b/>
        <sz val="11"/>
        <color theme="1"/>
        <rFont val="Palatino Linotype"/>
        <family val="1"/>
      </rPr>
      <t>Notas:</t>
    </r>
    <r>
      <rPr>
        <sz val="11"/>
        <color theme="1"/>
        <rFont val="Palatino Linotype"/>
        <family val="1"/>
      </rPr>
      <t xml:space="preserve"> 
*El dato de los beneficiarios y subsidios efectivos del producto "Seguridad Alimentaria" se modificó en la fecha 21-08-2020, esto debido a que la UE remitió un correo indicando que se había presentado un error al momento de realizar el reporte respectivo. </t>
    </r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</si>
  <si>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</si>
  <si>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</si>
  <si>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</si>
  <si>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</si>
  <si>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</si>
  <si>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</si>
  <si>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Programados 1S 2020</t>
  </si>
  <si>
    <t>Efectivos 1S 2020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</si>
  <si>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</si>
  <si>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</si>
  <si>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</si>
  <si>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</si>
  <si>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</si>
  <si>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</si>
  <si>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</si>
  <si>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</si>
  <si>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</si>
  <si>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</si>
  <si>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Programados 3TA 2020</t>
  </si>
  <si>
    <t>Efectivos 3TA 2020</t>
  </si>
  <si>
    <t>En transferencias 3TA 2020</t>
  </si>
  <si>
    <t>IPC (3TA 2020)</t>
  </si>
  <si>
    <t>Gasto efectivo real 3TA 2020</t>
  </si>
  <si>
    <t>Gasto efectivo real por beneficiario 3TA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</si>
  <si>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</si>
  <si>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</si>
  <si>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</si>
  <si>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</si>
  <si>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</si>
  <si>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</si>
  <si>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IMAS 2019 y 2020 - Cronogramas de Metas e Inversión - Modificaciones 2020 - IPC, INEC 2019 y 2020</t>
    </r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</si>
  <si>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</si>
  <si>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</si>
  <si>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</si>
  <si>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</si>
  <si>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</si>
  <si>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</si>
  <si>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</si>
  <si>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</si>
  <si>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</si>
  <si>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</si>
  <si>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r>
      <rPr>
        <b/>
        <sz val="11"/>
        <color theme="1"/>
        <rFont val="Palatino Linotype"/>
        <family val="1"/>
      </rPr>
      <t>Nota: 
*</t>
    </r>
    <r>
      <rPr>
        <sz val="11"/>
        <color theme="1"/>
        <rFont val="Palatino Linotype"/>
        <family val="1"/>
      </rPr>
      <t xml:space="preserve">Algunos de los gráficos no contienen la información del producto "Programa de Promoción y Protección  Social", esto debido a que la infomación no está completa (se presentan muchos n.d.). La Dirección de la institución solicitó que cuando estas situaciones se presentaran, no se agregaran a los gráficos. 
*En el reporte de ejecución anual, la UE agregó algunas notas importantes respecto a la infomación reportada como gasto efectivo e ingreso efectivo.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</si>
</sst>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rgb="FFFF0000"/>
      <name val="Palatino Linotype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7">
    <xf numFmtId="0" fontId="0" fillId="0" borderId="0" xfId="0"/>
    <xf numFmtId="165" fontId="0" fillId="0" borderId="0" xfId="1" applyNumberFormat="1" applyFont="1"/>
    <xf numFmtId="0" fontId="0" fillId="0" borderId="0" xfId="0" applyFill="1"/>
    <xf numFmtId="0" fontId="2" fillId="0" borderId="0" xfId="0" applyFont="1" applyFill="1"/>
    <xf numFmtId="167" fontId="0" fillId="0" borderId="0" xfId="0" applyNumberFormat="1"/>
    <xf numFmtId="165" fontId="0" fillId="0" borderId="0" xfId="1" applyNumberFormat="1" applyFont="1" applyFill="1"/>
    <xf numFmtId="165" fontId="0" fillId="0" borderId="0" xfId="1" applyNumberFormat="1" applyFont="1" applyAlignment="1">
      <alignment horizontal="left" indent="3"/>
    </xf>
    <xf numFmtId="165" fontId="4" fillId="0" borderId="0" xfId="1" applyNumberFormat="1" applyFont="1"/>
    <xf numFmtId="165" fontId="4" fillId="0" borderId="0" xfId="1" applyNumberFormat="1" applyFont="1" applyFill="1" applyBorder="1"/>
    <xf numFmtId="165" fontId="4" fillId="0" borderId="0" xfId="4" applyNumberFormat="1" applyFont="1" applyFill="1" applyBorder="1"/>
    <xf numFmtId="165" fontId="1" fillId="0" borderId="0" xfId="1" applyNumberFormat="1" applyFont="1"/>
    <xf numFmtId="165" fontId="1" fillId="0" borderId="0" xfId="1" applyNumberFormat="1" applyFont="1" applyFill="1"/>
    <xf numFmtId="165" fontId="1" fillId="0" borderId="5" xfId="1" applyNumberFormat="1" applyFont="1" applyFill="1" applyBorder="1"/>
    <xf numFmtId="0" fontId="0" fillId="0" borderId="0" xfId="0" applyFont="1"/>
    <xf numFmtId="0" fontId="0" fillId="0" borderId="0" xfId="0" applyFont="1" applyFill="1"/>
    <xf numFmtId="165" fontId="0" fillId="0" borderId="0" xfId="1" applyNumberFormat="1" applyFont="1" applyFill="1" applyBorder="1"/>
    <xf numFmtId="167" fontId="0" fillId="0" borderId="0" xfId="0" applyNumberFormat="1" applyFont="1"/>
    <xf numFmtId="165" fontId="0" fillId="0" borderId="0" xfId="4" applyNumberFormat="1" applyFont="1" applyFill="1" applyBorder="1"/>
    <xf numFmtId="0" fontId="3" fillId="0" borderId="0" xfId="0" applyFont="1" applyFill="1"/>
    <xf numFmtId="165" fontId="0" fillId="0" borderId="0" xfId="1" applyNumberFormat="1" applyFont="1" applyFill="1" applyBorder="1" applyAlignment="1">
      <alignment horizontal="left"/>
    </xf>
    <xf numFmtId="0" fontId="1" fillId="0" borderId="0" xfId="0" applyFont="1" applyFill="1"/>
    <xf numFmtId="3" fontId="0" fillId="0" borderId="0" xfId="0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165" fontId="9" fillId="0" borderId="0" xfId="1" applyNumberFormat="1" applyFont="1" applyFill="1"/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5" fontId="9" fillId="0" borderId="0" xfId="1" applyNumberFormat="1" applyFont="1"/>
    <xf numFmtId="165" fontId="8" fillId="0" borderId="0" xfId="1" applyNumberFormat="1" applyFont="1" applyFill="1"/>
    <xf numFmtId="0" fontId="8" fillId="0" borderId="0" xfId="0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left" indent="1"/>
    </xf>
    <xf numFmtId="3" fontId="10" fillId="0" borderId="0" xfId="1" applyNumberFormat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left"/>
    </xf>
    <xf numFmtId="165" fontId="10" fillId="0" borderId="0" xfId="1" applyNumberFormat="1" applyFont="1" applyFill="1" applyAlignment="1">
      <alignment horizontal="center" vertical="center"/>
    </xf>
    <xf numFmtId="164" fontId="9" fillId="0" borderId="0" xfId="1" applyNumberFormat="1" applyFont="1" applyFill="1" applyBorder="1" applyAlignment="1">
      <alignment horizontal="right"/>
    </xf>
    <xf numFmtId="165" fontId="9" fillId="0" borderId="0" xfId="1" applyNumberFormat="1" applyFont="1" applyFill="1" applyAlignment="1">
      <alignment horizontal="right"/>
    </xf>
    <xf numFmtId="165" fontId="9" fillId="0" borderId="3" xfId="1" applyNumberFormat="1" applyFont="1" applyFill="1" applyBorder="1"/>
    <xf numFmtId="165" fontId="9" fillId="0" borderId="3" xfId="1" applyNumberFormat="1" applyFont="1" applyFill="1" applyBorder="1" applyAlignment="1">
      <alignment horizontal="right"/>
    </xf>
    <xf numFmtId="165" fontId="9" fillId="0" borderId="0" xfId="1" applyNumberFormat="1" applyFont="1" applyFill="1" applyBorder="1"/>
    <xf numFmtId="165" fontId="9" fillId="0" borderId="0" xfId="1" applyNumberFormat="1" applyFont="1" applyAlignment="1">
      <alignment horizontal="left" indent="3"/>
    </xf>
    <xf numFmtId="165" fontId="9" fillId="0" borderId="0" xfId="1" applyNumberFormat="1" applyFont="1" applyFill="1" applyAlignment="1">
      <alignment wrapText="1"/>
    </xf>
    <xf numFmtId="0" fontId="9" fillId="0" borderId="0" xfId="0" applyFont="1" applyFill="1"/>
    <xf numFmtId="164" fontId="9" fillId="0" borderId="0" xfId="1" applyFont="1" applyFill="1"/>
    <xf numFmtId="3" fontId="10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4" fontId="9" fillId="0" borderId="0" xfId="1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9" fillId="0" borderId="0" xfId="0" applyFont="1"/>
    <xf numFmtId="0" fontId="9" fillId="0" borderId="3" xfId="0" applyFont="1" applyFill="1" applyBorder="1"/>
    <xf numFmtId="4" fontId="9" fillId="0" borderId="3" xfId="1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/>
    <xf numFmtId="0" fontId="10" fillId="0" borderId="0" xfId="0" applyFont="1" applyFill="1" applyAlignment="1">
      <alignment horizontal="center" vertical="center"/>
    </xf>
    <xf numFmtId="3" fontId="10" fillId="0" borderId="0" xfId="0" applyNumberFormat="1" applyFont="1" applyFill="1"/>
    <xf numFmtId="3" fontId="10" fillId="0" borderId="0" xfId="0" applyNumberFormat="1" applyFont="1"/>
    <xf numFmtId="165" fontId="10" fillId="0" borderId="0" xfId="1" applyNumberFormat="1" applyFont="1" applyFill="1" applyBorder="1"/>
    <xf numFmtId="165" fontId="10" fillId="0" borderId="0" xfId="1" applyNumberFormat="1" applyFont="1"/>
    <xf numFmtId="0" fontId="9" fillId="0" borderId="0" xfId="0" applyFont="1" applyFill="1" applyAlignment="1">
      <alignment wrapText="1"/>
    </xf>
    <xf numFmtId="0" fontId="10" fillId="0" borderId="0" xfId="0" applyFont="1" applyFill="1"/>
    <xf numFmtId="164" fontId="9" fillId="0" borderId="0" xfId="1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167" fontId="9" fillId="0" borderId="0" xfId="0" applyNumberFormat="1" applyFont="1" applyFill="1"/>
    <xf numFmtId="0" fontId="8" fillId="0" borderId="0" xfId="0" applyFont="1" applyFill="1"/>
    <xf numFmtId="3" fontId="10" fillId="0" borderId="0" xfId="0" applyNumberFormat="1" applyFont="1" applyAlignment="1">
      <alignment horizontal="right"/>
    </xf>
    <xf numFmtId="165" fontId="9" fillId="0" borderId="0" xfId="1" applyNumberFormat="1" applyFont="1" applyFill="1" applyAlignment="1">
      <alignment horizontal="right" vertical="center"/>
    </xf>
    <xf numFmtId="168" fontId="9" fillId="0" borderId="0" xfId="0" applyNumberFormat="1" applyFont="1" applyFill="1" applyAlignment="1">
      <alignment horizontal="right" vertical="center"/>
    </xf>
    <xf numFmtId="166" fontId="9" fillId="0" borderId="0" xfId="0" applyNumberFormat="1" applyFont="1" applyFill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167" fontId="9" fillId="0" borderId="0" xfId="0" applyNumberFormat="1" applyFont="1"/>
    <xf numFmtId="0" fontId="9" fillId="0" borderId="3" xfId="0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horizontal="right" vertical="center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left" indent="3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right"/>
    </xf>
    <xf numFmtId="39" fontId="9" fillId="0" borderId="0" xfId="1" applyNumberFormat="1" applyFont="1" applyFill="1" applyAlignment="1">
      <alignment horizontal="right" vertical="center"/>
    </xf>
    <xf numFmtId="165" fontId="9" fillId="0" borderId="0" xfId="1" applyNumberFormat="1" applyFont="1" applyFill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center" vertical="center"/>
    </xf>
    <xf numFmtId="3" fontId="9" fillId="0" borderId="0" xfId="1" applyNumberFormat="1" applyFont="1" applyFill="1" applyAlignment="1">
      <alignment horizontal="right" vertical="center"/>
    </xf>
    <xf numFmtId="3" fontId="9" fillId="0" borderId="0" xfId="1" applyNumberFormat="1" applyFont="1" applyFill="1" applyAlignment="1">
      <alignment horizontal="right"/>
    </xf>
    <xf numFmtId="165" fontId="8" fillId="0" borderId="4" xfId="1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9" fillId="0" borderId="0" xfId="1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center"/>
    </xf>
    <xf numFmtId="3" fontId="9" fillId="0" borderId="0" xfId="1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9" fillId="0" borderId="0" xfId="1" applyNumberFormat="1" applyFont="1" applyFill="1" applyAlignment="1">
      <alignment horizontal="left" vertical="top" wrapText="1"/>
    </xf>
    <xf numFmtId="3" fontId="9" fillId="0" borderId="0" xfId="1" applyNumberFormat="1" applyFont="1" applyFill="1" applyAlignment="1">
      <alignment horizontal="right"/>
    </xf>
    <xf numFmtId="3" fontId="9" fillId="0" borderId="0" xfId="1" applyNumberFormat="1" applyFont="1" applyFill="1" applyAlignment="1">
      <alignment horizontal="right" vertical="center"/>
    </xf>
    <xf numFmtId="4" fontId="9" fillId="0" borderId="0" xfId="1" applyNumberFormat="1" applyFont="1" applyFill="1" applyAlignment="1">
      <alignment horizontal="right" vertical="center"/>
    </xf>
    <xf numFmtId="4" fontId="9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horizontal="left" wrapText="1"/>
    </xf>
    <xf numFmtId="0" fontId="9" fillId="0" borderId="0" xfId="1" applyNumberFormat="1" applyFont="1" applyFill="1" applyAlignment="1">
      <alignment horizontal="left"/>
    </xf>
    <xf numFmtId="3" fontId="9" fillId="0" borderId="0" xfId="1" applyNumberFormat="1" applyFont="1" applyFill="1" applyAlignment="1">
      <alignment horizontal="center" vertical="center"/>
    </xf>
    <xf numFmtId="0" fontId="9" fillId="0" borderId="6" xfId="0" applyFont="1" applyFill="1" applyBorder="1" applyAlignment="1">
      <alignment horizontal="left" vertical="top" wrapText="1"/>
    </xf>
    <xf numFmtId="4" fontId="9" fillId="0" borderId="0" xfId="0" applyNumberFormat="1" applyFont="1" applyFill="1" applyAlignment="1">
      <alignment horizontal="right"/>
    </xf>
    <xf numFmtId="165" fontId="8" fillId="0" borderId="1" xfId="1" applyNumberFormat="1" applyFont="1" applyFill="1" applyBorder="1" applyAlignment="1">
      <alignment horizontal="center" vertical="center"/>
    </xf>
    <xf numFmtId="165" fontId="8" fillId="0" borderId="3" xfId="1" applyNumberFormat="1" applyFont="1" applyFill="1" applyBorder="1" applyAlignment="1">
      <alignment horizontal="center" vertical="center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4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 vertical="center" wrapText="1"/>
    </xf>
    <xf numFmtId="3" fontId="9" fillId="0" borderId="0" xfId="1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>
      <alignment horizontal="right" vertical="center"/>
    </xf>
    <xf numFmtId="4" fontId="9" fillId="0" borderId="0" xfId="0" applyNumberFormat="1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left" wrapText="1"/>
    </xf>
    <xf numFmtId="3" fontId="9" fillId="0" borderId="0" xfId="1" applyNumberFormat="1" applyFont="1" applyFill="1"/>
    <xf numFmtId="3" fontId="10" fillId="0" borderId="0" xfId="1" applyNumberFormat="1" applyFont="1" applyAlignment="1">
      <alignment horizontal="center" vertical="center"/>
    </xf>
    <xf numFmtId="3" fontId="9" fillId="0" borderId="0" xfId="1" applyNumberFormat="1" applyFont="1"/>
    <xf numFmtId="3" fontId="9" fillId="0" borderId="0" xfId="0" applyNumberFormat="1" applyFont="1"/>
  </cellXfs>
  <cellStyles count="19">
    <cellStyle name="Hipervínculo" xfId="2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 visitado" xfId="3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Millares" xfId="1" builtinId="3"/>
    <cellStyle name="Millares 2 2" xfId="4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Cobertura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Anual!$A$47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E-4604-A91D-6C4D1A0689FE}"/>
                </c:ext>
              </c:extLst>
            </c:dLbl>
            <c:dLbl>
              <c:idx val="2"/>
              <c:layout>
                <c:manualLayout>
                  <c:x val="0"/>
                  <c:y val="-2.41737502575598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BE-4604-A91D-6C4D1A0689FE}"/>
                </c:ext>
              </c:extLst>
            </c:dLbl>
            <c:dLbl>
              <c:idx val="3"/>
              <c:layout>
                <c:manualLayout>
                  <c:x val="0"/>
                  <c:y val="-1.8130312693170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BE-4604-A91D-6C4D1A068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f>(Anual!$B$47,Anual!$C$47,Anual!$E$47,Anual!$G$47)</c:f>
              <c:numCache>
                <c:formatCode>#,##0.00</c:formatCode>
                <c:ptCount val="4"/>
                <c:pt idx="0">
                  <c:v>0</c:v>
                </c:pt>
                <c:pt idx="1">
                  <c:v>79.65517644856314</c:v>
                </c:pt>
                <c:pt idx="2">
                  <c:v>1.3439391466625037</c:v>
                </c:pt>
                <c:pt idx="3">
                  <c:v>8.6840000864509719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DC-4DD0-A8A5-86DE66536A7A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0"/>
                  <c:y val="-2.4173750257559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BE-4604-A91D-6C4D1A0689FE}"/>
                </c:ext>
              </c:extLst>
            </c:dLbl>
            <c:dLbl>
              <c:idx val="3"/>
              <c:layout>
                <c:manualLayout>
                  <c:x val="1.3014044510900511E-3"/>
                  <c:y val="-1.81303126931699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BE-4604-A91D-6C4D1A0689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(Anual!$B$9,Anual!$C$10,Anual!$E$10,Anual!$G$10)</c:f>
              <c:strCache>
                <c:ptCount val="4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Seguridad Alimentaria</c:v>
                </c:pt>
              </c:strCache>
            </c:strRef>
          </c:cat>
          <c:val>
            <c:numRef>
              <c:f>(Anual!$B$48,Anual!$C$48,Anual!$E$48,Anual!$G$48)</c:f>
              <c:numCache>
                <c:formatCode>#,##0.00</c:formatCode>
                <c:ptCount val="4"/>
                <c:pt idx="0">
                  <c:v>83.074985493142094</c:v>
                </c:pt>
                <c:pt idx="1">
                  <c:v>108.12154825423571</c:v>
                </c:pt>
                <c:pt idx="2">
                  <c:v>1.1197127631644304</c:v>
                </c:pt>
                <c:pt idx="3">
                  <c:v>10.085586461777863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C-4DD0-A8A5-86DE66536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3936"/>
        <c:axId val="114994328"/>
        <c:axId val="0"/>
      </c:bar3DChart>
      <c:catAx>
        <c:axId val="11499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4328"/>
        <c:crosses val="autoZero"/>
        <c:auto val="1"/>
        <c:lblAlgn val="ctr"/>
        <c:lblOffset val="100"/>
        <c:noMultiLvlLbl val="0"/>
      </c:catAx>
      <c:valAx>
        <c:axId val="11499432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3936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(Anual!$C$56,Anual!$E$56,Anual!$F$56,Anual!$G$56,Anual!$H$56,Anual!$I$56,Anual!$J$56)</c:f>
              <c:numCache>
                <c:formatCode>#,##0.00</c:formatCode>
                <c:ptCount val="7"/>
                <c:pt idx="0">
                  <c:v>135.73700175537815</c:v>
                </c:pt>
                <c:pt idx="1">
                  <c:v>83.315733896515312</c:v>
                </c:pt>
                <c:pt idx="2">
                  <c:v>75.845410628019323</c:v>
                </c:pt>
                <c:pt idx="3">
                  <c:v>116.13987058237929</c:v>
                </c:pt>
                <c:pt idx="4">
                  <c:v>70.967593920275306</c:v>
                </c:pt>
                <c:pt idx="5">
                  <c:v>94.809189291816978</c:v>
                </c:pt>
                <c:pt idx="6">
                  <c:v>209.88502905179877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8-41ED-A7CD-19270DCAF9EE}"/>
            </c:ext>
          </c:extLst>
        </c:ser>
        <c:ser>
          <c:idx val="1"/>
          <c:order val="1"/>
          <c:tx>
            <c:strRef>
              <c:f>Anual!$A$52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7.8031972218159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AD7-4F16-A89F-7ED1E22682DB}"/>
                </c:ext>
              </c:extLst>
            </c:dLbl>
            <c:dLbl>
              <c:idx val="1"/>
              <c:layout>
                <c:manualLayout>
                  <c:x val="0"/>
                  <c:y val="-2.7121317711644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D7-4F16-A89F-7ED1E22682DB}"/>
                </c:ext>
              </c:extLst>
            </c:dLbl>
            <c:dLbl>
              <c:idx val="5"/>
              <c:layout>
                <c:manualLayout>
                  <c:x val="-9.5371308751365403E-17"/>
                  <c:y val="-3.91752366945971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AD7-4F16-A89F-7ED1E22682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(Anual!$C$52,Anual!$E$52,Anual!$F$52,Anual!$G$52,Anual!$H$52,Anual!$I$52,Anual!$J$52)</c:f>
              <c:numCache>
                <c:formatCode>#,##0.00</c:formatCode>
                <c:ptCount val="7"/>
                <c:pt idx="0">
                  <c:v>97.112615133784544</c:v>
                </c:pt>
                <c:pt idx="1">
                  <c:v>96.963814716479007</c:v>
                </c:pt>
                <c:pt idx="2">
                  <c:v>45.747094591597907</c:v>
                </c:pt>
                <c:pt idx="3">
                  <c:v>99.927217169824431</c:v>
                </c:pt>
                <c:pt idx="4">
                  <c:v>99.66697802320823</c:v>
                </c:pt>
                <c:pt idx="5">
                  <c:v>100.62323612438672</c:v>
                </c:pt>
                <c:pt idx="6">
                  <c:v>99.407093474950088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88-41ED-A7CD-19270DCAF9EE}"/>
            </c:ext>
          </c:extLst>
        </c:ser>
        <c:ser>
          <c:idx val="2"/>
          <c:order val="2"/>
          <c:tx>
            <c:strRef>
              <c:f>Anual!$A$53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(Anual!$D$53,Anual!$E$53,Anual!$F$53,Anual!$G$53,Anual!$H$53,Anual!$I$53,Anual!$K$53)</c:f>
              <c:numCache>
                <c:formatCode>#,##0.00</c:formatCode>
                <c:ptCount val="7"/>
                <c:pt idx="0">
                  <c:v>116.42480844458134</c:v>
                </c:pt>
                <c:pt idx="1">
                  <c:v>90.139774306497159</c:v>
                </c:pt>
                <c:pt idx="2">
                  <c:v>60.796252609808619</c:v>
                </c:pt>
                <c:pt idx="3">
                  <c:v>108.03354387610186</c:v>
                </c:pt>
                <c:pt idx="4">
                  <c:v>85.317285971741768</c:v>
                </c:pt>
                <c:pt idx="5">
                  <c:v>97.71621270810185</c:v>
                </c:pt>
                <c:pt idx="6">
                  <c:v>154.64606126337443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88-41ED-A7CD-19270DCA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5112"/>
        <c:axId val="114995504"/>
        <c:axId val="0"/>
      </c:bar3DChart>
      <c:catAx>
        <c:axId val="11499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5504"/>
        <c:crosses val="autoZero"/>
        <c:auto val="1"/>
        <c:lblAlgn val="ctr"/>
        <c:lblOffset val="100"/>
        <c:noMultiLvlLbl val="0"/>
      </c:catAx>
      <c:valAx>
        <c:axId val="11499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avance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(Anual!$C$56,Anual!$E$56,Anual!$F$56,Anual!$G$56,Anual!$H$56,Anual!$I$56,Anual!$J$56)</c:f>
              <c:numCache>
                <c:formatCode>#,##0.00</c:formatCode>
                <c:ptCount val="7"/>
                <c:pt idx="0">
                  <c:v>135.73700175537815</c:v>
                </c:pt>
                <c:pt idx="1">
                  <c:v>83.315733896515312</c:v>
                </c:pt>
                <c:pt idx="2">
                  <c:v>75.845410628019323</c:v>
                </c:pt>
                <c:pt idx="3">
                  <c:v>116.13987058237929</c:v>
                </c:pt>
                <c:pt idx="4">
                  <c:v>70.967593920275306</c:v>
                </c:pt>
                <c:pt idx="5">
                  <c:v>94.809189291816978</c:v>
                </c:pt>
                <c:pt idx="6">
                  <c:v>209.88502905179877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B-4459-B5EF-38E5794C6196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60580063532292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FBA-48C8-BA97-B854661268C7}"/>
                </c:ext>
              </c:extLst>
            </c:dLbl>
            <c:dLbl>
              <c:idx val="1"/>
              <c:layout>
                <c:manualLayout>
                  <c:x val="-4.7772459776054954E-17"/>
                  <c:y val="-2.722387889065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FBA-48C8-BA97-B854661268C7}"/>
                </c:ext>
              </c:extLst>
            </c:dLbl>
            <c:dLbl>
              <c:idx val="5"/>
              <c:layout>
                <c:manualLayout>
                  <c:x val="0"/>
                  <c:y val="-3.3273629755247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BA-48C8-BA97-B854661268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(Anual!$C$57,Anual!$E$57,Anual!$F$57,Anual!$G$57,Anual!$H$57,Anual!$I$57,Anual!$J$57)</c:f>
              <c:numCache>
                <c:formatCode>#,##0.00</c:formatCode>
                <c:ptCount val="7"/>
                <c:pt idx="0">
                  <c:v>97.112615133784544</c:v>
                </c:pt>
                <c:pt idx="1">
                  <c:v>96.963814716479007</c:v>
                </c:pt>
                <c:pt idx="2">
                  <c:v>45.747094591597907</c:v>
                </c:pt>
                <c:pt idx="3">
                  <c:v>99.927217169824431</c:v>
                </c:pt>
                <c:pt idx="4">
                  <c:v>99.66697802320823</c:v>
                </c:pt>
                <c:pt idx="5">
                  <c:v>100.62323612438672</c:v>
                </c:pt>
                <c:pt idx="6">
                  <c:v>99.407093474950088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6B-4459-B5EF-38E5794C6196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(Anual!$C$58,Anual!$E$58,Anual!$F$58,Anual!$G$58,Anual!$H$58,Anual!$I$58,Anual!$J$58)</c:f>
              <c:numCache>
                <c:formatCode>#,##0.00</c:formatCode>
                <c:ptCount val="7"/>
                <c:pt idx="0">
                  <c:v>116.42480844458134</c:v>
                </c:pt>
                <c:pt idx="1">
                  <c:v>90.139774306497159</c:v>
                </c:pt>
                <c:pt idx="2">
                  <c:v>60.796252609808619</c:v>
                </c:pt>
                <c:pt idx="3">
                  <c:v>108.03354387610186</c:v>
                </c:pt>
                <c:pt idx="4">
                  <c:v>85.317285971741768</c:v>
                </c:pt>
                <c:pt idx="5">
                  <c:v>97.71621270810185</c:v>
                </c:pt>
                <c:pt idx="6">
                  <c:v>154.64606126337443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6B-4459-B5EF-38E5794C6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14996288"/>
        <c:axId val="387613528"/>
        <c:axId val="0"/>
      </c:bar3DChart>
      <c:catAx>
        <c:axId val="114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3528"/>
        <c:crosses val="autoZero"/>
        <c:auto val="1"/>
        <c:lblAlgn val="ctr"/>
        <c:lblOffset val="100"/>
        <c:noMultiLvlLbl val="0"/>
      </c:catAx>
      <c:valAx>
        <c:axId val="38761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499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expansión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(Anual!$B$64,Anual!$C$64,Anual!$E$64,Anual!$F$64,Anual!$G$64,Anual!$H$64,Anual!$I$64,Anual!$J$64)</c:f>
              <c:numCache>
                <c:formatCode>#,##0.00</c:formatCode>
                <c:ptCount val="8"/>
                <c:pt idx="0">
                  <c:v>-2.7518185030399711</c:v>
                </c:pt>
                <c:pt idx="1">
                  <c:v>-7.8373876704267769</c:v>
                </c:pt>
                <c:pt idx="2">
                  <c:v>-22.266009852216751</c:v>
                </c:pt>
                <c:pt idx="3">
                  <c:v>-14.67391304347826</c:v>
                </c:pt>
                <c:pt idx="4">
                  <c:v>-16.773675762439812</c:v>
                </c:pt>
                <c:pt idx="5">
                  <c:v>3.4946551349181121</c:v>
                </c:pt>
                <c:pt idx="6">
                  <c:v>-15.819285232636549</c:v>
                </c:pt>
                <c:pt idx="7">
                  <c:v>-19.277675553083139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7-4AE3-8828-A9F9BA43A25A}"/>
            </c:ext>
          </c:extLst>
        </c:ser>
        <c:ser>
          <c:idx val="1"/>
          <c:order val="1"/>
          <c:tx>
            <c:strRef>
              <c:f>Anual!$A$65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(Anual!$B$65:$C$65,Anual!$G$65:$H$65,Anual!$E$65,Anual!$F$65,Anual!$I$65,Anual!$J$65)</c:f>
              <c:numCache>
                <c:formatCode>#,##0.00</c:formatCode>
                <c:ptCount val="8"/>
                <c:pt idx="0">
                  <c:v>3.3927822868465407</c:v>
                </c:pt>
                <c:pt idx="1">
                  <c:v>-3.3872341263509687</c:v>
                </c:pt>
                <c:pt idx="2">
                  <c:v>-0.47655365444738695</c:v>
                </c:pt>
                <c:pt idx="3">
                  <c:v>-2.3626638138774858</c:v>
                </c:pt>
                <c:pt idx="4">
                  <c:v>13.920513798700561</c:v>
                </c:pt>
                <c:pt idx="5">
                  <c:v>-11.442386125313664</c:v>
                </c:pt>
                <c:pt idx="6">
                  <c:v>-1.102797608495798</c:v>
                </c:pt>
                <c:pt idx="7">
                  <c:v>103.26376744105188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37-4AE3-8828-A9F9BA43A25A}"/>
            </c:ext>
          </c:extLst>
        </c:ser>
        <c:ser>
          <c:idx val="2"/>
          <c:order val="2"/>
          <c:tx>
            <c:strRef>
              <c:f>Anual!$A$66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(Anual!$B$9,Anual!$C$10,Anual!$G$10,Anual!$H$10,Anual!$E$10,Anual!$F$10,Anual!$I$10,Anual!$J$10)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Seguridad Alimentaria</c:v>
                </c:pt>
                <c:pt idx="3">
                  <c:v>Protección Familiar </c:v>
                </c:pt>
                <c:pt idx="4">
                  <c:v>Asignación Familiar</c:v>
                </c:pt>
                <c:pt idx="5">
                  <c:v>Prestación Alimentaria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(Anual!$B$66:$C$66,Anual!$G$66:$H$66,Anual!$E$66,Anual!$F$66,Anual!$I$66,Anual!$J$66)</c:f>
              <c:numCache>
                <c:formatCode>#,##0.00</c:formatCode>
                <c:ptCount val="8"/>
                <c:pt idx="0">
                  <c:v>6.3184737187899076</c:v>
                </c:pt>
                <c:pt idx="1">
                  <c:v>4.828588764565489</c:v>
                </c:pt>
                <c:pt idx="2">
                  <c:v>19.581691558879989</c:v>
                </c:pt>
                <c:pt idx="3">
                  <c:v>-5.6595376265178636</c:v>
                </c:pt>
                <c:pt idx="4">
                  <c:v>46.551738283499432</c:v>
                </c:pt>
                <c:pt idx="5">
                  <c:v>3.7872672161928911</c:v>
                </c:pt>
                <c:pt idx="6">
                  <c:v>17.482017900192837</c:v>
                </c:pt>
                <c:pt idx="7">
                  <c:v>151.80613768712581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37-4AE3-8828-A9F9BA43A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7448"/>
        <c:axId val="387617840"/>
        <c:axId val="0"/>
      </c:bar3DChart>
      <c:catAx>
        <c:axId val="38761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7840"/>
        <c:crosses val="autoZero"/>
        <c:auto val="1"/>
        <c:lblAlgn val="ctr"/>
        <c:lblOffset val="100"/>
        <c:noMultiLvlLbl val="0"/>
      </c:catAx>
      <c:valAx>
        <c:axId val="38761784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7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195099716201018E-3"/>
          <c:y val="0.93035266539853489"/>
          <c:w val="0.98124547501478188"/>
          <c:h val="6.9647334601464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IMAS: 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(Anual!$B$69,Anual!$C$69,Anual!$E$69,Anual!$F$69,Anual!$G$69,Anual!$H$69,Anual!$I$69,Anual!$J$69)</c:f>
              <c:numCache>
                <c:formatCode>#,##0.00</c:formatCode>
                <c:ptCount val="8"/>
                <c:pt idx="0">
                  <c:v>549856.67400887643</c:v>
                </c:pt>
                <c:pt idx="1">
                  <c:v>420000</c:v>
                </c:pt>
                <c:pt idx="2">
                  <c:v>936000</c:v>
                </c:pt>
                <c:pt idx="3">
                  <c:v>3743836.0591133004</c:v>
                </c:pt>
                <c:pt idx="4">
                  <c:v>900000</c:v>
                </c:pt>
                <c:pt idx="5">
                  <c:v>900000</c:v>
                </c:pt>
                <c:pt idx="6">
                  <c:v>1320000</c:v>
                </c:pt>
                <c:pt idx="7">
                  <c:v>216000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4-4AFD-AF47-E4E269E62DE3}"/>
            </c:ext>
          </c:extLst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(Anual!$B$9,Anual!$C$10,Anual!$E$10,Anual!$F$10,Anual!$G$10,Anual!$H$10,Anual!$I$10,Anual!$J$10)</c:f>
              <c:strCache>
                <c:ptCount val="8"/>
                <c:pt idx="0">
                  <c:v>Programa de Promoción y Protección Social</c:v>
                </c:pt>
                <c:pt idx="1">
                  <c:v>Avancemos</c:v>
                </c:pt>
                <c:pt idx="2">
                  <c:v>Asignación Familiar</c:v>
                </c:pt>
                <c:pt idx="3">
                  <c:v>Prestación Alimentaria</c:v>
                </c:pt>
                <c:pt idx="4">
                  <c:v>Seguridad Alimentaria</c:v>
                </c:pt>
                <c:pt idx="5">
                  <c:v>Protección Familiar </c:v>
                </c:pt>
                <c:pt idx="6">
                  <c:v>Alternativas de Cuido</c:v>
                </c:pt>
                <c:pt idx="7">
                  <c:v>Crecemos </c:v>
                </c:pt>
              </c:strCache>
            </c:strRef>
          </c:cat>
          <c:val>
            <c:numRef>
              <c:f>(Anual!$B$70,Anual!$C$70,Anual!$E$70,Anual!$F$70,Anual!$G$70,Anual!$H$70,Anual!$I$70,Anual!$J$70)</c:f>
              <c:numCache>
                <c:formatCode>#,##0.00</c:formatCode>
                <c:ptCount val="8"/>
                <c:pt idx="0">
                  <c:v>356644.22313634964</c:v>
                </c:pt>
                <c:pt idx="1">
                  <c:v>320731.34222376836</c:v>
                </c:pt>
                <c:pt idx="2">
                  <c:v>1264857.5754331974</c:v>
                </c:pt>
                <c:pt idx="3">
                  <c:v>3023281.15942029</c:v>
                </c:pt>
                <c:pt idx="4">
                  <c:v>913872.15397797618</c:v>
                </c:pt>
                <c:pt idx="5">
                  <c:v>810323.41095353337</c:v>
                </c:pt>
                <c:pt idx="6">
                  <c:v>1545626.0568187414</c:v>
                </c:pt>
                <c:pt idx="7">
                  <c:v>84808.705008762539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4-4AFD-AF47-E4E269E62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7618624"/>
        <c:axId val="387619016"/>
        <c:axId val="0"/>
      </c:bar3DChart>
      <c:catAx>
        <c:axId val="387618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9016"/>
        <c:crosses val="autoZero"/>
        <c:auto val="1"/>
        <c:lblAlgn val="ctr"/>
        <c:lblOffset val="100"/>
        <c:noMultiLvlLbl val="0"/>
      </c:catAx>
      <c:valAx>
        <c:axId val="38761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8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n-US" sz="1800"/>
              <a:t>IMAS: Índice de eficiencia (IE) 2020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(Anual!$C$10,Anual!$E$10,Anual!$F$10,Anual!$G$10,Anual!$H$10,Anual!$I$10,Anual!$J$10)</c:f>
              <c:strCache>
                <c:ptCount val="7"/>
                <c:pt idx="0">
                  <c:v>Avancemos</c:v>
                </c:pt>
                <c:pt idx="1">
                  <c:v>Asignación Familiar</c:v>
                </c:pt>
                <c:pt idx="2">
                  <c:v>Prestación Alimentaria</c:v>
                </c:pt>
                <c:pt idx="3">
                  <c:v>Seguridad Alimentaria</c:v>
                </c:pt>
                <c:pt idx="4">
                  <c:v>Protección Familiar </c:v>
                </c:pt>
                <c:pt idx="5">
                  <c:v>Alternativas de Cuido</c:v>
                </c:pt>
                <c:pt idx="6">
                  <c:v>Crecemos </c:v>
                </c:pt>
              </c:strCache>
            </c:strRef>
          </c:cat>
          <c:val>
            <c:numRef>
              <c:f>(Anual!$C$71,Anual!$E$71,Anual!$F$71,Anual!$G$71,Anual!$H$71,Anual!$I$71,Anual!$J$71)</c:f>
              <c:numCache>
                <c:formatCode>#,##0.00</c:formatCode>
                <c:ptCount val="7"/>
                <c:pt idx="0">
                  <c:v>88.90734542994214</c:v>
                </c:pt>
                <c:pt idx="1">
                  <c:v>121.80980382415773</c:v>
                </c:pt>
                <c:pt idx="2">
                  <c:v>49.095142569390092</c:v>
                </c:pt>
                <c:pt idx="3">
                  <c:v>109.69871938214155</c:v>
                </c:pt>
                <c:pt idx="4">
                  <c:v>76.816215757688695</c:v>
                </c:pt>
                <c:pt idx="5">
                  <c:v>114.41873070854912</c:v>
                </c:pt>
                <c:pt idx="6">
                  <c:v>60.719130511354358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B3-4C78-BA13-16109827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387619800"/>
        <c:axId val="387620192"/>
        <c:axId val="0"/>
      </c:bar3DChart>
      <c:catAx>
        <c:axId val="38761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20192"/>
        <c:crosses val="autoZero"/>
        <c:auto val="1"/>
        <c:lblAlgn val="ctr"/>
        <c:lblOffset val="100"/>
        <c:noMultiLvlLbl val="0"/>
      </c:catAx>
      <c:valAx>
        <c:axId val="38762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38761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IMAS: 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E0C-4C8E-8B21-D791378433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053-43A9-8BEA-F1A22FF42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Anual!$A$76:$A$77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Anual!$B$76:$B$77</c:f>
              <c:numCache>
                <c:formatCode>#,##0.00</c:formatCode>
                <c:ptCount val="2"/>
                <c:pt idx="0">
                  <c:v>97.685973526178628</c:v>
                </c:pt>
                <c:pt idx="1">
                  <c:v>101.33541504007599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53-43A9-8BEA-F1A22FF42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038640"/>
        <c:axId val="209039952"/>
        <c:axId val="0"/>
      </c:bar3DChart>
      <c:valAx>
        <c:axId val="2090399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209038640"/>
        <c:crosses val="autoZero"/>
        <c:crossBetween val="between"/>
      </c:valAx>
      <c:catAx>
        <c:axId val="20903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0399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6" cy="44053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6" cy="440531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95250</xdr:rowOff>
    </xdr:from>
    <xdr:to>
      <xdr:col>11</xdr:col>
      <xdr:colOff>1238250</xdr:colOff>
      <xdr:row>7</xdr:row>
      <xdr:rowOff>202405</xdr:rowOff>
    </xdr:to>
    <xdr:sp macro="" textlink="">
      <xdr:nvSpPr>
        <xdr:cNvPr id="7" name="CuadroTexto 6"/>
        <xdr:cNvSpPr txBox="1"/>
      </xdr:nvSpPr>
      <xdr:spPr>
        <a:xfrm>
          <a:off x="47626" y="1238250"/>
          <a:ext cx="1791890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    Fecha Actualización:  13-05-2020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90344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6" cy="44053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6" cy="440531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90344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twoCellAnchor>
    <xdr:from>
      <xdr:col>0</xdr:col>
      <xdr:colOff>35720</xdr:colOff>
      <xdr:row>6</xdr:row>
      <xdr:rowOff>95250</xdr:rowOff>
    </xdr:from>
    <xdr:to>
      <xdr:col>12</xdr:col>
      <xdr:colOff>1</xdr:colOff>
      <xdr:row>8</xdr:row>
      <xdr:rowOff>31749</xdr:rowOff>
    </xdr:to>
    <xdr:sp macro="" textlink="">
      <xdr:nvSpPr>
        <xdr:cNvPr id="9" name="CuadroTexto 8"/>
        <xdr:cNvSpPr txBox="1"/>
      </xdr:nvSpPr>
      <xdr:spPr>
        <a:xfrm>
          <a:off x="35720" y="1238250"/>
          <a:ext cx="17982406" cy="349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    Fecha Actualización:  21-08-2020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6" cy="44053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6" cy="440531"/>
        </a:xfrm>
        <a:prstGeom prst="rect">
          <a:avLst/>
        </a:prstGeom>
      </xdr:spPr>
    </xdr:pic>
    <xdr:clientData/>
  </xdr:oneCellAnchor>
  <xdr:twoCellAnchor>
    <xdr:from>
      <xdr:col>0</xdr:col>
      <xdr:colOff>47626</xdr:colOff>
      <xdr:row>6</xdr:row>
      <xdr:rowOff>95250</xdr:rowOff>
    </xdr:from>
    <xdr:to>
      <xdr:col>11</xdr:col>
      <xdr:colOff>1206500</xdr:colOff>
      <xdr:row>7</xdr:row>
      <xdr:rowOff>174625</xdr:rowOff>
    </xdr:to>
    <xdr:sp macro="" textlink="">
      <xdr:nvSpPr>
        <xdr:cNvPr id="7" name="CuadroTexto 6"/>
        <xdr:cNvSpPr txBox="1"/>
      </xdr:nvSpPr>
      <xdr:spPr>
        <a:xfrm>
          <a:off x="47626" y="1238250"/>
          <a:ext cx="17922874" cy="26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 Semestre 2020    Fecha Actualización:  21-08-2020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12</xdr:col>
      <xdr:colOff>23814</xdr:colOff>
      <xdr:row>6</xdr:row>
      <xdr:rowOff>35719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7990344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121406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6" cy="44053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6" cy="440531"/>
        </a:xfrm>
        <a:prstGeom prst="rect">
          <a:avLst/>
        </a:prstGeom>
      </xdr:spPr>
    </xdr:pic>
    <xdr:clientData/>
  </xdr:oneCellAnchor>
  <xdr:twoCellAnchor>
    <xdr:from>
      <xdr:col>0</xdr:col>
      <xdr:colOff>47627</xdr:colOff>
      <xdr:row>6</xdr:row>
      <xdr:rowOff>95250</xdr:rowOff>
    </xdr:from>
    <xdr:to>
      <xdr:col>12</xdr:col>
      <xdr:colOff>11907</xdr:colOff>
      <xdr:row>7</xdr:row>
      <xdr:rowOff>202405</xdr:rowOff>
    </xdr:to>
    <xdr:sp macro="" textlink="">
      <xdr:nvSpPr>
        <xdr:cNvPr id="7" name="CuadroTexto 6"/>
        <xdr:cNvSpPr txBox="1"/>
      </xdr:nvSpPr>
      <xdr:spPr>
        <a:xfrm>
          <a:off x="47627" y="1238250"/>
          <a:ext cx="17942718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01-12-2020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11907</xdr:colOff>
      <xdr:row>6</xdr:row>
      <xdr:rowOff>35719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90345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8014155" cy="440531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11907</xdr:colOff>
      <xdr:row>6</xdr:row>
      <xdr:rowOff>119062</xdr:rowOff>
    </xdr:from>
    <xdr:to>
      <xdr:col>11</xdr:col>
      <xdr:colOff>1214438</xdr:colOff>
      <xdr:row>7</xdr:row>
      <xdr:rowOff>226217</xdr:rowOff>
    </xdr:to>
    <xdr:sp macro="" textlink="">
      <xdr:nvSpPr>
        <xdr:cNvPr id="7" name="CuadroTexto 6"/>
        <xdr:cNvSpPr txBox="1"/>
      </xdr:nvSpPr>
      <xdr:spPr>
        <a:xfrm>
          <a:off x="11907" y="1262062"/>
          <a:ext cx="179308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 2020     Fecha Actualización:  01-12-2020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014155" cy="44053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11</xdr:col>
      <xdr:colOff>1202531</xdr:colOff>
      <xdr:row>7</xdr:row>
      <xdr:rowOff>178592</xdr:rowOff>
    </xdr:to>
    <xdr:sp macro="" textlink="">
      <xdr:nvSpPr>
        <xdr:cNvPr id="5" name="CuadroTexto 4"/>
        <xdr:cNvSpPr txBox="1"/>
      </xdr:nvSpPr>
      <xdr:spPr>
        <a:xfrm>
          <a:off x="0" y="1214437"/>
          <a:ext cx="179308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      Fecha Actualización:  11-03-2021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20312</xdr:colOff>
      <xdr:row>14</xdr:row>
      <xdr:rowOff>178594</xdr:rowOff>
    </xdr:from>
    <xdr:to>
      <xdr:col>25</xdr:col>
      <xdr:colOff>635000</xdr:colOff>
      <xdr:row>34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13772</xdr:colOff>
      <xdr:row>34</xdr:row>
      <xdr:rowOff>182977</xdr:rowOff>
    </xdr:from>
    <xdr:to>
      <xdr:col>25</xdr:col>
      <xdr:colOff>635000</xdr:colOff>
      <xdr:row>54</xdr:row>
      <xdr:rowOff>111124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31516</xdr:colOff>
      <xdr:row>55</xdr:row>
      <xdr:rowOff>63918</xdr:rowOff>
    </xdr:from>
    <xdr:to>
      <xdr:col>25</xdr:col>
      <xdr:colOff>635000</xdr:colOff>
      <xdr:row>74</xdr:row>
      <xdr:rowOff>190500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109257</xdr:colOff>
      <xdr:row>14</xdr:row>
      <xdr:rowOff>172476</xdr:rowOff>
    </xdr:from>
    <xdr:to>
      <xdr:col>40</xdr:col>
      <xdr:colOff>392906</xdr:colOff>
      <xdr:row>34</xdr:row>
      <xdr:rowOff>63500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155248</xdr:colOff>
      <xdr:row>34</xdr:row>
      <xdr:rowOff>171778</xdr:rowOff>
    </xdr:from>
    <xdr:to>
      <xdr:col>40</xdr:col>
      <xdr:colOff>480218</xdr:colOff>
      <xdr:row>55</xdr:row>
      <xdr:rowOff>115094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119299</xdr:colOff>
      <xdr:row>56</xdr:row>
      <xdr:rowOff>142594</xdr:rowOff>
    </xdr:from>
    <xdr:to>
      <xdr:col>39</xdr:col>
      <xdr:colOff>79375</xdr:colOff>
      <xdr:row>75</xdr:row>
      <xdr:rowOff>142875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734223</xdr:colOff>
      <xdr:row>77</xdr:row>
      <xdr:rowOff>102436</xdr:rowOff>
    </xdr:from>
    <xdr:to>
      <xdr:col>32</xdr:col>
      <xdr:colOff>281782</xdr:colOff>
      <xdr:row>99</xdr:row>
      <xdr:rowOff>43657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23812</xdr:colOff>
      <xdr:row>6</xdr:row>
      <xdr:rowOff>35719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8002250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109500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5123732" cy="993321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18014155" cy="440531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43000"/>
          <a:ext cx="18014155" cy="44053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71437</xdr:rowOff>
    </xdr:from>
    <xdr:to>
      <xdr:col>11</xdr:col>
      <xdr:colOff>1202531</xdr:colOff>
      <xdr:row>7</xdr:row>
      <xdr:rowOff>178592</xdr:rowOff>
    </xdr:to>
    <xdr:sp macro="" textlink="">
      <xdr:nvSpPr>
        <xdr:cNvPr id="16" name="CuadroTexto 15"/>
        <xdr:cNvSpPr txBox="1"/>
      </xdr:nvSpPr>
      <xdr:spPr>
        <a:xfrm>
          <a:off x="0" y="1214437"/>
          <a:ext cx="1793081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Instituto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Mixto de Ayuda Social             Programa  Protección y Promoción Social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     Fecha Actualización:  11-03-2021</a:t>
          </a:r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M165"/>
  <sheetViews>
    <sheetView showGridLines="0" tabSelected="1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10" customWidth="1"/>
    <col min="2" max="12" width="18.7109375" style="10" customWidth="1"/>
    <col min="13" max="16384" width="11.42578125" style="10"/>
  </cols>
  <sheetData>
    <row r="8" spans="1:13" ht="18" customHeight="1" x14ac:dyDescent="0.25"/>
    <row r="9" spans="1:13" s="11" customFormat="1" ht="17.25" x14ac:dyDescent="0.35">
      <c r="A9" s="108" t="s">
        <v>0</v>
      </c>
      <c r="B9" s="110" t="s">
        <v>58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  <c r="M9" s="23"/>
    </row>
    <row r="10" spans="1:13" s="11" customFormat="1" ht="51.75" customHeight="1" thickBot="1" x14ac:dyDescent="0.35">
      <c r="A10" s="109"/>
      <c r="B10" s="111"/>
      <c r="C10" s="112" t="s">
        <v>1</v>
      </c>
      <c r="D10" s="112"/>
      <c r="E10" s="24" t="s">
        <v>44</v>
      </c>
      <c r="F10" s="24" t="s">
        <v>45</v>
      </c>
      <c r="G10" s="25" t="s">
        <v>46</v>
      </c>
      <c r="H10" s="25" t="s">
        <v>53</v>
      </c>
      <c r="I10" s="24" t="s">
        <v>60</v>
      </c>
      <c r="J10" s="114" t="s">
        <v>73</v>
      </c>
      <c r="K10" s="114"/>
      <c r="L10" s="24" t="s">
        <v>54</v>
      </c>
      <c r="M10" s="23"/>
    </row>
    <row r="11" spans="1:13" ht="17.25" thickTop="1" x14ac:dyDescent="0.3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17.25" x14ac:dyDescent="0.35">
      <c r="A12" s="27" t="s">
        <v>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16.5" x14ac:dyDescent="0.3">
      <c r="A13" s="23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11" customFormat="1" ht="17.25" x14ac:dyDescent="0.35">
      <c r="A14" s="27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  <c r="M14" s="23"/>
    </row>
    <row r="15" spans="1:13" s="11" customFormat="1" ht="16.5" x14ac:dyDescent="0.3">
      <c r="A15" s="30" t="s">
        <v>61</v>
      </c>
      <c r="B15" s="86">
        <v>158777</v>
      </c>
      <c r="C15" s="86">
        <v>125657</v>
      </c>
      <c r="D15" s="86">
        <v>157817</v>
      </c>
      <c r="E15" s="86">
        <v>479</v>
      </c>
      <c r="F15" s="86">
        <v>67</v>
      </c>
      <c r="G15" s="86">
        <v>9102</v>
      </c>
      <c r="H15" s="86">
        <v>32175</v>
      </c>
      <c r="I15" s="86">
        <v>21854</v>
      </c>
      <c r="J15" s="86" t="s">
        <v>56</v>
      </c>
      <c r="K15" s="94" t="s">
        <v>56</v>
      </c>
      <c r="L15" s="94" t="s">
        <v>48</v>
      </c>
      <c r="M15" s="23"/>
    </row>
    <row r="16" spans="1:13" s="11" customFormat="1" ht="16.5" x14ac:dyDescent="0.3">
      <c r="A16" s="30" t="s">
        <v>88</v>
      </c>
      <c r="B16" s="86" t="s">
        <v>49</v>
      </c>
      <c r="C16" s="86" t="s">
        <v>49</v>
      </c>
      <c r="D16" s="86">
        <v>124200</v>
      </c>
      <c r="E16" s="86">
        <v>1893</v>
      </c>
      <c r="F16" s="86">
        <v>48</v>
      </c>
      <c r="G16" s="86">
        <v>7974</v>
      </c>
      <c r="H16" s="86">
        <v>54000</v>
      </c>
      <c r="I16" s="86">
        <v>26335</v>
      </c>
      <c r="J16" s="86" t="s">
        <v>56</v>
      </c>
      <c r="K16" s="94">
        <v>80890</v>
      </c>
      <c r="L16" s="94" t="s">
        <v>48</v>
      </c>
      <c r="M16" s="23"/>
    </row>
    <row r="17" spans="1:13" s="11" customFormat="1" ht="16.5" x14ac:dyDescent="0.3">
      <c r="A17" s="30" t="s">
        <v>55</v>
      </c>
      <c r="B17" s="86">
        <f>+D17+E17+F17+G17+H17+I17+K17</f>
        <v>874448</v>
      </c>
      <c r="C17" s="86" t="s">
        <v>49</v>
      </c>
      <c r="D17" s="86">
        <v>372200</v>
      </c>
      <c r="E17" s="86">
        <v>5679</v>
      </c>
      <c r="F17" s="86">
        <v>144</v>
      </c>
      <c r="G17" s="86">
        <v>23922</v>
      </c>
      <c r="H17" s="86">
        <v>151500</v>
      </c>
      <c r="I17" s="86">
        <v>78335</v>
      </c>
      <c r="J17" s="86" t="s">
        <v>56</v>
      </c>
      <c r="K17" s="94">
        <v>242668</v>
      </c>
      <c r="L17" s="94" t="s">
        <v>48</v>
      </c>
      <c r="M17" s="23"/>
    </row>
    <row r="18" spans="1:13" s="11" customFormat="1" ht="16.5" x14ac:dyDescent="0.3">
      <c r="A18" s="30" t="s">
        <v>89</v>
      </c>
      <c r="B18" s="86">
        <v>257873</v>
      </c>
      <c r="C18" s="86">
        <v>124556</v>
      </c>
      <c r="D18" s="86">
        <v>153199</v>
      </c>
      <c r="E18" s="86">
        <v>1218</v>
      </c>
      <c r="F18" s="86">
        <v>72</v>
      </c>
      <c r="G18" s="86">
        <v>8104</v>
      </c>
      <c r="H18" s="86">
        <v>70884</v>
      </c>
      <c r="I18" s="86">
        <v>23239</v>
      </c>
      <c r="J18" s="86">
        <v>156099</v>
      </c>
      <c r="K18" s="94">
        <v>198783</v>
      </c>
      <c r="L18" s="94" t="s">
        <v>48</v>
      </c>
      <c r="M18" s="23"/>
    </row>
    <row r="19" spans="1:13" s="11" customFormat="1" ht="16.5" x14ac:dyDescent="0.3">
      <c r="A19" s="30" t="s">
        <v>55</v>
      </c>
      <c r="B19" s="86">
        <f>+D19+E19+F19+G19+H19+I19+K19</f>
        <v>1241510</v>
      </c>
      <c r="C19" s="86" t="s">
        <v>49</v>
      </c>
      <c r="D19" s="86">
        <v>427929</v>
      </c>
      <c r="E19" s="86">
        <v>3226</v>
      </c>
      <c r="F19" s="86">
        <v>72</v>
      </c>
      <c r="G19" s="86">
        <v>23010</v>
      </c>
      <c r="H19" s="86">
        <v>164421</v>
      </c>
      <c r="I19" s="86">
        <v>63131</v>
      </c>
      <c r="J19" s="86" t="s">
        <v>56</v>
      </c>
      <c r="K19" s="94">
        <v>559721</v>
      </c>
      <c r="L19" s="94" t="s">
        <v>48</v>
      </c>
      <c r="M19" s="23"/>
    </row>
    <row r="20" spans="1:13" s="11" customFormat="1" ht="16.5" x14ac:dyDescent="0.3">
      <c r="A20" s="30" t="s">
        <v>90</v>
      </c>
      <c r="B20" s="86" t="s">
        <v>49</v>
      </c>
      <c r="C20" s="86" t="s">
        <v>49</v>
      </c>
      <c r="D20" s="86">
        <v>136153</v>
      </c>
      <c r="E20" s="86">
        <v>1894</v>
      </c>
      <c r="F20" s="86">
        <v>207</v>
      </c>
      <c r="G20" s="86">
        <v>7975</v>
      </c>
      <c r="H20" s="86">
        <v>74297</v>
      </c>
      <c r="I20" s="86">
        <v>26335</v>
      </c>
      <c r="J20" s="86" t="s">
        <v>56</v>
      </c>
      <c r="K20" s="94">
        <v>80890</v>
      </c>
      <c r="L20" s="94" t="s">
        <v>48</v>
      </c>
      <c r="M20" s="23"/>
    </row>
    <row r="21" spans="1:13" s="11" customFormat="1" ht="16.5" x14ac:dyDescent="0.3">
      <c r="A21" s="23"/>
      <c r="B21" s="31"/>
      <c r="C21" s="31" t="s">
        <v>47</v>
      </c>
      <c r="D21" s="31"/>
      <c r="E21" s="31"/>
      <c r="F21" s="31"/>
      <c r="G21" s="31"/>
      <c r="H21" s="31"/>
      <c r="I21" s="31"/>
      <c r="J21" s="31"/>
      <c r="K21" s="94"/>
      <c r="L21" s="94"/>
      <c r="M21" s="23"/>
    </row>
    <row r="22" spans="1:13" s="11" customFormat="1" ht="17.25" x14ac:dyDescent="0.35">
      <c r="A22" s="32" t="s">
        <v>3</v>
      </c>
      <c r="B22" s="31"/>
      <c r="C22" s="31"/>
      <c r="D22" s="31"/>
      <c r="E22" s="31"/>
      <c r="F22" s="31"/>
      <c r="G22" s="31"/>
      <c r="H22" s="31"/>
      <c r="I22" s="31"/>
      <c r="J22" s="31"/>
      <c r="K22" s="94"/>
      <c r="L22" s="94"/>
      <c r="M22" s="23"/>
    </row>
    <row r="23" spans="1:13" s="11" customFormat="1" ht="16.5" x14ac:dyDescent="0.3">
      <c r="A23" s="30" t="s">
        <v>61</v>
      </c>
      <c r="B23" s="86">
        <f>+C23+E23+F23+G23+H23+I23+L23</f>
        <v>25445275852.169998</v>
      </c>
      <c r="C23" s="105">
        <v>12180800000</v>
      </c>
      <c r="D23" s="105"/>
      <c r="E23" s="86">
        <v>55386000</v>
      </c>
      <c r="F23" s="86">
        <v>25568000</v>
      </c>
      <c r="G23" s="86">
        <v>1356268530</v>
      </c>
      <c r="H23" s="86">
        <v>4053756427</v>
      </c>
      <c r="I23" s="86">
        <v>7625677531</v>
      </c>
      <c r="J23" s="105" t="s">
        <v>48</v>
      </c>
      <c r="K23" s="105"/>
      <c r="L23" s="94">
        <v>147819364.16999999</v>
      </c>
      <c r="M23" s="23"/>
    </row>
    <row r="24" spans="1:13" s="11" customFormat="1" ht="16.5" x14ac:dyDescent="0.3">
      <c r="A24" s="30" t="s">
        <v>88</v>
      </c>
      <c r="B24" s="86">
        <f>+C24+E24+F24+G24+H24+I24+J24</f>
        <v>39656414000</v>
      </c>
      <c r="C24" s="105">
        <v>13027000000</v>
      </c>
      <c r="D24" s="105"/>
      <c r="E24" s="86">
        <v>442962000</v>
      </c>
      <c r="F24" s="86">
        <v>44928000</v>
      </c>
      <c r="G24" s="86">
        <v>1794150000</v>
      </c>
      <c r="H24" s="86">
        <v>11362500000</v>
      </c>
      <c r="I24" s="86">
        <v>8616850000</v>
      </c>
      <c r="J24" s="105">
        <v>4368024000</v>
      </c>
      <c r="K24" s="105"/>
      <c r="L24" s="94" t="s">
        <v>48</v>
      </c>
      <c r="M24" s="23"/>
    </row>
    <row r="25" spans="1:13" s="11" customFormat="1" ht="16.5" x14ac:dyDescent="0.3">
      <c r="A25" s="30" t="s">
        <v>89</v>
      </c>
      <c r="B25" s="86">
        <f>+C25+E25+F25+G25+H25+I25+J25+L25</f>
        <v>34087965663</v>
      </c>
      <c r="C25" s="105">
        <v>10864068000</v>
      </c>
      <c r="D25" s="105"/>
      <c r="E25" s="86">
        <v>332454180</v>
      </c>
      <c r="F25" s="86">
        <v>5684000</v>
      </c>
      <c r="G25" s="86">
        <v>1787041000</v>
      </c>
      <c r="H25" s="86">
        <v>9736025011</v>
      </c>
      <c r="I25" s="86">
        <v>8159481471.999999</v>
      </c>
      <c r="J25" s="105">
        <v>2853212000</v>
      </c>
      <c r="K25" s="105"/>
      <c r="L25" s="94">
        <v>350000000</v>
      </c>
      <c r="M25" s="23"/>
    </row>
    <row r="26" spans="1:13" s="11" customFormat="1" ht="16.5" x14ac:dyDescent="0.3">
      <c r="A26" s="30" t="s">
        <v>90</v>
      </c>
      <c r="B26" s="86">
        <f>+C26+E26+F26+G26+H26+I26+J26</f>
        <v>154207071000</v>
      </c>
      <c r="C26" s="105">
        <v>49999985000</v>
      </c>
      <c r="D26" s="105"/>
      <c r="E26" s="95">
        <v>1624818000</v>
      </c>
      <c r="F26" s="95">
        <v>1624584000</v>
      </c>
      <c r="G26" s="86">
        <v>7177200000</v>
      </c>
      <c r="H26" s="86">
        <v>51766350000</v>
      </c>
      <c r="I26" s="86">
        <v>25997950000</v>
      </c>
      <c r="J26" s="105">
        <v>16016184000</v>
      </c>
      <c r="K26" s="105"/>
      <c r="L26" s="94" t="s">
        <v>48</v>
      </c>
      <c r="M26" s="23"/>
    </row>
    <row r="27" spans="1:13" s="11" customFormat="1" ht="16.5" x14ac:dyDescent="0.3">
      <c r="A27" s="30" t="s">
        <v>91</v>
      </c>
      <c r="B27" s="86">
        <f>+C27+E27+F27+G27+H27+I27+J27+L27</f>
        <v>34087965663</v>
      </c>
      <c r="C27" s="105">
        <f>C25</f>
        <v>10864068000</v>
      </c>
      <c r="D27" s="105"/>
      <c r="E27" s="86">
        <f>E25</f>
        <v>332454180</v>
      </c>
      <c r="F27" s="86">
        <f t="shared" ref="F27:J27" si="0">F25</f>
        <v>5684000</v>
      </c>
      <c r="G27" s="86">
        <f t="shared" si="0"/>
        <v>1787041000</v>
      </c>
      <c r="H27" s="86">
        <f t="shared" si="0"/>
        <v>9736025011</v>
      </c>
      <c r="I27" s="86">
        <f t="shared" si="0"/>
        <v>8159481471.999999</v>
      </c>
      <c r="J27" s="105">
        <f t="shared" si="0"/>
        <v>2853212000</v>
      </c>
      <c r="K27" s="105"/>
      <c r="L27" s="94">
        <f>+L25</f>
        <v>350000000</v>
      </c>
      <c r="M27" s="23"/>
    </row>
    <row r="28" spans="1:13" s="11" customFormat="1" ht="16.5" x14ac:dyDescent="0.3">
      <c r="A28" s="23"/>
      <c r="B28" s="31"/>
      <c r="C28" s="31"/>
      <c r="D28" s="31"/>
      <c r="E28" s="31"/>
      <c r="F28" s="31"/>
      <c r="G28" s="31"/>
      <c r="H28" s="31"/>
      <c r="I28" s="31"/>
      <c r="J28" s="31"/>
      <c r="K28" s="94"/>
      <c r="L28" s="94"/>
      <c r="M28" s="23"/>
    </row>
    <row r="29" spans="1:13" s="11" customFormat="1" ht="17.25" x14ac:dyDescent="0.35">
      <c r="A29" s="32" t="s">
        <v>4</v>
      </c>
      <c r="B29" s="31"/>
      <c r="C29" s="31"/>
      <c r="D29" s="31"/>
      <c r="E29" s="31"/>
      <c r="F29" s="31"/>
      <c r="G29" s="31"/>
      <c r="H29" s="31"/>
      <c r="I29" s="31"/>
      <c r="J29" s="31"/>
      <c r="K29" s="94"/>
      <c r="L29" s="94"/>
      <c r="M29" s="23"/>
    </row>
    <row r="30" spans="1:13" s="11" customFormat="1" ht="16.5" x14ac:dyDescent="0.3">
      <c r="A30" s="30" t="s">
        <v>88</v>
      </c>
      <c r="B30" s="86">
        <f>B24</f>
        <v>39656414000</v>
      </c>
      <c r="C30" s="86"/>
      <c r="D30" s="86"/>
      <c r="E30" s="86"/>
      <c r="F30" s="86"/>
      <c r="G30" s="86"/>
      <c r="H30" s="86"/>
      <c r="I30" s="86"/>
      <c r="J30" s="86"/>
      <c r="K30" s="94"/>
      <c r="L30" s="94"/>
      <c r="M30" s="23"/>
    </row>
    <row r="31" spans="1:13" s="11" customFormat="1" ht="16.5" x14ac:dyDescent="0.3">
      <c r="A31" s="30" t="s">
        <v>89</v>
      </c>
      <c r="B31" s="86">
        <v>37729340991.830002</v>
      </c>
      <c r="C31" s="86"/>
      <c r="D31" s="86"/>
      <c r="E31" s="86"/>
      <c r="F31" s="86"/>
      <c r="G31" s="86"/>
      <c r="H31" s="86"/>
      <c r="I31" s="86"/>
      <c r="J31" s="86"/>
      <c r="K31" s="94"/>
      <c r="L31" s="94"/>
      <c r="M31" s="23"/>
    </row>
    <row r="32" spans="1:13" s="11" customFormat="1" ht="16.5" x14ac:dyDescent="0.3">
      <c r="A32" s="23"/>
      <c r="B32" s="33"/>
      <c r="C32" s="33"/>
      <c r="D32" s="33"/>
      <c r="E32" s="33"/>
      <c r="F32" s="33"/>
      <c r="G32" s="33"/>
      <c r="H32" s="33"/>
      <c r="I32" s="33"/>
      <c r="J32" s="33"/>
      <c r="K32" s="23"/>
      <c r="L32" s="23"/>
      <c r="M32" s="23"/>
    </row>
    <row r="33" spans="1:13" s="11" customFormat="1" ht="17.25" x14ac:dyDescent="0.35">
      <c r="A33" s="27" t="s">
        <v>5</v>
      </c>
      <c r="B33" s="33"/>
      <c r="C33" s="33"/>
      <c r="D33" s="33"/>
      <c r="E33" s="33"/>
      <c r="F33" s="33"/>
      <c r="G33" s="33"/>
      <c r="H33" s="33"/>
      <c r="I33" s="33"/>
      <c r="J33" s="33"/>
      <c r="K33" s="23"/>
      <c r="L33" s="23"/>
      <c r="M33" s="23"/>
    </row>
    <row r="34" spans="1:13" s="11" customFormat="1" ht="16.5" x14ac:dyDescent="0.3">
      <c r="A34" s="30" t="s">
        <v>62</v>
      </c>
      <c r="B34" s="34">
        <v>1.0451016243</v>
      </c>
      <c r="C34" s="34">
        <v>1.0451016243</v>
      </c>
      <c r="D34" s="34">
        <v>1.0451016243</v>
      </c>
      <c r="E34" s="34">
        <v>1.0451016243</v>
      </c>
      <c r="F34" s="34">
        <v>1.0451016243</v>
      </c>
      <c r="G34" s="34">
        <v>1.0451016243</v>
      </c>
      <c r="H34" s="34">
        <v>1.0451016243</v>
      </c>
      <c r="I34" s="34">
        <v>1.0451016243</v>
      </c>
      <c r="J34" s="34">
        <v>1.0451016243</v>
      </c>
      <c r="K34" s="34">
        <v>1.0451016243</v>
      </c>
      <c r="L34" s="34">
        <v>1.0451016243</v>
      </c>
      <c r="M34" s="23"/>
    </row>
    <row r="35" spans="1:13" s="11" customFormat="1" ht="16.5" x14ac:dyDescent="0.3">
      <c r="A35" s="30" t="s">
        <v>92</v>
      </c>
      <c r="B35" s="34">
        <v>1.0649999999999999</v>
      </c>
      <c r="C35" s="34">
        <v>1.0649999999999999</v>
      </c>
      <c r="D35" s="34">
        <v>1.0649999999999999</v>
      </c>
      <c r="E35" s="34">
        <v>1.0649999999999999</v>
      </c>
      <c r="F35" s="34">
        <v>1.0649999999999999</v>
      </c>
      <c r="G35" s="34">
        <v>1.0649999999999999</v>
      </c>
      <c r="H35" s="34">
        <v>1.0649999999999999</v>
      </c>
      <c r="I35" s="34">
        <v>1.0649999999999999</v>
      </c>
      <c r="J35" s="34">
        <v>1.0649999999999999</v>
      </c>
      <c r="K35" s="34">
        <v>1.0649999999999999</v>
      </c>
      <c r="L35" s="34">
        <v>1.0649999999999999</v>
      </c>
      <c r="M35" s="23"/>
    </row>
    <row r="36" spans="1:13" s="11" customFormat="1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88" t="s">
        <v>56</v>
      </c>
      <c r="L36" s="88" t="s">
        <v>56</v>
      </c>
      <c r="M36" s="23"/>
    </row>
    <row r="37" spans="1:13" ht="16.5" x14ac:dyDescent="0.3">
      <c r="A37" s="23"/>
      <c r="B37" s="31"/>
      <c r="C37" s="31"/>
      <c r="D37" s="31"/>
      <c r="E37" s="31"/>
      <c r="F37" s="124"/>
      <c r="G37" s="124"/>
      <c r="H37" s="124"/>
      <c r="I37" s="124"/>
      <c r="J37" s="124"/>
      <c r="K37" s="125"/>
      <c r="L37" s="125"/>
      <c r="M37" s="26"/>
    </row>
    <row r="38" spans="1:13" s="11" customFormat="1" ht="17.25" x14ac:dyDescent="0.35">
      <c r="A38" s="27" t="s">
        <v>7</v>
      </c>
      <c r="B38" s="31"/>
      <c r="C38" s="31"/>
      <c r="D38" s="31"/>
      <c r="E38" s="31"/>
      <c r="F38" s="31"/>
      <c r="G38" s="31"/>
      <c r="H38" s="31"/>
      <c r="I38" s="31"/>
      <c r="J38" s="31"/>
      <c r="K38" s="123"/>
      <c r="L38" s="123"/>
      <c r="M38" s="23"/>
    </row>
    <row r="39" spans="1:13" s="11" customFormat="1" ht="16.5" x14ac:dyDescent="0.3">
      <c r="A39" s="23" t="s">
        <v>63</v>
      </c>
      <c r="B39" s="88">
        <f>B23/B34</f>
        <v>24347178552.337456</v>
      </c>
      <c r="C39" s="99">
        <f>C23/C34</f>
        <v>11655134502.50218</v>
      </c>
      <c r="D39" s="99"/>
      <c r="E39" s="88">
        <f>E23/E34</f>
        <v>52995803.194830038</v>
      </c>
      <c r="F39" s="88">
        <f t="shared" ref="F39:I39" si="1">F23/F34</f>
        <v>24464606.50860171</v>
      </c>
      <c r="G39" s="88">
        <f t="shared" si="1"/>
        <v>1297738419.3699028</v>
      </c>
      <c r="H39" s="88">
        <f t="shared" si="1"/>
        <v>3878815545.5362258</v>
      </c>
      <c r="I39" s="88">
        <f t="shared" si="1"/>
        <v>7296589493.0147228</v>
      </c>
      <c r="J39" s="99" t="s">
        <v>48</v>
      </c>
      <c r="K39" s="99"/>
      <c r="L39" s="88">
        <f t="shared" ref="L39" si="2">L23/L34</f>
        <v>141440182.21099609</v>
      </c>
      <c r="M39" s="23"/>
    </row>
    <row r="40" spans="1:13" s="11" customFormat="1" ht="16.5" x14ac:dyDescent="0.3">
      <c r="A40" s="23" t="s">
        <v>93</v>
      </c>
      <c r="B40" s="88">
        <f>B25/B35</f>
        <v>32007479495.774651</v>
      </c>
      <c r="C40" s="99">
        <f>C25/C35</f>
        <v>10201002816.901409</v>
      </c>
      <c r="D40" s="99"/>
      <c r="E40" s="88">
        <f>E25/E35</f>
        <v>312163549.29577464</v>
      </c>
      <c r="F40" s="88">
        <f t="shared" ref="F40:J40" si="3">F25/F35</f>
        <v>5337089.2018779349</v>
      </c>
      <c r="G40" s="88">
        <f t="shared" si="3"/>
        <v>1677972769.9530518</v>
      </c>
      <c r="H40" s="88">
        <f t="shared" si="3"/>
        <v>9141807522.0657272</v>
      </c>
      <c r="I40" s="88">
        <f t="shared" si="3"/>
        <v>7661484950.2347412</v>
      </c>
      <c r="J40" s="99">
        <f t="shared" si="3"/>
        <v>2679072300.4694839</v>
      </c>
      <c r="K40" s="99"/>
      <c r="L40" s="88">
        <f t="shared" ref="L40" si="4">L25/L35</f>
        <v>328638497.65258217</v>
      </c>
      <c r="M40" s="23"/>
    </row>
    <row r="41" spans="1:13" s="11" customFormat="1" ht="16.5" x14ac:dyDescent="0.3">
      <c r="A41" s="23" t="s">
        <v>64</v>
      </c>
      <c r="B41" s="88">
        <f>B39/B15</f>
        <v>153341.97366329792</v>
      </c>
      <c r="C41" s="99">
        <f>C39/D15</f>
        <v>73852.211754767734</v>
      </c>
      <c r="D41" s="99"/>
      <c r="E41" s="88">
        <f>E39/E15</f>
        <v>110638.42003096041</v>
      </c>
      <c r="F41" s="88">
        <f t="shared" ref="F41:I41" si="5">F39/F15</f>
        <v>365143.38072539866</v>
      </c>
      <c r="G41" s="88">
        <f t="shared" si="5"/>
        <v>142577.28184683618</v>
      </c>
      <c r="H41" s="88">
        <f t="shared" si="5"/>
        <v>120553.70770897361</v>
      </c>
      <c r="I41" s="88">
        <f t="shared" si="5"/>
        <v>333878.90056807554</v>
      </c>
      <c r="J41" s="100" t="s">
        <v>48</v>
      </c>
      <c r="K41" s="100"/>
      <c r="L41" s="88" t="s">
        <v>48</v>
      </c>
      <c r="M41" s="23"/>
    </row>
    <row r="42" spans="1:13" s="11" customFormat="1" ht="16.5" x14ac:dyDescent="0.3">
      <c r="A42" s="23" t="s">
        <v>94</v>
      </c>
      <c r="B42" s="88">
        <f>B40/B18</f>
        <v>124121.0964148036</v>
      </c>
      <c r="C42" s="99">
        <f>C40/D18</f>
        <v>66586.614905458977</v>
      </c>
      <c r="D42" s="99"/>
      <c r="E42" s="88">
        <f>E40/E18</f>
        <v>256291.91239390365</v>
      </c>
      <c r="F42" s="88">
        <f t="shared" ref="F42:I42" si="6">F40/F18</f>
        <v>74126.238914971313</v>
      </c>
      <c r="G42" s="88">
        <f t="shared" si="6"/>
        <v>207054.88276814559</v>
      </c>
      <c r="H42" s="88">
        <f t="shared" si="6"/>
        <v>128968.56162273188</v>
      </c>
      <c r="I42" s="88">
        <f t="shared" si="6"/>
        <v>329682.2131001653</v>
      </c>
      <c r="J42" s="100">
        <f>J40/K18</f>
        <v>13477.371306748986</v>
      </c>
      <c r="K42" s="100"/>
      <c r="L42" s="88" t="s">
        <v>48</v>
      </c>
      <c r="M42" s="23"/>
    </row>
    <row r="43" spans="1:13" s="11" customFormat="1" ht="16.5" x14ac:dyDescent="0.3">
      <c r="A43" s="23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23"/>
    </row>
    <row r="44" spans="1:13" s="11" customFormat="1" ht="17.25" x14ac:dyDescent="0.35">
      <c r="A44" s="27" t="s">
        <v>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23"/>
    </row>
    <row r="45" spans="1:13" s="11" customFormat="1" ht="16.5" x14ac:dyDescent="0.3">
      <c r="A45" s="23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23"/>
    </row>
    <row r="46" spans="1:13" s="11" customFormat="1" ht="17.25" x14ac:dyDescent="0.35">
      <c r="A46" s="27" t="s">
        <v>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23"/>
    </row>
    <row r="47" spans="1:13" s="11" customFormat="1" ht="16.5" x14ac:dyDescent="0.3">
      <c r="A47" s="23" t="s">
        <v>10</v>
      </c>
      <c r="B47" s="92" t="s">
        <v>56</v>
      </c>
      <c r="C47" s="102">
        <f>(D16/C36)*100</f>
        <v>72.66217354675652</v>
      </c>
      <c r="D47" s="102"/>
      <c r="E47" s="90">
        <f>(E16/E36)*100</f>
        <v>1.3432295694995351</v>
      </c>
      <c r="F47" s="90" t="s">
        <v>48</v>
      </c>
      <c r="G47" s="90">
        <f t="shared" ref="G47" si="7">(G16/G36)*100</f>
        <v>8.6170005835440566</v>
      </c>
      <c r="H47" s="92" t="s">
        <v>48</v>
      </c>
      <c r="I47" s="92" t="s">
        <v>48</v>
      </c>
      <c r="J47" s="101" t="s">
        <v>56</v>
      </c>
      <c r="K47" s="101"/>
      <c r="L47" s="90" t="s">
        <v>48</v>
      </c>
      <c r="M47" s="23"/>
    </row>
    <row r="48" spans="1:13" s="11" customFormat="1" ht="16.5" x14ac:dyDescent="0.3">
      <c r="A48" s="23" t="s">
        <v>11</v>
      </c>
      <c r="B48" s="90">
        <f>(B18/B36)*100</f>
        <v>67.101829035053257</v>
      </c>
      <c r="C48" s="102">
        <f>(D18/C36)*100</f>
        <v>89.62779649911073</v>
      </c>
      <c r="D48" s="102"/>
      <c r="E48" s="90">
        <f>(E18/E36)*100</f>
        <v>0.86426498449573896</v>
      </c>
      <c r="F48" s="90" t="s">
        <v>48</v>
      </c>
      <c r="G48" s="90">
        <f t="shared" ref="G48" si="8">(G18/G36)*100</f>
        <v>8.7574834122198446</v>
      </c>
      <c r="H48" s="92" t="s">
        <v>48</v>
      </c>
      <c r="I48" s="92" t="s">
        <v>48</v>
      </c>
      <c r="J48" s="101" t="s">
        <v>56</v>
      </c>
      <c r="K48" s="101"/>
      <c r="L48" s="90" t="s">
        <v>48</v>
      </c>
      <c r="M48" s="23"/>
    </row>
    <row r="49" spans="1:13" s="11" customFormat="1" ht="16.5" x14ac:dyDescent="0.3">
      <c r="A49" s="2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23"/>
    </row>
    <row r="50" spans="1:13" s="11" customFormat="1" ht="17.25" x14ac:dyDescent="0.35">
      <c r="A50" s="27" t="s">
        <v>12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23"/>
    </row>
    <row r="51" spans="1:13" s="11" customFormat="1" ht="16.5" x14ac:dyDescent="0.3">
      <c r="A51" s="23" t="s">
        <v>13</v>
      </c>
      <c r="B51" s="92" t="s">
        <v>56</v>
      </c>
      <c r="C51" s="92" t="s">
        <v>56</v>
      </c>
      <c r="D51" s="90">
        <f>D18/D16*100</f>
        <v>123.34863123993559</v>
      </c>
      <c r="E51" s="90">
        <f>E18/E16*100</f>
        <v>64.342313787638673</v>
      </c>
      <c r="F51" s="90">
        <f t="shared" ref="F51:I51" si="9">F18/F16*100</f>
        <v>150</v>
      </c>
      <c r="G51" s="90">
        <f t="shared" si="9"/>
        <v>101.63029847002758</v>
      </c>
      <c r="H51" s="90">
        <f t="shared" si="9"/>
        <v>131.26666666666665</v>
      </c>
      <c r="I51" s="90">
        <f t="shared" si="9"/>
        <v>88.243782039111451</v>
      </c>
      <c r="J51" s="92" t="s">
        <v>56</v>
      </c>
      <c r="K51" s="90">
        <f>K18/K16*100</f>
        <v>245.7448386697985</v>
      </c>
      <c r="L51" s="90" t="s">
        <v>48</v>
      </c>
      <c r="M51" s="23"/>
    </row>
    <row r="52" spans="1:13" s="11" customFormat="1" ht="16.5" x14ac:dyDescent="0.3">
      <c r="A52" s="23" t="s">
        <v>14</v>
      </c>
      <c r="B52" s="90">
        <f>B25/B24*100</f>
        <v>85.958265573382405</v>
      </c>
      <c r="C52" s="102">
        <f>C25/C24*100</f>
        <v>83.396545635986797</v>
      </c>
      <c r="D52" s="102"/>
      <c r="E52" s="90">
        <f>E25/E24*100</f>
        <v>75.052528207837241</v>
      </c>
      <c r="F52" s="90">
        <f t="shared" ref="F52:I52" si="10">F25/F24*100</f>
        <v>12.651353276353278</v>
      </c>
      <c r="G52" s="90">
        <f t="shared" si="10"/>
        <v>99.6037678009085</v>
      </c>
      <c r="H52" s="90">
        <f t="shared" si="10"/>
        <v>85.685588655665569</v>
      </c>
      <c r="I52" s="90">
        <f t="shared" si="10"/>
        <v>94.692160963693212</v>
      </c>
      <c r="J52" s="101">
        <f>J25/J24*100</f>
        <v>65.320428642333468</v>
      </c>
      <c r="K52" s="101"/>
      <c r="L52" s="90" t="s">
        <v>48</v>
      </c>
      <c r="M52" s="23"/>
    </row>
    <row r="53" spans="1:13" s="11" customFormat="1" ht="16.5" x14ac:dyDescent="0.3">
      <c r="A53" s="23" t="s">
        <v>15</v>
      </c>
      <c r="B53" s="92" t="s">
        <v>56</v>
      </c>
      <c r="C53" s="92" t="s">
        <v>56</v>
      </c>
      <c r="D53" s="90">
        <f>AVERAGE(D51,C52)</f>
        <v>103.37258843796118</v>
      </c>
      <c r="E53" s="90">
        <f>AVERAGE(E51:E52)</f>
        <v>69.697420997737964</v>
      </c>
      <c r="F53" s="90">
        <f t="shared" ref="F53:I53" si="11">AVERAGE(F51:F52)</f>
        <v>81.325676638176645</v>
      </c>
      <c r="G53" s="90">
        <f t="shared" si="11"/>
        <v>100.61703313546803</v>
      </c>
      <c r="H53" s="90">
        <f t="shared" si="11"/>
        <v>108.47612766116612</v>
      </c>
      <c r="I53" s="90">
        <f t="shared" si="11"/>
        <v>91.467971501402332</v>
      </c>
      <c r="J53" s="92" t="s">
        <v>56</v>
      </c>
      <c r="K53" s="90">
        <f>+AVERAGE(K51,J52)</f>
        <v>155.53263365606597</v>
      </c>
      <c r="L53" s="90" t="s">
        <v>48</v>
      </c>
      <c r="M53" s="23"/>
    </row>
    <row r="54" spans="1:13" s="11" customFormat="1" ht="16.5" x14ac:dyDescent="0.3">
      <c r="A54" s="23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23"/>
    </row>
    <row r="55" spans="1:13" s="11" customFormat="1" ht="17.25" x14ac:dyDescent="0.35">
      <c r="A55" s="27" t="s">
        <v>16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23"/>
    </row>
    <row r="56" spans="1:13" s="11" customFormat="1" ht="16.5" x14ac:dyDescent="0.3">
      <c r="A56" s="23" t="s">
        <v>17</v>
      </c>
      <c r="B56" s="92" t="s">
        <v>56</v>
      </c>
      <c r="C56" s="102">
        <f>D18/D20*100</f>
        <v>112.51973882323563</v>
      </c>
      <c r="D56" s="102"/>
      <c r="E56" s="90">
        <f>E18/E20*100</f>
        <v>64.308342133051738</v>
      </c>
      <c r="F56" s="90">
        <f t="shared" ref="F56:I56" si="12">F18/F20*100</f>
        <v>34.782608695652172</v>
      </c>
      <c r="G56" s="90">
        <f t="shared" si="12"/>
        <v>101.61755485893418</v>
      </c>
      <c r="H56" s="90">
        <f t="shared" si="12"/>
        <v>95.40627481594143</v>
      </c>
      <c r="I56" s="90">
        <f t="shared" si="12"/>
        <v>88.243782039111451</v>
      </c>
      <c r="J56" s="101">
        <f>K18/K20*100</f>
        <v>245.7448386697985</v>
      </c>
      <c r="K56" s="101"/>
      <c r="L56" s="90" t="s">
        <v>48</v>
      </c>
      <c r="M56" s="23"/>
    </row>
    <row r="57" spans="1:13" s="11" customFormat="1" ht="16.5" x14ac:dyDescent="0.3">
      <c r="A57" s="23" t="s">
        <v>18</v>
      </c>
      <c r="B57" s="90">
        <f>B25/B26*100</f>
        <v>22.105319452569073</v>
      </c>
      <c r="C57" s="102">
        <f>C25/C26*100</f>
        <v>21.728142518442755</v>
      </c>
      <c r="D57" s="102"/>
      <c r="E57" s="90">
        <f>E25/E26*100</f>
        <v>20.461010402395839</v>
      </c>
      <c r="F57" s="90">
        <f t="shared" ref="F57:I57" si="13">F25/F26*100</f>
        <v>0.34987418317550834</v>
      </c>
      <c r="G57" s="90">
        <f t="shared" si="13"/>
        <v>24.898860279774844</v>
      </c>
      <c r="H57" s="90">
        <f t="shared" si="13"/>
        <v>18.807632778822537</v>
      </c>
      <c r="I57" s="90">
        <f t="shared" si="13"/>
        <v>31.385095640233168</v>
      </c>
      <c r="J57" s="101">
        <f>J25/J26*100</f>
        <v>17.814555577033829</v>
      </c>
      <c r="K57" s="101"/>
      <c r="L57" s="90" t="s">
        <v>48</v>
      </c>
      <c r="M57" s="23"/>
    </row>
    <row r="58" spans="1:13" s="11" customFormat="1" ht="16.5" x14ac:dyDescent="0.3">
      <c r="A58" s="23" t="s">
        <v>19</v>
      </c>
      <c r="B58" s="92" t="s">
        <v>56</v>
      </c>
      <c r="C58" s="102">
        <f>(C56+C57)/2</f>
        <v>67.12394067083919</v>
      </c>
      <c r="D58" s="102"/>
      <c r="E58" s="90">
        <f>(E56+E57)/2</f>
        <v>42.38467626772379</v>
      </c>
      <c r="F58" s="90">
        <f t="shared" ref="F58:I58" si="14">(F56+F57)/2</f>
        <v>17.56624143941384</v>
      </c>
      <c r="G58" s="90">
        <f t="shared" si="14"/>
        <v>63.258207569354511</v>
      </c>
      <c r="H58" s="90">
        <f t="shared" si="14"/>
        <v>57.106953797381983</v>
      </c>
      <c r="I58" s="90">
        <f t="shared" si="14"/>
        <v>59.814438839672306</v>
      </c>
      <c r="J58" s="101">
        <f>+(J56+J57)/2</f>
        <v>131.77969712341616</v>
      </c>
      <c r="K58" s="101"/>
      <c r="L58" s="90" t="s">
        <v>48</v>
      </c>
      <c r="M58" s="23"/>
    </row>
    <row r="59" spans="1:13" s="11" customFormat="1" ht="16.5" x14ac:dyDescent="0.3">
      <c r="A59" s="23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23"/>
    </row>
    <row r="60" spans="1:13" s="11" customFormat="1" ht="17.25" x14ac:dyDescent="0.35">
      <c r="A60" s="27" t="s">
        <v>30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23"/>
    </row>
    <row r="61" spans="1:13" s="11" customFormat="1" ht="16.5" x14ac:dyDescent="0.3">
      <c r="A61" s="23" t="s">
        <v>20</v>
      </c>
      <c r="B61" s="90">
        <f>B27/B25*100</f>
        <v>100</v>
      </c>
      <c r="C61" s="102">
        <f>C27/C25*100</f>
        <v>100</v>
      </c>
      <c r="D61" s="102"/>
      <c r="E61" s="90">
        <f>E27/E25*100</f>
        <v>100</v>
      </c>
      <c r="F61" s="90">
        <f t="shared" ref="F61:I61" si="15">F27/F25*100</f>
        <v>100</v>
      </c>
      <c r="G61" s="90">
        <f t="shared" si="15"/>
        <v>100</v>
      </c>
      <c r="H61" s="90">
        <f t="shared" si="15"/>
        <v>100</v>
      </c>
      <c r="I61" s="90">
        <f t="shared" si="15"/>
        <v>100</v>
      </c>
      <c r="J61" s="102">
        <f>J27/J25*100</f>
        <v>100</v>
      </c>
      <c r="K61" s="102"/>
      <c r="L61" s="90" t="s">
        <v>48</v>
      </c>
      <c r="M61" s="23"/>
    </row>
    <row r="62" spans="1:13" s="11" customFormat="1" ht="16.5" x14ac:dyDescent="0.3">
      <c r="A62" s="23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23"/>
    </row>
    <row r="63" spans="1:13" s="11" customFormat="1" ht="17.25" x14ac:dyDescent="0.35">
      <c r="A63" s="27" t="s">
        <v>21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23"/>
    </row>
    <row r="64" spans="1:13" s="11" customFormat="1" ht="16.5" x14ac:dyDescent="0.3">
      <c r="A64" s="23" t="s">
        <v>22</v>
      </c>
      <c r="B64" s="91">
        <f>((B18/B15)-1)*100</f>
        <v>62.412062200444637</v>
      </c>
      <c r="C64" s="107">
        <f>((D18/D15)-1)*100</f>
        <v>-2.9261739863259306</v>
      </c>
      <c r="D64" s="107"/>
      <c r="E64" s="91">
        <f>((E18/E15)-1)*100</f>
        <v>154.27974947807934</v>
      </c>
      <c r="F64" s="91">
        <f t="shared" ref="F64:K64" si="16">((F18/F15)-1)*100</f>
        <v>7.4626865671641784</v>
      </c>
      <c r="G64" s="91">
        <f t="shared" si="16"/>
        <v>-10.964623159745113</v>
      </c>
      <c r="H64" s="91">
        <f t="shared" si="16"/>
        <v>120.30769230769232</v>
      </c>
      <c r="I64" s="91">
        <f t="shared" si="16"/>
        <v>6.337512583508742</v>
      </c>
      <c r="J64" s="101" t="s">
        <v>48</v>
      </c>
      <c r="K64" s="101" t="e">
        <f t="shared" si="16"/>
        <v>#VALUE!</v>
      </c>
      <c r="L64" s="90" t="s">
        <v>48</v>
      </c>
      <c r="M64" s="23"/>
    </row>
    <row r="65" spans="1:13" s="11" customFormat="1" ht="16.5" x14ac:dyDescent="0.3">
      <c r="A65" s="23" t="s">
        <v>23</v>
      </c>
      <c r="B65" s="91">
        <f>((B40/B39)-1)*100</f>
        <v>31.46278706163168</v>
      </c>
      <c r="C65" s="107">
        <f>((C40/C39)-1)*100</f>
        <v>-12.476318358132987</v>
      </c>
      <c r="D65" s="107"/>
      <c r="E65" s="91">
        <f>((E40/E39)-1)*100</f>
        <v>489.03447155647132</v>
      </c>
      <c r="F65" s="91">
        <f t="shared" ref="F65:I65" si="17">((F40/F39)-1)*100</f>
        <v>-78.18444698874913</v>
      </c>
      <c r="G65" s="91">
        <f t="shared" si="17"/>
        <v>29.299768343744191</v>
      </c>
      <c r="H65" s="91">
        <f t="shared" si="17"/>
        <v>135.68554407249906</v>
      </c>
      <c r="I65" s="91">
        <f t="shared" si="17"/>
        <v>5.0009042932913417</v>
      </c>
      <c r="J65" s="101" t="s">
        <v>48</v>
      </c>
      <c r="K65" s="101">
        <f t="shared" ref="K65" si="18">((K19/K16)-1)*100</f>
        <v>591.95326987266662</v>
      </c>
      <c r="L65" s="90">
        <f t="shared" ref="L65" si="19">((L40/L39)-1)*100</f>
        <v>132.3515796680249</v>
      </c>
      <c r="M65" s="23"/>
    </row>
    <row r="66" spans="1:13" s="11" customFormat="1" ht="16.5" x14ac:dyDescent="0.3">
      <c r="A66" s="23" t="s">
        <v>24</v>
      </c>
      <c r="B66" s="91">
        <f>((B42/B41)-1)*100</f>
        <v>-19.056020051402456</v>
      </c>
      <c r="C66" s="107">
        <f>((C42/C41)-1)*100</f>
        <v>-9.8380220127120328</v>
      </c>
      <c r="D66" s="107"/>
      <c r="E66" s="91">
        <f>((E42/E41)-1)*100</f>
        <v>131.64820351030357</v>
      </c>
      <c r="F66" s="91">
        <f t="shared" ref="F66:I66" si="20">((F42/F41)-1)*100</f>
        <v>-79.699415947863784</v>
      </c>
      <c r="G66" s="91">
        <f t="shared" si="20"/>
        <v>45.222913556855815</v>
      </c>
      <c r="H66" s="91">
        <f t="shared" si="20"/>
        <v>6.9801701446399411</v>
      </c>
      <c r="I66" s="91">
        <f t="shared" si="20"/>
        <v>-1.2569489898193065</v>
      </c>
      <c r="J66" s="101" t="s">
        <v>48</v>
      </c>
      <c r="K66" s="101">
        <f t="shared" ref="K66" si="21">((K20/K17)-1)*100</f>
        <v>-66.666391942901413</v>
      </c>
      <c r="L66" s="90" t="s">
        <v>48</v>
      </c>
      <c r="M66" s="23"/>
    </row>
    <row r="67" spans="1:13" s="11" customFormat="1" ht="16.5" x14ac:dyDescent="0.3">
      <c r="A67" s="23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23"/>
    </row>
    <row r="68" spans="1:13" s="11" customFormat="1" ht="17.25" x14ac:dyDescent="0.35">
      <c r="A68" s="27" t="s">
        <v>25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23"/>
    </row>
    <row r="69" spans="1:13" s="11" customFormat="1" ht="16.5" x14ac:dyDescent="0.3">
      <c r="A69" s="23" t="s">
        <v>31</v>
      </c>
      <c r="B69" s="90">
        <f>(B24/B17)*3</f>
        <v>136050.67654108649</v>
      </c>
      <c r="C69" s="107">
        <f>(C24/D17)*3</f>
        <v>105000</v>
      </c>
      <c r="D69" s="107"/>
      <c r="E69" s="90">
        <f>(E24/E17)*3</f>
        <v>234000</v>
      </c>
      <c r="F69" s="90">
        <f t="shared" ref="F69:I69" si="22">(F24/F17)*3</f>
        <v>936000</v>
      </c>
      <c r="G69" s="90">
        <f t="shared" si="22"/>
        <v>225000</v>
      </c>
      <c r="H69" s="90">
        <f t="shared" si="22"/>
        <v>225000</v>
      </c>
      <c r="I69" s="90">
        <f t="shared" si="22"/>
        <v>330000</v>
      </c>
      <c r="J69" s="101">
        <f>(J24/K17)*3</f>
        <v>54000</v>
      </c>
      <c r="K69" s="101"/>
      <c r="L69" s="90" t="s">
        <v>48</v>
      </c>
      <c r="M69" s="23"/>
    </row>
    <row r="70" spans="1:13" s="11" customFormat="1" ht="16.5" x14ac:dyDescent="0.3">
      <c r="A70" s="23" t="s">
        <v>32</v>
      </c>
      <c r="B70" s="90">
        <f>(B25/B19)*3</f>
        <v>82370.578560784852</v>
      </c>
      <c r="C70" s="107">
        <f>(C25/D19)*3</f>
        <v>76162.643803060782</v>
      </c>
      <c r="D70" s="107"/>
      <c r="E70" s="90">
        <f>(E25/E19)*3</f>
        <v>309163.83756974584</v>
      </c>
      <c r="F70" s="90">
        <f t="shared" ref="F70:I70" si="23">(F25/F19)*3</f>
        <v>236833.33333333331</v>
      </c>
      <c r="G70" s="90">
        <f t="shared" si="23"/>
        <v>232991.00391134288</v>
      </c>
      <c r="H70" s="90">
        <f t="shared" si="23"/>
        <v>177641.9984855949</v>
      </c>
      <c r="I70" s="90">
        <f t="shared" si="23"/>
        <v>387740.48274223437</v>
      </c>
      <c r="J70" s="101">
        <f>(J25/K19)*3</f>
        <v>15292.683319010721</v>
      </c>
      <c r="K70" s="101"/>
      <c r="L70" s="90" t="s">
        <v>48</v>
      </c>
      <c r="M70" s="23"/>
    </row>
    <row r="71" spans="1:13" s="11" customFormat="1" ht="16.5" x14ac:dyDescent="0.3">
      <c r="A71" s="23" t="s">
        <v>26</v>
      </c>
      <c r="B71" s="92" t="s">
        <v>56</v>
      </c>
      <c r="C71" s="102">
        <f>(C70/C69)*D53</f>
        <v>74.982186973341314</v>
      </c>
      <c r="D71" s="102"/>
      <c r="E71" s="90">
        <f>(E70/E69)*E53</f>
        <v>92.085137369123302</v>
      </c>
      <c r="F71" s="90">
        <f t="shared" ref="F71:I71" si="24">(F70/F69)*F53</f>
        <v>20.577597311760861</v>
      </c>
      <c r="G71" s="90">
        <f t="shared" si="24"/>
        <v>104.19050471472688</v>
      </c>
      <c r="H71" s="90">
        <f t="shared" si="24"/>
        <v>85.644071580924759</v>
      </c>
      <c r="I71" s="90">
        <f t="shared" si="24"/>
        <v>107.47222856183841</v>
      </c>
      <c r="J71" s="101">
        <f>(J70/J69)*K53</f>
        <v>44.046505782850474</v>
      </c>
      <c r="K71" s="101"/>
      <c r="L71" s="90" t="s">
        <v>48</v>
      </c>
      <c r="M71" s="23"/>
    </row>
    <row r="72" spans="1:13" s="11" customFormat="1" ht="16.5" x14ac:dyDescent="0.3">
      <c r="A72" s="23" t="s">
        <v>33</v>
      </c>
      <c r="B72" s="90">
        <f>B24/B17</f>
        <v>45350.225513695499</v>
      </c>
      <c r="C72" s="102">
        <f>C24/D17</f>
        <v>35000</v>
      </c>
      <c r="D72" s="102"/>
      <c r="E72" s="90">
        <f>E24/E17</f>
        <v>78000</v>
      </c>
      <c r="F72" s="90">
        <f>F24/F17</f>
        <v>312000</v>
      </c>
      <c r="G72" s="90">
        <f t="shared" ref="G72:I72" si="25">G24/G17</f>
        <v>75000</v>
      </c>
      <c r="H72" s="90">
        <f t="shared" si="25"/>
        <v>75000</v>
      </c>
      <c r="I72" s="90">
        <f t="shared" si="25"/>
        <v>110000</v>
      </c>
      <c r="J72" s="101">
        <f>J24/K17</f>
        <v>18000</v>
      </c>
      <c r="K72" s="101"/>
      <c r="L72" s="90" t="s">
        <v>48</v>
      </c>
      <c r="M72" s="23"/>
    </row>
    <row r="73" spans="1:13" s="11" customFormat="1" ht="16.5" x14ac:dyDescent="0.3">
      <c r="A73" s="23" t="s">
        <v>34</v>
      </c>
      <c r="B73" s="90">
        <f>B25/B19</f>
        <v>27456.859520261616</v>
      </c>
      <c r="C73" s="102">
        <f>C25/D19</f>
        <v>25387.547934353595</v>
      </c>
      <c r="D73" s="102"/>
      <c r="E73" s="90">
        <f>E25/E19</f>
        <v>103054.61252324861</v>
      </c>
      <c r="F73" s="90">
        <f>F25/F19</f>
        <v>78944.444444444438</v>
      </c>
      <c r="G73" s="90">
        <f t="shared" ref="G73:I73" si="26">G25/G19</f>
        <v>77663.667970447626</v>
      </c>
      <c r="H73" s="90">
        <f t="shared" si="26"/>
        <v>59213.999495198303</v>
      </c>
      <c r="I73" s="90">
        <f t="shared" si="26"/>
        <v>129246.82758074478</v>
      </c>
      <c r="J73" s="101">
        <f>J25/K19</f>
        <v>5097.561106336907</v>
      </c>
      <c r="K73" s="101"/>
      <c r="L73" s="90" t="s">
        <v>48</v>
      </c>
      <c r="M73" s="23"/>
    </row>
    <row r="74" spans="1:13" s="11" customFormat="1" ht="16.5" x14ac:dyDescent="0.3">
      <c r="A74" s="23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23"/>
    </row>
    <row r="75" spans="1:13" s="11" customFormat="1" ht="17.25" x14ac:dyDescent="0.35">
      <c r="A75" s="27" t="s">
        <v>27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23"/>
    </row>
    <row r="76" spans="1:13" s="11" customFormat="1" ht="16.5" x14ac:dyDescent="0.3">
      <c r="A76" s="23" t="s">
        <v>28</v>
      </c>
      <c r="B76" s="90">
        <f>(B31/B30)*100</f>
        <v>95.140576734522696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23"/>
    </row>
    <row r="77" spans="1:13" s="11" customFormat="1" ht="16.5" x14ac:dyDescent="0.3">
      <c r="A77" s="23" t="s">
        <v>29</v>
      </c>
      <c r="B77" s="90">
        <f>(B25/B31)*100</f>
        <v>90.348690877960166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23"/>
    </row>
    <row r="78" spans="1:13" s="11" customFormat="1" ht="17.25" thickBot="1" x14ac:dyDescent="0.35">
      <c r="A78" s="36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</row>
    <row r="79" spans="1:13" s="11" customFormat="1" ht="17.25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  <c r="M79" s="23"/>
    </row>
    <row r="80" spans="1:13" s="11" customFormat="1" ht="31.5" customHeight="1" x14ac:dyDescent="0.3">
      <c r="A80" s="103" t="s">
        <v>96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23"/>
    </row>
    <row r="81" spans="1:13" s="11" customFormat="1" ht="34.5" customHeight="1" x14ac:dyDescent="0.25">
      <c r="A81" s="98" t="s">
        <v>95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</row>
    <row r="82" spans="1:13" s="11" customFormat="1" ht="16.5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spans="1:13" s="11" customFormat="1" ht="16.5" x14ac:dyDescent="0.3">
      <c r="A83" s="38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1:13" ht="16.5" x14ac:dyDescent="0.3">
      <c r="A84" s="38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6.5" x14ac:dyDescent="0.3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6.5" x14ac:dyDescent="0.3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6.5" x14ac:dyDescent="0.3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6.5" x14ac:dyDescent="0.3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6.5" x14ac:dyDescent="0.3">
      <c r="A89" s="39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6.5" x14ac:dyDescent="0.3">
      <c r="A90" s="39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6.5" x14ac:dyDescent="0.3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6.5" x14ac:dyDescent="0.3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6.5" x14ac:dyDescent="0.3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6.5" x14ac:dyDescent="0.3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6.5" x14ac:dyDescent="0.3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6.5" x14ac:dyDescent="0.3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6.5" x14ac:dyDescent="0.3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6.5" x14ac:dyDescent="0.3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6.5" x14ac:dyDescent="0.3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6.5" x14ac:dyDescent="0.3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6.5" x14ac:dyDescent="0.3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6.5" x14ac:dyDescent="0.3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6.5" x14ac:dyDescent="0.3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6.5" x14ac:dyDescent="0.3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6.5" x14ac:dyDescent="0.3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63" spans="3:7" x14ac:dyDescent="0.25">
      <c r="C163" s="11"/>
      <c r="D163" s="11"/>
      <c r="E163" s="11"/>
      <c r="F163" s="11"/>
      <c r="G163" s="11"/>
    </row>
    <row r="164" spans="3:7" x14ac:dyDescent="0.25">
      <c r="C164" s="12"/>
    </row>
    <row r="165" spans="3:7" x14ac:dyDescent="0.25">
      <c r="C165" s="12"/>
    </row>
  </sheetData>
  <mergeCells count="57">
    <mergeCell ref="A9:A10"/>
    <mergeCell ref="B9:B10"/>
    <mergeCell ref="C27:D27"/>
    <mergeCell ref="C36:D36"/>
    <mergeCell ref="C39:D39"/>
    <mergeCell ref="C10:D10"/>
    <mergeCell ref="C24:D24"/>
    <mergeCell ref="C25:D25"/>
    <mergeCell ref="C26:D26"/>
    <mergeCell ref="C23:D23"/>
    <mergeCell ref="C9:L9"/>
    <mergeCell ref="J10:K10"/>
    <mergeCell ref="C40:D40"/>
    <mergeCell ref="C58:D58"/>
    <mergeCell ref="C64:D64"/>
    <mergeCell ref="C65:D65"/>
    <mergeCell ref="C73:D73"/>
    <mergeCell ref="C72:D72"/>
    <mergeCell ref="C69:D69"/>
    <mergeCell ref="C41:D41"/>
    <mergeCell ref="C42:D42"/>
    <mergeCell ref="C47:D47"/>
    <mergeCell ref="C56:D56"/>
    <mergeCell ref="C71:D71"/>
    <mergeCell ref="C48:D48"/>
    <mergeCell ref="A80:L80"/>
    <mergeCell ref="J23:K23"/>
    <mergeCell ref="J24:K24"/>
    <mergeCell ref="J25:K25"/>
    <mergeCell ref="J26:K26"/>
    <mergeCell ref="J70:K70"/>
    <mergeCell ref="J71:K71"/>
    <mergeCell ref="J72:K72"/>
    <mergeCell ref="J73:K73"/>
    <mergeCell ref="J27:K27"/>
    <mergeCell ref="A79:F79"/>
    <mergeCell ref="C70:D70"/>
    <mergeCell ref="C66:D66"/>
    <mergeCell ref="C61:D61"/>
    <mergeCell ref="C52:D52"/>
    <mergeCell ref="C57:D57"/>
    <mergeCell ref="A81:M81"/>
    <mergeCell ref="J39:K39"/>
    <mergeCell ref="J40:K40"/>
    <mergeCell ref="J41:K41"/>
    <mergeCell ref="J42:K42"/>
    <mergeCell ref="J47:K47"/>
    <mergeCell ref="J48:K48"/>
    <mergeCell ref="J52:K52"/>
    <mergeCell ref="J56:K56"/>
    <mergeCell ref="J57:K57"/>
    <mergeCell ref="J58:K58"/>
    <mergeCell ref="J61:K61"/>
    <mergeCell ref="J64:K64"/>
    <mergeCell ref="J65:K65"/>
    <mergeCell ref="J66:K66"/>
    <mergeCell ref="J69:K69"/>
  </mergeCells>
  <pageMargins left="0.7" right="0.7" top="0.75" bottom="0.75" header="0.3" footer="0.3"/>
  <pageSetup orientation="portrait" r:id="rId1"/>
  <ignoredErrors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13" customWidth="1"/>
    <col min="2" max="12" width="18.7109375" style="13" customWidth="1"/>
    <col min="13" max="13" width="15.7109375" style="13" customWidth="1"/>
    <col min="14" max="16384" width="11.42578125" style="13"/>
  </cols>
  <sheetData>
    <row r="8" spans="1:12" ht="17.25" customHeight="1" x14ac:dyDescent="0.25"/>
    <row r="9" spans="1:12" s="5" customFormat="1" ht="17.25" x14ac:dyDescent="0.35">
      <c r="A9" s="108" t="s">
        <v>0</v>
      </c>
      <c r="B9" s="110" t="s">
        <v>58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</row>
    <row r="10" spans="1:12" s="5" customFormat="1" ht="51.75" customHeight="1" thickBot="1" x14ac:dyDescent="0.3">
      <c r="A10" s="109"/>
      <c r="B10" s="111"/>
      <c r="C10" s="112" t="s">
        <v>1</v>
      </c>
      <c r="D10" s="112"/>
      <c r="E10" s="24" t="s">
        <v>44</v>
      </c>
      <c r="F10" s="24" t="s">
        <v>45</v>
      </c>
      <c r="G10" s="25" t="s">
        <v>46</v>
      </c>
      <c r="H10" s="25" t="s">
        <v>53</v>
      </c>
      <c r="I10" s="24" t="s">
        <v>60</v>
      </c>
      <c r="J10" s="114" t="s">
        <v>73</v>
      </c>
      <c r="K10" s="114"/>
      <c r="L10" s="24" t="s">
        <v>54</v>
      </c>
    </row>
    <row r="11" spans="1:12" s="14" customFormat="1" ht="17.25" thickTop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s="14" customFormat="1" ht="17.25" x14ac:dyDescent="0.35">
      <c r="A12" s="27" t="s">
        <v>2</v>
      </c>
      <c r="B12" s="41"/>
      <c r="C12" s="41"/>
      <c r="D12" s="42"/>
      <c r="E12" s="42"/>
      <c r="F12" s="41"/>
      <c r="G12" s="41"/>
      <c r="H12" s="41"/>
      <c r="I12" s="41"/>
      <c r="J12" s="41"/>
      <c r="K12" s="41"/>
      <c r="L12" s="41"/>
    </row>
    <row r="13" spans="1:12" s="14" customFormat="1" ht="16.5" x14ac:dyDescent="0.3">
      <c r="A13" s="23"/>
      <c r="B13" s="41"/>
      <c r="C13" s="41"/>
      <c r="D13" s="42"/>
      <c r="E13" s="42"/>
      <c r="F13" s="41"/>
      <c r="G13" s="41"/>
      <c r="H13" s="41"/>
      <c r="I13" s="41"/>
      <c r="J13" s="41"/>
      <c r="K13" s="41"/>
      <c r="L13" s="41"/>
    </row>
    <row r="14" spans="1:12" s="14" customFormat="1" ht="17.25" x14ac:dyDescent="0.35">
      <c r="A14" s="27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</row>
    <row r="15" spans="1:12" s="20" customFormat="1" ht="16.5" x14ac:dyDescent="0.3">
      <c r="A15" s="30" t="s">
        <v>65</v>
      </c>
      <c r="B15" s="93">
        <v>187093</v>
      </c>
      <c r="C15" s="93">
        <v>139071</v>
      </c>
      <c r="D15" s="93">
        <v>178334</v>
      </c>
      <c r="E15" s="93">
        <v>1271</v>
      </c>
      <c r="F15" s="93">
        <v>127</v>
      </c>
      <c r="G15" s="93">
        <v>9194</v>
      </c>
      <c r="H15" s="93">
        <v>61208</v>
      </c>
      <c r="I15" s="93">
        <v>22294</v>
      </c>
      <c r="J15" s="93" t="s">
        <v>48</v>
      </c>
      <c r="K15" s="93" t="s">
        <v>48</v>
      </c>
      <c r="L15" s="93" t="s">
        <v>48</v>
      </c>
    </row>
    <row r="16" spans="1:12" s="20" customFormat="1" ht="16.5" x14ac:dyDescent="0.3">
      <c r="A16" s="30" t="s">
        <v>97</v>
      </c>
      <c r="B16" s="94" t="s">
        <v>49</v>
      </c>
      <c r="C16" s="94" t="s">
        <v>49</v>
      </c>
      <c r="D16" s="94">
        <v>126105</v>
      </c>
      <c r="E16" s="94">
        <v>1894</v>
      </c>
      <c r="F16" s="94">
        <v>204</v>
      </c>
      <c r="G16" s="94">
        <v>7975</v>
      </c>
      <c r="H16" s="94">
        <v>156756</v>
      </c>
      <c r="I16" s="94">
        <v>26335</v>
      </c>
      <c r="J16" s="93" t="s">
        <v>56</v>
      </c>
      <c r="K16" s="93">
        <v>80890</v>
      </c>
      <c r="L16" s="93" t="s">
        <v>48</v>
      </c>
    </row>
    <row r="17" spans="1:13" s="20" customFormat="1" ht="16.5" x14ac:dyDescent="0.3">
      <c r="A17" s="30" t="s">
        <v>55</v>
      </c>
      <c r="B17" s="94">
        <f>+D17+E17+F17+G17+H17+I17+K17</f>
        <v>999695.91264</v>
      </c>
      <c r="C17" s="94" t="s">
        <v>49</v>
      </c>
      <c r="D17" s="94">
        <v>375640</v>
      </c>
      <c r="E17" s="94">
        <v>5682</v>
      </c>
      <c r="F17" s="94">
        <v>456</v>
      </c>
      <c r="G17" s="94">
        <v>23924</v>
      </c>
      <c r="H17" s="94">
        <v>272318.91264</v>
      </c>
      <c r="I17" s="94">
        <v>79005</v>
      </c>
      <c r="J17" s="93" t="s">
        <v>56</v>
      </c>
      <c r="K17" s="93">
        <v>242670</v>
      </c>
      <c r="L17" s="93" t="s">
        <v>48</v>
      </c>
    </row>
    <row r="18" spans="1:13" s="20" customFormat="1" ht="16.5" x14ac:dyDescent="0.3">
      <c r="A18" s="30" t="s">
        <v>98</v>
      </c>
      <c r="B18" s="93">
        <v>321068</v>
      </c>
      <c r="C18" s="93">
        <v>127284</v>
      </c>
      <c r="D18" s="93">
        <v>157660</v>
      </c>
      <c r="E18" s="93">
        <v>1300</v>
      </c>
      <c r="F18" s="93">
        <v>101</v>
      </c>
      <c r="G18" s="93">
        <v>8101</v>
      </c>
      <c r="H18" s="93">
        <v>137855</v>
      </c>
      <c r="I18" s="93">
        <v>21665</v>
      </c>
      <c r="J18" s="93">
        <v>153952</v>
      </c>
      <c r="K18" s="93">
        <v>197571</v>
      </c>
      <c r="L18" s="93" t="s">
        <v>48</v>
      </c>
    </row>
    <row r="19" spans="1:13" s="20" customFormat="1" ht="16.5" x14ac:dyDescent="0.3">
      <c r="A19" s="30" t="s">
        <v>55</v>
      </c>
      <c r="B19" s="93">
        <f>+D19+E19+F19+G19+H19+I19+K19</f>
        <v>1436369</v>
      </c>
      <c r="C19" s="93" t="s">
        <v>49</v>
      </c>
      <c r="D19" s="93">
        <v>452478</v>
      </c>
      <c r="E19" s="93">
        <v>3713</v>
      </c>
      <c r="F19" s="93">
        <v>261</v>
      </c>
      <c r="G19" s="93">
        <v>23756</v>
      </c>
      <c r="H19" s="93">
        <v>313880</v>
      </c>
      <c r="I19" s="93">
        <v>63039</v>
      </c>
      <c r="J19" s="93" t="s">
        <v>56</v>
      </c>
      <c r="K19" s="93">
        <v>579242</v>
      </c>
      <c r="L19" s="93" t="s">
        <v>48</v>
      </c>
    </row>
    <row r="20" spans="1:13" s="20" customFormat="1" ht="16.5" x14ac:dyDescent="0.3">
      <c r="A20" s="30" t="s">
        <v>90</v>
      </c>
      <c r="B20" s="94" t="s">
        <v>49</v>
      </c>
      <c r="C20" s="94" t="s">
        <v>49</v>
      </c>
      <c r="D20" s="94">
        <v>136153</v>
      </c>
      <c r="E20" s="94">
        <v>1894</v>
      </c>
      <c r="F20" s="94">
        <v>207</v>
      </c>
      <c r="G20" s="94">
        <v>8036</v>
      </c>
      <c r="H20" s="94">
        <v>174350</v>
      </c>
      <c r="I20" s="93">
        <v>26335</v>
      </c>
      <c r="J20" s="93" t="s">
        <v>56</v>
      </c>
      <c r="K20" s="93">
        <v>80890</v>
      </c>
      <c r="L20" s="93" t="s">
        <v>48</v>
      </c>
    </row>
    <row r="21" spans="1:13" s="20" customFormat="1" ht="16.5" x14ac:dyDescent="0.3">
      <c r="A21" s="2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3" s="20" customFormat="1" ht="17.25" x14ac:dyDescent="0.35">
      <c r="A22" s="32" t="s">
        <v>3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3" s="20" customFormat="1" ht="16.5" x14ac:dyDescent="0.3">
      <c r="A23" s="30" t="s">
        <v>65</v>
      </c>
      <c r="B23" s="93">
        <f>+C23+E23+F23+G23+H23+I23+L23</f>
        <v>35697353355.129997</v>
      </c>
      <c r="C23" s="116">
        <v>13803330000</v>
      </c>
      <c r="D23" s="116"/>
      <c r="E23" s="93">
        <v>277020000</v>
      </c>
      <c r="F23" s="93">
        <v>72059000</v>
      </c>
      <c r="G23" s="93">
        <v>2051608062</v>
      </c>
      <c r="H23" s="93">
        <v>11465404234.999998</v>
      </c>
      <c r="I23" s="93">
        <v>8012672331</v>
      </c>
      <c r="J23" s="116" t="s">
        <v>48</v>
      </c>
      <c r="K23" s="116"/>
      <c r="L23" s="93">
        <v>15259727.130000001</v>
      </c>
      <c r="M23" s="21"/>
    </row>
    <row r="24" spans="1:13" s="20" customFormat="1" ht="16.5" x14ac:dyDescent="0.3">
      <c r="A24" s="30" t="s">
        <v>97</v>
      </c>
      <c r="B24" s="93">
        <f>+C24+E24+F24+G24+H24+I24+J24</f>
        <v>49009696448</v>
      </c>
      <c r="C24" s="116">
        <v>13147400000</v>
      </c>
      <c r="D24" s="116"/>
      <c r="E24" s="93">
        <v>443196000</v>
      </c>
      <c r="F24" s="93">
        <v>142272000</v>
      </c>
      <c r="G24" s="93">
        <v>1794300000</v>
      </c>
      <c r="H24" s="93">
        <v>20423918448</v>
      </c>
      <c r="I24" s="93">
        <v>8690550000</v>
      </c>
      <c r="J24" s="116">
        <v>4368060000</v>
      </c>
      <c r="K24" s="116"/>
      <c r="L24" s="93" t="s">
        <v>49</v>
      </c>
      <c r="M24" s="21"/>
    </row>
    <row r="25" spans="1:13" s="20" customFormat="1" ht="16.5" x14ac:dyDescent="0.3">
      <c r="A25" s="30" t="s">
        <v>98</v>
      </c>
      <c r="B25" s="93">
        <f>+C25+E25+F25+G25+H25+I25+J25</f>
        <v>45690877541.050003</v>
      </c>
      <c r="C25" s="116">
        <v>11863668000</v>
      </c>
      <c r="D25" s="116"/>
      <c r="E25" s="93">
        <v>394757270</v>
      </c>
      <c r="F25" s="93">
        <v>78057800</v>
      </c>
      <c r="G25" s="93">
        <v>1803016292.9999995</v>
      </c>
      <c r="H25" s="93">
        <v>20528848126.049999</v>
      </c>
      <c r="I25" s="93">
        <v>8122639052.0000038</v>
      </c>
      <c r="J25" s="116">
        <v>2899891000</v>
      </c>
      <c r="K25" s="116"/>
      <c r="L25" s="93" t="s">
        <v>49</v>
      </c>
      <c r="M25" s="21"/>
    </row>
    <row r="26" spans="1:13" s="20" customFormat="1" ht="16.5" x14ac:dyDescent="0.3">
      <c r="A26" s="30" t="s">
        <v>90</v>
      </c>
      <c r="B26" s="93">
        <f>+C26+E26+F26+G26+H26+I26+J26</f>
        <v>155613604488</v>
      </c>
      <c r="C26" s="115">
        <v>49999985000</v>
      </c>
      <c r="D26" s="115"/>
      <c r="E26" s="93">
        <v>1624818000</v>
      </c>
      <c r="F26" s="93">
        <v>569999040</v>
      </c>
      <c r="G26" s="93">
        <v>7204500000</v>
      </c>
      <c r="H26" s="93">
        <v>54200168448</v>
      </c>
      <c r="I26" s="93">
        <v>25997950000</v>
      </c>
      <c r="J26" s="115">
        <v>16016184000</v>
      </c>
      <c r="K26" s="115"/>
      <c r="L26" s="93" t="s">
        <v>49</v>
      </c>
      <c r="M26" s="21"/>
    </row>
    <row r="27" spans="1:13" s="20" customFormat="1" ht="16.5" x14ac:dyDescent="0.3">
      <c r="A27" s="30" t="s">
        <v>99</v>
      </c>
      <c r="B27" s="93">
        <f>+C27+E27+F27+G27+H27+I27+J27</f>
        <v>45690877541.050003</v>
      </c>
      <c r="C27" s="116">
        <f>C25</f>
        <v>11863668000</v>
      </c>
      <c r="D27" s="116"/>
      <c r="E27" s="93">
        <f>E25</f>
        <v>394757270</v>
      </c>
      <c r="F27" s="93">
        <f t="shared" ref="F27:J27" si="0">F25</f>
        <v>78057800</v>
      </c>
      <c r="G27" s="93">
        <f t="shared" si="0"/>
        <v>1803016292.9999995</v>
      </c>
      <c r="H27" s="93">
        <f t="shared" si="0"/>
        <v>20528848126.049999</v>
      </c>
      <c r="I27" s="93">
        <f t="shared" si="0"/>
        <v>8122639052.0000038</v>
      </c>
      <c r="J27" s="116">
        <f t="shared" si="0"/>
        <v>2899891000</v>
      </c>
      <c r="K27" s="116"/>
      <c r="L27" s="94" t="str">
        <f>+L25</f>
        <v>n.d</v>
      </c>
      <c r="M27" s="22"/>
    </row>
    <row r="28" spans="1:13" s="14" customFormat="1" ht="16.5" x14ac:dyDescent="0.3">
      <c r="A28" s="23"/>
      <c r="B28" s="43"/>
      <c r="C28" s="43"/>
      <c r="D28" s="43"/>
      <c r="E28" s="43"/>
      <c r="F28" s="43"/>
      <c r="G28" s="43"/>
      <c r="H28" s="43"/>
      <c r="I28" s="43"/>
      <c r="J28" s="43"/>
      <c r="K28" s="93"/>
      <c r="L28" s="93"/>
    </row>
    <row r="29" spans="1:13" s="14" customFormat="1" ht="17.25" x14ac:dyDescent="0.35">
      <c r="A29" s="32" t="s">
        <v>4</v>
      </c>
      <c r="B29" s="43"/>
      <c r="C29" s="43"/>
      <c r="D29" s="43"/>
      <c r="E29" s="43"/>
      <c r="F29" s="43"/>
      <c r="G29" s="43"/>
      <c r="H29" s="43"/>
      <c r="I29" s="43"/>
      <c r="J29" s="43"/>
      <c r="K29" s="93"/>
      <c r="L29" s="93"/>
    </row>
    <row r="30" spans="1:13" s="20" customFormat="1" ht="16.5" x14ac:dyDescent="0.3">
      <c r="A30" s="30" t="s">
        <v>97</v>
      </c>
      <c r="B30" s="93">
        <f>B24</f>
        <v>49009696448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3" s="20" customFormat="1" ht="16.5" x14ac:dyDescent="0.3">
      <c r="A31" s="30" t="s">
        <v>98</v>
      </c>
      <c r="B31" s="93">
        <v>47108182008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3" s="20" customFormat="1" ht="16.5" x14ac:dyDescent="0.3">
      <c r="A32" s="23"/>
      <c r="B32" s="44"/>
      <c r="C32" s="44"/>
      <c r="D32" s="44"/>
      <c r="E32" s="44"/>
      <c r="F32" s="44"/>
      <c r="G32" s="44"/>
      <c r="H32" s="44"/>
      <c r="I32" s="44"/>
      <c r="J32" s="44"/>
      <c r="K32" s="41"/>
      <c r="L32" s="41"/>
    </row>
    <row r="33" spans="1:12" s="14" customFormat="1" ht="17.25" x14ac:dyDescent="0.35">
      <c r="A33" s="27" t="s">
        <v>5</v>
      </c>
      <c r="B33" s="45"/>
      <c r="C33" s="45"/>
      <c r="D33" s="45"/>
      <c r="E33" s="45"/>
      <c r="F33" s="45"/>
      <c r="G33" s="45"/>
      <c r="H33" s="45"/>
      <c r="I33" s="45"/>
      <c r="J33" s="45"/>
      <c r="K33" s="41"/>
      <c r="L33" s="41"/>
    </row>
    <row r="34" spans="1:12" s="14" customFormat="1" ht="16.5" x14ac:dyDescent="0.3">
      <c r="A34" s="30" t="s">
        <v>66</v>
      </c>
      <c r="B34" s="46">
        <v>1.0552807376</v>
      </c>
      <c r="C34" s="46">
        <v>1.0552807376</v>
      </c>
      <c r="D34" s="46">
        <v>1.0552807376</v>
      </c>
      <c r="E34" s="46">
        <v>1.0552807376</v>
      </c>
      <c r="F34" s="46">
        <v>1.0552807376</v>
      </c>
      <c r="G34" s="46">
        <v>1.0552807376</v>
      </c>
      <c r="H34" s="46">
        <v>1.0552807376</v>
      </c>
      <c r="I34" s="46">
        <v>1.0552807376</v>
      </c>
      <c r="J34" s="46">
        <v>1.0552807376</v>
      </c>
      <c r="K34" s="46">
        <v>1.0552807376</v>
      </c>
      <c r="L34" s="46">
        <v>1.0552807376</v>
      </c>
    </row>
    <row r="35" spans="1:12" s="14" customFormat="1" ht="16.5" x14ac:dyDescent="0.3">
      <c r="A35" s="30" t="s">
        <v>100</v>
      </c>
      <c r="B35" s="46">
        <v>1.0586</v>
      </c>
      <c r="C35" s="46">
        <v>1.0586</v>
      </c>
      <c r="D35" s="46">
        <v>1.0586</v>
      </c>
      <c r="E35" s="46">
        <v>1.0586</v>
      </c>
      <c r="F35" s="46">
        <v>1.0586</v>
      </c>
      <c r="G35" s="46">
        <v>1.0586</v>
      </c>
      <c r="H35" s="46">
        <v>1.0586</v>
      </c>
      <c r="I35" s="46">
        <v>1.0586</v>
      </c>
      <c r="J35" s="46">
        <v>1.0586</v>
      </c>
      <c r="K35" s="46">
        <v>1.0586</v>
      </c>
      <c r="L35" s="46">
        <v>1.0586</v>
      </c>
    </row>
    <row r="36" spans="1:12" s="20" customFormat="1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</row>
    <row r="37" spans="1:12" ht="16.5" x14ac:dyDescent="0.3">
      <c r="A37" s="23"/>
      <c r="B37" s="48"/>
      <c r="C37" s="48"/>
      <c r="D37" s="48"/>
      <c r="E37" s="48"/>
      <c r="F37" s="49"/>
      <c r="G37" s="49"/>
      <c r="H37" s="49"/>
      <c r="I37" s="49"/>
      <c r="J37" s="49"/>
      <c r="K37" s="126"/>
      <c r="L37" s="126"/>
    </row>
    <row r="38" spans="1:12" s="14" customFormat="1" ht="17.25" x14ac:dyDescent="0.35">
      <c r="A38" s="27" t="s">
        <v>7</v>
      </c>
      <c r="B38" s="48"/>
      <c r="C38" s="48"/>
      <c r="D38" s="48"/>
      <c r="E38" s="48"/>
      <c r="F38" s="48"/>
      <c r="G38" s="48"/>
      <c r="H38" s="48"/>
      <c r="I38" s="48"/>
      <c r="J38" s="48"/>
      <c r="K38" s="54"/>
      <c r="L38" s="54"/>
    </row>
    <row r="39" spans="1:12" s="20" customFormat="1" ht="16.5" x14ac:dyDescent="0.3">
      <c r="A39" s="23" t="s">
        <v>67</v>
      </c>
      <c r="B39" s="88">
        <f>B23/B34</f>
        <v>33827352365.320004</v>
      </c>
      <c r="C39" s="99">
        <f>C23/C34</f>
        <v>13080244439.401583</v>
      </c>
      <c r="D39" s="99"/>
      <c r="E39" s="88">
        <f>E23/E34</f>
        <v>262508345.05898404</v>
      </c>
      <c r="F39" s="88">
        <f t="shared" ref="F39:I39" si="1">F23/F34</f>
        <v>68284199.106942937</v>
      </c>
      <c r="G39" s="88">
        <f t="shared" si="1"/>
        <v>1944134853.3148854</v>
      </c>
      <c r="H39" s="88">
        <f t="shared" si="1"/>
        <v>10864790596.932051</v>
      </c>
      <c r="I39" s="88">
        <f t="shared" si="1"/>
        <v>7592929583.1013002</v>
      </c>
      <c r="J39" s="99" t="s">
        <v>48</v>
      </c>
      <c r="K39" s="99"/>
      <c r="L39" s="88">
        <f t="shared" ref="L39" si="2">L23/L34</f>
        <v>14460348.404259551</v>
      </c>
    </row>
    <row r="40" spans="1:12" s="20" customFormat="1" ht="16.5" x14ac:dyDescent="0.3">
      <c r="A40" s="23" t="s">
        <v>101</v>
      </c>
      <c r="B40" s="88">
        <f>B25/B35</f>
        <v>43161607350.321182</v>
      </c>
      <c r="C40" s="99">
        <f>C25/C35</f>
        <v>11206941243.151333</v>
      </c>
      <c r="D40" s="99"/>
      <c r="E40" s="88">
        <f>E25/E35</f>
        <v>372905034.95182317</v>
      </c>
      <c r="F40" s="88">
        <f t="shared" ref="F40:J40" si="3">F25/F35</f>
        <v>73736822.218023807</v>
      </c>
      <c r="G40" s="88">
        <f t="shared" si="3"/>
        <v>1703208287.3606646</v>
      </c>
      <c r="H40" s="88">
        <f t="shared" si="3"/>
        <v>19392450525.269222</v>
      </c>
      <c r="I40" s="88">
        <f t="shared" si="3"/>
        <v>7673001182.694128</v>
      </c>
      <c r="J40" s="99">
        <f t="shared" si="3"/>
        <v>2739364254.6759872</v>
      </c>
      <c r="K40" s="99"/>
      <c r="L40" s="88" t="s">
        <v>48</v>
      </c>
    </row>
    <row r="41" spans="1:12" s="20" customFormat="1" ht="16.5" x14ac:dyDescent="0.3">
      <c r="A41" s="23" t="s">
        <v>68</v>
      </c>
      <c r="B41" s="88">
        <f>B39/B15</f>
        <v>180805.01336404891</v>
      </c>
      <c r="C41" s="99">
        <f>C39/D15</f>
        <v>73346.890886771915</v>
      </c>
      <c r="D41" s="99"/>
      <c r="E41" s="88">
        <f>E39/E15</f>
        <v>206536.85685207241</v>
      </c>
      <c r="F41" s="88">
        <f t="shared" ref="F41:I41" si="4">F39/F15</f>
        <v>537670.85910978692</v>
      </c>
      <c r="G41" s="88">
        <f t="shared" si="4"/>
        <v>211456.91247714654</v>
      </c>
      <c r="H41" s="88">
        <f t="shared" si="4"/>
        <v>177506.05471395978</v>
      </c>
      <c r="I41" s="88">
        <f t="shared" si="4"/>
        <v>340581.75218001707</v>
      </c>
      <c r="J41" s="99" t="s">
        <v>48</v>
      </c>
      <c r="K41" s="99"/>
      <c r="L41" s="88" t="s">
        <v>48</v>
      </c>
    </row>
    <row r="42" spans="1:12" s="20" customFormat="1" ht="16.5" x14ac:dyDescent="0.3">
      <c r="A42" s="23" t="s">
        <v>102</v>
      </c>
      <c r="B42" s="88">
        <f>B40/B18</f>
        <v>134431.35831138943</v>
      </c>
      <c r="C42" s="99">
        <f>C40/D18</f>
        <v>71082.97122384455</v>
      </c>
      <c r="D42" s="99"/>
      <c r="E42" s="88">
        <f>E40/E18</f>
        <v>286850.02688601782</v>
      </c>
      <c r="F42" s="88">
        <f t="shared" ref="F42:I42" si="5">F40/F18</f>
        <v>730067.54671310703</v>
      </c>
      <c r="G42" s="88">
        <f t="shared" si="5"/>
        <v>210246.67168999687</v>
      </c>
      <c r="H42" s="88">
        <f t="shared" si="5"/>
        <v>140672.81219592487</v>
      </c>
      <c r="I42" s="88">
        <f t="shared" si="5"/>
        <v>354165.75964431703</v>
      </c>
      <c r="J42" s="99">
        <f>J40/K18</f>
        <v>13865.214301066388</v>
      </c>
      <c r="K42" s="99"/>
      <c r="L42" s="88" t="s">
        <v>48</v>
      </c>
    </row>
    <row r="43" spans="1:12" s="20" customFormat="1" ht="16.5" x14ac:dyDescent="0.3">
      <c r="A43" s="23"/>
      <c r="B43" s="35"/>
      <c r="C43" s="35"/>
      <c r="D43" s="35"/>
      <c r="E43" s="35"/>
      <c r="F43" s="35"/>
      <c r="G43" s="35"/>
      <c r="H43" s="35"/>
      <c r="I43" s="35"/>
      <c r="J43" s="35"/>
      <c r="K43" s="23"/>
      <c r="L43" s="23"/>
    </row>
    <row r="44" spans="1:12" s="20" customFormat="1" ht="17.25" x14ac:dyDescent="0.35">
      <c r="A44" s="27" t="s">
        <v>8</v>
      </c>
      <c r="B44" s="35"/>
      <c r="C44" s="35"/>
      <c r="D44" s="35"/>
      <c r="E44" s="35"/>
      <c r="F44" s="35"/>
      <c r="G44" s="35"/>
      <c r="H44" s="35"/>
      <c r="I44" s="35"/>
      <c r="J44" s="35"/>
      <c r="K44" s="23"/>
      <c r="L44" s="23"/>
    </row>
    <row r="45" spans="1:12" s="20" customFormat="1" ht="16.5" x14ac:dyDescent="0.3">
      <c r="A45" s="23"/>
      <c r="B45" s="35"/>
      <c r="C45" s="35"/>
      <c r="D45" s="35"/>
      <c r="E45" s="35"/>
      <c r="F45" s="35"/>
      <c r="G45" s="35"/>
      <c r="H45" s="35"/>
      <c r="I45" s="35"/>
      <c r="J45" s="35"/>
      <c r="K45" s="23"/>
      <c r="L45" s="23"/>
    </row>
    <row r="46" spans="1:12" s="20" customFormat="1" ht="17.25" x14ac:dyDescent="0.35">
      <c r="A46" s="27" t="s">
        <v>9</v>
      </c>
      <c r="B46" s="35"/>
      <c r="C46" s="35"/>
      <c r="D46" s="35"/>
      <c r="E46" s="35"/>
      <c r="F46" s="35"/>
      <c r="G46" s="35"/>
      <c r="H46" s="35"/>
      <c r="I46" s="35"/>
      <c r="J46" s="35"/>
      <c r="K46" s="23"/>
      <c r="L46" s="23"/>
    </row>
    <row r="47" spans="1:12" s="20" customFormat="1" ht="16.5" x14ac:dyDescent="0.3">
      <c r="A47" s="23" t="s">
        <v>10</v>
      </c>
      <c r="B47" s="92" t="s">
        <v>56</v>
      </c>
      <c r="C47" s="102">
        <f>(D16/C36)*100</f>
        <v>73.776677899466449</v>
      </c>
      <c r="D47" s="102"/>
      <c r="E47" s="90">
        <f>(E16/E36)*100</f>
        <v>1.3439391466625037</v>
      </c>
      <c r="F47" s="90" t="s">
        <v>48</v>
      </c>
      <c r="G47" s="90">
        <f t="shared" ref="G47" si="6">(G16/G36)*100</f>
        <v>8.6180812206877171</v>
      </c>
      <c r="H47" s="92" t="s">
        <v>48</v>
      </c>
      <c r="I47" s="92" t="s">
        <v>48</v>
      </c>
      <c r="J47" s="102" t="s">
        <v>56</v>
      </c>
      <c r="K47" s="102"/>
      <c r="L47" s="90" t="s">
        <v>48</v>
      </c>
    </row>
    <row r="48" spans="1:12" s="20" customFormat="1" ht="16.5" x14ac:dyDescent="0.3">
      <c r="A48" s="23" t="s">
        <v>11</v>
      </c>
      <c r="B48" s="90">
        <f>(B18/B36)*100</f>
        <v>83.5459704762673</v>
      </c>
      <c r="C48" s="102">
        <f>(D18/C36)*100</f>
        <v>92.237667321913321</v>
      </c>
      <c r="D48" s="102"/>
      <c r="E48" s="90">
        <f>(E18/E36)*100</f>
        <v>0.92245031185916315</v>
      </c>
      <c r="F48" s="90" t="s">
        <v>48</v>
      </c>
      <c r="G48" s="90">
        <f t="shared" ref="G48" si="7">(G18/G36)*100</f>
        <v>8.754241500788865</v>
      </c>
      <c r="H48" s="92" t="s">
        <v>48</v>
      </c>
      <c r="I48" s="92" t="s">
        <v>48</v>
      </c>
      <c r="J48" s="102" t="s">
        <v>56</v>
      </c>
      <c r="K48" s="102"/>
      <c r="L48" s="90" t="s">
        <v>48</v>
      </c>
    </row>
    <row r="49" spans="1:12" s="20" customFormat="1" ht="16.5" x14ac:dyDescent="0.3">
      <c r="A49" s="2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</row>
    <row r="50" spans="1:12" s="20" customFormat="1" ht="17.25" x14ac:dyDescent="0.35">
      <c r="A50" s="27" t="s">
        <v>12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</row>
    <row r="51" spans="1:12" s="20" customFormat="1" ht="16.5" x14ac:dyDescent="0.3">
      <c r="A51" s="23" t="s">
        <v>13</v>
      </c>
      <c r="B51" s="92" t="s">
        <v>56</v>
      </c>
      <c r="C51" s="92" t="s">
        <v>56</v>
      </c>
      <c r="D51" s="90">
        <f>D18/D16*100</f>
        <v>125.02279846159948</v>
      </c>
      <c r="E51" s="90">
        <f>E18/E16*100</f>
        <v>68.637803590285102</v>
      </c>
      <c r="F51" s="90">
        <f t="shared" ref="F51:I51" si="8">F18/F16*100</f>
        <v>49.509803921568633</v>
      </c>
      <c r="G51" s="90">
        <f t="shared" si="8"/>
        <v>101.57993730407524</v>
      </c>
      <c r="H51" s="90">
        <f t="shared" si="8"/>
        <v>87.942407308173216</v>
      </c>
      <c r="I51" s="90">
        <f t="shared" si="8"/>
        <v>82.266945130055063</v>
      </c>
      <c r="J51" s="92" t="s">
        <v>56</v>
      </c>
      <c r="K51" s="90">
        <f>K18/K16*100</f>
        <v>244.24650760291752</v>
      </c>
      <c r="L51" s="90" t="s">
        <v>48</v>
      </c>
    </row>
    <row r="52" spans="1:12" s="20" customFormat="1" ht="16.5" x14ac:dyDescent="0.3">
      <c r="A52" s="23" t="s">
        <v>14</v>
      </c>
      <c r="B52" s="90">
        <f>B25/B24*100</f>
        <v>93.228240231050378</v>
      </c>
      <c r="C52" s="102">
        <f>C25/C24*100</f>
        <v>90.235848913093093</v>
      </c>
      <c r="D52" s="102"/>
      <c r="E52" s="90">
        <f>E25/E24*100</f>
        <v>89.070585023330537</v>
      </c>
      <c r="F52" s="90">
        <f t="shared" ref="F52:I52" si="9">F25/F24*100</f>
        <v>54.865187809266757</v>
      </c>
      <c r="G52" s="90">
        <f t="shared" si="9"/>
        <v>100.48577679317836</v>
      </c>
      <c r="H52" s="90">
        <f t="shared" si="9"/>
        <v>100.51375879862208</v>
      </c>
      <c r="I52" s="90">
        <f t="shared" si="9"/>
        <v>93.465189798114096</v>
      </c>
      <c r="J52" s="102">
        <f>J25/J24*100</f>
        <v>66.388534040283332</v>
      </c>
      <c r="K52" s="102"/>
      <c r="L52" s="90" t="s">
        <v>48</v>
      </c>
    </row>
    <row r="53" spans="1:12" s="20" customFormat="1" ht="16.5" x14ac:dyDescent="0.3">
      <c r="A53" s="23" t="s">
        <v>15</v>
      </c>
      <c r="B53" s="92" t="s">
        <v>56</v>
      </c>
      <c r="C53" s="92" t="s">
        <v>56</v>
      </c>
      <c r="D53" s="90">
        <f>AVERAGE(D51,C52)</f>
        <v>107.62932368734629</v>
      </c>
      <c r="E53" s="90">
        <f>AVERAGE(E51:E52)</f>
        <v>78.854194306807813</v>
      </c>
      <c r="F53" s="90">
        <f t="shared" ref="F53:I53" si="10">AVERAGE(F51:F52)</f>
        <v>52.187495865417695</v>
      </c>
      <c r="G53" s="90">
        <f t="shared" si="10"/>
        <v>101.03285704862679</v>
      </c>
      <c r="H53" s="90">
        <f t="shared" si="10"/>
        <v>94.228083053397654</v>
      </c>
      <c r="I53" s="90">
        <f t="shared" si="10"/>
        <v>87.86606746408458</v>
      </c>
      <c r="J53" s="92" t="s">
        <v>56</v>
      </c>
      <c r="K53" s="90">
        <f>+AVERAGE(K51,J52)</f>
        <v>155.31752082160043</v>
      </c>
      <c r="L53" s="90" t="s">
        <v>48</v>
      </c>
    </row>
    <row r="54" spans="1:12" s="20" customFormat="1" ht="16.5" x14ac:dyDescent="0.3">
      <c r="A54" s="23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1:12" s="20" customFormat="1" ht="17.25" x14ac:dyDescent="0.35">
      <c r="A55" s="27" t="s">
        <v>16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1:12" s="20" customFormat="1" ht="16.5" x14ac:dyDescent="0.3">
      <c r="A56" s="23" t="s">
        <v>17</v>
      </c>
      <c r="B56" s="92" t="s">
        <v>56</v>
      </c>
      <c r="C56" s="102">
        <f>D18/D20*100</f>
        <v>115.79619986338898</v>
      </c>
      <c r="D56" s="102"/>
      <c r="E56" s="90">
        <f>E18/E20*100</f>
        <v>68.637803590285102</v>
      </c>
      <c r="F56" s="90">
        <f t="shared" ref="F56:I56" si="11">F18/F20*100</f>
        <v>48.792270531400966</v>
      </c>
      <c r="G56" s="90">
        <f t="shared" si="11"/>
        <v>100.80886012941761</v>
      </c>
      <c r="H56" s="90">
        <f t="shared" si="11"/>
        <v>79.067966733581869</v>
      </c>
      <c r="I56" s="90">
        <f t="shared" si="11"/>
        <v>82.266945130055063</v>
      </c>
      <c r="J56" s="102">
        <f>K18/K20*100</f>
        <v>244.24650760291752</v>
      </c>
      <c r="K56" s="102"/>
      <c r="L56" s="90" t="s">
        <v>48</v>
      </c>
    </row>
    <row r="57" spans="1:12" s="20" customFormat="1" ht="16.5" x14ac:dyDescent="0.3">
      <c r="A57" s="23" t="s">
        <v>18</v>
      </c>
      <c r="B57" s="90">
        <f>B25/B26*100</f>
        <v>29.361750016254788</v>
      </c>
      <c r="C57" s="102">
        <f>C25/C26*100</f>
        <v>23.727343118202935</v>
      </c>
      <c r="D57" s="102"/>
      <c r="E57" s="90">
        <f>E25/E26*100</f>
        <v>24.295476170254148</v>
      </c>
      <c r="F57" s="90">
        <f t="shared" ref="F57:I57" si="12">F25/F26*100</f>
        <v>13.694373941401725</v>
      </c>
      <c r="G57" s="90">
        <f t="shared" si="12"/>
        <v>25.02625155111388</v>
      </c>
      <c r="H57" s="90">
        <f t="shared" si="12"/>
        <v>37.875985838947187</v>
      </c>
      <c r="I57" s="90">
        <f t="shared" si="12"/>
        <v>31.243382851340218</v>
      </c>
      <c r="J57" s="102">
        <f>J25/J26*100</f>
        <v>18.106004526421522</v>
      </c>
      <c r="K57" s="102"/>
      <c r="L57" s="90" t="s">
        <v>48</v>
      </c>
    </row>
    <row r="58" spans="1:12" s="20" customFormat="1" ht="16.5" x14ac:dyDescent="0.3">
      <c r="A58" s="23" t="s">
        <v>19</v>
      </c>
      <c r="B58" s="92" t="s">
        <v>56</v>
      </c>
      <c r="C58" s="102">
        <f>(C56+C57)/2</f>
        <v>69.761771490795951</v>
      </c>
      <c r="D58" s="102"/>
      <c r="E58" s="90">
        <f>(E56+E57)/2</f>
        <v>46.466639880269625</v>
      </c>
      <c r="F58" s="90">
        <f t="shared" ref="F58:I58" si="13">(F56+F57)/2</f>
        <v>31.243322236401347</v>
      </c>
      <c r="G58" s="90">
        <f t="shared" si="13"/>
        <v>62.917555840265749</v>
      </c>
      <c r="H58" s="90">
        <f t="shared" si="13"/>
        <v>58.471976286264528</v>
      </c>
      <c r="I58" s="90">
        <f t="shared" si="13"/>
        <v>56.755163990697639</v>
      </c>
      <c r="J58" s="102">
        <f>+(J56+J57)/2</f>
        <v>131.17625606466953</v>
      </c>
      <c r="K58" s="102"/>
      <c r="L58" s="90" t="s">
        <v>48</v>
      </c>
    </row>
    <row r="59" spans="1:12" s="20" customFormat="1" ht="16.5" x14ac:dyDescent="0.3">
      <c r="A59" s="23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</row>
    <row r="60" spans="1:12" s="20" customFormat="1" ht="17.25" x14ac:dyDescent="0.35">
      <c r="A60" s="27" t="s">
        <v>30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</row>
    <row r="61" spans="1:12" s="20" customFormat="1" ht="16.5" x14ac:dyDescent="0.3">
      <c r="A61" s="23" t="s">
        <v>20</v>
      </c>
      <c r="B61" s="90">
        <f>B27/B25*100</f>
        <v>100</v>
      </c>
      <c r="C61" s="102">
        <f>C27/C25*100</f>
        <v>100</v>
      </c>
      <c r="D61" s="102"/>
      <c r="E61" s="90">
        <f>E27/E25*100</f>
        <v>100</v>
      </c>
      <c r="F61" s="90">
        <f t="shared" ref="F61:I61" si="14">F27/F25*100</f>
        <v>100</v>
      </c>
      <c r="G61" s="90">
        <f t="shared" si="14"/>
        <v>100</v>
      </c>
      <c r="H61" s="90">
        <f t="shared" si="14"/>
        <v>100</v>
      </c>
      <c r="I61" s="90">
        <f t="shared" si="14"/>
        <v>100</v>
      </c>
      <c r="J61" s="102">
        <f>J27/J25*100</f>
        <v>100</v>
      </c>
      <c r="K61" s="102"/>
      <c r="L61" s="90" t="s">
        <v>48</v>
      </c>
    </row>
    <row r="62" spans="1:12" s="20" customFormat="1" ht="16.5" x14ac:dyDescent="0.3">
      <c r="A62" s="23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12" s="20" customFormat="1" ht="17.25" x14ac:dyDescent="0.35">
      <c r="A63" s="27" t="s">
        <v>21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</row>
    <row r="64" spans="1:12" s="20" customFormat="1" ht="16.5" x14ac:dyDescent="0.3">
      <c r="A64" s="23" t="s">
        <v>22</v>
      </c>
      <c r="B64" s="91">
        <f>((B18/B15)-1)*100</f>
        <v>71.608772107989083</v>
      </c>
      <c r="C64" s="107">
        <f>((D18/D15)-1)*100</f>
        <v>-11.592853858490248</v>
      </c>
      <c r="D64" s="107"/>
      <c r="E64" s="91">
        <f>((E18/E15)-1)*100</f>
        <v>2.2816679779700921</v>
      </c>
      <c r="F64" s="91">
        <f t="shared" ref="F64:I64" si="15">((F18/F15)-1)*100</f>
        <v>-20.472440944881885</v>
      </c>
      <c r="G64" s="91">
        <f t="shared" si="15"/>
        <v>-11.888187948662166</v>
      </c>
      <c r="H64" s="91">
        <f t="shared" si="15"/>
        <v>125.2238269507254</v>
      </c>
      <c r="I64" s="91">
        <f t="shared" si="15"/>
        <v>-2.8213869202476038</v>
      </c>
      <c r="J64" s="107" t="s">
        <v>48</v>
      </c>
      <c r="K64" s="107"/>
      <c r="L64" s="90" t="s">
        <v>48</v>
      </c>
    </row>
    <row r="65" spans="1:12" s="20" customFormat="1" ht="16.5" x14ac:dyDescent="0.3">
      <c r="A65" s="23" t="s">
        <v>23</v>
      </c>
      <c r="B65" s="91">
        <f>((B40/B39)-1)*100</f>
        <v>27.593808951393761</v>
      </c>
      <c r="C65" s="107">
        <f>((C40/C39)-1)*100</f>
        <v>-14.321622236716802</v>
      </c>
      <c r="D65" s="107"/>
      <c r="E65" s="91">
        <f>((E40/E39)-1)*100</f>
        <v>42.054544920480019</v>
      </c>
      <c r="F65" s="91">
        <f t="shared" ref="F65:I65" si="16">((F40/F39)-1)*100</f>
        <v>7.9851901060467467</v>
      </c>
      <c r="G65" s="91">
        <f t="shared" si="16"/>
        <v>-12.392482216108835</v>
      </c>
      <c r="H65" s="91">
        <f t="shared" si="16"/>
        <v>78.488948795250352</v>
      </c>
      <c r="I65" s="91">
        <f t="shared" si="16"/>
        <v>1.054554750132719</v>
      </c>
      <c r="J65" s="107" t="s">
        <v>48</v>
      </c>
      <c r="K65" s="107"/>
      <c r="L65" s="90" t="s">
        <v>48</v>
      </c>
    </row>
    <row r="66" spans="1:12" s="20" customFormat="1" ht="16.5" x14ac:dyDescent="0.3">
      <c r="A66" s="23" t="s">
        <v>24</v>
      </c>
      <c r="B66" s="91">
        <f>((B42/B41)-1)*100</f>
        <v>-25.648434293847057</v>
      </c>
      <c r="C66" s="107">
        <f>((C42/C41)-1)*100</f>
        <v>-3.0865925406739492</v>
      </c>
      <c r="D66" s="107"/>
      <c r="E66" s="91">
        <f>((E42/E41)-1)*100</f>
        <v>38.885635841484699</v>
      </c>
      <c r="F66" s="91">
        <f t="shared" ref="F66:I66" si="17">((F42/F41)-1)*100</f>
        <v>35.783357856118194</v>
      </c>
      <c r="G66" s="91">
        <f t="shared" si="17"/>
        <v>-0.57233446425188905</v>
      </c>
      <c r="H66" s="91">
        <f t="shared" si="17"/>
        <v>-20.750414726635348</v>
      </c>
      <c r="I66" s="91">
        <f t="shared" si="17"/>
        <v>3.9884718947361675</v>
      </c>
      <c r="J66" s="107" t="s">
        <v>48</v>
      </c>
      <c r="K66" s="107"/>
      <c r="L66" s="90" t="s">
        <v>48</v>
      </c>
    </row>
    <row r="67" spans="1:12" s="20" customFormat="1" ht="16.5" x14ac:dyDescent="0.3">
      <c r="A67" s="23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  <row r="68" spans="1:12" s="20" customFormat="1" ht="17.25" x14ac:dyDescent="0.35">
      <c r="A68" s="27" t="s">
        <v>25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</row>
    <row r="69" spans="1:12" s="20" customFormat="1" ht="16.5" x14ac:dyDescent="0.3">
      <c r="A69" s="23" t="s">
        <v>31</v>
      </c>
      <c r="B69" s="90">
        <f>(B24/B17)*3</f>
        <v>147073.81263140822</v>
      </c>
      <c r="C69" s="107">
        <f>(C24/D17)*3</f>
        <v>105000</v>
      </c>
      <c r="D69" s="107"/>
      <c r="E69" s="90">
        <f>(E24/E17)*3</f>
        <v>234000</v>
      </c>
      <c r="F69" s="90">
        <f t="shared" ref="F69:I69" si="18">(F24/F17)*3</f>
        <v>936000</v>
      </c>
      <c r="G69" s="90">
        <f t="shared" si="18"/>
        <v>225000</v>
      </c>
      <c r="H69" s="90">
        <f t="shared" si="18"/>
        <v>225000</v>
      </c>
      <c r="I69" s="90">
        <f t="shared" si="18"/>
        <v>330000</v>
      </c>
      <c r="J69" s="107">
        <f>(J24/K17)*3</f>
        <v>54000</v>
      </c>
      <c r="K69" s="107"/>
      <c r="L69" s="90" t="s">
        <v>48</v>
      </c>
    </row>
    <row r="70" spans="1:12" s="20" customFormat="1" ht="16.5" x14ac:dyDescent="0.3">
      <c r="A70" s="23" t="s">
        <v>32</v>
      </c>
      <c r="B70" s="90">
        <f>(B25/B19)*3</f>
        <v>95429.957499187192</v>
      </c>
      <c r="C70" s="107">
        <f>(C25/D19)*3</f>
        <v>78657.976741410632</v>
      </c>
      <c r="D70" s="107"/>
      <c r="E70" s="90">
        <f>(E25/E19)*3</f>
        <v>318952.8171290062</v>
      </c>
      <c r="F70" s="90">
        <f t="shared" ref="F70:I70" si="19">(F25/F19)*3</f>
        <v>897216.09195402311</v>
      </c>
      <c r="G70" s="90">
        <f t="shared" si="19"/>
        <v>227691.90431890887</v>
      </c>
      <c r="H70" s="90">
        <f t="shared" si="19"/>
        <v>196210.47654565438</v>
      </c>
      <c r="I70" s="90">
        <f t="shared" si="19"/>
        <v>386553.04106981412</v>
      </c>
      <c r="J70" s="107">
        <f>(J25/K19)*3</f>
        <v>15019.064570593982</v>
      </c>
      <c r="K70" s="107"/>
      <c r="L70" s="90" t="s">
        <v>48</v>
      </c>
    </row>
    <row r="71" spans="1:12" s="20" customFormat="1" ht="16.5" x14ac:dyDescent="0.3">
      <c r="A71" s="23" t="s">
        <v>26</v>
      </c>
      <c r="B71" s="92" t="s">
        <v>56</v>
      </c>
      <c r="C71" s="102">
        <f>(C70/C69)*D53</f>
        <v>80.627665136124193</v>
      </c>
      <c r="D71" s="102"/>
      <c r="E71" s="90">
        <f>(E70/E69)*E53</f>
        <v>107.48191203672819</v>
      </c>
      <c r="F71" s="90">
        <f t="shared" ref="F71:I71" si="20">(F70/F69)*F53</f>
        <v>50.025065266278638</v>
      </c>
      <c r="G71" s="90">
        <f t="shared" si="20"/>
        <v>102.24161608969746</v>
      </c>
      <c r="H71" s="90">
        <f t="shared" si="20"/>
        <v>82.171275910625127</v>
      </c>
      <c r="I71" s="90">
        <f t="shared" si="20"/>
        <v>102.9239260154162</v>
      </c>
      <c r="J71" s="102">
        <f>(J70/J69)*K53</f>
        <v>43.198590262299852</v>
      </c>
      <c r="K71" s="102"/>
      <c r="L71" s="90" t="s">
        <v>48</v>
      </c>
    </row>
    <row r="72" spans="1:12" s="20" customFormat="1" ht="16.5" x14ac:dyDescent="0.3">
      <c r="A72" s="23" t="s">
        <v>33</v>
      </c>
      <c r="B72" s="90">
        <f>B24/B17</f>
        <v>49024.604210469406</v>
      </c>
      <c r="C72" s="102">
        <f>C24/D17</f>
        <v>35000</v>
      </c>
      <c r="D72" s="102"/>
      <c r="E72" s="90">
        <f>E24/E17</f>
        <v>78000</v>
      </c>
      <c r="F72" s="90">
        <f>F24/F17</f>
        <v>312000</v>
      </c>
      <c r="G72" s="90">
        <f t="shared" ref="G72:I72" si="21">G24/G17</f>
        <v>75000</v>
      </c>
      <c r="H72" s="90">
        <f t="shared" si="21"/>
        <v>75000</v>
      </c>
      <c r="I72" s="90">
        <f t="shared" si="21"/>
        <v>110000</v>
      </c>
      <c r="J72" s="102">
        <f>J24/K17</f>
        <v>18000</v>
      </c>
      <c r="K72" s="102"/>
      <c r="L72" s="90" t="s">
        <v>48</v>
      </c>
    </row>
    <row r="73" spans="1:12" s="20" customFormat="1" ht="16.5" x14ac:dyDescent="0.3">
      <c r="A73" s="23" t="s">
        <v>34</v>
      </c>
      <c r="B73" s="90">
        <f>B25/B19</f>
        <v>31809.985833062397</v>
      </c>
      <c r="C73" s="102">
        <f>C25/D19</f>
        <v>26219.325580470209</v>
      </c>
      <c r="D73" s="102"/>
      <c r="E73" s="90">
        <f>E25/E19</f>
        <v>106317.60570966873</v>
      </c>
      <c r="F73" s="90">
        <f>F25/F19</f>
        <v>299072.03065134102</v>
      </c>
      <c r="G73" s="90">
        <f t="shared" ref="G73:I73" si="22">G25/G19</f>
        <v>75897.301439636285</v>
      </c>
      <c r="H73" s="90">
        <f t="shared" si="22"/>
        <v>65403.492181884794</v>
      </c>
      <c r="I73" s="90">
        <f t="shared" si="22"/>
        <v>128851.01368993803</v>
      </c>
      <c r="J73" s="102">
        <f>J25/K19</f>
        <v>5006.3548568646611</v>
      </c>
      <c r="K73" s="102"/>
      <c r="L73" s="90" t="s">
        <v>48</v>
      </c>
    </row>
    <row r="74" spans="1:12" s="20" customFormat="1" ht="16.5" x14ac:dyDescent="0.3">
      <c r="A74" s="23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</row>
    <row r="75" spans="1:12" s="20" customFormat="1" ht="17.25" x14ac:dyDescent="0.35">
      <c r="A75" s="27" t="s">
        <v>27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</row>
    <row r="76" spans="1:12" s="20" customFormat="1" ht="16.5" x14ac:dyDescent="0.3">
      <c r="A76" s="23" t="s">
        <v>28</v>
      </c>
      <c r="B76" s="90">
        <f>(B31/B30)*100</f>
        <v>96.120126061140709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</row>
    <row r="77" spans="1:12" s="20" customFormat="1" ht="16.5" x14ac:dyDescent="0.3">
      <c r="A77" s="23" t="s">
        <v>29</v>
      </c>
      <c r="B77" s="90">
        <f>(B25/B31)*100</f>
        <v>96.991383648154141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</row>
    <row r="78" spans="1:12" s="14" customFormat="1" ht="17.25" thickBot="1" x14ac:dyDescent="0.3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2" s="5" customFormat="1" ht="17.25" customHeight="1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</row>
    <row r="80" spans="1:12" ht="16.5" x14ac:dyDescent="0.3">
      <c r="A80" s="38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ht="16.5" x14ac:dyDescent="0.3">
      <c r="A81" s="26"/>
      <c r="B81" s="26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x14ac:dyDescent="0.25">
      <c r="A82" s="1"/>
      <c r="B82" s="16"/>
      <c r="C82" s="16"/>
      <c r="D82" s="16"/>
      <c r="E82" s="16"/>
    </row>
    <row r="83" spans="1:12" x14ac:dyDescent="0.25">
      <c r="A83" s="1"/>
    </row>
    <row r="84" spans="1:12" x14ac:dyDescent="0.25">
      <c r="A84" s="15"/>
    </row>
    <row r="85" spans="1:12" x14ac:dyDescent="0.25">
      <c r="A85" s="1"/>
    </row>
    <row r="86" spans="1:12" x14ac:dyDescent="0.25">
      <c r="A86" s="1"/>
    </row>
    <row r="87" spans="1:12" x14ac:dyDescent="0.25">
      <c r="A87" s="1"/>
    </row>
    <row r="88" spans="1:12" x14ac:dyDescent="0.25">
      <c r="A88" s="1"/>
    </row>
    <row r="89" spans="1:12" x14ac:dyDescent="0.25">
      <c r="A89" s="6"/>
    </row>
    <row r="90" spans="1:12" x14ac:dyDescent="0.25">
      <c r="A90" s="6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4" spans="1:12" x14ac:dyDescent="0.25">
      <c r="A94" s="17"/>
    </row>
  </sheetData>
  <mergeCells count="55">
    <mergeCell ref="A9:A10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27:D27"/>
    <mergeCell ref="C36:D36"/>
    <mergeCell ref="C26:D26"/>
    <mergeCell ref="C24:D24"/>
    <mergeCell ref="B9:B10"/>
    <mergeCell ref="C10:D10"/>
    <mergeCell ref="C23:D23"/>
    <mergeCell ref="C25:D25"/>
    <mergeCell ref="C9:L9"/>
    <mergeCell ref="J10:K10"/>
    <mergeCell ref="J23:K23"/>
    <mergeCell ref="J24:K24"/>
    <mergeCell ref="J25:K25"/>
    <mergeCell ref="J26:K26"/>
    <mergeCell ref="J27:K27"/>
    <mergeCell ref="A79:F79"/>
    <mergeCell ref="C39:D39"/>
    <mergeCell ref="C40:D40"/>
    <mergeCell ref="C41:D41"/>
    <mergeCell ref="C42:D42"/>
    <mergeCell ref="C61:D61"/>
    <mergeCell ref="J39:K39"/>
    <mergeCell ref="J40:K40"/>
    <mergeCell ref="J41:K41"/>
    <mergeCell ref="J42:K42"/>
    <mergeCell ref="J47:K47"/>
    <mergeCell ref="J48:K48"/>
    <mergeCell ref="J52:K52"/>
    <mergeCell ref="J56:K56"/>
    <mergeCell ref="J57:K57"/>
    <mergeCell ref="J58:K58"/>
    <mergeCell ref="J61:K61"/>
    <mergeCell ref="J71:K71"/>
    <mergeCell ref="J72:K72"/>
    <mergeCell ref="J73:K73"/>
    <mergeCell ref="J64:K64"/>
    <mergeCell ref="J65:K65"/>
    <mergeCell ref="J66:K66"/>
    <mergeCell ref="J69:K69"/>
    <mergeCell ref="J70:K70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L95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28515625" customWidth="1"/>
    <col min="2" max="12" width="18.7109375" customWidth="1"/>
  </cols>
  <sheetData>
    <row r="8" spans="1:12" ht="19.5" customHeight="1" x14ac:dyDescent="0.25"/>
    <row r="9" spans="1:12" s="5" customFormat="1" ht="17.25" x14ac:dyDescent="0.35">
      <c r="A9" s="108" t="s">
        <v>0</v>
      </c>
      <c r="B9" s="110" t="s">
        <v>58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</row>
    <row r="10" spans="1:12" s="5" customFormat="1" ht="51.75" customHeight="1" thickBot="1" x14ac:dyDescent="0.3">
      <c r="A10" s="109"/>
      <c r="B10" s="111"/>
      <c r="C10" s="112" t="s">
        <v>1</v>
      </c>
      <c r="D10" s="112"/>
      <c r="E10" s="24" t="s">
        <v>44</v>
      </c>
      <c r="F10" s="24" t="s">
        <v>45</v>
      </c>
      <c r="G10" s="25" t="s">
        <v>46</v>
      </c>
      <c r="H10" s="25" t="s">
        <v>53</v>
      </c>
      <c r="I10" s="24" t="s">
        <v>60</v>
      </c>
      <c r="J10" s="114" t="s">
        <v>73</v>
      </c>
      <c r="K10" s="114"/>
      <c r="L10" s="24" t="s">
        <v>54</v>
      </c>
    </row>
    <row r="11" spans="1:12" s="14" customFormat="1" ht="17.25" thickTop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s="14" customFormat="1" ht="17.25" x14ac:dyDescent="0.35">
      <c r="A12" s="27" t="s">
        <v>2</v>
      </c>
      <c r="B12" s="41"/>
      <c r="C12" s="41"/>
      <c r="D12" s="42"/>
      <c r="E12" s="42"/>
      <c r="F12" s="41"/>
      <c r="G12" s="41"/>
      <c r="H12" s="41"/>
      <c r="I12" s="41"/>
      <c r="J12" s="41"/>
      <c r="K12" s="41"/>
      <c r="L12" s="41"/>
    </row>
    <row r="13" spans="1:12" s="14" customFormat="1" ht="16.5" x14ac:dyDescent="0.3">
      <c r="A13" s="23"/>
      <c r="B13" s="41"/>
      <c r="C13" s="41"/>
      <c r="D13" s="42"/>
      <c r="E13" s="42"/>
      <c r="F13" s="41"/>
      <c r="G13" s="41"/>
      <c r="H13" s="41"/>
      <c r="I13" s="41"/>
      <c r="J13" s="41"/>
      <c r="K13" s="41"/>
      <c r="L13" s="41"/>
    </row>
    <row r="14" spans="1:12" s="14" customFormat="1" ht="17.25" x14ac:dyDescent="0.35">
      <c r="A14" s="27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</row>
    <row r="15" spans="1:12" s="14" customFormat="1" ht="16.5" x14ac:dyDescent="0.3">
      <c r="A15" s="30" t="s">
        <v>69</v>
      </c>
      <c r="B15" s="95">
        <v>194147</v>
      </c>
      <c r="C15" s="95">
        <v>145575</v>
      </c>
      <c r="D15" s="95">
        <v>188424</v>
      </c>
      <c r="E15" s="95">
        <v>1275</v>
      </c>
      <c r="F15" s="95">
        <v>127</v>
      </c>
      <c r="G15" s="95">
        <v>9383</v>
      </c>
      <c r="H15" s="95">
        <v>62052</v>
      </c>
      <c r="I15" s="95">
        <v>24898</v>
      </c>
      <c r="J15" s="95" t="s">
        <v>48</v>
      </c>
      <c r="K15" s="95" t="s">
        <v>48</v>
      </c>
      <c r="L15" s="95" t="s">
        <v>48</v>
      </c>
    </row>
    <row r="16" spans="1:12" s="14" customFormat="1" ht="16.5" x14ac:dyDescent="0.3">
      <c r="A16" s="30" t="s">
        <v>103</v>
      </c>
      <c r="B16" s="95" t="str">
        <f>'II Trimestre'!B16</f>
        <v>n.d</v>
      </c>
      <c r="C16" s="95" t="str">
        <f>'II Trimestre'!C16</f>
        <v>n.d</v>
      </c>
      <c r="D16" s="95">
        <f>'II Trimestre'!D16</f>
        <v>126105</v>
      </c>
      <c r="E16" s="95">
        <f>'II Trimestre'!E16</f>
        <v>1894</v>
      </c>
      <c r="F16" s="95">
        <f>'II Trimestre'!F16</f>
        <v>204</v>
      </c>
      <c r="G16" s="95">
        <f>'II Trimestre'!G16</f>
        <v>7975</v>
      </c>
      <c r="H16" s="95">
        <f>'II Trimestre'!H16</f>
        <v>156756</v>
      </c>
      <c r="I16" s="95">
        <f>'II Trimestre'!I16</f>
        <v>26335</v>
      </c>
      <c r="J16" s="95" t="str">
        <f>'II Trimestre'!J16</f>
        <v xml:space="preserve">n.d. </v>
      </c>
      <c r="K16" s="95">
        <f>'II Trimestre'!K16</f>
        <v>80890</v>
      </c>
      <c r="L16" s="95" t="str">
        <f>'II Trimestre'!L16</f>
        <v>n.d.</v>
      </c>
    </row>
    <row r="17" spans="1:12" s="14" customFormat="1" ht="16.5" x14ac:dyDescent="0.3">
      <c r="A17" s="30" t="s">
        <v>55</v>
      </c>
      <c r="B17" s="95">
        <f>+'I Trimestre'!B17+'II Trimestre'!B17</f>
        <v>1874143.91264</v>
      </c>
      <c r="C17" s="95" t="s">
        <v>48</v>
      </c>
      <c r="D17" s="95">
        <f>+'I Trimestre'!D17+'II Trimestre'!D17</f>
        <v>747840</v>
      </c>
      <c r="E17" s="95">
        <f>+'I Trimestre'!E17+'II Trimestre'!E17</f>
        <v>11361</v>
      </c>
      <c r="F17" s="95">
        <f>+'I Trimestre'!F17+'II Trimestre'!F17</f>
        <v>600</v>
      </c>
      <c r="G17" s="95">
        <f>+'I Trimestre'!G17+'II Trimestre'!G17</f>
        <v>47846</v>
      </c>
      <c r="H17" s="95">
        <f>+'I Trimestre'!H17+'II Trimestre'!H17</f>
        <v>423818.91264</v>
      </c>
      <c r="I17" s="95">
        <f>+'I Trimestre'!I17+'II Trimestre'!I17</f>
        <v>157340</v>
      </c>
      <c r="J17" s="95" t="s">
        <v>48</v>
      </c>
      <c r="K17" s="95">
        <f>+'I Trimestre'!K17+'II Trimestre'!K17</f>
        <v>485338</v>
      </c>
      <c r="L17" s="95" t="s">
        <v>48</v>
      </c>
    </row>
    <row r="18" spans="1:12" s="14" customFormat="1" ht="16.5" x14ac:dyDescent="0.3">
      <c r="A18" s="30" t="s">
        <v>104</v>
      </c>
      <c r="B18" s="95">
        <v>327025</v>
      </c>
      <c r="C18" s="95">
        <v>131272</v>
      </c>
      <c r="D18" s="95">
        <v>163430</v>
      </c>
      <c r="E18" s="95">
        <v>1354</v>
      </c>
      <c r="F18" s="95">
        <v>101</v>
      </c>
      <c r="G18" s="95">
        <v>8344</v>
      </c>
      <c r="H18" s="95">
        <v>141559</v>
      </c>
      <c r="I18" s="95">
        <v>23993</v>
      </c>
      <c r="J18" s="95">
        <v>150393</v>
      </c>
      <c r="K18" s="93">
        <v>206517</v>
      </c>
      <c r="L18" s="95" t="s">
        <v>48</v>
      </c>
    </row>
    <row r="19" spans="1:12" s="14" customFormat="1" ht="16.5" x14ac:dyDescent="0.3">
      <c r="A19" s="30" t="s">
        <v>55</v>
      </c>
      <c r="B19" s="95">
        <f>+'I Trimestre'!B19+'II Trimestre'!B19</f>
        <v>2677879</v>
      </c>
      <c r="C19" s="95" t="s">
        <v>48</v>
      </c>
      <c r="D19" s="95">
        <f>+'I Trimestre'!D19+'II Trimestre'!D19</f>
        <v>880407</v>
      </c>
      <c r="E19" s="95">
        <f>+'I Trimestre'!E19+'II Trimestre'!E19</f>
        <v>6939</v>
      </c>
      <c r="F19" s="95">
        <f>+'I Trimestre'!F19+'II Trimestre'!F19</f>
        <v>333</v>
      </c>
      <c r="G19" s="95">
        <f>+'I Trimestre'!G19+'II Trimestre'!G19</f>
        <v>46766</v>
      </c>
      <c r="H19" s="95">
        <f>+'I Trimestre'!H19+'II Trimestre'!H19</f>
        <v>478301</v>
      </c>
      <c r="I19" s="95">
        <f>+'I Trimestre'!I19+'II Trimestre'!I19</f>
        <v>126170</v>
      </c>
      <c r="J19" s="95" t="s">
        <v>48</v>
      </c>
      <c r="K19" s="95">
        <f>+'I Trimestre'!K19+'II Trimestre'!K19</f>
        <v>1138963</v>
      </c>
      <c r="L19" s="95" t="s">
        <v>48</v>
      </c>
    </row>
    <row r="20" spans="1:12" s="14" customFormat="1" ht="16.5" x14ac:dyDescent="0.3">
      <c r="A20" s="30" t="s">
        <v>90</v>
      </c>
      <c r="B20" s="95" t="str">
        <f>'II Trimestre'!B20</f>
        <v>n.d</v>
      </c>
      <c r="C20" s="95" t="str">
        <f>'II Trimestre'!C20</f>
        <v>n.d</v>
      </c>
      <c r="D20" s="95">
        <f>'II Trimestre'!D20</f>
        <v>136153</v>
      </c>
      <c r="E20" s="95">
        <f>'II Trimestre'!E20</f>
        <v>1894</v>
      </c>
      <c r="F20" s="95">
        <f>'II Trimestre'!F20</f>
        <v>207</v>
      </c>
      <c r="G20" s="95">
        <f>'II Trimestre'!G20</f>
        <v>8036</v>
      </c>
      <c r="H20" s="95">
        <f>'II Trimestre'!H20</f>
        <v>174350</v>
      </c>
      <c r="I20" s="95">
        <f>'II Trimestre'!I20</f>
        <v>26335</v>
      </c>
      <c r="J20" s="95" t="str">
        <f>'II Trimestre'!J20</f>
        <v xml:space="preserve">n.d. </v>
      </c>
      <c r="K20" s="95">
        <f>'II Trimestre'!K20</f>
        <v>80890</v>
      </c>
      <c r="L20" s="95" t="str">
        <f>'II Trimestre'!L20</f>
        <v>n.d.</v>
      </c>
    </row>
    <row r="21" spans="1:12" s="2" customFormat="1" ht="16.5" x14ac:dyDescent="0.3">
      <c r="A21" s="23"/>
      <c r="B21" s="53"/>
      <c r="C21" s="53"/>
      <c r="D21" s="53"/>
      <c r="E21" s="53"/>
      <c r="F21" s="53"/>
      <c r="G21" s="53"/>
      <c r="H21" s="53"/>
      <c r="I21" s="53"/>
      <c r="J21" s="53"/>
      <c r="K21" s="93"/>
      <c r="L21" s="93"/>
    </row>
    <row r="22" spans="1:12" s="14" customFormat="1" ht="17.25" x14ac:dyDescent="0.35">
      <c r="A22" s="32" t="s">
        <v>3</v>
      </c>
      <c r="B22" s="95"/>
      <c r="C22" s="95"/>
      <c r="D22" s="95"/>
      <c r="E22" s="95"/>
      <c r="F22" s="95"/>
      <c r="G22" s="95"/>
      <c r="H22" s="95"/>
      <c r="I22" s="95"/>
      <c r="J22" s="95"/>
      <c r="K22" s="93"/>
      <c r="L22" s="93"/>
    </row>
    <row r="23" spans="1:12" s="14" customFormat="1" ht="16.5" x14ac:dyDescent="0.3">
      <c r="A23" s="30" t="s">
        <v>69</v>
      </c>
      <c r="B23" s="95">
        <f>+C23+E23+F23+G23+H23+I23+L23</f>
        <v>61142629207.300003</v>
      </c>
      <c r="C23" s="117">
        <f>'I Trimestre'!C23:D23+'II Trimestre'!C23:D23</f>
        <v>25984130000</v>
      </c>
      <c r="D23" s="117"/>
      <c r="E23" s="95">
        <f>'I Trimestre'!E23+'II Trimestre'!E23</f>
        <v>332406000</v>
      </c>
      <c r="F23" s="95">
        <f>'I Trimestre'!F23+'II Trimestre'!F23</f>
        <v>97627000</v>
      </c>
      <c r="G23" s="95">
        <f>'I Trimestre'!G23+'II Trimestre'!G23</f>
        <v>3407876592</v>
      </c>
      <c r="H23" s="95">
        <f>'I Trimestre'!H23+'II Trimestre'!H23</f>
        <v>15519160661.999998</v>
      </c>
      <c r="I23" s="95">
        <f>'I Trimestre'!I23+'II Trimestre'!I23</f>
        <v>15638349862</v>
      </c>
      <c r="J23" s="117" t="s">
        <v>48</v>
      </c>
      <c r="K23" s="117"/>
      <c r="L23" s="93">
        <f>+'I Trimestre'!L23+'II Trimestre'!L23</f>
        <v>163079091.29999998</v>
      </c>
    </row>
    <row r="24" spans="1:12" s="14" customFormat="1" ht="16.5" x14ac:dyDescent="0.3">
      <c r="A24" s="30" t="s">
        <v>103</v>
      </c>
      <c r="B24" s="95">
        <f>+C24+E24+F24+G24+H24+I24+J24</f>
        <v>88666110448</v>
      </c>
      <c r="C24" s="117">
        <f>'I Trimestre'!C24:D24+'II Trimestre'!C24:D24</f>
        <v>26174400000</v>
      </c>
      <c r="D24" s="117"/>
      <c r="E24" s="95">
        <f>'I Trimestre'!E24+'II Trimestre'!E24</f>
        <v>886158000</v>
      </c>
      <c r="F24" s="95">
        <f>'I Trimestre'!F24+'II Trimestre'!F24</f>
        <v>187200000</v>
      </c>
      <c r="G24" s="95">
        <f>'I Trimestre'!G24+'II Trimestre'!G24</f>
        <v>3588450000</v>
      </c>
      <c r="H24" s="95">
        <f>'I Trimestre'!H24+'II Trimestre'!H24</f>
        <v>31786418448</v>
      </c>
      <c r="I24" s="95">
        <f>'I Trimestre'!I24+'II Trimestre'!I24</f>
        <v>17307400000</v>
      </c>
      <c r="J24" s="117">
        <f>+'I Trimestre'!J24:K24+'II Trimestre'!J24:K24</f>
        <v>8736084000</v>
      </c>
      <c r="K24" s="117"/>
      <c r="L24" s="93" t="s">
        <v>48</v>
      </c>
    </row>
    <row r="25" spans="1:12" s="14" customFormat="1" ht="16.5" x14ac:dyDescent="0.3">
      <c r="A25" s="30" t="s">
        <v>104</v>
      </c>
      <c r="B25" s="95">
        <f>+C25+E25+F25+G25+H25+I25+J25+L25</f>
        <v>79778843204.050003</v>
      </c>
      <c r="C25" s="117">
        <f>'I Trimestre'!C25:D25+'II Trimestre'!C25:D25</f>
        <v>22727736000</v>
      </c>
      <c r="D25" s="117"/>
      <c r="E25" s="95">
        <f>'I Trimestre'!E25+'II Trimestre'!E25</f>
        <v>727211450</v>
      </c>
      <c r="F25" s="95">
        <f>'I Trimestre'!F25+'II Trimestre'!F25</f>
        <v>83741800</v>
      </c>
      <c r="G25" s="95">
        <f>'I Trimestre'!G25+'II Trimestre'!G25</f>
        <v>3590057292.9999995</v>
      </c>
      <c r="H25" s="95">
        <f>'I Trimestre'!H25+'II Trimestre'!H25</f>
        <v>30264873137.049999</v>
      </c>
      <c r="I25" s="95">
        <f>'I Trimestre'!I25+'II Trimestre'!I25</f>
        <v>16282120524.000004</v>
      </c>
      <c r="J25" s="117">
        <f>+'I Trimestre'!J25:K25+'II Trimestre'!J25:K25</f>
        <v>5753103000</v>
      </c>
      <c r="K25" s="117"/>
      <c r="L25" s="93">
        <f>+'I Trimestre'!L25</f>
        <v>350000000</v>
      </c>
    </row>
    <row r="26" spans="1:12" s="14" customFormat="1" ht="16.5" x14ac:dyDescent="0.3">
      <c r="A26" s="30" t="s">
        <v>90</v>
      </c>
      <c r="B26" s="95">
        <f>+C26+E26+F26+G26+H26+I26+J26</f>
        <v>155613604488</v>
      </c>
      <c r="C26" s="117">
        <f>+'II Trimestre'!C26</f>
        <v>49999985000</v>
      </c>
      <c r="D26" s="117"/>
      <c r="E26" s="95">
        <f>'II Trimestre'!E26</f>
        <v>1624818000</v>
      </c>
      <c r="F26" s="95">
        <f>'II Trimestre'!F26</f>
        <v>569999040</v>
      </c>
      <c r="G26" s="95">
        <f>'II Trimestre'!G26</f>
        <v>7204500000</v>
      </c>
      <c r="H26" s="95">
        <f>'II Trimestre'!H26</f>
        <v>54200168448</v>
      </c>
      <c r="I26" s="95">
        <f>'II Trimestre'!I26</f>
        <v>25997950000</v>
      </c>
      <c r="J26" s="117">
        <f>+'II Trimestre'!J26:K26</f>
        <v>16016184000</v>
      </c>
      <c r="K26" s="117"/>
      <c r="L26" s="93" t="s">
        <v>48</v>
      </c>
    </row>
    <row r="27" spans="1:12" s="14" customFormat="1" ht="16.5" x14ac:dyDescent="0.3">
      <c r="A27" s="30" t="s">
        <v>105</v>
      </c>
      <c r="B27" s="95">
        <f>+C27+E27+F27+G27+H27+I27+J27+L27</f>
        <v>79778843204.050003</v>
      </c>
      <c r="C27" s="117">
        <f>C25</f>
        <v>22727736000</v>
      </c>
      <c r="D27" s="117"/>
      <c r="E27" s="95">
        <f>E25</f>
        <v>727211450</v>
      </c>
      <c r="F27" s="95">
        <f t="shared" ref="F27:I27" si="0">F25</f>
        <v>83741800</v>
      </c>
      <c r="G27" s="95">
        <f t="shared" si="0"/>
        <v>3590057292.9999995</v>
      </c>
      <c r="H27" s="95">
        <f t="shared" si="0"/>
        <v>30264873137.049999</v>
      </c>
      <c r="I27" s="95">
        <f t="shared" si="0"/>
        <v>16282120524.000004</v>
      </c>
      <c r="J27" s="117">
        <f>J25</f>
        <v>5753103000</v>
      </c>
      <c r="K27" s="117"/>
      <c r="L27" s="93">
        <f>+L25</f>
        <v>350000000</v>
      </c>
    </row>
    <row r="28" spans="1:12" s="14" customFormat="1" ht="16.5" x14ac:dyDescent="0.3">
      <c r="A28" s="23"/>
      <c r="B28" s="53"/>
      <c r="C28" s="53"/>
      <c r="D28" s="53"/>
      <c r="E28" s="53"/>
      <c r="F28" s="53"/>
      <c r="G28" s="53"/>
      <c r="H28" s="53"/>
      <c r="I28" s="53"/>
      <c r="J28" s="53"/>
      <c r="K28" s="93"/>
      <c r="L28" s="93"/>
    </row>
    <row r="29" spans="1:12" s="14" customFormat="1" ht="17.25" x14ac:dyDescent="0.35">
      <c r="A29" s="32" t="s">
        <v>4</v>
      </c>
      <c r="B29" s="53"/>
      <c r="C29" s="53"/>
      <c r="D29" s="53"/>
      <c r="E29" s="53"/>
      <c r="F29" s="53"/>
      <c r="G29" s="53"/>
      <c r="H29" s="53"/>
      <c r="I29" s="53"/>
      <c r="J29" s="53"/>
      <c r="K29" s="93"/>
      <c r="L29" s="93"/>
    </row>
    <row r="30" spans="1:12" s="14" customFormat="1" ht="16.5" x14ac:dyDescent="0.3">
      <c r="A30" s="30" t="s">
        <v>103</v>
      </c>
      <c r="B30" s="95">
        <f>'I Trimestre'!B30+'II Trimestre'!B30</f>
        <v>88666110448</v>
      </c>
      <c r="C30" s="95"/>
      <c r="D30" s="95"/>
      <c r="E30" s="95"/>
      <c r="F30" s="95"/>
      <c r="G30" s="95"/>
      <c r="H30" s="95"/>
      <c r="I30" s="95"/>
      <c r="J30" s="95"/>
      <c r="K30" s="93"/>
      <c r="L30" s="93"/>
    </row>
    <row r="31" spans="1:12" s="14" customFormat="1" ht="16.5" x14ac:dyDescent="0.3">
      <c r="A31" s="30" t="s">
        <v>104</v>
      </c>
      <c r="B31" s="95">
        <f>'I Trimestre'!B31+'II Trimestre'!B31</f>
        <v>84837522999.830002</v>
      </c>
      <c r="C31" s="95"/>
      <c r="D31" s="95"/>
      <c r="E31" s="95"/>
      <c r="F31" s="95"/>
      <c r="G31" s="95"/>
      <c r="H31" s="95"/>
      <c r="I31" s="95"/>
      <c r="J31" s="95"/>
      <c r="K31" s="93"/>
      <c r="L31" s="93"/>
    </row>
    <row r="32" spans="1:12" s="2" customFormat="1" ht="16.5" x14ac:dyDescent="0.3">
      <c r="A32" s="23"/>
      <c r="B32" s="55"/>
      <c r="C32" s="55"/>
      <c r="D32" s="55"/>
      <c r="E32" s="55"/>
      <c r="F32" s="55"/>
      <c r="G32" s="55"/>
      <c r="H32" s="55"/>
      <c r="I32" s="55"/>
      <c r="J32" s="55"/>
      <c r="K32" s="41"/>
      <c r="L32" s="41"/>
    </row>
    <row r="33" spans="1:12" s="2" customFormat="1" ht="17.25" x14ac:dyDescent="0.35">
      <c r="A33" s="27" t="s">
        <v>5</v>
      </c>
      <c r="B33" s="55"/>
      <c r="C33" s="55"/>
      <c r="D33" s="55"/>
      <c r="E33" s="55"/>
      <c r="F33" s="55"/>
      <c r="G33" s="55"/>
      <c r="H33" s="55"/>
      <c r="I33" s="55"/>
      <c r="J33" s="55"/>
      <c r="K33" s="41"/>
      <c r="L33" s="41"/>
    </row>
    <row r="34" spans="1:12" s="2" customFormat="1" ht="16.5" x14ac:dyDescent="0.3">
      <c r="A34" s="30" t="s">
        <v>70</v>
      </c>
      <c r="B34" s="46">
        <v>1.0552807376</v>
      </c>
      <c r="C34" s="46">
        <v>1.0552807376</v>
      </c>
      <c r="D34" s="46">
        <v>1.0552807376</v>
      </c>
      <c r="E34" s="46">
        <v>1.0552807376</v>
      </c>
      <c r="F34" s="46">
        <v>1.0552807376</v>
      </c>
      <c r="G34" s="46">
        <v>1.0552807376</v>
      </c>
      <c r="H34" s="46">
        <v>1.0552807376</v>
      </c>
      <c r="I34" s="46">
        <v>1.0552807376</v>
      </c>
      <c r="J34" s="46">
        <v>1.0552807376</v>
      </c>
      <c r="K34" s="46">
        <v>1.0552807376</v>
      </c>
      <c r="L34" s="46">
        <v>1.0552807376</v>
      </c>
    </row>
    <row r="35" spans="1:12" s="2" customFormat="1" ht="16.5" x14ac:dyDescent="0.3">
      <c r="A35" s="30" t="s">
        <v>106</v>
      </c>
      <c r="B35" s="46">
        <v>1.0586</v>
      </c>
      <c r="C35" s="46">
        <v>1.0586</v>
      </c>
      <c r="D35" s="46">
        <v>1.0586</v>
      </c>
      <c r="E35" s="46">
        <v>1.0586</v>
      </c>
      <c r="F35" s="46">
        <v>1.0586</v>
      </c>
      <c r="G35" s="46">
        <v>1.0586</v>
      </c>
      <c r="H35" s="46">
        <v>1.0586</v>
      </c>
      <c r="I35" s="46">
        <v>1.0586</v>
      </c>
      <c r="J35" s="46">
        <v>1.0586</v>
      </c>
      <c r="K35" s="46">
        <v>1.0586</v>
      </c>
      <c r="L35" s="46">
        <v>1.0586</v>
      </c>
    </row>
    <row r="36" spans="1:12" s="14" customFormat="1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</row>
    <row r="37" spans="1:12" ht="16.5" x14ac:dyDescent="0.3">
      <c r="A37" s="23"/>
      <c r="B37" s="56"/>
      <c r="C37" s="56"/>
      <c r="D37" s="56"/>
      <c r="E37" s="56"/>
      <c r="F37" s="57"/>
      <c r="G37" s="57"/>
      <c r="H37" s="57"/>
      <c r="I37" s="57"/>
      <c r="J37" s="57"/>
      <c r="K37" s="126"/>
      <c r="L37" s="126"/>
    </row>
    <row r="38" spans="1:12" s="2" customFormat="1" ht="17.25" x14ac:dyDescent="0.35">
      <c r="A38" s="27" t="s">
        <v>7</v>
      </c>
      <c r="B38" s="56"/>
      <c r="C38" s="56"/>
      <c r="D38" s="56"/>
      <c r="E38" s="56"/>
      <c r="F38" s="56"/>
      <c r="G38" s="56"/>
      <c r="H38" s="56"/>
      <c r="I38" s="56"/>
      <c r="J38" s="56"/>
      <c r="K38" s="54"/>
      <c r="L38" s="54"/>
    </row>
    <row r="39" spans="1:12" s="14" customFormat="1" ht="16.5" x14ac:dyDescent="0.3">
      <c r="A39" s="23" t="s">
        <v>71</v>
      </c>
      <c r="B39" s="88">
        <f>B23/B34</f>
        <v>57939680910.271553</v>
      </c>
      <c r="C39" s="99">
        <f>C23/C34</f>
        <v>24622954891.695541</v>
      </c>
      <c r="D39" s="99"/>
      <c r="E39" s="88">
        <f>E23/E34</f>
        <v>314992956.99832737</v>
      </c>
      <c r="F39" s="88">
        <f t="shared" ref="F39:I39" si="1">F23/F34</f>
        <v>92512822.911968216</v>
      </c>
      <c r="G39" s="88">
        <f t="shared" si="1"/>
        <v>3229355441.2359056</v>
      </c>
      <c r="H39" s="88">
        <f t="shared" si="1"/>
        <v>14706191546.047604</v>
      </c>
      <c r="I39" s="88">
        <f t="shared" si="1"/>
        <v>14819137036.05159</v>
      </c>
      <c r="J39" s="99" t="s">
        <v>56</v>
      </c>
      <c r="K39" s="99"/>
      <c r="L39" s="88">
        <f>L23/L34</f>
        <v>154536215.33061138</v>
      </c>
    </row>
    <row r="40" spans="1:12" s="14" customFormat="1" ht="16.5" x14ac:dyDescent="0.3">
      <c r="A40" s="23" t="s">
        <v>107</v>
      </c>
      <c r="B40" s="88">
        <f>B25/B35</f>
        <v>75362595129.46344</v>
      </c>
      <c r="C40" s="99">
        <f>C25/C35</f>
        <v>21469616474.589081</v>
      </c>
      <c r="D40" s="99"/>
      <c r="E40" s="88">
        <f>E25/E35</f>
        <v>686955837.89911199</v>
      </c>
      <c r="F40" s="88">
        <f t="shared" ref="F40:L40" si="2">F25/F35</f>
        <v>79106177.970904976</v>
      </c>
      <c r="G40" s="88">
        <f t="shared" si="2"/>
        <v>3391325612.1292267</v>
      </c>
      <c r="H40" s="88">
        <f t="shared" si="2"/>
        <v>28589526862.884941</v>
      </c>
      <c r="I40" s="88">
        <f t="shared" si="2"/>
        <v>15380805331.570002</v>
      </c>
      <c r="J40" s="99">
        <f t="shared" si="2"/>
        <v>5434633478.1787271</v>
      </c>
      <c r="K40" s="99"/>
      <c r="L40" s="88">
        <f t="shared" si="2"/>
        <v>330625354.24145097</v>
      </c>
    </row>
    <row r="41" spans="1:12" s="14" customFormat="1" ht="16.5" x14ac:dyDescent="0.3">
      <c r="A41" s="23" t="s">
        <v>72</v>
      </c>
      <c r="B41" s="88">
        <f>B39/B15</f>
        <v>298432.01754480653</v>
      </c>
      <c r="C41" s="99">
        <f>C39/D15</f>
        <v>130678.44272330245</v>
      </c>
      <c r="D41" s="99"/>
      <c r="E41" s="88">
        <f>E39/E15</f>
        <v>247053.29960653128</v>
      </c>
      <c r="F41" s="88">
        <f t="shared" ref="F41:I41" si="3">F39/F15</f>
        <v>728447.42450368672</v>
      </c>
      <c r="G41" s="88">
        <f t="shared" si="3"/>
        <v>344170.88790748222</v>
      </c>
      <c r="H41" s="88">
        <f t="shared" si="3"/>
        <v>236997.86543620841</v>
      </c>
      <c r="I41" s="88">
        <f t="shared" si="3"/>
        <v>595193.87244162546</v>
      </c>
      <c r="J41" s="99" t="s">
        <v>56</v>
      </c>
      <c r="K41" s="99"/>
      <c r="L41" s="88" t="s">
        <v>48</v>
      </c>
    </row>
    <row r="42" spans="1:12" s="14" customFormat="1" ht="16.5" x14ac:dyDescent="0.3">
      <c r="A42" s="23" t="s">
        <v>108</v>
      </c>
      <c r="B42" s="88">
        <f>B40/B18</f>
        <v>230449.03334443373</v>
      </c>
      <c r="C42" s="99">
        <f>C40/D18</f>
        <v>131368.88254658924</v>
      </c>
      <c r="D42" s="99"/>
      <c r="E42" s="88">
        <f>E40/E18</f>
        <v>507352.90834498667</v>
      </c>
      <c r="F42" s="88">
        <f t="shared" ref="F42:I42" si="4">F40/F18</f>
        <v>783229.48486044526</v>
      </c>
      <c r="G42" s="88">
        <f t="shared" si="4"/>
        <v>406438.83175086608</v>
      </c>
      <c r="H42" s="88">
        <f t="shared" si="4"/>
        <v>201961.91597061962</v>
      </c>
      <c r="I42" s="88">
        <f t="shared" si="4"/>
        <v>641053.86285875051</v>
      </c>
      <c r="J42" s="99">
        <f>J40/K18</f>
        <v>26315.671243426579</v>
      </c>
      <c r="K42" s="99"/>
      <c r="L42" s="88" t="s">
        <v>48</v>
      </c>
    </row>
    <row r="43" spans="1:12" s="14" customFormat="1" ht="16.5" x14ac:dyDescent="0.3">
      <c r="A43" s="23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 s="14" customFormat="1" ht="17.25" x14ac:dyDescent="0.35">
      <c r="A44" s="27" t="s">
        <v>8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  <row r="45" spans="1:12" s="14" customFormat="1" ht="16.5" x14ac:dyDescent="0.3">
      <c r="A45" s="23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</row>
    <row r="46" spans="1:12" s="14" customFormat="1" ht="17.25" x14ac:dyDescent="0.35">
      <c r="A46" s="27" t="s">
        <v>9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</row>
    <row r="47" spans="1:12" s="14" customFormat="1" ht="16.5" x14ac:dyDescent="0.3">
      <c r="A47" s="23" t="s">
        <v>10</v>
      </c>
      <c r="B47" s="92" t="s">
        <v>56</v>
      </c>
      <c r="C47" s="102">
        <f>(D16/C36)*100</f>
        <v>73.776677899466449</v>
      </c>
      <c r="D47" s="102"/>
      <c r="E47" s="90">
        <f>(E16/E36)*100</f>
        <v>1.3439391466625037</v>
      </c>
      <c r="F47" s="90" t="s">
        <v>48</v>
      </c>
      <c r="G47" s="90">
        <f t="shared" ref="G47" si="5">(G16/G36)*100</f>
        <v>8.6180812206877171</v>
      </c>
      <c r="H47" s="92" t="s">
        <v>48</v>
      </c>
      <c r="I47" s="92" t="s">
        <v>48</v>
      </c>
      <c r="J47" s="102" t="s">
        <v>56</v>
      </c>
      <c r="K47" s="102"/>
      <c r="L47" s="90" t="s">
        <v>48</v>
      </c>
    </row>
    <row r="48" spans="1:12" s="14" customFormat="1" ht="16.5" x14ac:dyDescent="0.3">
      <c r="A48" s="23" t="s">
        <v>11</v>
      </c>
      <c r="B48" s="90">
        <f>(B18/B36)*100</f>
        <v>85.096057517414735</v>
      </c>
      <c r="C48" s="102">
        <f>(D18/C36)*100</f>
        <v>95.613357671066183</v>
      </c>
      <c r="D48" s="102"/>
      <c r="E48" s="90">
        <f>(E18/E36)*100</f>
        <v>0.96076747865946677</v>
      </c>
      <c r="F48" s="90" t="s">
        <v>48</v>
      </c>
      <c r="G48" s="90">
        <f t="shared" ref="G48" si="6">(G18/G36)*100</f>
        <v>9.0168363266982219</v>
      </c>
      <c r="H48" s="92" t="s">
        <v>48</v>
      </c>
      <c r="I48" s="92" t="s">
        <v>48</v>
      </c>
      <c r="J48" s="102" t="s">
        <v>56</v>
      </c>
      <c r="K48" s="102"/>
      <c r="L48" s="90" t="s">
        <v>48</v>
      </c>
    </row>
    <row r="49" spans="1:12" s="14" customFormat="1" ht="16.5" x14ac:dyDescent="0.3">
      <c r="A49" s="23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</row>
    <row r="50" spans="1:12" s="14" customFormat="1" ht="17.25" x14ac:dyDescent="0.35">
      <c r="A50" s="27" t="s">
        <v>12</v>
      </c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</row>
    <row r="51" spans="1:12" s="14" customFormat="1" ht="16.5" x14ac:dyDescent="0.3">
      <c r="A51" s="23" t="s">
        <v>13</v>
      </c>
      <c r="B51" s="92" t="s">
        <v>56</v>
      </c>
      <c r="C51" s="92" t="s">
        <v>56</v>
      </c>
      <c r="D51" s="90">
        <f>D18/D16*100</f>
        <v>129.59835058086514</v>
      </c>
      <c r="E51" s="90">
        <f>E18/E16*100</f>
        <v>71.48891235480464</v>
      </c>
      <c r="F51" s="90">
        <f t="shared" ref="F51:I51" si="7">F18/F16*100</f>
        <v>49.509803921568633</v>
      </c>
      <c r="G51" s="90">
        <f t="shared" si="7"/>
        <v>104.62695924764891</v>
      </c>
      <c r="H51" s="90">
        <f t="shared" si="7"/>
        <v>90.305315267039219</v>
      </c>
      <c r="I51" s="90">
        <f t="shared" si="7"/>
        <v>91.10689196886274</v>
      </c>
      <c r="J51" s="92" t="s">
        <v>56</v>
      </c>
      <c r="K51" s="90">
        <f>K18/K16*100</f>
        <v>255.30597107182595</v>
      </c>
      <c r="L51" s="90" t="s">
        <v>48</v>
      </c>
    </row>
    <row r="52" spans="1:12" s="14" customFormat="1" ht="16.5" x14ac:dyDescent="0.3">
      <c r="A52" s="23" t="s">
        <v>14</v>
      </c>
      <c r="B52" s="90">
        <f>B25/B24*100</f>
        <v>89.976703388650265</v>
      </c>
      <c r="C52" s="102">
        <f>C25/C24*100</f>
        <v>86.831927379424172</v>
      </c>
      <c r="D52" s="102"/>
      <c r="E52" s="90">
        <f>E25/E24*100</f>
        <v>82.063407428472118</v>
      </c>
      <c r="F52" s="90">
        <f t="shared" ref="F52:I52" si="8">F25/F24*100</f>
        <v>44.733867521367522</v>
      </c>
      <c r="G52" s="90">
        <f t="shared" si="8"/>
        <v>100.04479073137426</v>
      </c>
      <c r="H52" s="90">
        <f t="shared" si="8"/>
        <v>95.213221919169271</v>
      </c>
      <c r="I52" s="90">
        <f t="shared" si="8"/>
        <v>94.076062978841449</v>
      </c>
      <c r="J52" s="102">
        <f>J25/J24*100</f>
        <v>65.854483542053856</v>
      </c>
      <c r="K52" s="102"/>
      <c r="L52" s="90" t="s">
        <v>48</v>
      </c>
    </row>
    <row r="53" spans="1:12" s="14" customFormat="1" ht="16.5" x14ac:dyDescent="0.3">
      <c r="A53" s="23" t="s">
        <v>15</v>
      </c>
      <c r="B53" s="92" t="s">
        <v>56</v>
      </c>
      <c r="C53" s="92" t="s">
        <v>56</v>
      </c>
      <c r="D53" s="90">
        <f>AVERAGE(D51,C52)</f>
        <v>108.21513898014466</v>
      </c>
      <c r="E53" s="90">
        <f>AVERAGE(E51:E52)</f>
        <v>76.776159891638372</v>
      </c>
      <c r="F53" s="90">
        <f t="shared" ref="F53:I53" si="9">AVERAGE(F51:F52)</f>
        <v>47.121835721468074</v>
      </c>
      <c r="G53" s="90">
        <f t="shared" si="9"/>
        <v>102.33587498951158</v>
      </c>
      <c r="H53" s="90">
        <f t="shared" si="9"/>
        <v>92.759268593104252</v>
      </c>
      <c r="I53" s="90">
        <f t="shared" si="9"/>
        <v>92.591477473852095</v>
      </c>
      <c r="J53" s="92" t="s">
        <v>56</v>
      </c>
      <c r="K53" s="90">
        <f>+AVERAGE(K51,J52)</f>
        <v>160.58022730693989</v>
      </c>
      <c r="L53" s="90" t="s">
        <v>48</v>
      </c>
    </row>
    <row r="54" spans="1:12" s="14" customFormat="1" ht="16.5" x14ac:dyDescent="0.3">
      <c r="A54" s="23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</row>
    <row r="55" spans="1:12" s="14" customFormat="1" ht="17.25" x14ac:dyDescent="0.35">
      <c r="A55" s="27" t="s">
        <v>16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</row>
    <row r="56" spans="1:12" s="14" customFormat="1" ht="16.5" x14ac:dyDescent="0.3">
      <c r="A56" s="23" t="s">
        <v>17</v>
      </c>
      <c r="B56" s="92" t="s">
        <v>56</v>
      </c>
      <c r="C56" s="102">
        <f>D18/D20*100</f>
        <v>120.03407930783752</v>
      </c>
      <c r="D56" s="102"/>
      <c r="E56" s="90">
        <f>E18/E20*100</f>
        <v>71.48891235480464</v>
      </c>
      <c r="F56" s="90">
        <f t="shared" ref="F56:I56" si="10">F18/F20*100</f>
        <v>48.792270531400966</v>
      </c>
      <c r="G56" s="90">
        <f t="shared" si="10"/>
        <v>103.83275261324042</v>
      </c>
      <c r="H56" s="90">
        <f t="shared" si="10"/>
        <v>81.192429022082024</v>
      </c>
      <c r="I56" s="90">
        <f t="shared" si="10"/>
        <v>91.10689196886274</v>
      </c>
      <c r="J56" s="102">
        <f>K18/K20*100</f>
        <v>255.30597107182595</v>
      </c>
      <c r="K56" s="102"/>
      <c r="L56" s="90" t="s">
        <v>48</v>
      </c>
    </row>
    <row r="57" spans="1:12" s="14" customFormat="1" ht="16.5" x14ac:dyDescent="0.3">
      <c r="A57" s="23" t="s">
        <v>18</v>
      </c>
      <c r="B57" s="90">
        <f>B25/B26*100</f>
        <v>51.267267708718919</v>
      </c>
      <c r="C57" s="102">
        <f>C25/C26*100</f>
        <v>45.45548563664569</v>
      </c>
      <c r="D57" s="102"/>
      <c r="E57" s="90">
        <f>E25/E26*100</f>
        <v>44.756486572649983</v>
      </c>
      <c r="F57" s="90">
        <f t="shared" ref="F57:I57" si="11">F25/F26*100</f>
        <v>14.691568603343613</v>
      </c>
      <c r="G57" s="90">
        <f t="shared" si="11"/>
        <v>49.830762620584352</v>
      </c>
      <c r="H57" s="90">
        <f t="shared" si="11"/>
        <v>55.839075788272353</v>
      </c>
      <c r="I57" s="90">
        <f t="shared" si="11"/>
        <v>62.628478491573389</v>
      </c>
      <c r="J57" s="102">
        <f>J25/J26*100</f>
        <v>35.920560103455358</v>
      </c>
      <c r="K57" s="102"/>
      <c r="L57" s="90" t="s">
        <v>48</v>
      </c>
    </row>
    <row r="58" spans="1:12" s="14" customFormat="1" ht="16.5" x14ac:dyDescent="0.3">
      <c r="A58" s="23" t="s">
        <v>19</v>
      </c>
      <c r="B58" s="92" t="s">
        <v>56</v>
      </c>
      <c r="C58" s="102">
        <f>(C56+C57)/2</f>
        <v>82.74478247224161</v>
      </c>
      <c r="D58" s="102"/>
      <c r="E58" s="90">
        <f>(E56+E57)/2</f>
        <v>58.122699463727315</v>
      </c>
      <c r="F58" s="90">
        <f t="shared" ref="F58:I58" si="12">(F56+F57)/2</f>
        <v>31.741919567372289</v>
      </c>
      <c r="G58" s="90">
        <f t="shared" si="12"/>
        <v>76.831757616912384</v>
      </c>
      <c r="H58" s="90">
        <f t="shared" si="12"/>
        <v>68.515752405177182</v>
      </c>
      <c r="I58" s="90">
        <f t="shared" si="12"/>
        <v>76.867685230218058</v>
      </c>
      <c r="J58" s="102">
        <f>+(J56+J57)/2</f>
        <v>145.61326558764065</v>
      </c>
      <c r="K58" s="102"/>
      <c r="L58" s="90" t="s">
        <v>48</v>
      </c>
    </row>
    <row r="59" spans="1:12" s="14" customFormat="1" ht="16.5" x14ac:dyDescent="0.3">
      <c r="A59" s="23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</row>
    <row r="60" spans="1:12" s="14" customFormat="1" ht="17.25" x14ac:dyDescent="0.35">
      <c r="A60" s="27" t="s">
        <v>30</v>
      </c>
      <c r="B60" s="90"/>
      <c r="C60" s="90"/>
      <c r="D60" s="90"/>
      <c r="E60" s="90"/>
      <c r="F60" s="90"/>
      <c r="G60" s="90"/>
      <c r="H60" s="90"/>
      <c r="I60" s="90"/>
      <c r="J60" s="90"/>
      <c r="K60" s="90"/>
      <c r="L60" s="90"/>
    </row>
    <row r="61" spans="1:12" s="14" customFormat="1" ht="16.5" x14ac:dyDescent="0.3">
      <c r="A61" s="23" t="s">
        <v>20</v>
      </c>
      <c r="B61" s="90">
        <f>B27/B25*100</f>
        <v>100</v>
      </c>
      <c r="C61" s="102">
        <f>C27/C25*100</f>
        <v>100</v>
      </c>
      <c r="D61" s="102"/>
      <c r="E61" s="90">
        <f>E27/E25*100</f>
        <v>100</v>
      </c>
      <c r="F61" s="90">
        <f t="shared" ref="F61:I61" si="13">F27/F25*100</f>
        <v>100</v>
      </c>
      <c r="G61" s="90">
        <f t="shared" si="13"/>
        <v>100</v>
      </c>
      <c r="H61" s="90">
        <f t="shared" si="13"/>
        <v>100</v>
      </c>
      <c r="I61" s="90">
        <f t="shared" si="13"/>
        <v>100</v>
      </c>
      <c r="J61" s="102">
        <f>J27/J25*100</f>
        <v>100</v>
      </c>
      <c r="K61" s="102"/>
      <c r="L61" s="90" t="s">
        <v>48</v>
      </c>
    </row>
    <row r="62" spans="1:12" s="14" customFormat="1" ht="16.5" x14ac:dyDescent="0.3">
      <c r="A62" s="23"/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0"/>
    </row>
    <row r="63" spans="1:12" s="14" customFormat="1" ht="17.25" x14ac:dyDescent="0.35">
      <c r="A63" s="27" t="s">
        <v>21</v>
      </c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</row>
    <row r="64" spans="1:12" s="14" customFormat="1" ht="16.5" x14ac:dyDescent="0.3">
      <c r="A64" s="23" t="s">
        <v>22</v>
      </c>
      <c r="B64" s="91">
        <f>((B18/B15)-1)*100</f>
        <v>68.441953777292468</v>
      </c>
      <c r="C64" s="107">
        <f>((D18/D15)-1)*100</f>
        <v>-13.264764573515054</v>
      </c>
      <c r="D64" s="107"/>
      <c r="E64" s="91">
        <f>((E18/E15)-1)*100</f>
        <v>6.1960784313725537</v>
      </c>
      <c r="F64" s="91">
        <f t="shared" ref="F64:I64" si="14">((F18/F15)-1)*100</f>
        <v>-20.472440944881885</v>
      </c>
      <c r="G64" s="91">
        <f t="shared" si="14"/>
        <v>-11.073217521048706</v>
      </c>
      <c r="H64" s="91">
        <f t="shared" si="14"/>
        <v>128.12963321085542</v>
      </c>
      <c r="I64" s="91">
        <f t="shared" si="14"/>
        <v>-3.6348301068358957</v>
      </c>
      <c r="J64" s="107" t="s">
        <v>48</v>
      </c>
      <c r="K64" s="107"/>
      <c r="L64" s="90" t="s">
        <v>48</v>
      </c>
    </row>
    <row r="65" spans="1:12" s="14" customFormat="1" ht="16.5" x14ac:dyDescent="0.3">
      <c r="A65" s="23" t="s">
        <v>23</v>
      </c>
      <c r="B65" s="91">
        <f>((B40/B39)-1)*100</f>
        <v>30.070780414158538</v>
      </c>
      <c r="C65" s="107">
        <f>((C40/C39)-1)*100</f>
        <v>-12.8064987771633</v>
      </c>
      <c r="D65" s="107"/>
      <c r="E65" s="91">
        <f>((E40/E39)-1)*100</f>
        <v>118.08609450996701</v>
      </c>
      <c r="F65" s="91">
        <f t="shared" ref="F65:I65" si="15">((F40/F39)-1)*100</f>
        <v>-14.49166128442595</v>
      </c>
      <c r="G65" s="91">
        <f t="shared" si="15"/>
        <v>5.015557247898772</v>
      </c>
      <c r="H65" s="91">
        <f t="shared" si="15"/>
        <v>94.404695283386175</v>
      </c>
      <c r="I65" s="91">
        <f t="shared" si="15"/>
        <v>3.790155217216773</v>
      </c>
      <c r="J65" s="107" t="s">
        <v>48</v>
      </c>
      <c r="K65" s="107"/>
      <c r="L65" s="90" t="s">
        <v>48</v>
      </c>
    </row>
    <row r="66" spans="1:12" s="14" customFormat="1" ht="16.5" x14ac:dyDescent="0.3">
      <c r="A66" s="23" t="s">
        <v>24</v>
      </c>
      <c r="B66" s="91">
        <f>((B42/B41)-1)*100</f>
        <v>-22.780057166676436</v>
      </c>
      <c r="C66" s="107">
        <f>((C42/C41)-1)*100</f>
        <v>0.52835020750034989</v>
      </c>
      <c r="D66" s="107"/>
      <c r="E66" s="91">
        <f>((E42/E41)-1)*100</f>
        <v>105.36172119660851</v>
      </c>
      <c r="F66" s="91">
        <f t="shared" ref="F66:I66" si="16">((F42/F41)-1)*100</f>
        <v>7.5203863057218268</v>
      </c>
      <c r="G66" s="91">
        <f t="shared" si="16"/>
        <v>18.092158875483477</v>
      </c>
      <c r="H66" s="91">
        <f t="shared" si="16"/>
        <v>-14.783234186984373</v>
      </c>
      <c r="I66" s="91">
        <f t="shared" si="16"/>
        <v>7.7050508314201238</v>
      </c>
      <c r="J66" s="107" t="s">
        <v>48</v>
      </c>
      <c r="K66" s="107"/>
      <c r="L66" s="90" t="s">
        <v>48</v>
      </c>
    </row>
    <row r="67" spans="1:12" s="14" customFormat="1" ht="16.5" x14ac:dyDescent="0.3">
      <c r="A67" s="23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  <row r="68" spans="1:12" s="14" customFormat="1" ht="17.25" x14ac:dyDescent="0.35">
      <c r="A68" s="27" t="s">
        <v>25</v>
      </c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</row>
    <row r="69" spans="1:12" s="14" customFormat="1" ht="16.5" x14ac:dyDescent="0.3">
      <c r="A69" s="23" t="s">
        <v>35</v>
      </c>
      <c r="B69" s="90">
        <f>(B24/B17)*6</f>
        <v>283861.15874026268</v>
      </c>
      <c r="C69" s="107">
        <f>(C24/D17)*6</f>
        <v>210000</v>
      </c>
      <c r="D69" s="107"/>
      <c r="E69" s="90">
        <f>(E24/E17)*6</f>
        <v>468000</v>
      </c>
      <c r="F69" s="90">
        <f>(F24/F17)*6</f>
        <v>1872000</v>
      </c>
      <c r="G69" s="90">
        <f>(G24/G17)*6</f>
        <v>450000</v>
      </c>
      <c r="H69" s="90">
        <f>(H24/H17)*6</f>
        <v>450000</v>
      </c>
      <c r="I69" s="90">
        <f>(I24/I17)*6</f>
        <v>660000</v>
      </c>
      <c r="J69" s="107">
        <f>(J24/K17)*6</f>
        <v>108000</v>
      </c>
      <c r="K69" s="107"/>
      <c r="L69" s="90" t="s">
        <v>48</v>
      </c>
    </row>
    <row r="70" spans="1:12" s="14" customFormat="1" ht="16.5" x14ac:dyDescent="0.3">
      <c r="A70" s="23" t="s">
        <v>36</v>
      </c>
      <c r="B70" s="90">
        <f>(B25/B19)*6</f>
        <v>178750.81705495281</v>
      </c>
      <c r="C70" s="107">
        <f>(C25/D19)*6</f>
        <v>154890.19964629994</v>
      </c>
      <c r="D70" s="107"/>
      <c r="E70" s="90">
        <f>(E25/E19)*6</f>
        <v>628803.67488110682</v>
      </c>
      <c r="F70" s="90">
        <f>(F25/F19)*6</f>
        <v>1508861.2612612611</v>
      </c>
      <c r="G70" s="90">
        <f>(G25/G19)*6</f>
        <v>460598.37826626177</v>
      </c>
      <c r="H70" s="90">
        <f>(H25/H19)*6</f>
        <v>379654.73378123814</v>
      </c>
      <c r="I70" s="90">
        <f>(I25/I19)*6</f>
        <v>774294.38966473821</v>
      </c>
      <c r="J70" s="107">
        <f>(J25/K19)*6</f>
        <v>30307.05826264769</v>
      </c>
      <c r="K70" s="107"/>
      <c r="L70" s="90" t="s">
        <v>48</v>
      </c>
    </row>
    <row r="71" spans="1:12" s="14" customFormat="1" ht="16.5" x14ac:dyDescent="0.3">
      <c r="A71" s="23" t="s">
        <v>26</v>
      </c>
      <c r="B71" s="92" t="s">
        <v>56</v>
      </c>
      <c r="C71" s="102">
        <f>(C70/C69)*D53</f>
        <v>79.81649753041286</v>
      </c>
      <c r="D71" s="102"/>
      <c r="E71" s="90">
        <f>(E70/E69)*E53</f>
        <v>103.15626385282404</v>
      </c>
      <c r="F71" s="90">
        <f t="shared" ref="F71:I71" si="17">(F70/F69)*F53</f>
        <v>37.980936153653985</v>
      </c>
      <c r="G71" s="90">
        <f t="shared" si="17"/>
        <v>104.74608457472874</v>
      </c>
      <c r="H71" s="90">
        <f t="shared" si="17"/>
        <v>78.258878718794136</v>
      </c>
      <c r="I71" s="90">
        <f t="shared" si="17"/>
        <v>108.62585081632221</v>
      </c>
      <c r="J71" s="102">
        <f>(J70/J69)*K53</f>
        <v>45.06216948907997</v>
      </c>
      <c r="K71" s="102"/>
      <c r="L71" s="90" t="s">
        <v>48</v>
      </c>
    </row>
    <row r="72" spans="1:12" s="14" customFormat="1" ht="16.5" x14ac:dyDescent="0.3">
      <c r="A72" s="23" t="s">
        <v>33</v>
      </c>
      <c r="B72" s="90">
        <f>B24/B17</f>
        <v>47310.19312337711</v>
      </c>
      <c r="C72" s="102">
        <f>C24/D17</f>
        <v>35000</v>
      </c>
      <c r="D72" s="102"/>
      <c r="E72" s="90">
        <f>E24/E17</f>
        <v>78000</v>
      </c>
      <c r="F72" s="90">
        <f>F24/F17</f>
        <v>312000</v>
      </c>
      <c r="G72" s="90">
        <f t="shared" ref="G72:I72" si="18">G24/G17</f>
        <v>75000</v>
      </c>
      <c r="H72" s="90">
        <f t="shared" si="18"/>
        <v>75000</v>
      </c>
      <c r="I72" s="90">
        <f t="shared" si="18"/>
        <v>110000</v>
      </c>
      <c r="J72" s="102">
        <f>J24/K17</f>
        <v>18000</v>
      </c>
      <c r="K72" s="102"/>
      <c r="L72" s="90" t="s">
        <v>48</v>
      </c>
    </row>
    <row r="73" spans="1:12" s="14" customFormat="1" ht="16.5" x14ac:dyDescent="0.3">
      <c r="A73" s="23" t="s">
        <v>34</v>
      </c>
      <c r="B73" s="90">
        <f>B25/B19</f>
        <v>29791.802842492136</v>
      </c>
      <c r="C73" s="102">
        <f>C25/D19</f>
        <v>25815.033274383324</v>
      </c>
      <c r="D73" s="102"/>
      <c r="E73" s="90">
        <f>E25/E19</f>
        <v>104800.61248018447</v>
      </c>
      <c r="F73" s="90">
        <f>F25/F19</f>
        <v>251476.87687687686</v>
      </c>
      <c r="G73" s="90">
        <f t="shared" ref="G73:I73" si="19">G25/G19</f>
        <v>76766.396377710291</v>
      </c>
      <c r="H73" s="90">
        <f t="shared" si="19"/>
        <v>63275.788963539693</v>
      </c>
      <c r="I73" s="90">
        <f t="shared" si="19"/>
        <v>129049.06494412303</v>
      </c>
      <c r="J73" s="102">
        <f>J25/K19</f>
        <v>5051.1763771079486</v>
      </c>
      <c r="K73" s="102"/>
      <c r="L73" s="90" t="s">
        <v>48</v>
      </c>
    </row>
    <row r="74" spans="1:12" s="14" customFormat="1" ht="16.5" x14ac:dyDescent="0.3">
      <c r="A74" s="23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90"/>
    </row>
    <row r="75" spans="1:12" s="14" customFormat="1" ht="17.25" x14ac:dyDescent="0.35">
      <c r="A75" s="27" t="s">
        <v>27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</row>
    <row r="76" spans="1:12" s="14" customFormat="1" ht="16.5" x14ac:dyDescent="0.3">
      <c r="A76" s="23" t="s">
        <v>28</v>
      </c>
      <c r="B76" s="90">
        <f>(B31/B30)*100</f>
        <v>95.68201714406392</v>
      </c>
      <c r="C76" s="90"/>
      <c r="D76" s="90"/>
      <c r="E76" s="90"/>
      <c r="F76" s="90"/>
      <c r="G76" s="90"/>
      <c r="H76" s="90"/>
      <c r="I76" s="90"/>
      <c r="J76" s="90"/>
      <c r="K76" s="90"/>
      <c r="L76" s="90"/>
    </row>
    <row r="77" spans="1:12" s="14" customFormat="1" ht="16.5" x14ac:dyDescent="0.3">
      <c r="A77" s="23" t="s">
        <v>29</v>
      </c>
      <c r="B77" s="90">
        <f>(B25/B31)*100</f>
        <v>94.037214174923349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</row>
    <row r="78" spans="1:12" s="2" customFormat="1" ht="17.25" thickBot="1" x14ac:dyDescent="0.3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</row>
    <row r="79" spans="1:12" s="5" customFormat="1" ht="17.25" customHeight="1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</row>
    <row r="80" spans="1:12" ht="16.5" x14ac:dyDescent="0.3">
      <c r="A80" s="58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</row>
    <row r="81" spans="1:12" ht="16.5" x14ac:dyDescent="0.3">
      <c r="A81" s="26"/>
      <c r="B81" s="59"/>
      <c r="C81" s="50"/>
      <c r="D81" s="50"/>
      <c r="E81" s="50"/>
      <c r="F81" s="50"/>
      <c r="G81" s="50"/>
      <c r="H81" s="50"/>
      <c r="I81" s="50"/>
      <c r="J81" s="50"/>
      <c r="K81" s="50"/>
      <c r="L81" s="50"/>
    </row>
    <row r="82" spans="1:12" x14ac:dyDescent="0.25">
      <c r="A82" s="1"/>
      <c r="B82" s="4"/>
      <c r="C82" s="4"/>
      <c r="D82" s="4"/>
      <c r="E82" s="4"/>
    </row>
    <row r="83" spans="1:12" x14ac:dyDescent="0.25">
      <c r="A83" s="1"/>
    </row>
    <row r="84" spans="1:12" x14ac:dyDescent="0.25">
      <c r="A84" s="8"/>
    </row>
    <row r="85" spans="1:12" x14ac:dyDescent="0.25">
      <c r="A85" s="7"/>
    </row>
    <row r="86" spans="1:12" x14ac:dyDescent="0.25">
      <c r="A86" s="1"/>
    </row>
    <row r="87" spans="1:12" x14ac:dyDescent="0.25">
      <c r="A87" s="1"/>
    </row>
    <row r="88" spans="1:12" x14ac:dyDescent="0.25">
      <c r="A88" s="1"/>
    </row>
    <row r="89" spans="1:12" x14ac:dyDescent="0.25">
      <c r="A89" s="6"/>
    </row>
    <row r="90" spans="1:12" x14ac:dyDescent="0.25">
      <c r="A90" s="6"/>
    </row>
    <row r="91" spans="1:12" x14ac:dyDescent="0.25">
      <c r="A91" s="1"/>
    </row>
    <row r="92" spans="1:12" x14ac:dyDescent="0.25">
      <c r="A92" s="1"/>
    </row>
    <row r="93" spans="1:12" x14ac:dyDescent="0.25">
      <c r="A93" s="1"/>
    </row>
    <row r="95" spans="1:12" x14ac:dyDescent="0.25">
      <c r="A95" s="9"/>
    </row>
  </sheetData>
  <mergeCells count="55">
    <mergeCell ref="C39:D39"/>
    <mergeCell ref="C40:D40"/>
    <mergeCell ref="C41:D41"/>
    <mergeCell ref="C42:D42"/>
    <mergeCell ref="C36:D36"/>
    <mergeCell ref="C27:D27"/>
    <mergeCell ref="A9:A10"/>
    <mergeCell ref="C26:D26"/>
    <mergeCell ref="B9:B10"/>
    <mergeCell ref="C23:D23"/>
    <mergeCell ref="C24:D24"/>
    <mergeCell ref="C25:D25"/>
    <mergeCell ref="C10:D10"/>
    <mergeCell ref="C9:L9"/>
    <mergeCell ref="J10:K10"/>
    <mergeCell ref="J23:K23"/>
    <mergeCell ref="J24:K24"/>
    <mergeCell ref="J25:K25"/>
    <mergeCell ref="J26:K26"/>
    <mergeCell ref="J27:K27"/>
    <mergeCell ref="A79:F79"/>
    <mergeCell ref="C72:D72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C64:D64"/>
    <mergeCell ref="C56:D56"/>
    <mergeCell ref="C57:D57"/>
    <mergeCell ref="C58:D58"/>
    <mergeCell ref="C61:D61"/>
    <mergeCell ref="J39:K39"/>
    <mergeCell ref="J40:K40"/>
    <mergeCell ref="J41:K41"/>
    <mergeCell ref="J42:K42"/>
    <mergeCell ref="J47:K47"/>
    <mergeCell ref="J48:K48"/>
    <mergeCell ref="J52:K52"/>
    <mergeCell ref="J56:K56"/>
    <mergeCell ref="J57:K57"/>
    <mergeCell ref="J58:K58"/>
    <mergeCell ref="J70:K70"/>
    <mergeCell ref="J71:K71"/>
    <mergeCell ref="J72:K72"/>
    <mergeCell ref="J73:K73"/>
    <mergeCell ref="J61:K61"/>
    <mergeCell ref="J64:K64"/>
    <mergeCell ref="J65:K65"/>
    <mergeCell ref="J66:K66"/>
    <mergeCell ref="J69:K69"/>
  </mergeCells>
  <pageMargins left="0.7" right="0.7" top="0.75" bottom="0.75" header="0.3" footer="0.3"/>
  <pageSetup orientation="portrait" horizontalDpi="4294967292" verticalDpi="4294967292" r:id="rId1"/>
  <ignoredErrors>
    <ignoredError sqref="C24:D25 C23 J24:K28" formulaRange="1"/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14" customWidth="1"/>
    <col min="2" max="12" width="18.7109375" style="14" customWidth="1"/>
    <col min="13" max="16384" width="11.42578125" style="14"/>
  </cols>
  <sheetData>
    <row r="8" spans="1:12" ht="18" customHeight="1" x14ac:dyDescent="0.25"/>
    <row r="9" spans="1:12" s="5" customFormat="1" ht="17.25" x14ac:dyDescent="0.35">
      <c r="A9" s="108" t="s">
        <v>0</v>
      </c>
      <c r="B9" s="110" t="s">
        <v>58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</row>
    <row r="10" spans="1:12" s="5" customFormat="1" ht="51.75" customHeight="1" thickBot="1" x14ac:dyDescent="0.3">
      <c r="A10" s="109"/>
      <c r="B10" s="111"/>
      <c r="C10" s="112" t="s">
        <v>1</v>
      </c>
      <c r="D10" s="112"/>
      <c r="E10" s="24" t="s">
        <v>44</v>
      </c>
      <c r="F10" s="24" t="s">
        <v>45</v>
      </c>
      <c r="G10" s="25" t="s">
        <v>46</v>
      </c>
      <c r="H10" s="25" t="s">
        <v>53</v>
      </c>
      <c r="I10" s="24" t="s">
        <v>60</v>
      </c>
      <c r="J10" s="114" t="s">
        <v>73</v>
      </c>
      <c r="K10" s="114"/>
      <c r="L10" s="24" t="s">
        <v>54</v>
      </c>
    </row>
    <row r="11" spans="1:12" ht="17.25" thickTop="1" x14ac:dyDescent="0.3">
      <c r="A11" s="41"/>
      <c r="B11" s="41"/>
      <c r="C11" s="41"/>
      <c r="D11" s="41"/>
      <c r="E11" s="60"/>
      <c r="F11" s="41"/>
      <c r="G11" s="41"/>
      <c r="H11" s="41"/>
      <c r="I11" s="41"/>
      <c r="J11" s="41"/>
      <c r="K11" s="41"/>
      <c r="L11" s="41"/>
    </row>
    <row r="12" spans="1:12" ht="17.25" x14ac:dyDescent="0.35">
      <c r="A12" s="27" t="s">
        <v>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</row>
    <row r="13" spans="1:12" ht="16.5" x14ac:dyDescent="0.3">
      <c r="A13" s="23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</row>
    <row r="14" spans="1:12" ht="17.25" x14ac:dyDescent="0.35">
      <c r="A14" s="27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</row>
    <row r="15" spans="1:12" ht="16.5" x14ac:dyDescent="0.3">
      <c r="A15" s="30" t="s">
        <v>74</v>
      </c>
      <c r="B15" s="95">
        <v>308964</v>
      </c>
      <c r="C15" s="95">
        <v>143620</v>
      </c>
      <c r="D15" s="95">
        <v>184563</v>
      </c>
      <c r="E15" s="95">
        <v>1566</v>
      </c>
      <c r="F15" s="95">
        <v>151</v>
      </c>
      <c r="G15" s="95">
        <v>9275</v>
      </c>
      <c r="H15" s="95">
        <v>93490</v>
      </c>
      <c r="I15" s="95">
        <v>23746</v>
      </c>
      <c r="J15" s="95">
        <v>163919</v>
      </c>
      <c r="K15" s="93">
        <v>200039</v>
      </c>
      <c r="L15" s="93" t="s">
        <v>48</v>
      </c>
    </row>
    <row r="16" spans="1:12" ht="16.5" x14ac:dyDescent="0.3">
      <c r="A16" s="30" t="s">
        <v>109</v>
      </c>
      <c r="B16" s="86" t="s">
        <v>49</v>
      </c>
      <c r="C16" s="86" t="s">
        <v>49</v>
      </c>
      <c r="D16" s="95">
        <v>136153</v>
      </c>
      <c r="E16" s="95">
        <v>1894</v>
      </c>
      <c r="F16" s="95">
        <v>204</v>
      </c>
      <c r="G16" s="95">
        <v>8036</v>
      </c>
      <c r="H16" s="95">
        <v>174000</v>
      </c>
      <c r="I16" s="95">
        <v>26335</v>
      </c>
      <c r="J16" s="95" t="s">
        <v>56</v>
      </c>
      <c r="K16" s="95">
        <v>80890</v>
      </c>
      <c r="L16" s="93" t="s">
        <v>48</v>
      </c>
    </row>
    <row r="17" spans="1:13" ht="16.5" x14ac:dyDescent="0.3">
      <c r="A17" s="30" t="s">
        <v>55</v>
      </c>
      <c r="B17" s="86">
        <f>+SUM(D17+E17+F17+G17+H17+I17+K17)</f>
        <v>979089</v>
      </c>
      <c r="C17" s="86" t="s">
        <v>49</v>
      </c>
      <c r="D17" s="95">
        <v>408425</v>
      </c>
      <c r="E17" s="95">
        <v>5682</v>
      </c>
      <c r="F17" s="95">
        <v>612</v>
      </c>
      <c r="G17" s="95">
        <v>24106</v>
      </c>
      <c r="H17" s="95">
        <v>218589</v>
      </c>
      <c r="I17" s="95">
        <v>79005</v>
      </c>
      <c r="J17" s="95" t="s">
        <v>56</v>
      </c>
      <c r="K17" s="95">
        <v>242670</v>
      </c>
      <c r="L17" s="93" t="s">
        <v>48</v>
      </c>
    </row>
    <row r="18" spans="1:13" ht="16.5" x14ac:dyDescent="0.3">
      <c r="A18" s="30" t="s">
        <v>110</v>
      </c>
      <c r="B18" s="95">
        <v>272190</v>
      </c>
      <c r="C18" s="95">
        <v>126866</v>
      </c>
      <c r="D18" s="95">
        <v>157436</v>
      </c>
      <c r="E18" s="95">
        <v>1338</v>
      </c>
      <c r="F18" s="95">
        <v>111</v>
      </c>
      <c r="G18" s="95">
        <v>8106</v>
      </c>
      <c r="H18" s="95">
        <v>61080</v>
      </c>
      <c r="I18" s="95">
        <v>21598</v>
      </c>
      <c r="J18" s="95">
        <v>155561</v>
      </c>
      <c r="K18" s="95">
        <v>202507</v>
      </c>
      <c r="L18" s="93" t="s">
        <v>48</v>
      </c>
    </row>
    <row r="19" spans="1:13" ht="16.5" x14ac:dyDescent="0.3">
      <c r="A19" s="30" t="s">
        <v>55</v>
      </c>
      <c r="B19" s="86">
        <f>+SUM(D19,E19,F19,G19,H19,I19+K19)</f>
        <v>1269661</v>
      </c>
      <c r="C19" s="95" t="s">
        <v>49</v>
      </c>
      <c r="D19" s="95">
        <v>449351</v>
      </c>
      <c r="E19" s="95">
        <v>3879</v>
      </c>
      <c r="F19" s="95">
        <v>302</v>
      </c>
      <c r="G19" s="95">
        <v>23515</v>
      </c>
      <c r="H19" s="95">
        <v>145375</v>
      </c>
      <c r="I19" s="95">
        <v>61787</v>
      </c>
      <c r="J19" s="95" t="s">
        <v>56</v>
      </c>
      <c r="K19" s="95">
        <v>585452</v>
      </c>
      <c r="L19" s="93" t="s">
        <v>48</v>
      </c>
    </row>
    <row r="20" spans="1:13" ht="16.5" x14ac:dyDescent="0.3">
      <c r="A20" s="30" t="s">
        <v>90</v>
      </c>
      <c r="B20" s="95" t="s">
        <v>49</v>
      </c>
      <c r="C20" s="95" t="s">
        <v>49</v>
      </c>
      <c r="D20" s="95">
        <v>136153</v>
      </c>
      <c r="E20" s="95">
        <v>1894</v>
      </c>
      <c r="F20" s="95">
        <v>207</v>
      </c>
      <c r="G20" s="95">
        <v>8036</v>
      </c>
      <c r="H20" s="95">
        <v>174350</v>
      </c>
      <c r="I20" s="95">
        <v>26335</v>
      </c>
      <c r="J20" s="95" t="s">
        <v>56</v>
      </c>
      <c r="K20" s="95">
        <v>80890</v>
      </c>
      <c r="L20" s="93" t="s">
        <v>48</v>
      </c>
    </row>
    <row r="21" spans="1:13" ht="16.5" x14ac:dyDescent="0.3">
      <c r="A21" s="23"/>
      <c r="B21" s="53"/>
      <c r="C21" s="53"/>
      <c r="D21" s="53"/>
      <c r="E21" s="53"/>
      <c r="F21" s="53"/>
      <c r="G21" s="53"/>
      <c r="H21" s="53"/>
      <c r="I21" s="53"/>
      <c r="J21" s="53"/>
      <c r="K21" s="56"/>
      <c r="L21" s="56"/>
      <c r="M21" s="18"/>
    </row>
    <row r="22" spans="1:13" ht="17.25" x14ac:dyDescent="0.35">
      <c r="A22" s="32" t="s">
        <v>3</v>
      </c>
      <c r="B22" s="53"/>
      <c r="C22" s="53"/>
      <c r="D22" s="53"/>
      <c r="E22" s="53"/>
      <c r="F22" s="53"/>
      <c r="G22" s="53"/>
      <c r="H22" s="53"/>
      <c r="I22" s="53"/>
      <c r="J22" s="53"/>
      <c r="K22" s="56"/>
      <c r="L22" s="56"/>
      <c r="M22" s="18"/>
    </row>
    <row r="23" spans="1:13" ht="16.5" x14ac:dyDescent="0.3">
      <c r="A23" s="30" t="s">
        <v>74</v>
      </c>
      <c r="B23" s="95">
        <f>SUM(C23+E23+F23+G23+H23+I23+J23)</f>
        <v>46383447310</v>
      </c>
      <c r="C23" s="117">
        <v>14078670000</v>
      </c>
      <c r="D23" s="117"/>
      <c r="E23" s="95">
        <v>359145100</v>
      </c>
      <c r="F23" s="95">
        <v>87280600</v>
      </c>
      <c r="G23" s="95">
        <v>1968771798</v>
      </c>
      <c r="H23" s="95">
        <v>17774416877</v>
      </c>
      <c r="I23" s="95">
        <v>8308553935.0000038</v>
      </c>
      <c r="J23" s="117">
        <v>3806609000</v>
      </c>
      <c r="K23" s="117"/>
      <c r="L23" s="95">
        <v>0</v>
      </c>
    </row>
    <row r="24" spans="1:13" ht="16.5" x14ac:dyDescent="0.3">
      <c r="A24" s="30" t="s">
        <v>109</v>
      </c>
      <c r="B24" s="95">
        <f>SUM(C24+E24+F24+G24+H24+I24+J24)</f>
        <v>46189750000</v>
      </c>
      <c r="C24" s="117">
        <v>14294875000</v>
      </c>
      <c r="D24" s="117"/>
      <c r="E24" s="95">
        <v>443196000</v>
      </c>
      <c r="F24" s="95">
        <v>190944000</v>
      </c>
      <c r="G24" s="95">
        <v>1807950000</v>
      </c>
      <c r="H24" s="95">
        <v>16394175000</v>
      </c>
      <c r="I24" s="95">
        <v>8690550000</v>
      </c>
      <c r="J24" s="117">
        <v>4368060000</v>
      </c>
      <c r="K24" s="117"/>
      <c r="L24" s="93" t="s">
        <v>48</v>
      </c>
    </row>
    <row r="25" spans="1:13" ht="16.5" x14ac:dyDescent="0.3">
      <c r="A25" s="30" t="s">
        <v>110</v>
      </c>
      <c r="B25" s="95">
        <f>SUM(C25+E25+F25+G25+H25+I25+J25+L25)</f>
        <v>38546731569</v>
      </c>
      <c r="C25" s="117">
        <v>12896893000</v>
      </c>
      <c r="D25" s="117"/>
      <c r="E25" s="95">
        <v>395896770</v>
      </c>
      <c r="F25" s="95">
        <v>75527700</v>
      </c>
      <c r="G25" s="95">
        <v>1786963000.0000005</v>
      </c>
      <c r="H25" s="95">
        <v>10797290153</v>
      </c>
      <c r="I25" s="95">
        <v>8088214946.000001</v>
      </c>
      <c r="J25" s="117">
        <v>4505946000</v>
      </c>
      <c r="K25" s="117"/>
      <c r="L25" s="95">
        <v>0</v>
      </c>
    </row>
    <row r="26" spans="1:13" ht="16.5" x14ac:dyDescent="0.3">
      <c r="A26" s="30" t="s">
        <v>90</v>
      </c>
      <c r="B26" s="95">
        <f>SUM(C26+E26+F26+G26+H26+I26+J26)</f>
        <v>155613604488</v>
      </c>
      <c r="C26" s="105">
        <v>49999985000</v>
      </c>
      <c r="D26" s="105"/>
      <c r="E26" s="95">
        <v>1624818000</v>
      </c>
      <c r="F26" s="95">
        <v>569999040</v>
      </c>
      <c r="G26" s="95">
        <v>7204500000</v>
      </c>
      <c r="H26" s="95">
        <v>54200168448</v>
      </c>
      <c r="I26" s="95">
        <v>25997950000</v>
      </c>
      <c r="J26" s="117">
        <v>16016184000</v>
      </c>
      <c r="K26" s="117"/>
      <c r="L26" s="93" t="s">
        <v>48</v>
      </c>
    </row>
    <row r="27" spans="1:13" ht="16.5" x14ac:dyDescent="0.3">
      <c r="A27" s="30" t="s">
        <v>111</v>
      </c>
      <c r="B27" s="95">
        <f>SUM(C27+E27+F27+G27+H27+I27+J27+L27)</f>
        <v>38546731569</v>
      </c>
      <c r="C27" s="117">
        <f>C25</f>
        <v>12896893000</v>
      </c>
      <c r="D27" s="117"/>
      <c r="E27" s="95">
        <f>E25</f>
        <v>395896770</v>
      </c>
      <c r="F27" s="95">
        <f t="shared" ref="F27:L27" si="0">F25</f>
        <v>75527700</v>
      </c>
      <c r="G27" s="95">
        <f t="shared" si="0"/>
        <v>1786963000.0000005</v>
      </c>
      <c r="H27" s="95">
        <f t="shared" si="0"/>
        <v>10797290153</v>
      </c>
      <c r="I27" s="95">
        <f t="shared" si="0"/>
        <v>8088214946.000001</v>
      </c>
      <c r="J27" s="117">
        <f t="shared" si="0"/>
        <v>4505946000</v>
      </c>
      <c r="K27" s="117"/>
      <c r="L27" s="95">
        <f t="shared" si="0"/>
        <v>0</v>
      </c>
    </row>
    <row r="28" spans="1:13" ht="16.5" x14ac:dyDescent="0.3">
      <c r="A28" s="23"/>
      <c r="B28" s="53"/>
      <c r="C28" s="53"/>
      <c r="D28" s="53"/>
      <c r="E28" s="53"/>
      <c r="F28" s="53"/>
      <c r="G28" s="31"/>
      <c r="H28" s="53"/>
      <c r="I28" s="53"/>
      <c r="J28" s="53"/>
      <c r="K28" s="56"/>
      <c r="L28" s="53"/>
      <c r="M28" s="18"/>
    </row>
    <row r="29" spans="1:13" ht="17.25" x14ac:dyDescent="0.35">
      <c r="A29" s="32" t="s">
        <v>4</v>
      </c>
      <c r="B29" s="53"/>
      <c r="C29" s="53"/>
      <c r="D29" s="53"/>
      <c r="E29" s="53"/>
      <c r="F29" s="53"/>
      <c r="G29" s="53"/>
      <c r="H29" s="53"/>
      <c r="I29" s="53"/>
      <c r="J29" s="53"/>
      <c r="K29" s="56"/>
      <c r="L29" s="56"/>
      <c r="M29" s="18"/>
    </row>
    <row r="30" spans="1:13" ht="16.5" x14ac:dyDescent="0.3">
      <c r="A30" s="30" t="s">
        <v>109</v>
      </c>
      <c r="B30" s="93">
        <f>B24</f>
        <v>46189750000</v>
      </c>
      <c r="C30" s="95"/>
      <c r="D30" s="95"/>
      <c r="E30" s="95"/>
      <c r="F30" s="95"/>
      <c r="G30" s="95"/>
      <c r="H30" s="95"/>
      <c r="I30" s="95"/>
      <c r="J30" s="95"/>
      <c r="K30" s="54"/>
      <c r="L30" s="95"/>
    </row>
    <row r="31" spans="1:13" ht="16.5" x14ac:dyDescent="0.3">
      <c r="A31" s="30" t="s">
        <v>110</v>
      </c>
      <c r="B31" s="93">
        <v>43870298861.129997</v>
      </c>
      <c r="C31" s="86"/>
      <c r="D31" s="95"/>
      <c r="E31" s="95"/>
      <c r="F31" s="95"/>
      <c r="G31" s="95"/>
      <c r="H31" s="95"/>
      <c r="I31" s="95"/>
      <c r="J31" s="95"/>
      <c r="K31" s="54"/>
      <c r="L31" s="54"/>
    </row>
    <row r="32" spans="1:13" ht="16.5" x14ac:dyDescent="0.3">
      <c r="A32" s="23"/>
      <c r="B32" s="55"/>
      <c r="C32" s="55"/>
      <c r="D32" s="55"/>
      <c r="E32" s="55"/>
      <c r="F32" s="55"/>
      <c r="G32" s="55"/>
      <c r="H32" s="55"/>
      <c r="I32" s="55"/>
      <c r="J32" s="55"/>
      <c r="K32" s="61"/>
      <c r="L32" s="61"/>
      <c r="M32" s="18"/>
    </row>
    <row r="33" spans="1:13" ht="17.25" x14ac:dyDescent="0.35">
      <c r="A33" s="27" t="s">
        <v>5</v>
      </c>
      <c r="B33" s="55"/>
      <c r="C33" s="55"/>
      <c r="D33" s="55"/>
      <c r="E33" s="55"/>
      <c r="F33" s="55"/>
      <c r="G33" s="55"/>
      <c r="H33" s="55"/>
      <c r="I33" s="55"/>
      <c r="J33" s="55"/>
      <c r="K33" s="61"/>
      <c r="L33" s="61"/>
      <c r="M33" s="18"/>
    </row>
    <row r="34" spans="1:13" ht="16.5" x14ac:dyDescent="0.3">
      <c r="A34" s="30" t="s">
        <v>75</v>
      </c>
      <c r="B34" s="62">
        <v>1.060947463</v>
      </c>
      <c r="C34" s="62">
        <v>1.060947463</v>
      </c>
      <c r="D34" s="62">
        <v>1.060947463</v>
      </c>
      <c r="E34" s="62">
        <v>1.060947463</v>
      </c>
      <c r="F34" s="62">
        <v>1.060947463</v>
      </c>
      <c r="G34" s="62">
        <v>1.060947463</v>
      </c>
      <c r="H34" s="62">
        <v>1.060947463</v>
      </c>
      <c r="I34" s="62">
        <v>1.060947463</v>
      </c>
      <c r="J34" s="62">
        <v>1.060947463</v>
      </c>
      <c r="K34" s="62">
        <v>1.060947463</v>
      </c>
      <c r="L34" s="62">
        <v>1.060947463</v>
      </c>
      <c r="M34" s="18"/>
    </row>
    <row r="35" spans="1:13" ht="16.5" x14ac:dyDescent="0.3">
      <c r="A35" s="30" t="s">
        <v>112</v>
      </c>
      <c r="B35" s="62">
        <v>1.0641</v>
      </c>
      <c r="C35" s="62">
        <v>1.0641</v>
      </c>
      <c r="D35" s="62">
        <v>1.0641</v>
      </c>
      <c r="E35" s="62">
        <v>1.0641</v>
      </c>
      <c r="F35" s="62">
        <v>1.0641</v>
      </c>
      <c r="G35" s="62">
        <v>1.0641</v>
      </c>
      <c r="H35" s="62">
        <v>1.0641</v>
      </c>
      <c r="I35" s="62">
        <v>1.0641</v>
      </c>
      <c r="J35" s="62">
        <v>1.0641</v>
      </c>
      <c r="K35" s="62">
        <v>1.0641</v>
      </c>
      <c r="L35" s="62">
        <v>1.0641</v>
      </c>
      <c r="M35" s="18"/>
    </row>
    <row r="36" spans="1:13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</row>
    <row r="37" spans="1:13" ht="16.5" x14ac:dyDescent="0.3">
      <c r="A37" s="2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18"/>
    </row>
    <row r="38" spans="1:13" ht="17.25" x14ac:dyDescent="0.35">
      <c r="A38" s="27" t="s">
        <v>7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3" ht="16.5" x14ac:dyDescent="0.3">
      <c r="A39" s="23" t="s">
        <v>76</v>
      </c>
      <c r="B39" s="97">
        <f>B23/B34</f>
        <v>43718891771.3638</v>
      </c>
      <c r="C39" s="118">
        <f>C23/C34</f>
        <v>13269903073.419197</v>
      </c>
      <c r="D39" s="118"/>
      <c r="E39" s="97">
        <f>E23/E34</f>
        <v>338513557.48046124</v>
      </c>
      <c r="F39" s="97">
        <f t="shared" ref="F39:I39" si="1">F23/F34</f>
        <v>82266656.025737628</v>
      </c>
      <c r="G39" s="97">
        <f t="shared" si="1"/>
        <v>1855673222.9067972</v>
      </c>
      <c r="H39" s="97">
        <f t="shared" si="1"/>
        <v>16753343117.235958</v>
      </c>
      <c r="I39" s="97">
        <f t="shared" si="1"/>
        <v>7831258591.7366991</v>
      </c>
      <c r="J39" s="118">
        <f>J23/J34</f>
        <v>3587933552.5589547</v>
      </c>
      <c r="K39" s="118"/>
      <c r="L39" s="97">
        <f t="shared" ref="L39" si="2">L23/L34</f>
        <v>0</v>
      </c>
    </row>
    <row r="40" spans="1:13" ht="16.5" x14ac:dyDescent="0.3">
      <c r="A40" s="23" t="s">
        <v>113</v>
      </c>
      <c r="B40" s="97">
        <f>B25/B35</f>
        <v>36224726594.305046</v>
      </c>
      <c r="C40" s="118">
        <f>C25/C35</f>
        <v>12120000939.761301</v>
      </c>
      <c r="D40" s="118"/>
      <c r="E40" s="97">
        <f>E25/E35</f>
        <v>372048463.49027348</v>
      </c>
      <c r="F40" s="97">
        <f t="shared" ref="F40:J40" si="3">F25/F35</f>
        <v>70978009.585565269</v>
      </c>
      <c r="G40" s="97">
        <f t="shared" si="3"/>
        <v>1679318673.0570438</v>
      </c>
      <c r="H40" s="97">
        <f t="shared" si="3"/>
        <v>10146875437.458885</v>
      </c>
      <c r="I40" s="97">
        <f t="shared" si="3"/>
        <v>7600991397.4250546</v>
      </c>
      <c r="J40" s="118">
        <f t="shared" si="3"/>
        <v>4234513673.5269241</v>
      </c>
      <c r="K40" s="118"/>
      <c r="L40" s="97">
        <f t="shared" ref="L40" si="4">L25/L35</f>
        <v>0</v>
      </c>
    </row>
    <row r="41" spans="1:13" ht="16.5" x14ac:dyDescent="0.3">
      <c r="A41" s="23" t="s">
        <v>77</v>
      </c>
      <c r="B41" s="97">
        <f>B39/B15</f>
        <v>141501.57225878679</v>
      </c>
      <c r="C41" s="118">
        <f>C39/D15</f>
        <v>71899.043001138896</v>
      </c>
      <c r="D41" s="118"/>
      <c r="E41" s="97">
        <f>E39/E15</f>
        <v>216164.46837832773</v>
      </c>
      <c r="F41" s="97">
        <f t="shared" ref="F41:I41" si="5">F39/F15</f>
        <v>544812.2915611763</v>
      </c>
      <c r="G41" s="97">
        <f t="shared" si="5"/>
        <v>200072.58467997814</v>
      </c>
      <c r="H41" s="97">
        <f t="shared" si="5"/>
        <v>179199.30599246934</v>
      </c>
      <c r="I41" s="97">
        <f t="shared" si="5"/>
        <v>329792.74790435017</v>
      </c>
      <c r="J41" s="118">
        <f>J39/K15</f>
        <v>17936.170209603901</v>
      </c>
      <c r="K41" s="118"/>
      <c r="L41" s="97" t="s">
        <v>48</v>
      </c>
    </row>
    <row r="42" spans="1:13" ht="16.5" x14ac:dyDescent="0.3">
      <c r="A42" s="23" t="s">
        <v>114</v>
      </c>
      <c r="B42" s="97">
        <f>B40/B18</f>
        <v>133086.17728169679</v>
      </c>
      <c r="C42" s="118">
        <f>C40/D18</f>
        <v>76983.669171989255</v>
      </c>
      <c r="D42" s="118"/>
      <c r="E42" s="97">
        <f>E40/E18</f>
        <v>278063.12667434488</v>
      </c>
      <c r="F42" s="97">
        <f t="shared" ref="F42:I42" si="6">F40/F18</f>
        <v>639441.52779788536</v>
      </c>
      <c r="G42" s="97">
        <f t="shared" si="6"/>
        <v>207169.83383383221</v>
      </c>
      <c r="H42" s="97">
        <f t="shared" si="6"/>
        <v>166124.35228321684</v>
      </c>
      <c r="I42" s="97">
        <f t="shared" si="6"/>
        <v>351930.33602301392</v>
      </c>
      <c r="J42" s="118">
        <f>J40/K18</f>
        <v>20910.455804129851</v>
      </c>
      <c r="K42" s="118"/>
      <c r="L42" s="97" t="s">
        <v>48</v>
      </c>
    </row>
    <row r="43" spans="1:13" ht="16.5" x14ac:dyDescent="0.3">
      <c r="A43" s="23"/>
      <c r="B43" s="65"/>
      <c r="C43" s="65"/>
      <c r="D43" s="65"/>
      <c r="E43" s="65"/>
      <c r="F43" s="65"/>
      <c r="G43" s="65"/>
      <c r="H43" s="65"/>
      <c r="I43" s="65"/>
      <c r="J43" s="65"/>
      <c r="K43" s="41"/>
      <c r="L43" s="41"/>
    </row>
    <row r="44" spans="1:13" ht="17.25" x14ac:dyDescent="0.35">
      <c r="A44" s="27" t="s">
        <v>8</v>
      </c>
      <c r="B44" s="65"/>
      <c r="C44" s="65"/>
      <c r="D44" s="65"/>
      <c r="E44" s="65"/>
      <c r="F44" s="65"/>
      <c r="G44" s="65"/>
      <c r="H44" s="65"/>
      <c r="I44" s="65"/>
      <c r="J44" s="65"/>
      <c r="K44" s="41"/>
      <c r="L44" s="41"/>
    </row>
    <row r="45" spans="1:13" ht="16.5" x14ac:dyDescent="0.3">
      <c r="A45" s="23"/>
      <c r="B45" s="65"/>
      <c r="C45" s="65"/>
      <c r="D45" s="65"/>
      <c r="E45" s="65"/>
      <c r="F45" s="65"/>
      <c r="G45" s="65"/>
      <c r="H45" s="65"/>
      <c r="I45" s="65"/>
      <c r="J45" s="65"/>
      <c r="K45" s="41"/>
      <c r="L45" s="41"/>
    </row>
    <row r="46" spans="1:13" ht="17.25" x14ac:dyDescent="0.35">
      <c r="A46" s="27" t="s">
        <v>9</v>
      </c>
      <c r="B46" s="65"/>
      <c r="C46" s="65"/>
      <c r="D46" s="65"/>
      <c r="E46" s="65"/>
      <c r="F46" s="65"/>
      <c r="G46" s="65"/>
      <c r="H46" s="65"/>
      <c r="I46" s="65"/>
      <c r="J46" s="65"/>
      <c r="K46" s="41"/>
      <c r="L46" s="41"/>
    </row>
    <row r="47" spans="1:13" ht="16.5" x14ac:dyDescent="0.3">
      <c r="A47" s="23" t="s">
        <v>10</v>
      </c>
      <c r="B47" s="92" t="s">
        <v>56</v>
      </c>
      <c r="C47" s="119">
        <f>(D16/C36)*100</f>
        <v>79.65517644856314</v>
      </c>
      <c r="D47" s="119"/>
      <c r="E47" s="96">
        <f>(E16/E36)*100</f>
        <v>1.3439391466625037</v>
      </c>
      <c r="F47" s="96" t="s">
        <v>48</v>
      </c>
      <c r="G47" s="96">
        <f t="shared" ref="G47" si="7">(G16/G36)*100</f>
        <v>8.6840000864509719</v>
      </c>
      <c r="H47" s="96" t="s">
        <v>48</v>
      </c>
      <c r="I47" s="96" t="s">
        <v>48</v>
      </c>
      <c r="J47" s="119" t="s">
        <v>56</v>
      </c>
      <c r="K47" s="119"/>
      <c r="L47" s="96" t="s">
        <v>48</v>
      </c>
    </row>
    <row r="48" spans="1:13" ht="16.5" x14ac:dyDescent="0.3">
      <c r="A48" s="23" t="s">
        <v>11</v>
      </c>
      <c r="B48" s="92">
        <f>(B18/B36)*100</f>
        <v>70.827294230303849</v>
      </c>
      <c r="C48" s="119">
        <f>(D18/C36)*100</f>
        <v>92.106617991200977</v>
      </c>
      <c r="D48" s="119"/>
      <c r="E48" s="96">
        <f>(E18/E36)*100</f>
        <v>0.94941424405196939</v>
      </c>
      <c r="F48" s="96" t="s">
        <v>48</v>
      </c>
      <c r="G48" s="96">
        <f t="shared" ref="G48" si="8">(G18/G36)*100</f>
        <v>8.7596446865071655</v>
      </c>
      <c r="H48" s="96" t="s">
        <v>48</v>
      </c>
      <c r="I48" s="96" t="s">
        <v>48</v>
      </c>
      <c r="J48" s="119" t="s">
        <v>56</v>
      </c>
      <c r="K48" s="119"/>
      <c r="L48" s="96" t="s">
        <v>48</v>
      </c>
    </row>
    <row r="49" spans="1:12" ht="16.5" x14ac:dyDescent="0.3">
      <c r="A49" s="23"/>
      <c r="B49" s="96"/>
      <c r="C49" s="96"/>
      <c r="D49" s="96"/>
      <c r="E49" s="96"/>
      <c r="F49" s="96"/>
      <c r="G49" s="96"/>
      <c r="H49" s="96"/>
      <c r="I49" s="96"/>
      <c r="J49" s="96"/>
      <c r="K49" s="91"/>
      <c r="L49" s="91"/>
    </row>
    <row r="50" spans="1:12" ht="17.25" x14ac:dyDescent="0.35">
      <c r="A50" s="27" t="s">
        <v>12</v>
      </c>
      <c r="B50" s="96"/>
      <c r="C50" s="96"/>
      <c r="D50" s="96"/>
      <c r="E50" s="96"/>
      <c r="F50" s="96"/>
      <c r="G50" s="96"/>
      <c r="H50" s="96"/>
      <c r="I50" s="96"/>
      <c r="J50" s="96"/>
      <c r="K50" s="91"/>
      <c r="L50" s="91"/>
    </row>
    <row r="51" spans="1:12" ht="16.5" x14ac:dyDescent="0.3">
      <c r="A51" s="23" t="s">
        <v>13</v>
      </c>
      <c r="B51" s="92" t="s">
        <v>56</v>
      </c>
      <c r="C51" s="92" t="s">
        <v>56</v>
      </c>
      <c r="D51" s="96">
        <f>D18/D16*100</f>
        <v>115.63167906693207</v>
      </c>
      <c r="E51" s="96">
        <f>E18/E16*100</f>
        <v>70.644139387539596</v>
      </c>
      <c r="F51" s="96">
        <f t="shared" ref="F51:I51" si="9">F18/F16*100</f>
        <v>54.411764705882348</v>
      </c>
      <c r="G51" s="96">
        <f t="shared" si="9"/>
        <v>100.87108013937282</v>
      </c>
      <c r="H51" s="96">
        <f t="shared" si="9"/>
        <v>35.103448275862071</v>
      </c>
      <c r="I51" s="96">
        <f t="shared" si="9"/>
        <v>82.012530852477695</v>
      </c>
      <c r="J51" s="96" t="s">
        <v>56</v>
      </c>
      <c r="K51" s="96">
        <f>K18/K16*100</f>
        <v>250.34862158486834</v>
      </c>
      <c r="L51" s="96" t="s">
        <v>48</v>
      </c>
    </row>
    <row r="52" spans="1:12" ht="16.5" x14ac:dyDescent="0.3">
      <c r="A52" s="23" t="s">
        <v>14</v>
      </c>
      <c r="B52" s="96">
        <f>B25/B24*100</f>
        <v>83.452998920756229</v>
      </c>
      <c r="C52" s="119">
        <f>C25/C24*100</f>
        <v>90.220397170314541</v>
      </c>
      <c r="D52" s="119"/>
      <c r="E52" s="96">
        <f>E25/E24*100</f>
        <v>89.327694744537396</v>
      </c>
      <c r="F52" s="96">
        <f t="shared" ref="F52:I52" si="10">F25/F24*100</f>
        <v>39.554895676219203</v>
      </c>
      <c r="G52" s="96">
        <f t="shared" si="10"/>
        <v>98.839182499516056</v>
      </c>
      <c r="H52" s="96">
        <f t="shared" si="10"/>
        <v>65.860527614228843</v>
      </c>
      <c r="I52" s="96">
        <f t="shared" si="10"/>
        <v>93.069080161784939</v>
      </c>
      <c r="J52" s="119">
        <f>J25/J24*100</f>
        <v>103.15668740813999</v>
      </c>
      <c r="K52" s="119"/>
      <c r="L52" s="96" t="s">
        <v>48</v>
      </c>
    </row>
    <row r="53" spans="1:12" ht="16.5" x14ac:dyDescent="0.3">
      <c r="A53" s="23" t="s">
        <v>15</v>
      </c>
      <c r="B53" s="92" t="s">
        <v>56</v>
      </c>
      <c r="C53" s="92" t="s">
        <v>56</v>
      </c>
      <c r="D53" s="96">
        <f>AVERAGE(D51,C52)</f>
        <v>102.9260381186233</v>
      </c>
      <c r="E53" s="96">
        <f>AVERAGE(E51:E52)</f>
        <v>79.985917066038496</v>
      </c>
      <c r="F53" s="96">
        <f t="shared" ref="F53:I53" si="11">AVERAGE(F51:F52)</f>
        <v>46.983330191050776</v>
      </c>
      <c r="G53" s="96">
        <f t="shared" si="11"/>
        <v>99.855131319444439</v>
      </c>
      <c r="H53" s="96">
        <f t="shared" si="11"/>
        <v>50.481987945045461</v>
      </c>
      <c r="I53" s="96">
        <f t="shared" si="11"/>
        <v>87.540805507131324</v>
      </c>
      <c r="J53" s="96" t="s">
        <v>56</v>
      </c>
      <c r="K53" s="96">
        <f>+AVERAGE(K51,J52)</f>
        <v>176.75265449650416</v>
      </c>
      <c r="L53" s="96" t="s">
        <v>48</v>
      </c>
    </row>
    <row r="54" spans="1:12" ht="16.5" x14ac:dyDescent="0.3">
      <c r="A54" s="23"/>
      <c r="B54" s="96"/>
      <c r="C54" s="96"/>
      <c r="D54" s="96"/>
      <c r="E54" s="96"/>
      <c r="F54" s="96"/>
      <c r="G54" s="96"/>
      <c r="H54" s="96"/>
      <c r="I54" s="96"/>
      <c r="J54" s="96"/>
      <c r="K54" s="91"/>
      <c r="L54" s="91"/>
    </row>
    <row r="55" spans="1:12" ht="17.25" x14ac:dyDescent="0.35">
      <c r="A55" s="27" t="s">
        <v>16</v>
      </c>
      <c r="B55" s="96"/>
      <c r="C55" s="96"/>
      <c r="D55" s="96"/>
      <c r="E55" s="96"/>
      <c r="F55" s="96"/>
      <c r="G55" s="96"/>
      <c r="H55" s="96"/>
      <c r="I55" s="96"/>
      <c r="J55" s="96"/>
      <c r="K55" s="91"/>
      <c r="L55" s="91"/>
    </row>
    <row r="56" spans="1:12" ht="16.5" x14ac:dyDescent="0.3">
      <c r="A56" s="23" t="s">
        <v>17</v>
      </c>
      <c r="B56" s="92" t="s">
        <v>56</v>
      </c>
      <c r="C56" s="119">
        <f>D18/D20*100</f>
        <v>115.63167906693207</v>
      </c>
      <c r="D56" s="119"/>
      <c r="E56" s="96">
        <f>E18/E20*100</f>
        <v>70.644139387539596</v>
      </c>
      <c r="F56" s="96">
        <f t="shared" ref="F56:I56" si="12">F18/F20*100</f>
        <v>53.623188405797109</v>
      </c>
      <c r="G56" s="96">
        <f t="shared" si="12"/>
        <v>100.87108013937282</v>
      </c>
      <c r="H56" s="96">
        <f t="shared" si="12"/>
        <v>35.032979638657871</v>
      </c>
      <c r="I56" s="96">
        <f t="shared" si="12"/>
        <v>82.012530852477695</v>
      </c>
      <c r="J56" s="119">
        <f>K18/K20*100</f>
        <v>250.34862158486834</v>
      </c>
      <c r="K56" s="119"/>
      <c r="L56" s="96" t="s">
        <v>48</v>
      </c>
    </row>
    <row r="57" spans="1:12" ht="16.5" x14ac:dyDescent="0.3">
      <c r="A57" s="23" t="s">
        <v>18</v>
      </c>
      <c r="B57" s="96">
        <f>B25/B26*100</f>
        <v>24.770797961930441</v>
      </c>
      <c r="C57" s="119">
        <f>C25/C26*100</f>
        <v>25.79379373813812</v>
      </c>
      <c r="D57" s="119"/>
      <c r="E57" s="96">
        <f>E25/E26*100</f>
        <v>24.365607101841562</v>
      </c>
      <c r="F57" s="96">
        <f t="shared" ref="F57:I57" si="13">F25/F26*100</f>
        <v>13.250496000835371</v>
      </c>
      <c r="G57" s="96">
        <f t="shared" si="13"/>
        <v>24.803428412797562</v>
      </c>
      <c r="H57" s="96">
        <f t="shared" si="13"/>
        <v>19.921137631442956</v>
      </c>
      <c r="I57" s="96">
        <f t="shared" si="13"/>
        <v>31.11097200356182</v>
      </c>
      <c r="J57" s="119">
        <f>J25/J26*100</f>
        <v>28.133705257132412</v>
      </c>
      <c r="K57" s="119"/>
      <c r="L57" s="96" t="s">
        <v>48</v>
      </c>
    </row>
    <row r="58" spans="1:12" ht="16.5" x14ac:dyDescent="0.3">
      <c r="A58" s="23" t="s">
        <v>19</v>
      </c>
      <c r="B58" s="92" t="s">
        <v>56</v>
      </c>
      <c r="C58" s="119">
        <f>(C56+C57)/2</f>
        <v>70.712736402535086</v>
      </c>
      <c r="D58" s="119"/>
      <c r="E58" s="96">
        <f>(E56+E57)/2</f>
        <v>47.504873244690579</v>
      </c>
      <c r="F58" s="96">
        <f t="shared" ref="F58:I58" si="14">(F56+F57)/2</f>
        <v>33.436842203316239</v>
      </c>
      <c r="G58" s="96">
        <f t="shared" si="14"/>
        <v>62.83725427608519</v>
      </c>
      <c r="H58" s="96">
        <f t="shared" si="14"/>
        <v>27.477058635050412</v>
      </c>
      <c r="I58" s="96">
        <f t="shared" si="14"/>
        <v>56.561751428019761</v>
      </c>
      <c r="J58" s="119">
        <f>+(J56+J57)/2</f>
        <v>139.24116342100038</v>
      </c>
      <c r="K58" s="119"/>
      <c r="L58" s="96" t="s">
        <v>48</v>
      </c>
    </row>
    <row r="59" spans="1:12" ht="16.5" x14ac:dyDescent="0.3">
      <c r="A59" s="23"/>
      <c r="B59" s="96"/>
      <c r="C59" s="96"/>
      <c r="D59" s="96"/>
      <c r="E59" s="96"/>
      <c r="F59" s="96"/>
      <c r="G59" s="96"/>
      <c r="H59" s="96"/>
      <c r="I59" s="96"/>
      <c r="J59" s="96"/>
      <c r="K59" s="91"/>
      <c r="L59" s="91"/>
    </row>
    <row r="60" spans="1:12" ht="17.25" x14ac:dyDescent="0.35">
      <c r="A60" s="27" t="s">
        <v>30</v>
      </c>
      <c r="B60" s="96"/>
      <c r="C60" s="96"/>
      <c r="D60" s="96"/>
      <c r="E60" s="96"/>
      <c r="F60" s="96"/>
      <c r="G60" s="96"/>
      <c r="H60" s="96"/>
      <c r="I60" s="96"/>
      <c r="J60" s="96"/>
      <c r="K60" s="91"/>
      <c r="L60" s="91"/>
    </row>
    <row r="61" spans="1:12" ht="16.5" x14ac:dyDescent="0.3">
      <c r="A61" s="23" t="s">
        <v>20</v>
      </c>
      <c r="B61" s="96">
        <f>B27/B25*100</f>
        <v>100</v>
      </c>
      <c r="C61" s="119">
        <f>C27/C25*100</f>
        <v>100</v>
      </c>
      <c r="D61" s="119"/>
      <c r="E61" s="96">
        <f>E27/E25*100</f>
        <v>100</v>
      </c>
      <c r="F61" s="96">
        <f t="shared" ref="F61:I61" si="15">F27/F25*100</f>
        <v>100</v>
      </c>
      <c r="G61" s="96">
        <f t="shared" si="15"/>
        <v>100</v>
      </c>
      <c r="H61" s="96">
        <f t="shared" si="15"/>
        <v>100</v>
      </c>
      <c r="I61" s="96">
        <f t="shared" si="15"/>
        <v>100</v>
      </c>
      <c r="J61" s="119">
        <f>J27/J25*100</f>
        <v>100</v>
      </c>
      <c r="K61" s="119"/>
      <c r="L61" s="96" t="s">
        <v>48</v>
      </c>
    </row>
    <row r="62" spans="1:12" ht="16.5" x14ac:dyDescent="0.3">
      <c r="A62" s="23"/>
      <c r="B62" s="96"/>
      <c r="C62" s="96"/>
      <c r="D62" s="96"/>
      <c r="E62" s="96"/>
      <c r="F62" s="96"/>
      <c r="G62" s="96"/>
      <c r="H62" s="96"/>
      <c r="I62" s="96"/>
      <c r="J62" s="96"/>
      <c r="K62" s="91"/>
      <c r="L62" s="91"/>
    </row>
    <row r="63" spans="1:12" ht="17.25" x14ac:dyDescent="0.35">
      <c r="A63" s="27" t="s">
        <v>21</v>
      </c>
      <c r="B63" s="96"/>
      <c r="C63" s="96"/>
      <c r="D63" s="96"/>
      <c r="E63" s="96"/>
      <c r="F63" s="96"/>
      <c r="G63" s="96"/>
      <c r="H63" s="96"/>
      <c r="I63" s="96"/>
      <c r="J63" s="96"/>
      <c r="K63" s="91"/>
      <c r="L63" s="91"/>
    </row>
    <row r="64" spans="1:12" ht="16.5" x14ac:dyDescent="0.3">
      <c r="A64" s="23" t="s">
        <v>22</v>
      </c>
      <c r="B64" s="96">
        <f>((B18/B15)-1)*100</f>
        <v>-11.902357556220144</v>
      </c>
      <c r="C64" s="119">
        <f>((D18/D15)-1)*100</f>
        <v>-14.697962213444725</v>
      </c>
      <c r="D64" s="119"/>
      <c r="E64" s="96">
        <f>((E18/E15)-1)*100</f>
        <v>-14.559386973180077</v>
      </c>
      <c r="F64" s="96">
        <f t="shared" ref="F64:I64" si="16">((F18/F15)-1)*100</f>
        <v>-26.490066225165563</v>
      </c>
      <c r="G64" s="96">
        <f t="shared" si="16"/>
        <v>-12.603773584905664</v>
      </c>
      <c r="H64" s="96">
        <f t="shared" si="16"/>
        <v>-34.666809284415443</v>
      </c>
      <c r="I64" s="96">
        <f t="shared" si="16"/>
        <v>-9.0457340183609851</v>
      </c>
      <c r="J64" s="119">
        <f>((K18/K15)-1)*100</f>
        <v>1.2337594169137045</v>
      </c>
      <c r="K64" s="119"/>
      <c r="L64" s="96" t="s">
        <v>48</v>
      </c>
    </row>
    <row r="65" spans="1:12" ht="16.5" x14ac:dyDescent="0.3">
      <c r="A65" s="23" t="s">
        <v>23</v>
      </c>
      <c r="B65" s="96">
        <f>((B40/B39)-1)*100</f>
        <v>-17.141708935008936</v>
      </c>
      <c r="C65" s="119">
        <f>((C40/C39)-1)*100</f>
        <v>-8.6654900740100622</v>
      </c>
      <c r="D65" s="119"/>
      <c r="E65" s="96">
        <f>((E40/E39)-1)*100</f>
        <v>9.9065178539408549</v>
      </c>
      <c r="F65" s="96">
        <f t="shared" ref="F65:I65" si="17">((F40/F39)-1)*100</f>
        <v>-13.722019327782863</v>
      </c>
      <c r="G65" s="96">
        <f t="shared" si="17"/>
        <v>-9.5035347642460906</v>
      </c>
      <c r="H65" s="96">
        <f t="shared" si="17"/>
        <v>-39.433727546475737</v>
      </c>
      <c r="I65" s="96">
        <f t="shared" si="17"/>
        <v>-2.9403599895758137</v>
      </c>
      <c r="J65" s="119">
        <f>((J40/J39)-1)*100</f>
        <v>18.020961411250802</v>
      </c>
      <c r="K65" s="119"/>
      <c r="L65" s="96" t="s">
        <v>48</v>
      </c>
    </row>
    <row r="66" spans="1:12" ht="16.5" x14ac:dyDescent="0.3">
      <c r="A66" s="23" t="s">
        <v>24</v>
      </c>
      <c r="B66" s="96">
        <f>((B42/B41)-1)*100</f>
        <v>-5.947209520541163</v>
      </c>
      <c r="C66" s="119">
        <f>((C42/C41)-1)*100</f>
        <v>7.0718968690164807</v>
      </c>
      <c r="D66" s="119"/>
      <c r="E66" s="96">
        <f>((E42/E41)-1)*100</f>
        <v>28.634982779724496</v>
      </c>
      <c r="F66" s="96">
        <f t="shared" ref="F66:I66" si="18">((F42/F41)-1)*100</f>
        <v>17.369144878421537</v>
      </c>
      <c r="G66" s="96">
        <f t="shared" si="18"/>
        <v>3.5473371652624541</v>
      </c>
      <c r="H66" s="96">
        <f t="shared" si="18"/>
        <v>-7.2963193896531937</v>
      </c>
      <c r="I66" s="96">
        <f t="shared" si="18"/>
        <v>6.7125757795875929</v>
      </c>
      <c r="J66" s="119">
        <f>((J42/J41)-1)*100</f>
        <v>16.582612451644628</v>
      </c>
      <c r="K66" s="119"/>
      <c r="L66" s="96" t="s">
        <v>48</v>
      </c>
    </row>
    <row r="67" spans="1:12" ht="16.5" x14ac:dyDescent="0.3">
      <c r="A67" s="23"/>
      <c r="B67" s="96"/>
      <c r="C67" s="96"/>
      <c r="D67" s="96"/>
      <c r="E67" s="96"/>
      <c r="F67" s="96"/>
      <c r="G67" s="96"/>
      <c r="H67" s="96"/>
      <c r="I67" s="96"/>
      <c r="J67" s="96"/>
      <c r="K67" s="91"/>
      <c r="L67" s="91"/>
    </row>
    <row r="68" spans="1:12" ht="17.25" x14ac:dyDescent="0.35">
      <c r="A68" s="27" t="s">
        <v>25</v>
      </c>
      <c r="B68" s="96"/>
      <c r="C68" s="96"/>
      <c r="D68" s="96"/>
      <c r="E68" s="96"/>
      <c r="F68" s="96"/>
      <c r="G68" s="96"/>
      <c r="H68" s="96"/>
      <c r="I68" s="96"/>
      <c r="J68" s="96"/>
      <c r="K68" s="91"/>
      <c r="L68" s="91"/>
    </row>
    <row r="69" spans="1:12" ht="16.5" x14ac:dyDescent="0.3">
      <c r="A69" s="23" t="s">
        <v>31</v>
      </c>
      <c r="B69" s="96">
        <f>(B24/B17)*3</f>
        <v>141528.75785551671</v>
      </c>
      <c r="C69" s="119">
        <f>(C24/D17)*3</f>
        <v>105000</v>
      </c>
      <c r="D69" s="119"/>
      <c r="E69" s="96">
        <f>(E24/E17)*3</f>
        <v>234000</v>
      </c>
      <c r="F69" s="96">
        <f t="shared" ref="F69:I69" si="19">(F24/F17)*3</f>
        <v>936000</v>
      </c>
      <c r="G69" s="96">
        <f t="shared" si="19"/>
        <v>225000</v>
      </c>
      <c r="H69" s="96">
        <f t="shared" si="19"/>
        <v>225000</v>
      </c>
      <c r="I69" s="96">
        <f t="shared" si="19"/>
        <v>330000</v>
      </c>
      <c r="J69" s="119">
        <f>(J24/K17)*3</f>
        <v>54000</v>
      </c>
      <c r="K69" s="119"/>
      <c r="L69" s="96" t="s">
        <v>48</v>
      </c>
    </row>
    <row r="70" spans="1:12" ht="16.5" x14ac:dyDescent="0.3">
      <c r="A70" s="23" t="s">
        <v>32</v>
      </c>
      <c r="B70" s="96">
        <f>(B25/B19)*3</f>
        <v>91079.583217094958</v>
      </c>
      <c r="C70" s="119">
        <f>(C25/D19)*3</f>
        <v>86103.467000184712</v>
      </c>
      <c r="D70" s="119"/>
      <c r="E70" s="96">
        <f>(E25/E19)*3</f>
        <v>306184.6635730858</v>
      </c>
      <c r="F70" s="96">
        <f t="shared" ref="F70:I70" si="20">(F25/F19)*3</f>
        <v>750275.16556291387</v>
      </c>
      <c r="G70" s="96">
        <f t="shared" si="20"/>
        <v>227977.41866893478</v>
      </c>
      <c r="H70" s="96">
        <f t="shared" si="20"/>
        <v>222815.96188478076</v>
      </c>
      <c r="I70" s="96">
        <f t="shared" si="20"/>
        <v>392714.40332108701</v>
      </c>
      <c r="J70" s="119">
        <f>(J25/K19)*3</f>
        <v>23089.575234178039</v>
      </c>
      <c r="K70" s="119"/>
      <c r="L70" s="96" t="s">
        <v>48</v>
      </c>
    </row>
    <row r="71" spans="1:12" ht="16.5" x14ac:dyDescent="0.3">
      <c r="A71" s="23" t="s">
        <v>26</v>
      </c>
      <c r="B71" s="92" t="s">
        <v>56</v>
      </c>
      <c r="C71" s="119">
        <f>(C70/C69)*D53</f>
        <v>84.40274977720604</v>
      </c>
      <c r="D71" s="119"/>
      <c r="E71" s="96">
        <f>(E70/E69)*E53</f>
        <v>104.66009020277666</v>
      </c>
      <c r="F71" s="96">
        <f t="shared" ref="F71:I71" si="21">(F70/F69)*F53</f>
        <v>37.660711365157766</v>
      </c>
      <c r="G71" s="96">
        <f t="shared" si="21"/>
        <v>101.17651146246421</v>
      </c>
      <c r="H71" s="96">
        <f t="shared" si="21"/>
        <v>49.991967563694267</v>
      </c>
      <c r="I71" s="96">
        <f t="shared" si="21"/>
        <v>104.17737939691031</v>
      </c>
      <c r="J71" s="119">
        <f>(J70/J69)*K53</f>
        <v>75.57673544143907</v>
      </c>
      <c r="K71" s="119"/>
      <c r="L71" s="96" t="s">
        <v>48</v>
      </c>
    </row>
    <row r="72" spans="1:12" ht="16.5" x14ac:dyDescent="0.3">
      <c r="A72" s="23" t="s">
        <v>33</v>
      </c>
      <c r="B72" s="96">
        <f>B24/B17</f>
        <v>47176.252618505569</v>
      </c>
      <c r="C72" s="119">
        <f>C24/D17</f>
        <v>35000</v>
      </c>
      <c r="D72" s="119"/>
      <c r="E72" s="96">
        <f>E24/E17</f>
        <v>78000</v>
      </c>
      <c r="F72" s="96">
        <f>F24/F17</f>
        <v>312000</v>
      </c>
      <c r="G72" s="96">
        <f t="shared" ref="G72:I72" si="22">G24/G17</f>
        <v>75000</v>
      </c>
      <c r="H72" s="96">
        <f t="shared" si="22"/>
        <v>75000</v>
      </c>
      <c r="I72" s="96">
        <f t="shared" si="22"/>
        <v>110000</v>
      </c>
      <c r="J72" s="119">
        <f>J24/K17</f>
        <v>18000</v>
      </c>
      <c r="K72" s="119"/>
      <c r="L72" s="96" t="s">
        <v>48</v>
      </c>
    </row>
    <row r="73" spans="1:12" ht="16.5" x14ac:dyDescent="0.3">
      <c r="A73" s="23" t="s">
        <v>34</v>
      </c>
      <c r="B73" s="96">
        <f>B25/B19</f>
        <v>30359.861072364987</v>
      </c>
      <c r="C73" s="119">
        <f>C25/D19</f>
        <v>28701.155666728238</v>
      </c>
      <c r="D73" s="119"/>
      <c r="E73" s="96">
        <f>E25/E19</f>
        <v>102061.55452436194</v>
      </c>
      <c r="F73" s="96">
        <f>F25/F19</f>
        <v>250091.72185430463</v>
      </c>
      <c r="G73" s="96">
        <f t="shared" ref="G73:I73" si="23">G25/G19</f>
        <v>75992.472889644923</v>
      </c>
      <c r="H73" s="96">
        <f t="shared" si="23"/>
        <v>74271.987294926919</v>
      </c>
      <c r="I73" s="96">
        <f t="shared" si="23"/>
        <v>130904.80110702901</v>
      </c>
      <c r="J73" s="119">
        <f>J25/K19</f>
        <v>7696.525078059346</v>
      </c>
      <c r="K73" s="119"/>
      <c r="L73" s="96" t="s">
        <v>48</v>
      </c>
    </row>
    <row r="74" spans="1:12" ht="16.5" x14ac:dyDescent="0.3">
      <c r="A74" s="23"/>
      <c r="B74" s="96"/>
      <c r="C74" s="96"/>
      <c r="D74" s="96"/>
      <c r="E74" s="96"/>
      <c r="F74" s="96"/>
      <c r="G74" s="96"/>
      <c r="H74" s="96"/>
      <c r="I74" s="96"/>
      <c r="J74" s="96"/>
      <c r="K74" s="91"/>
      <c r="L74" s="91"/>
    </row>
    <row r="75" spans="1:12" ht="17.25" x14ac:dyDescent="0.35">
      <c r="A75" s="27" t="s">
        <v>27</v>
      </c>
      <c r="B75" s="96"/>
      <c r="C75" s="96"/>
      <c r="D75" s="96"/>
      <c r="E75" s="96"/>
      <c r="F75" s="96"/>
      <c r="G75" s="96"/>
      <c r="H75" s="96"/>
      <c r="I75" s="96"/>
      <c r="J75" s="96"/>
      <c r="K75" s="91"/>
      <c r="L75" s="91"/>
    </row>
    <row r="76" spans="1:12" ht="16.5" x14ac:dyDescent="0.3">
      <c r="A76" s="23" t="s">
        <v>28</v>
      </c>
      <c r="B76" s="96">
        <f>(B31/B30)*100</f>
        <v>94.978428896302745</v>
      </c>
      <c r="C76" s="96"/>
      <c r="D76" s="96"/>
      <c r="E76" s="96"/>
      <c r="F76" s="96"/>
      <c r="G76" s="96"/>
      <c r="H76" s="96"/>
      <c r="I76" s="96"/>
      <c r="J76" s="96"/>
      <c r="K76" s="91"/>
      <c r="L76" s="91"/>
    </row>
    <row r="77" spans="1:12" ht="16.5" x14ac:dyDescent="0.3">
      <c r="A77" s="23" t="s">
        <v>29</v>
      </c>
      <c r="B77" s="96">
        <f>(B25/B31)*100</f>
        <v>87.865213070506826</v>
      </c>
      <c r="C77" s="96"/>
      <c r="D77" s="96"/>
      <c r="E77" s="96"/>
      <c r="F77" s="96"/>
      <c r="G77" s="96"/>
      <c r="H77" s="96"/>
      <c r="I77" s="96"/>
      <c r="J77" s="96"/>
      <c r="K77" s="91"/>
      <c r="L77" s="91"/>
    </row>
    <row r="78" spans="1:12" ht="17.25" thickBot="1" x14ac:dyDescent="0.35">
      <c r="A78" s="51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</row>
    <row r="79" spans="1:12" s="5" customFormat="1" ht="17.25" customHeight="1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</row>
    <row r="80" spans="1:12" ht="16.5" x14ac:dyDescent="0.3">
      <c r="A80" s="23"/>
      <c r="B80" s="67"/>
      <c r="C80" s="67"/>
      <c r="D80" s="67"/>
      <c r="E80" s="67"/>
      <c r="F80" s="41"/>
      <c r="G80" s="41"/>
      <c r="H80" s="41"/>
      <c r="I80" s="41"/>
      <c r="J80" s="41"/>
      <c r="K80" s="41"/>
      <c r="L80" s="41"/>
    </row>
    <row r="81" spans="1:1" x14ac:dyDescent="0.25">
      <c r="A81" s="19"/>
    </row>
    <row r="82" spans="1:1" x14ac:dyDescent="0.25">
      <c r="A82" s="1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6"/>
    </row>
    <row r="90" spans="1:1" x14ac:dyDescent="0.25">
      <c r="A90" s="6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7"/>
    </row>
  </sheetData>
  <mergeCells count="55">
    <mergeCell ref="J70:K70"/>
    <mergeCell ref="J71:K71"/>
    <mergeCell ref="J72:K72"/>
    <mergeCell ref="J73:K73"/>
    <mergeCell ref="J64:K64"/>
    <mergeCell ref="J65:K65"/>
    <mergeCell ref="J66:K66"/>
    <mergeCell ref="J40:K40"/>
    <mergeCell ref="J39:K39"/>
    <mergeCell ref="J41:K41"/>
    <mergeCell ref="J42:K42"/>
    <mergeCell ref="J69:K69"/>
    <mergeCell ref="J61:K61"/>
    <mergeCell ref="J58:K58"/>
    <mergeCell ref="J57:K57"/>
    <mergeCell ref="J56:K56"/>
    <mergeCell ref="J48:K48"/>
    <mergeCell ref="J47:K47"/>
    <mergeCell ref="J52:K52"/>
    <mergeCell ref="C69:D69"/>
    <mergeCell ref="C70:D70"/>
    <mergeCell ref="C71:D71"/>
    <mergeCell ref="C64:D64"/>
    <mergeCell ref="C56:D56"/>
    <mergeCell ref="C57:D57"/>
    <mergeCell ref="C58:D58"/>
    <mergeCell ref="C61:D61"/>
    <mergeCell ref="C47:D47"/>
    <mergeCell ref="C48:D48"/>
    <mergeCell ref="C52:D52"/>
    <mergeCell ref="C65:D65"/>
    <mergeCell ref="C66:D66"/>
    <mergeCell ref="B9:B10"/>
    <mergeCell ref="C23:D23"/>
    <mergeCell ref="C25:D25"/>
    <mergeCell ref="C10:D10"/>
    <mergeCell ref="A9:A10"/>
    <mergeCell ref="C9:L9"/>
    <mergeCell ref="J10:K10"/>
    <mergeCell ref="A79:F79"/>
    <mergeCell ref="J23:K23"/>
    <mergeCell ref="J24:K24"/>
    <mergeCell ref="J25:K25"/>
    <mergeCell ref="J26:K26"/>
    <mergeCell ref="J27:K27"/>
    <mergeCell ref="C39:D39"/>
    <mergeCell ref="C40:D40"/>
    <mergeCell ref="C41:D41"/>
    <mergeCell ref="C42:D42"/>
    <mergeCell ref="C27:D27"/>
    <mergeCell ref="C36:D36"/>
    <mergeCell ref="C26:D26"/>
    <mergeCell ref="C24:D24"/>
    <mergeCell ref="C72:D72"/>
    <mergeCell ref="C73:D73"/>
  </mergeCells>
  <pageMargins left="0.7" right="0.7" top="0.75" bottom="0.75" header="0.3" footer="0.3"/>
  <pageSetup paperSize="9" orientation="portrait" r:id="rId1"/>
  <ignoredErrors>
    <ignoredError sqref="B25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4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customWidth="1"/>
    <col min="2" max="12" width="18.7109375" customWidth="1"/>
  </cols>
  <sheetData>
    <row r="8" spans="1:13" ht="19.5" customHeight="1" x14ac:dyDescent="0.25"/>
    <row r="9" spans="1:13" s="3" customFormat="1" ht="15" customHeight="1" x14ac:dyDescent="0.35">
      <c r="A9" s="120" t="s">
        <v>0</v>
      </c>
      <c r="B9" s="110" t="s">
        <v>52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  <c r="M9" s="68"/>
    </row>
    <row r="10" spans="1:13" s="3" customFormat="1" ht="51.75" customHeight="1" thickBot="1" x14ac:dyDescent="0.4">
      <c r="A10" s="121"/>
      <c r="B10" s="111"/>
      <c r="C10" s="112" t="s">
        <v>1</v>
      </c>
      <c r="D10" s="112"/>
      <c r="E10" s="24" t="s">
        <v>44</v>
      </c>
      <c r="F10" s="24" t="s">
        <v>45</v>
      </c>
      <c r="G10" s="25" t="s">
        <v>46</v>
      </c>
      <c r="H10" s="25" t="s">
        <v>53</v>
      </c>
      <c r="I10" s="24" t="s">
        <v>50</v>
      </c>
      <c r="J10" s="114" t="s">
        <v>73</v>
      </c>
      <c r="K10" s="114"/>
      <c r="L10" s="24" t="s">
        <v>54</v>
      </c>
      <c r="M10" s="68"/>
    </row>
    <row r="11" spans="1:13" s="14" customFormat="1" ht="17.25" thickTop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</row>
    <row r="12" spans="1:13" s="14" customFormat="1" ht="17.25" x14ac:dyDescent="0.35">
      <c r="A12" s="27" t="s">
        <v>2</v>
      </c>
      <c r="B12" s="41"/>
      <c r="C12" s="41"/>
      <c r="D12" s="42"/>
      <c r="E12" s="42"/>
      <c r="F12" s="41"/>
      <c r="G12" s="41"/>
      <c r="H12" s="41"/>
      <c r="I12" s="41"/>
      <c r="J12" s="41"/>
      <c r="K12" s="41"/>
      <c r="L12" s="41"/>
      <c r="M12" s="41"/>
    </row>
    <row r="13" spans="1:13" s="14" customFormat="1" ht="16.5" x14ac:dyDescent="0.3">
      <c r="A13" s="23"/>
      <c r="B13" s="41"/>
      <c r="C13" s="41"/>
      <c r="D13" s="42"/>
      <c r="E13" s="42"/>
      <c r="F13" s="41"/>
      <c r="G13" s="41"/>
      <c r="H13" s="41"/>
      <c r="I13" s="41"/>
      <c r="J13" s="41"/>
      <c r="K13" s="41"/>
      <c r="L13" s="41"/>
      <c r="M13" s="41"/>
    </row>
    <row r="14" spans="1:13" s="14" customFormat="1" ht="17.25" x14ac:dyDescent="0.35">
      <c r="A14" s="27" t="s">
        <v>41</v>
      </c>
      <c r="B14" s="28" t="s">
        <v>57</v>
      </c>
      <c r="C14" s="28" t="s">
        <v>42</v>
      </c>
      <c r="D14" s="28" t="s">
        <v>43</v>
      </c>
      <c r="E14" s="28" t="s">
        <v>42</v>
      </c>
      <c r="F14" s="28" t="s">
        <v>42</v>
      </c>
      <c r="G14" s="28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  <c r="M14" s="41"/>
    </row>
    <row r="15" spans="1:13" s="14" customFormat="1" ht="16.5" x14ac:dyDescent="0.3">
      <c r="A15" s="30" t="s">
        <v>78</v>
      </c>
      <c r="B15" s="95">
        <v>317508</v>
      </c>
      <c r="C15" s="95">
        <v>152710</v>
      </c>
      <c r="D15" s="95">
        <v>197754</v>
      </c>
      <c r="E15" s="95">
        <v>1614</v>
      </c>
      <c r="F15" s="95">
        <v>154</v>
      </c>
      <c r="G15" s="95">
        <v>9787</v>
      </c>
      <c r="H15" s="95">
        <v>99197</v>
      </c>
      <c r="I15" s="95">
        <v>27608</v>
      </c>
      <c r="J15" s="95">
        <v>163919</v>
      </c>
      <c r="K15" s="93">
        <v>200039</v>
      </c>
      <c r="L15" s="93" t="s">
        <v>48</v>
      </c>
      <c r="M15" s="41"/>
    </row>
    <row r="16" spans="1:13" s="14" customFormat="1" ht="16.5" x14ac:dyDescent="0.3">
      <c r="A16" s="30" t="s">
        <v>115</v>
      </c>
      <c r="B16" s="95" t="str">
        <f>'III Trimestre'!B16</f>
        <v>n.d</v>
      </c>
      <c r="C16" s="95" t="str">
        <f>'III Trimestre'!C16</f>
        <v>n.d</v>
      </c>
      <c r="D16" s="95">
        <f>'III Trimestre'!D16</f>
        <v>136153</v>
      </c>
      <c r="E16" s="95">
        <f>'III Trimestre'!E16</f>
        <v>1894</v>
      </c>
      <c r="F16" s="95">
        <f>'III Trimestre'!F16</f>
        <v>204</v>
      </c>
      <c r="G16" s="95">
        <f>'III Trimestre'!G16</f>
        <v>8036</v>
      </c>
      <c r="H16" s="95">
        <f>'III Trimestre'!H16</f>
        <v>174000</v>
      </c>
      <c r="I16" s="95">
        <f>'III Trimestre'!I16</f>
        <v>26335</v>
      </c>
      <c r="J16" s="95" t="str">
        <f>'III Trimestre'!J16</f>
        <v xml:space="preserve">n.d. </v>
      </c>
      <c r="K16" s="95">
        <f>'III Trimestre'!K16</f>
        <v>80890</v>
      </c>
      <c r="L16" s="95" t="str">
        <f>'III Trimestre'!L16</f>
        <v>n.d.</v>
      </c>
      <c r="M16" s="41"/>
    </row>
    <row r="17" spans="1:13" s="14" customFormat="1" ht="16.5" x14ac:dyDescent="0.3">
      <c r="A17" s="30" t="s">
        <v>55</v>
      </c>
      <c r="B17" s="95">
        <f>+'I Trimestre'!B17+'II Trimestre'!B17+'III Trimestre'!B17</f>
        <v>2853232.9126399998</v>
      </c>
      <c r="C17" s="95" t="str">
        <f>'III Trimestre'!C17</f>
        <v>n.d</v>
      </c>
      <c r="D17" s="95">
        <f>+'I Trimestre'!D17+'II Trimestre'!D17+'III Trimestre'!D17</f>
        <v>1156265</v>
      </c>
      <c r="E17" s="95">
        <f>+'I Trimestre'!E17+'II Trimestre'!E17+'III Trimestre'!E17</f>
        <v>17043</v>
      </c>
      <c r="F17" s="95">
        <f>+'I Trimestre'!F17+'II Trimestre'!F17+'III Trimestre'!F17</f>
        <v>1212</v>
      </c>
      <c r="G17" s="95">
        <f>+'I Trimestre'!G17+'II Trimestre'!G17+'III Trimestre'!G17</f>
        <v>71952</v>
      </c>
      <c r="H17" s="95">
        <f>+'I Trimestre'!H17+'II Trimestre'!H17+'III Trimestre'!H17</f>
        <v>642407.91264</v>
      </c>
      <c r="I17" s="95">
        <f>+'I Trimestre'!I17+'II Trimestre'!I17+'III Trimestre'!I17</f>
        <v>236345</v>
      </c>
      <c r="J17" s="95" t="str">
        <f>'III Trimestre'!J17</f>
        <v xml:space="preserve">n.d. </v>
      </c>
      <c r="K17" s="95">
        <f>+'I Trimestre'!K17+'II Trimestre'!K17+'III Trimestre'!K17</f>
        <v>728008</v>
      </c>
      <c r="L17" s="95" t="str">
        <f>'III Trimestre'!L17</f>
        <v>n.d.</v>
      </c>
      <c r="M17" s="41"/>
    </row>
    <row r="18" spans="1:13" s="14" customFormat="1" ht="16.5" x14ac:dyDescent="0.3">
      <c r="A18" s="30" t="s">
        <v>116</v>
      </c>
      <c r="B18" s="95">
        <v>313492</v>
      </c>
      <c r="C18" s="95">
        <v>137169</v>
      </c>
      <c r="D18" s="95">
        <v>172308</v>
      </c>
      <c r="E18" s="95">
        <v>1413</v>
      </c>
      <c r="F18" s="95">
        <v>117</v>
      </c>
      <c r="G18" s="95">
        <v>8603</v>
      </c>
      <c r="H18" s="95">
        <v>111195</v>
      </c>
      <c r="I18" s="95">
        <v>24832</v>
      </c>
      <c r="J18" s="95">
        <v>163569</v>
      </c>
      <c r="K18" s="95">
        <v>215846</v>
      </c>
      <c r="L18" s="93" t="s">
        <v>48</v>
      </c>
      <c r="M18" s="41"/>
    </row>
    <row r="19" spans="1:13" s="14" customFormat="1" ht="16.5" x14ac:dyDescent="0.3">
      <c r="A19" s="30" t="s">
        <v>55</v>
      </c>
      <c r="B19" s="95">
        <f>+'I Trimestre'!B19+'II Trimestre'!B19+'III Trimestre'!B19</f>
        <v>3947540</v>
      </c>
      <c r="C19" s="95" t="str">
        <f>'III Trimestre'!C19</f>
        <v>n.d</v>
      </c>
      <c r="D19" s="95">
        <f>+'I Trimestre'!D19+'II Trimestre'!D19+'III Trimestre'!D19</f>
        <v>1329758</v>
      </c>
      <c r="E19" s="95">
        <f>+'I Trimestre'!E19+'II Trimestre'!E19+'III Trimestre'!E19</f>
        <v>10818</v>
      </c>
      <c r="F19" s="95">
        <f>+'I Trimestre'!F19+'II Trimestre'!F19+'III Trimestre'!F19</f>
        <v>635</v>
      </c>
      <c r="G19" s="95">
        <f>+'I Trimestre'!G19+'II Trimestre'!G19+'III Trimestre'!G19</f>
        <v>70281</v>
      </c>
      <c r="H19" s="95">
        <f>+'I Trimestre'!H19+'II Trimestre'!H19+'III Trimestre'!H19</f>
        <v>623676</v>
      </c>
      <c r="I19" s="95">
        <f>+'I Trimestre'!I19+'II Trimestre'!I19+'III Trimestre'!I19</f>
        <v>187957</v>
      </c>
      <c r="J19" s="95" t="str">
        <f>'III Trimestre'!J19</f>
        <v xml:space="preserve">n.d. </v>
      </c>
      <c r="K19" s="95">
        <f>+'I Trimestre'!K19+'II Trimestre'!K19+'III Trimestre'!K19</f>
        <v>1724415</v>
      </c>
      <c r="L19" s="95" t="str">
        <f>'III Trimestre'!L19</f>
        <v>n.d.</v>
      </c>
      <c r="M19" s="41"/>
    </row>
    <row r="20" spans="1:13" s="14" customFormat="1" ht="16.5" x14ac:dyDescent="0.3">
      <c r="A20" s="30" t="s">
        <v>90</v>
      </c>
      <c r="B20" s="95" t="str">
        <f>'III Trimestre'!B20</f>
        <v>n.d</v>
      </c>
      <c r="C20" s="95" t="str">
        <f>'III Trimestre'!C20</f>
        <v>n.d</v>
      </c>
      <c r="D20" s="95">
        <f>'III Trimestre'!D20</f>
        <v>136153</v>
      </c>
      <c r="E20" s="95">
        <f>'III Trimestre'!E20</f>
        <v>1894</v>
      </c>
      <c r="F20" s="95">
        <f>'III Trimestre'!F20</f>
        <v>207</v>
      </c>
      <c r="G20" s="95">
        <f>'III Trimestre'!G20</f>
        <v>8036</v>
      </c>
      <c r="H20" s="95">
        <f>'III Trimestre'!H20</f>
        <v>174350</v>
      </c>
      <c r="I20" s="95">
        <f>'III Trimestre'!I20</f>
        <v>26335</v>
      </c>
      <c r="J20" s="95" t="str">
        <f>'III Trimestre'!J20</f>
        <v xml:space="preserve">n.d. </v>
      </c>
      <c r="K20" s="95">
        <f>'III Trimestre'!K20</f>
        <v>80890</v>
      </c>
      <c r="L20" s="95" t="str">
        <f>'III Trimestre'!L20</f>
        <v>n.d.</v>
      </c>
      <c r="M20" s="41"/>
    </row>
    <row r="21" spans="1:13" s="14" customFormat="1" ht="16.5" x14ac:dyDescent="0.3">
      <c r="A21" s="23"/>
      <c r="B21" s="95"/>
      <c r="C21" s="95"/>
      <c r="D21" s="95"/>
      <c r="E21" s="95"/>
      <c r="F21" s="95"/>
      <c r="G21" s="95"/>
      <c r="H21" s="95"/>
      <c r="I21" s="95"/>
      <c r="J21" s="95"/>
      <c r="K21" s="54"/>
      <c r="L21" s="54"/>
      <c r="M21" s="41"/>
    </row>
    <row r="22" spans="1:13" s="14" customFormat="1" ht="17.25" x14ac:dyDescent="0.35">
      <c r="A22" s="32" t="s">
        <v>3</v>
      </c>
      <c r="B22" s="95"/>
      <c r="C22" s="95"/>
      <c r="D22" s="95"/>
      <c r="E22" s="95"/>
      <c r="F22" s="95"/>
      <c r="G22" s="95"/>
      <c r="H22" s="95"/>
      <c r="I22" s="95"/>
      <c r="J22" s="95"/>
      <c r="K22" s="54"/>
      <c r="L22" s="54"/>
      <c r="M22" s="41"/>
    </row>
    <row r="23" spans="1:13" s="14" customFormat="1" ht="16.5" x14ac:dyDescent="0.3">
      <c r="A23" s="30" t="s">
        <v>78</v>
      </c>
      <c r="B23" s="95">
        <f>+C23+E23+F23+G23+H23+I23+J23+L23</f>
        <v>107526076517.3</v>
      </c>
      <c r="C23" s="117">
        <f>'I Trimestre'!C23:D23+'II Trimestre'!C23:D23+'III Trimestre'!C23:D23</f>
        <v>40062800000</v>
      </c>
      <c r="D23" s="117"/>
      <c r="E23" s="95">
        <f>'I Trimestre'!E23+'II Trimestre'!E23+'III Trimestre'!E23</f>
        <v>691551100</v>
      </c>
      <c r="F23" s="95">
        <f>'I Trimestre'!F23+'II Trimestre'!F23+'III Trimestre'!F23</f>
        <v>184907600</v>
      </c>
      <c r="G23" s="95">
        <f>'I Trimestre'!G23+'II Trimestre'!G23+'III Trimestre'!G23</f>
        <v>5376648390</v>
      </c>
      <c r="H23" s="95">
        <f>'I Trimestre'!H23+'II Trimestre'!H23+'III Trimestre'!H23</f>
        <v>33293577539</v>
      </c>
      <c r="I23" s="95">
        <f>'I Trimestre'!I23+'II Trimestre'!I23+'III Trimestre'!I23</f>
        <v>23946903797.000004</v>
      </c>
      <c r="J23" s="117">
        <f>'III Trimestre'!J23</f>
        <v>3806609000</v>
      </c>
      <c r="K23" s="117"/>
      <c r="L23" s="95">
        <f>+'I Trimestre'!L23+'II Trimestre'!L23+'III Trimestre'!L23</f>
        <v>163079091.29999998</v>
      </c>
      <c r="M23" s="41"/>
    </row>
    <row r="24" spans="1:13" s="14" customFormat="1" ht="16.5" x14ac:dyDescent="0.3">
      <c r="A24" s="30" t="s">
        <v>115</v>
      </c>
      <c r="B24" s="95">
        <f>+C24+E24+F24+G24+H24+I24+J24</f>
        <v>134855860448</v>
      </c>
      <c r="C24" s="117">
        <f>'I Trimestre'!C24:D24+'II Trimestre'!C24:D24+'III Trimestre'!C24:D24</f>
        <v>40469275000</v>
      </c>
      <c r="D24" s="117"/>
      <c r="E24" s="95">
        <f>'I Trimestre'!E24+'II Trimestre'!E24+'III Trimestre'!E24</f>
        <v>1329354000</v>
      </c>
      <c r="F24" s="95">
        <f>'I Trimestre'!F24+'II Trimestre'!F24+'III Trimestre'!F24</f>
        <v>378144000</v>
      </c>
      <c r="G24" s="95">
        <f>'I Trimestre'!G24+'II Trimestre'!G24+'III Trimestre'!G24</f>
        <v>5396400000</v>
      </c>
      <c r="H24" s="95">
        <f>'I Trimestre'!H24+'II Trimestre'!H24+'III Trimestre'!H24</f>
        <v>48180593448</v>
      </c>
      <c r="I24" s="95">
        <f>'I Trimestre'!I24+'II Trimestre'!I24+'III Trimestre'!I24</f>
        <v>25997950000</v>
      </c>
      <c r="J24" s="117">
        <f>+'I Trimestre'!J24:K24+'II Trimestre'!J24:K24+'III Trimestre'!J24:K24</f>
        <v>13104144000</v>
      </c>
      <c r="K24" s="117"/>
      <c r="L24" s="95" t="s">
        <v>48</v>
      </c>
      <c r="M24" s="41"/>
    </row>
    <row r="25" spans="1:13" s="14" customFormat="1" ht="16.5" x14ac:dyDescent="0.3">
      <c r="A25" s="30" t="s">
        <v>116</v>
      </c>
      <c r="B25" s="95">
        <f>+C25+E25+F25+G25+H25+I25+J25+L25</f>
        <v>118325574773.05</v>
      </c>
      <c r="C25" s="117">
        <f>'I Trimestre'!C25:D25+'II Trimestre'!C25:D25+'III Trimestre'!C25:D25</f>
        <v>35624629000</v>
      </c>
      <c r="D25" s="117"/>
      <c r="E25" s="95">
        <f>'I Trimestre'!E25+'II Trimestre'!E25+'III Trimestre'!E25</f>
        <v>1123108220</v>
      </c>
      <c r="F25" s="95">
        <f>'I Trimestre'!F25+'II Trimestre'!F25+'III Trimestre'!F25</f>
        <v>159269500</v>
      </c>
      <c r="G25" s="95">
        <f>'I Trimestre'!G25+'II Trimestre'!G25+'III Trimestre'!G25</f>
        <v>5377020293</v>
      </c>
      <c r="H25" s="95">
        <f>'I Trimestre'!H25+'II Trimestre'!H25+'III Trimestre'!H25</f>
        <v>41062163290.050003</v>
      </c>
      <c r="I25" s="95">
        <f>'I Trimestre'!I25+'II Trimestre'!I25+'III Trimestre'!I25</f>
        <v>24370335470.000004</v>
      </c>
      <c r="J25" s="117">
        <f>+'I Trimestre'!J25:K25+'II Trimestre'!J25:K25+'III Trimestre'!J25:K25</f>
        <v>10259049000</v>
      </c>
      <c r="K25" s="117"/>
      <c r="L25" s="95">
        <f>+'I Trimestre'!L25+'III Trimestre'!L25</f>
        <v>350000000</v>
      </c>
      <c r="M25" s="41"/>
    </row>
    <row r="26" spans="1:13" s="14" customFormat="1" ht="16.5" x14ac:dyDescent="0.3">
      <c r="A26" s="30" t="s">
        <v>90</v>
      </c>
      <c r="B26" s="95">
        <f>+C26+E26+F26+G26+H26+I26+J26</f>
        <v>155613604488</v>
      </c>
      <c r="C26" s="117">
        <f>'III Trimestre'!C26</f>
        <v>49999985000</v>
      </c>
      <c r="D26" s="117"/>
      <c r="E26" s="95">
        <f>'III Trimestre'!E26</f>
        <v>1624818000</v>
      </c>
      <c r="F26" s="95">
        <f>'III Trimestre'!F26</f>
        <v>569999040</v>
      </c>
      <c r="G26" s="95">
        <f>'III Trimestre'!G26</f>
        <v>7204500000</v>
      </c>
      <c r="H26" s="95">
        <f>'III Trimestre'!H26</f>
        <v>54200168448</v>
      </c>
      <c r="I26" s="95">
        <f>'III Trimestre'!I26</f>
        <v>25997950000</v>
      </c>
      <c r="J26" s="117">
        <f>'III Trimestre'!J26</f>
        <v>16016184000</v>
      </c>
      <c r="K26" s="117"/>
      <c r="L26" s="95" t="str">
        <f>'III Trimestre'!L26</f>
        <v>n.d.</v>
      </c>
      <c r="M26" s="41"/>
    </row>
    <row r="27" spans="1:13" s="14" customFormat="1" ht="16.5" x14ac:dyDescent="0.3">
      <c r="A27" s="30" t="s">
        <v>117</v>
      </c>
      <c r="B27" s="95">
        <f>+C27+E27+F27+G27+H27+I27+J27+L27</f>
        <v>118325574773.05</v>
      </c>
      <c r="C27" s="117">
        <f>C25</f>
        <v>35624629000</v>
      </c>
      <c r="D27" s="117"/>
      <c r="E27" s="95">
        <f t="shared" ref="E27:J27" si="0">E25</f>
        <v>1123108220</v>
      </c>
      <c r="F27" s="95">
        <f t="shared" si="0"/>
        <v>159269500</v>
      </c>
      <c r="G27" s="95">
        <f t="shared" si="0"/>
        <v>5377020293</v>
      </c>
      <c r="H27" s="95">
        <f t="shared" si="0"/>
        <v>41062163290.050003</v>
      </c>
      <c r="I27" s="95">
        <f t="shared" si="0"/>
        <v>24370335470.000004</v>
      </c>
      <c r="J27" s="117">
        <f t="shared" si="0"/>
        <v>10259049000</v>
      </c>
      <c r="K27" s="117"/>
      <c r="L27" s="95">
        <f t="shared" ref="L27" si="1">L25</f>
        <v>350000000</v>
      </c>
      <c r="M27" s="41"/>
    </row>
    <row r="28" spans="1:13" s="14" customFormat="1" ht="16.5" x14ac:dyDescent="0.3">
      <c r="A28" s="23"/>
      <c r="B28" s="95"/>
      <c r="C28" s="95"/>
      <c r="D28" s="95"/>
      <c r="E28" s="95"/>
      <c r="F28" s="95"/>
      <c r="G28" s="95"/>
      <c r="H28" s="95"/>
      <c r="I28" s="95"/>
      <c r="J28" s="95"/>
      <c r="K28" s="54"/>
      <c r="L28" s="54"/>
      <c r="M28" s="41"/>
    </row>
    <row r="29" spans="1:13" s="14" customFormat="1" ht="17.25" x14ac:dyDescent="0.35">
      <c r="A29" s="32" t="s">
        <v>4</v>
      </c>
      <c r="B29" s="95"/>
      <c r="C29" s="95"/>
      <c r="D29" s="95"/>
      <c r="E29" s="95"/>
      <c r="F29" s="95"/>
      <c r="G29" s="95"/>
      <c r="H29" s="95"/>
      <c r="I29" s="95"/>
      <c r="J29" s="95"/>
      <c r="K29" s="54"/>
      <c r="L29" s="54"/>
      <c r="M29" s="41"/>
    </row>
    <row r="30" spans="1:13" s="14" customFormat="1" ht="16.5" x14ac:dyDescent="0.3">
      <c r="A30" s="30" t="s">
        <v>115</v>
      </c>
      <c r="B30" s="95">
        <f>'I Trimestre'!B30+'II Trimestre'!B30+'III Trimestre'!B30</f>
        <v>134855860448</v>
      </c>
      <c r="C30" s="95"/>
      <c r="D30" s="95"/>
      <c r="E30" s="95"/>
      <c r="F30" s="95"/>
      <c r="G30" s="95"/>
      <c r="H30" s="95"/>
      <c r="I30" s="95"/>
      <c r="J30" s="95"/>
      <c r="K30" s="54"/>
      <c r="L30" s="54"/>
      <c r="M30" s="41"/>
    </row>
    <row r="31" spans="1:13" s="14" customFormat="1" ht="16.5" x14ac:dyDescent="0.3">
      <c r="A31" s="30" t="s">
        <v>116</v>
      </c>
      <c r="B31" s="95">
        <f>'I Trimestre'!B31+'II Trimestre'!B31+'III Trimestre'!B31</f>
        <v>128707821860.95999</v>
      </c>
      <c r="C31" s="95"/>
      <c r="D31" s="95"/>
      <c r="E31" s="95"/>
      <c r="F31" s="95"/>
      <c r="G31" s="95"/>
      <c r="H31" s="95"/>
      <c r="I31" s="95"/>
      <c r="J31" s="95"/>
      <c r="K31" s="54"/>
      <c r="L31" s="54"/>
      <c r="M31" s="41"/>
    </row>
    <row r="32" spans="1:13" s="2" customFormat="1" ht="16.5" x14ac:dyDescent="0.3">
      <c r="A32" s="23"/>
      <c r="B32" s="55"/>
      <c r="C32" s="55"/>
      <c r="D32" s="55"/>
      <c r="E32" s="55"/>
      <c r="F32" s="55"/>
      <c r="G32" s="55"/>
      <c r="H32" s="55"/>
      <c r="I32" s="55"/>
      <c r="J32" s="55"/>
      <c r="K32" s="61"/>
      <c r="L32" s="61"/>
      <c r="M32" s="41"/>
    </row>
    <row r="33" spans="1:13" s="2" customFormat="1" ht="17.25" x14ac:dyDescent="0.35">
      <c r="A33" s="27" t="s">
        <v>5</v>
      </c>
      <c r="B33" s="55"/>
      <c r="C33" s="55"/>
      <c r="D33" s="55"/>
      <c r="E33" s="55"/>
      <c r="F33" s="55"/>
      <c r="G33" s="55"/>
      <c r="H33" s="55"/>
      <c r="I33" s="55"/>
      <c r="J33" s="55"/>
      <c r="K33" s="61"/>
      <c r="L33" s="61"/>
      <c r="M33" s="41"/>
    </row>
    <row r="34" spans="1:13" s="2" customFormat="1" ht="16.5" x14ac:dyDescent="0.3">
      <c r="A34" s="30" t="s">
        <v>79</v>
      </c>
      <c r="B34" s="62">
        <v>1.060947463</v>
      </c>
      <c r="C34" s="62">
        <v>1.060947463</v>
      </c>
      <c r="D34" s="62">
        <v>1.060947463</v>
      </c>
      <c r="E34" s="62">
        <v>1.060947463</v>
      </c>
      <c r="F34" s="62">
        <v>1.060947463</v>
      </c>
      <c r="G34" s="62">
        <v>1.060947463</v>
      </c>
      <c r="H34" s="62">
        <v>1.060947463</v>
      </c>
      <c r="I34" s="62">
        <v>1.060947463</v>
      </c>
      <c r="J34" s="62">
        <v>1.060947463</v>
      </c>
      <c r="K34" s="62">
        <v>1.060947463</v>
      </c>
      <c r="L34" s="62">
        <v>1.060947463</v>
      </c>
      <c r="M34" s="41"/>
    </row>
    <row r="35" spans="1:13" s="2" customFormat="1" ht="16.5" x14ac:dyDescent="0.3">
      <c r="A35" s="30" t="s">
        <v>118</v>
      </c>
      <c r="B35" s="62">
        <v>1.0641</v>
      </c>
      <c r="C35" s="62">
        <v>1.0641</v>
      </c>
      <c r="D35" s="62">
        <v>1.0641</v>
      </c>
      <c r="E35" s="62">
        <v>1.0641</v>
      </c>
      <c r="F35" s="62">
        <v>1.0641</v>
      </c>
      <c r="G35" s="62">
        <v>1.0641</v>
      </c>
      <c r="H35" s="62">
        <v>1.0641</v>
      </c>
      <c r="I35" s="62">
        <v>1.0641</v>
      </c>
      <c r="J35" s="62">
        <v>1.0641</v>
      </c>
      <c r="K35" s="62">
        <v>1.0641</v>
      </c>
      <c r="L35" s="62">
        <v>1.0641</v>
      </c>
      <c r="M35" s="41"/>
    </row>
    <row r="36" spans="1:13" s="14" customFormat="1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  <c r="M36" s="41"/>
    </row>
    <row r="37" spans="1:13" ht="16.5" x14ac:dyDescent="0.3">
      <c r="A37" s="23"/>
      <c r="B37" s="63"/>
      <c r="C37" s="63"/>
      <c r="D37" s="63"/>
      <c r="E37" s="63"/>
      <c r="F37" s="69"/>
      <c r="G37" s="69"/>
      <c r="H37" s="69"/>
      <c r="I37" s="69"/>
      <c r="J37" s="69"/>
      <c r="K37" s="69"/>
      <c r="L37" s="69"/>
      <c r="M37" s="50"/>
    </row>
    <row r="38" spans="1:13" s="2" customFormat="1" ht="17.25" x14ac:dyDescent="0.35">
      <c r="A38" s="27" t="s">
        <v>7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41"/>
    </row>
    <row r="39" spans="1:13" s="14" customFormat="1" ht="16.5" x14ac:dyDescent="0.3">
      <c r="A39" s="23" t="s">
        <v>80</v>
      </c>
      <c r="B39" s="97">
        <f>B23/B34</f>
        <v>101349105650.57829</v>
      </c>
      <c r="C39" s="118">
        <f>C23/C34</f>
        <v>37761342005.301537</v>
      </c>
      <c r="D39" s="118"/>
      <c r="E39" s="97">
        <f>E23/E34</f>
        <v>651824076.23137891</v>
      </c>
      <c r="F39" s="97">
        <f t="shared" ref="F39:I39" si="2">F23/F34</f>
        <v>174285350.07486984</v>
      </c>
      <c r="G39" s="97">
        <f t="shared" si="2"/>
        <v>5067780052.7432899</v>
      </c>
      <c r="H39" s="97">
        <f t="shared" si="2"/>
        <v>31380986052.652451</v>
      </c>
      <c r="I39" s="97">
        <f t="shared" si="2"/>
        <v>22571243753.471329</v>
      </c>
      <c r="J39" s="118">
        <f>J23/J34</f>
        <v>3587933552.5589547</v>
      </c>
      <c r="K39" s="118"/>
      <c r="L39" s="97">
        <f t="shared" ref="L39" si="3">L23/L34</f>
        <v>153710807.54448253</v>
      </c>
      <c r="M39" s="64"/>
    </row>
    <row r="40" spans="1:13" s="14" customFormat="1" ht="16.5" x14ac:dyDescent="0.3">
      <c r="A40" s="23" t="s">
        <v>119</v>
      </c>
      <c r="B40" s="97">
        <f>B25/B35</f>
        <v>111197796046.47119</v>
      </c>
      <c r="C40" s="118">
        <f>C25/C35</f>
        <v>33478647683.488392</v>
      </c>
      <c r="D40" s="118"/>
      <c r="E40" s="97">
        <f>E25/E35</f>
        <v>1055453641.5750399</v>
      </c>
      <c r="F40" s="97">
        <f t="shared" ref="F40:I40" si="4">F25/F35</f>
        <v>149675312.47063246</v>
      </c>
      <c r="G40" s="97">
        <f t="shared" si="4"/>
        <v>5053115584.0616484</v>
      </c>
      <c r="H40" s="97">
        <f t="shared" si="4"/>
        <v>38588631980.124046</v>
      </c>
      <c r="I40" s="97">
        <f t="shared" si="4"/>
        <v>22902298158.067852</v>
      </c>
      <c r="J40" s="118">
        <f>J25/J35</f>
        <v>9641057231.4632072</v>
      </c>
      <c r="K40" s="118"/>
      <c r="L40" s="97">
        <f t="shared" ref="L40" si="5">L25/L35</f>
        <v>328916455.22037399</v>
      </c>
      <c r="M40" s="64"/>
    </row>
    <row r="41" spans="1:13" s="14" customFormat="1" ht="16.5" x14ac:dyDescent="0.3">
      <c r="A41" s="23" t="s">
        <v>81</v>
      </c>
      <c r="B41" s="97">
        <f>B39/B15</f>
        <v>319201.73869816918</v>
      </c>
      <c r="C41" s="118">
        <f>C39/D15</f>
        <v>190951.09077592127</v>
      </c>
      <c r="D41" s="118"/>
      <c r="E41" s="97">
        <f>E39/E15</f>
        <v>403856.30497607117</v>
      </c>
      <c r="F41" s="97">
        <f t="shared" ref="F41:I41" si="6">F39/F15</f>
        <v>1131723.0524342197</v>
      </c>
      <c r="G41" s="97">
        <f t="shared" si="6"/>
        <v>517807.3007809635</v>
      </c>
      <c r="H41" s="97">
        <f t="shared" si="6"/>
        <v>316350.15224908467</v>
      </c>
      <c r="I41" s="97">
        <f t="shared" si="6"/>
        <v>817561.71231061034</v>
      </c>
      <c r="J41" s="100">
        <f>J39/K15</f>
        <v>17936.170209603901</v>
      </c>
      <c r="K41" s="100"/>
      <c r="L41" s="87" t="s">
        <v>48</v>
      </c>
      <c r="M41" s="70"/>
    </row>
    <row r="42" spans="1:13" s="14" customFormat="1" ht="16.5" x14ac:dyDescent="0.3">
      <c r="A42" s="23" t="s">
        <v>120</v>
      </c>
      <c r="B42" s="97">
        <f>B40/B18</f>
        <v>354706.96555724292</v>
      </c>
      <c r="C42" s="118">
        <f>C40/D18</f>
        <v>194295.37620707334</v>
      </c>
      <c r="D42" s="118"/>
      <c r="E42" s="97">
        <f>E40/E18</f>
        <v>746959.40663484775</v>
      </c>
      <c r="F42" s="97">
        <f t="shared" ref="F42:I42" si="7">F40/F18</f>
        <v>1279276.1749626705</v>
      </c>
      <c r="G42" s="97">
        <f t="shared" si="7"/>
        <v>587366.68418710318</v>
      </c>
      <c r="H42" s="97">
        <f t="shared" si="7"/>
        <v>347035.67588582262</v>
      </c>
      <c r="I42" s="97">
        <f t="shared" si="7"/>
        <v>922289.71319538704</v>
      </c>
      <c r="J42" s="100">
        <f>J40/K18</f>
        <v>44666.369687013925</v>
      </c>
      <c r="K42" s="100"/>
      <c r="L42" s="87" t="s">
        <v>48</v>
      </c>
      <c r="M42" s="70"/>
    </row>
    <row r="43" spans="1:13" s="14" customFormat="1" ht="16.5" x14ac:dyDescent="0.3">
      <c r="A43" s="23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3" s="14" customFormat="1" ht="17.25" x14ac:dyDescent="0.35">
      <c r="A44" s="27" t="s">
        <v>8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3" s="14" customFormat="1" ht="16.5" x14ac:dyDescent="0.3">
      <c r="A45" s="23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</row>
    <row r="46" spans="1:13" s="14" customFormat="1" ht="17.25" x14ac:dyDescent="0.35">
      <c r="A46" s="27" t="s">
        <v>9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</row>
    <row r="47" spans="1:13" s="14" customFormat="1" ht="16.5" x14ac:dyDescent="0.3">
      <c r="A47" s="23" t="s">
        <v>10</v>
      </c>
      <c r="B47" s="92" t="s">
        <v>56</v>
      </c>
      <c r="C47" s="119">
        <f>D16/C36*100</f>
        <v>79.65517644856314</v>
      </c>
      <c r="D47" s="119"/>
      <c r="E47" s="96">
        <f>E16/E36*100</f>
        <v>1.3439391466625037</v>
      </c>
      <c r="F47" s="92" t="s">
        <v>48</v>
      </c>
      <c r="G47" s="96">
        <f t="shared" ref="G47" si="8">G16/G36*100</f>
        <v>8.6840000864509719</v>
      </c>
      <c r="H47" s="92" t="s">
        <v>56</v>
      </c>
      <c r="I47" s="92" t="s">
        <v>56</v>
      </c>
      <c r="J47" s="101" t="s">
        <v>56</v>
      </c>
      <c r="K47" s="101"/>
      <c r="L47" s="92" t="s">
        <v>56</v>
      </c>
      <c r="M47" s="70"/>
    </row>
    <row r="48" spans="1:13" s="14" customFormat="1" ht="16.5" x14ac:dyDescent="0.3">
      <c r="A48" s="23" t="s">
        <v>11</v>
      </c>
      <c r="B48" s="92">
        <f>(B18/B36)*100</f>
        <v>81.574599077285768</v>
      </c>
      <c r="C48" s="101">
        <f>(D18/C36)*100</f>
        <v>100.80735748385285</v>
      </c>
      <c r="D48" s="101"/>
      <c r="E48" s="96">
        <f>E18/E36*100</f>
        <v>1.0026325312746136</v>
      </c>
      <c r="F48" s="92" t="s">
        <v>48</v>
      </c>
      <c r="G48" s="96">
        <f t="shared" ref="G48" si="9">G18/G36*100</f>
        <v>9.2967213469061356</v>
      </c>
      <c r="H48" s="92" t="s">
        <v>56</v>
      </c>
      <c r="I48" s="92" t="s">
        <v>56</v>
      </c>
      <c r="J48" s="101" t="s">
        <v>56</v>
      </c>
      <c r="K48" s="101"/>
      <c r="L48" s="92" t="s">
        <v>56</v>
      </c>
      <c r="M48" s="70"/>
    </row>
    <row r="49" spans="1:13" s="14" customFormat="1" ht="16.5" x14ac:dyDescent="0.3">
      <c r="A49" s="23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65"/>
    </row>
    <row r="50" spans="1:13" s="14" customFormat="1" ht="17.25" x14ac:dyDescent="0.35">
      <c r="A50" s="27" t="s">
        <v>12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65"/>
    </row>
    <row r="51" spans="1:13" s="14" customFormat="1" ht="16.5" x14ac:dyDescent="0.3">
      <c r="A51" s="23" t="s">
        <v>13</v>
      </c>
      <c r="B51" s="92" t="s">
        <v>56</v>
      </c>
      <c r="C51" s="92" t="s">
        <v>56</v>
      </c>
      <c r="D51" s="91">
        <f>D18/D16*100</f>
        <v>126.55468480312591</v>
      </c>
      <c r="E51" s="96">
        <f>E18/E16*100</f>
        <v>74.604012671594518</v>
      </c>
      <c r="F51" s="96">
        <f t="shared" ref="F51:I51" si="10">F18/F16*100</f>
        <v>57.352941176470587</v>
      </c>
      <c r="G51" s="96">
        <f t="shared" si="10"/>
        <v>107.05574912891987</v>
      </c>
      <c r="H51" s="96">
        <f t="shared" si="10"/>
        <v>63.905172413793096</v>
      </c>
      <c r="I51" s="96">
        <f t="shared" si="10"/>
        <v>94.292766280615155</v>
      </c>
      <c r="J51" s="92" t="s">
        <v>56</v>
      </c>
      <c r="K51" s="92">
        <f>K18/K16*100</f>
        <v>266.83891704784276</v>
      </c>
      <c r="L51" s="92" t="s">
        <v>56</v>
      </c>
      <c r="M51" s="70"/>
    </row>
    <row r="52" spans="1:13" s="14" customFormat="1" ht="16.5" x14ac:dyDescent="0.3">
      <c r="A52" s="23" t="s">
        <v>14</v>
      </c>
      <c r="B52" s="96">
        <f>B25/B24*100</f>
        <v>87.742256346861524</v>
      </c>
      <c r="C52" s="107">
        <f>C25/C24*100</f>
        <v>88.028829278508198</v>
      </c>
      <c r="D52" s="107"/>
      <c r="E52" s="96">
        <f>E25/E24*100</f>
        <v>84.485262766727303</v>
      </c>
      <c r="F52" s="96">
        <f t="shared" ref="F52:I52" si="11">F25/F24*100</f>
        <v>42.118743124312431</v>
      </c>
      <c r="G52" s="96">
        <f t="shared" si="11"/>
        <v>99.640877121784897</v>
      </c>
      <c r="H52" s="96">
        <f t="shared" si="11"/>
        <v>85.225524119721101</v>
      </c>
      <c r="I52" s="96">
        <f t="shared" si="11"/>
        <v>93.739450495135216</v>
      </c>
      <c r="J52" s="101">
        <f>J25/J24*100</f>
        <v>78.288585656567875</v>
      </c>
      <c r="K52" s="101"/>
      <c r="L52" s="92" t="s">
        <v>56</v>
      </c>
      <c r="M52" s="70"/>
    </row>
    <row r="53" spans="1:13" s="14" customFormat="1" ht="16.5" x14ac:dyDescent="0.3">
      <c r="A53" s="23" t="s">
        <v>15</v>
      </c>
      <c r="B53" s="92" t="s">
        <v>56</v>
      </c>
      <c r="C53" s="92" t="s">
        <v>56</v>
      </c>
      <c r="D53" s="91">
        <f>AVERAGE(D51,C52)</f>
        <v>107.29175704081706</v>
      </c>
      <c r="E53" s="96">
        <f>AVERAGE(E51:E52)</f>
        <v>79.544637719160903</v>
      </c>
      <c r="F53" s="96">
        <f t="shared" ref="F53:I53" si="12">AVERAGE(F51:F52)</f>
        <v>49.735842150391505</v>
      </c>
      <c r="G53" s="96">
        <f t="shared" si="12"/>
        <v>103.34831312535238</v>
      </c>
      <c r="H53" s="96">
        <f t="shared" si="12"/>
        <v>74.565348266757098</v>
      </c>
      <c r="I53" s="96">
        <f t="shared" si="12"/>
        <v>94.016108387875192</v>
      </c>
      <c r="J53" s="92" t="s">
        <v>56</v>
      </c>
      <c r="K53" s="92">
        <f>AVERAGE(K51,J52)</f>
        <v>172.56375135220532</v>
      </c>
      <c r="L53" s="92" t="s">
        <v>56</v>
      </c>
      <c r="M53" s="70"/>
    </row>
    <row r="54" spans="1:13" s="14" customFormat="1" ht="16.5" x14ac:dyDescent="0.3">
      <c r="A54" s="23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65"/>
    </row>
    <row r="55" spans="1:13" s="14" customFormat="1" ht="17.25" x14ac:dyDescent="0.35">
      <c r="A55" s="27" t="s">
        <v>16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65"/>
    </row>
    <row r="56" spans="1:13" s="14" customFormat="1" ht="16.5" x14ac:dyDescent="0.3">
      <c r="A56" s="23" t="s">
        <v>17</v>
      </c>
      <c r="B56" s="92" t="s">
        <v>56</v>
      </c>
      <c r="C56" s="119">
        <f>D18/D20*100</f>
        <v>126.55468480312591</v>
      </c>
      <c r="D56" s="119"/>
      <c r="E56" s="96">
        <f>E18/E20*100</f>
        <v>74.604012671594518</v>
      </c>
      <c r="F56" s="96">
        <f t="shared" ref="F56:I56" si="13">F18/F20*100</f>
        <v>56.521739130434781</v>
      </c>
      <c r="G56" s="96">
        <f t="shared" si="13"/>
        <v>107.05574912891987</v>
      </c>
      <c r="H56" s="96">
        <f t="shared" si="13"/>
        <v>63.776885574992825</v>
      </c>
      <c r="I56" s="96">
        <f t="shared" si="13"/>
        <v>94.292766280615155</v>
      </c>
      <c r="J56" s="101">
        <f>K18/K20*100</f>
        <v>266.83891704784276</v>
      </c>
      <c r="K56" s="101"/>
      <c r="L56" s="92" t="s">
        <v>56</v>
      </c>
      <c r="M56" s="70"/>
    </row>
    <row r="57" spans="1:13" s="14" customFormat="1" ht="16.5" x14ac:dyDescent="0.3">
      <c r="A57" s="23" t="s">
        <v>18</v>
      </c>
      <c r="B57" s="96">
        <f>B25/B26*100</f>
        <v>76.03806567064936</v>
      </c>
      <c r="C57" s="119">
        <f>C25/C26*100</f>
        <v>71.249279374783811</v>
      </c>
      <c r="D57" s="119"/>
      <c r="E57" s="96">
        <f>E25/E26*100</f>
        <v>69.122093674491552</v>
      </c>
      <c r="F57" s="96">
        <f t="shared" ref="F57:I57" si="14">F25/F26*100</f>
        <v>27.942064604178984</v>
      </c>
      <c r="G57" s="96">
        <f t="shared" si="14"/>
        <v>74.63419103338191</v>
      </c>
      <c r="H57" s="96">
        <f t="shared" si="14"/>
        <v>75.760213419715313</v>
      </c>
      <c r="I57" s="96">
        <f t="shared" si="14"/>
        <v>93.739450495135216</v>
      </c>
      <c r="J57" s="101">
        <f>J25/J26*100</f>
        <v>64.054265360587763</v>
      </c>
      <c r="K57" s="101"/>
      <c r="L57" s="92" t="s">
        <v>56</v>
      </c>
      <c r="M57" s="70"/>
    </row>
    <row r="58" spans="1:13" s="14" customFormat="1" ht="16.5" x14ac:dyDescent="0.3">
      <c r="A58" s="23" t="s">
        <v>19</v>
      </c>
      <c r="B58" s="92" t="s">
        <v>56</v>
      </c>
      <c r="C58" s="119">
        <f>+(C56+C57)/2</f>
        <v>98.901982088954867</v>
      </c>
      <c r="D58" s="119"/>
      <c r="E58" s="96">
        <f>(E56+E57)/2</f>
        <v>71.863053173043028</v>
      </c>
      <c r="F58" s="96">
        <f t="shared" ref="F58:I58" si="15">(F56+F57)/2</f>
        <v>42.231901867306881</v>
      </c>
      <c r="G58" s="96">
        <f t="shared" si="15"/>
        <v>90.84497008115089</v>
      </c>
      <c r="H58" s="96">
        <f t="shared" si="15"/>
        <v>69.768549497354073</v>
      </c>
      <c r="I58" s="96">
        <f t="shared" si="15"/>
        <v>94.016108387875192</v>
      </c>
      <c r="J58" s="101">
        <f>+(J56+J57)/2</f>
        <v>165.44659120421525</v>
      </c>
      <c r="K58" s="101"/>
      <c r="L58" s="92" t="s">
        <v>56</v>
      </c>
      <c r="M58" s="70"/>
    </row>
    <row r="59" spans="1:13" s="14" customFormat="1" ht="16.5" x14ac:dyDescent="0.3">
      <c r="A59" s="23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65"/>
    </row>
    <row r="60" spans="1:13" s="14" customFormat="1" ht="17.25" x14ac:dyDescent="0.35">
      <c r="A60" s="27" t="s">
        <v>30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65"/>
    </row>
    <row r="61" spans="1:13" s="14" customFormat="1" ht="16.5" x14ac:dyDescent="0.3">
      <c r="A61" s="23" t="s">
        <v>20</v>
      </c>
      <c r="B61" s="96">
        <f>B27/B25*100</f>
        <v>100</v>
      </c>
      <c r="C61" s="119">
        <f>C27/C25*100</f>
        <v>100</v>
      </c>
      <c r="D61" s="119"/>
      <c r="E61" s="96">
        <f>E27/E25*100</f>
        <v>100</v>
      </c>
      <c r="F61" s="96">
        <f t="shared" ref="F61:J61" si="16">F27/F25*100</f>
        <v>100</v>
      </c>
      <c r="G61" s="96">
        <f t="shared" si="16"/>
        <v>100</v>
      </c>
      <c r="H61" s="96">
        <f t="shared" si="16"/>
        <v>100</v>
      </c>
      <c r="I61" s="96">
        <f t="shared" si="16"/>
        <v>100</v>
      </c>
      <c r="J61" s="119">
        <f t="shared" si="16"/>
        <v>100</v>
      </c>
      <c r="K61" s="119"/>
      <c r="L61" s="96" t="s">
        <v>56</v>
      </c>
      <c r="M61" s="71"/>
    </row>
    <row r="62" spans="1:13" s="14" customFormat="1" ht="16.5" x14ac:dyDescent="0.3">
      <c r="A62" s="23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65"/>
    </row>
    <row r="63" spans="1:13" s="14" customFormat="1" ht="17.25" x14ac:dyDescent="0.35">
      <c r="A63" s="27" t="s">
        <v>21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65"/>
    </row>
    <row r="64" spans="1:13" s="14" customFormat="1" ht="16.5" x14ac:dyDescent="0.3">
      <c r="A64" s="23" t="s">
        <v>22</v>
      </c>
      <c r="B64" s="96">
        <f>((B18/B15)-1)*100</f>
        <v>-1.264850019527064</v>
      </c>
      <c r="C64" s="119">
        <f>((D18/D15)-1)*100</f>
        <v>-12.867502047999025</v>
      </c>
      <c r="D64" s="119"/>
      <c r="E64" s="96">
        <f>((E18/E15)-1)*100</f>
        <v>-12.453531598513013</v>
      </c>
      <c r="F64" s="96">
        <f t="shared" ref="F64:I64" si="17">((F18/F15)-1)*100</f>
        <v>-24.02597402597403</v>
      </c>
      <c r="G64" s="96">
        <f t="shared" si="17"/>
        <v>-12.097680596709925</v>
      </c>
      <c r="H64" s="96">
        <f t="shared" si="17"/>
        <v>12.095123844471111</v>
      </c>
      <c r="I64" s="96">
        <f t="shared" si="17"/>
        <v>-10.05505650536076</v>
      </c>
      <c r="J64" s="119">
        <f>((K18/K15)-1)*100</f>
        <v>7.9019591179720017</v>
      </c>
      <c r="K64" s="119"/>
      <c r="L64" s="96" t="s">
        <v>56</v>
      </c>
      <c r="M64" s="70"/>
    </row>
    <row r="65" spans="1:13" s="14" customFormat="1" ht="16.5" x14ac:dyDescent="0.3">
      <c r="A65" s="23" t="s">
        <v>23</v>
      </c>
      <c r="B65" s="96">
        <f>((B40/B39)-1)*100</f>
        <v>9.7175898422313445</v>
      </c>
      <c r="C65" s="119">
        <f>((C40/C39)-1)*100</f>
        <v>-11.341478068263234</v>
      </c>
      <c r="D65" s="119"/>
      <c r="E65" s="96">
        <f>((E40/E39)-1)*100</f>
        <v>61.92308324621996</v>
      </c>
      <c r="F65" s="96">
        <f t="shared" ref="F65:I65" si="18">((F40/F39)-1)*100</f>
        <v>-14.120542887664023</v>
      </c>
      <c r="G65" s="96">
        <f t="shared" si="18"/>
        <v>-0.28936671538661862</v>
      </c>
      <c r="H65" s="96">
        <f t="shared" si="18"/>
        <v>22.968194547418875</v>
      </c>
      <c r="I65" s="96">
        <f t="shared" si="18"/>
        <v>1.4667087388376965</v>
      </c>
      <c r="J65" s="119">
        <f>((J40/J39)-1)*100</f>
        <v>168.7077976844665</v>
      </c>
      <c r="K65" s="119"/>
      <c r="L65" s="96">
        <f t="shared" ref="L65" si="19">((L40/L39)-1)*100</f>
        <v>113.98394847752557</v>
      </c>
      <c r="M65" s="72"/>
    </row>
    <row r="66" spans="1:13" s="14" customFormat="1" ht="16.5" x14ac:dyDescent="0.3">
      <c r="A66" s="23" t="s">
        <v>24</v>
      </c>
      <c r="B66" s="96">
        <f>((B42/B41)-1)*100</f>
        <v>11.123130783647373</v>
      </c>
      <c r="C66" s="119">
        <f>((C42/C41)-1)*100</f>
        <v>1.7513832560802411</v>
      </c>
      <c r="D66" s="119"/>
      <c r="E66" s="96">
        <f>((E42/E41)-1)*100</f>
        <v>84.956727784429603</v>
      </c>
      <c r="F66" s="96">
        <f t="shared" ref="F66:I66" si="20">((F42/F41)-1)*100</f>
        <v>13.037917908544783</v>
      </c>
      <c r="G66" s="96">
        <f t="shared" si="20"/>
        <v>13.433449721784395</v>
      </c>
      <c r="H66" s="96">
        <f t="shared" si="20"/>
        <v>9.6998605559630349</v>
      </c>
      <c r="I66" s="96">
        <f t="shared" si="20"/>
        <v>12.809797634577592</v>
      </c>
      <c r="J66" s="119">
        <f>((J42/J41)-1)*100</f>
        <v>149.02958192879643</v>
      </c>
      <c r="K66" s="119"/>
      <c r="L66" s="96" t="s">
        <v>56</v>
      </c>
      <c r="M66" s="70"/>
    </row>
    <row r="67" spans="1:13" s="14" customFormat="1" ht="16.5" x14ac:dyDescent="0.3">
      <c r="A67" s="23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65"/>
    </row>
    <row r="68" spans="1:13" s="14" customFormat="1" ht="17.25" x14ac:dyDescent="0.35">
      <c r="A68" s="27" t="s">
        <v>25</v>
      </c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65"/>
    </row>
    <row r="69" spans="1:13" s="14" customFormat="1" ht="16.5" x14ac:dyDescent="0.3">
      <c r="A69" s="23" t="s">
        <v>37</v>
      </c>
      <c r="B69" s="96">
        <f>(B24/B17)*9</f>
        <v>425378.08205394703</v>
      </c>
      <c r="C69" s="119">
        <f>(C24/D17)*9</f>
        <v>315000</v>
      </c>
      <c r="D69" s="119"/>
      <c r="E69" s="96">
        <f>(E24/E17*9)</f>
        <v>702000</v>
      </c>
      <c r="F69" s="96">
        <f t="shared" ref="F69:I69" si="21">(F24/F17*9)</f>
        <v>2808000</v>
      </c>
      <c r="G69" s="96">
        <f t="shared" si="21"/>
        <v>675000</v>
      </c>
      <c r="H69" s="96">
        <f t="shared" si="21"/>
        <v>675000</v>
      </c>
      <c r="I69" s="96">
        <f t="shared" si="21"/>
        <v>990000</v>
      </c>
      <c r="J69" s="119">
        <f>(J24/K17)*3</f>
        <v>54000</v>
      </c>
      <c r="K69" s="119"/>
      <c r="L69" s="96" t="s">
        <v>56</v>
      </c>
      <c r="M69" s="70"/>
    </row>
    <row r="70" spans="1:13" s="14" customFormat="1" ht="16.5" x14ac:dyDescent="0.3">
      <c r="A70" s="23" t="s">
        <v>38</v>
      </c>
      <c r="B70" s="96">
        <f>(B25/B19)*9</f>
        <v>269770.58445448306</v>
      </c>
      <c r="C70" s="119">
        <f>(C25/D19)*9</f>
        <v>241112.78969556867</v>
      </c>
      <c r="D70" s="119"/>
      <c r="E70" s="96">
        <f>(E25/E19)*9</f>
        <v>934366.23960066552</v>
      </c>
      <c r="F70" s="96">
        <f t="shared" ref="F70:I70" si="22">(F25/F19)*9</f>
        <v>2257362.9921259843</v>
      </c>
      <c r="G70" s="96">
        <f t="shared" si="22"/>
        <v>688567.07555384806</v>
      </c>
      <c r="H70" s="96">
        <f t="shared" si="22"/>
        <v>592550.41016561491</v>
      </c>
      <c r="I70" s="96">
        <f t="shared" si="22"/>
        <v>1166931.9005410813</v>
      </c>
      <c r="J70" s="119">
        <f>(J25/K19)*3</f>
        <v>17847.877106149041</v>
      </c>
      <c r="K70" s="119"/>
      <c r="L70" s="96" t="s">
        <v>56</v>
      </c>
      <c r="M70" s="70"/>
    </row>
    <row r="71" spans="1:13" s="14" customFormat="1" ht="16.5" x14ac:dyDescent="0.3">
      <c r="A71" s="23" t="s">
        <v>26</v>
      </c>
      <c r="B71" s="92" t="s">
        <v>56</v>
      </c>
      <c r="C71" s="119">
        <f>(C70/C69)*D53</f>
        <v>82.125126512541499</v>
      </c>
      <c r="D71" s="119"/>
      <c r="E71" s="96">
        <f>(E70/E69)*E53</f>
        <v>105.8743931995009</v>
      </c>
      <c r="F71" s="96">
        <f t="shared" ref="F71:I71" si="23">(F70/F69)*F53</f>
        <v>39.982852369128707</v>
      </c>
      <c r="G71" s="96">
        <f t="shared" si="23"/>
        <v>105.42554923281077</v>
      </c>
      <c r="H71" s="96">
        <f t="shared" si="23"/>
        <v>65.45737436979087</v>
      </c>
      <c r="I71" s="96">
        <f t="shared" si="23"/>
        <v>110.81858186115102</v>
      </c>
      <c r="J71" s="119">
        <f>(J70/J69)*K53</f>
        <v>57.035122724263353</v>
      </c>
      <c r="K71" s="119"/>
      <c r="L71" s="96" t="s">
        <v>56</v>
      </c>
      <c r="M71" s="70"/>
    </row>
    <row r="72" spans="1:13" s="14" customFormat="1" ht="16.5" x14ac:dyDescent="0.3">
      <c r="A72" s="23" t="s">
        <v>33</v>
      </c>
      <c r="B72" s="96">
        <f>B24/B17</f>
        <v>47264.231339327445</v>
      </c>
      <c r="C72" s="119">
        <f>C24/D17</f>
        <v>35000</v>
      </c>
      <c r="D72" s="119"/>
      <c r="E72" s="96">
        <f>E24/E17</f>
        <v>78000</v>
      </c>
      <c r="F72" s="96">
        <f t="shared" ref="F72:I72" si="24">F24/F17</f>
        <v>312000</v>
      </c>
      <c r="G72" s="96">
        <f t="shared" si="24"/>
        <v>75000</v>
      </c>
      <c r="H72" s="96">
        <f t="shared" si="24"/>
        <v>75000</v>
      </c>
      <c r="I72" s="96">
        <f t="shared" si="24"/>
        <v>110000</v>
      </c>
      <c r="J72" s="119">
        <f>J24/K17</f>
        <v>18000</v>
      </c>
      <c r="K72" s="119"/>
      <c r="L72" s="96" t="s">
        <v>56</v>
      </c>
      <c r="M72" s="70"/>
    </row>
    <row r="73" spans="1:13" s="14" customFormat="1" ht="16.5" x14ac:dyDescent="0.3">
      <c r="A73" s="23" t="s">
        <v>34</v>
      </c>
      <c r="B73" s="96">
        <f>B25/B19</f>
        <v>29974.50938383145</v>
      </c>
      <c r="C73" s="119">
        <f>C25/D19</f>
        <v>26790.309966174296</v>
      </c>
      <c r="D73" s="119"/>
      <c r="E73" s="96">
        <f>E25/E19</f>
        <v>103818.47106674062</v>
      </c>
      <c r="F73" s="96">
        <f t="shared" ref="F73:I73" si="25">F25/F19</f>
        <v>250818.11023622047</v>
      </c>
      <c r="G73" s="96">
        <f t="shared" si="25"/>
        <v>76507.452839316451</v>
      </c>
      <c r="H73" s="96">
        <f t="shared" si="25"/>
        <v>65838.934462846097</v>
      </c>
      <c r="I73" s="96">
        <f t="shared" si="25"/>
        <v>129659.10006012015</v>
      </c>
      <c r="J73" s="119">
        <f>J25/K19</f>
        <v>5949.2923687163475</v>
      </c>
      <c r="K73" s="119"/>
      <c r="L73" s="96" t="s">
        <v>56</v>
      </c>
      <c r="M73" s="70"/>
    </row>
    <row r="74" spans="1:13" s="14" customFormat="1" ht="16.5" x14ac:dyDescent="0.3">
      <c r="A74" s="23"/>
      <c r="B74" s="96"/>
      <c r="C74" s="96"/>
      <c r="D74" s="96"/>
      <c r="E74" s="96"/>
      <c r="F74" s="96"/>
      <c r="G74" s="96"/>
      <c r="H74" s="96"/>
      <c r="I74" s="96"/>
      <c r="J74" s="96"/>
      <c r="K74" s="91"/>
      <c r="L74" s="91"/>
      <c r="M74" s="41"/>
    </row>
    <row r="75" spans="1:13" s="14" customFormat="1" ht="17.25" x14ac:dyDescent="0.35">
      <c r="A75" s="27" t="s">
        <v>27</v>
      </c>
      <c r="B75" s="96"/>
      <c r="C75" s="96"/>
      <c r="D75" s="96"/>
      <c r="E75" s="96"/>
      <c r="F75" s="96"/>
      <c r="G75" s="96"/>
      <c r="H75" s="96"/>
      <c r="I75" s="96"/>
      <c r="J75" s="96"/>
      <c r="K75" s="91"/>
      <c r="L75" s="91"/>
      <c r="M75" s="41"/>
    </row>
    <row r="76" spans="1:13" s="14" customFormat="1" ht="16.5" x14ac:dyDescent="0.3">
      <c r="A76" s="23" t="s">
        <v>28</v>
      </c>
      <c r="B76" s="96">
        <f>(B31/B30)*100</f>
        <v>95.441029728618517</v>
      </c>
      <c r="C76" s="96"/>
      <c r="D76" s="96"/>
      <c r="E76" s="96"/>
      <c r="F76" s="96"/>
      <c r="G76" s="96"/>
      <c r="H76" s="96"/>
      <c r="I76" s="96"/>
      <c r="J76" s="96"/>
      <c r="K76" s="91"/>
      <c r="L76" s="91"/>
      <c r="M76" s="41"/>
    </row>
    <row r="77" spans="1:13" s="14" customFormat="1" ht="16.5" x14ac:dyDescent="0.3">
      <c r="A77" s="23" t="s">
        <v>29</v>
      </c>
      <c r="B77" s="96">
        <f>(B25/B31)*100</f>
        <v>91.933476196088776</v>
      </c>
      <c r="C77" s="96"/>
      <c r="D77" s="96"/>
      <c r="E77" s="96"/>
      <c r="F77" s="96"/>
      <c r="G77" s="96"/>
      <c r="H77" s="96"/>
      <c r="I77" s="96"/>
      <c r="J77" s="96"/>
      <c r="K77" s="91"/>
      <c r="L77" s="91"/>
      <c r="M77" s="41"/>
    </row>
    <row r="78" spans="1:13" s="2" customFormat="1" ht="17.25" thickBot="1" x14ac:dyDescent="0.35">
      <c r="A78" s="51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41"/>
    </row>
    <row r="79" spans="1:13" s="5" customFormat="1" ht="17.25" customHeight="1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  <c r="M79" s="23"/>
    </row>
    <row r="80" spans="1:13" ht="16.5" x14ac:dyDescent="0.3">
      <c r="A80" s="58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</row>
    <row r="81" spans="1:13" ht="16.5" x14ac:dyDescent="0.3">
      <c r="A81" s="26"/>
      <c r="B81" s="5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</row>
    <row r="82" spans="1:13" ht="16.5" x14ac:dyDescent="0.3">
      <c r="A82" s="26"/>
      <c r="B82" s="74"/>
      <c r="C82" s="74"/>
      <c r="D82" s="74"/>
      <c r="E82" s="74"/>
      <c r="F82" s="50"/>
      <c r="G82" s="50"/>
      <c r="H82" s="50"/>
      <c r="I82" s="50"/>
      <c r="J82" s="50"/>
      <c r="K82" s="50"/>
      <c r="L82" s="50"/>
      <c r="M82" s="50"/>
    </row>
    <row r="83" spans="1:13" x14ac:dyDescent="0.25">
      <c r="A83" s="1"/>
    </row>
    <row r="84" spans="1:13" x14ac:dyDescent="0.25">
      <c r="A84" s="8"/>
    </row>
    <row r="85" spans="1:13" x14ac:dyDescent="0.25">
      <c r="A85" s="7"/>
    </row>
    <row r="86" spans="1:13" x14ac:dyDescent="0.25">
      <c r="A86" s="1"/>
    </row>
    <row r="87" spans="1:13" x14ac:dyDescent="0.25">
      <c r="A87" s="1"/>
    </row>
    <row r="88" spans="1:13" x14ac:dyDescent="0.25">
      <c r="A88" s="1"/>
    </row>
    <row r="89" spans="1:13" x14ac:dyDescent="0.25">
      <c r="A89" s="6"/>
    </row>
    <row r="90" spans="1:13" x14ac:dyDescent="0.25">
      <c r="A90" s="6"/>
    </row>
    <row r="91" spans="1:13" x14ac:dyDescent="0.25">
      <c r="A91" s="1"/>
    </row>
    <row r="92" spans="1:13" x14ac:dyDescent="0.25">
      <c r="A92" s="1"/>
    </row>
    <row r="93" spans="1:13" x14ac:dyDescent="0.25">
      <c r="A93" s="1"/>
    </row>
    <row r="94" spans="1:13" x14ac:dyDescent="0.25">
      <c r="A94" s="9"/>
    </row>
  </sheetData>
  <mergeCells count="55">
    <mergeCell ref="J64:K64"/>
    <mergeCell ref="J65:K65"/>
    <mergeCell ref="J66:K66"/>
    <mergeCell ref="J73:K73"/>
    <mergeCell ref="J69:K69"/>
    <mergeCell ref="J70:K70"/>
    <mergeCell ref="J71:K71"/>
    <mergeCell ref="J72:K72"/>
    <mergeCell ref="C64:D64"/>
    <mergeCell ref="C56:D56"/>
    <mergeCell ref="C57:D57"/>
    <mergeCell ref="C58:D58"/>
    <mergeCell ref="C61:D61"/>
    <mergeCell ref="A9:A10"/>
    <mergeCell ref="C9:L9"/>
    <mergeCell ref="J10:K10"/>
    <mergeCell ref="C72:D72"/>
    <mergeCell ref="J39:K39"/>
    <mergeCell ref="J40:K40"/>
    <mergeCell ref="J41:K41"/>
    <mergeCell ref="J42:K42"/>
    <mergeCell ref="J47:K47"/>
    <mergeCell ref="J48:K48"/>
    <mergeCell ref="J52:K52"/>
    <mergeCell ref="C26:D26"/>
    <mergeCell ref="B9:B10"/>
    <mergeCell ref="C23:D23"/>
    <mergeCell ref="C24:D24"/>
    <mergeCell ref="J61:K61"/>
    <mergeCell ref="C10:D10"/>
    <mergeCell ref="C39:D39"/>
    <mergeCell ref="C40:D40"/>
    <mergeCell ref="C41:D41"/>
    <mergeCell ref="C27:D27"/>
    <mergeCell ref="A79:F79"/>
    <mergeCell ref="C42:D42"/>
    <mergeCell ref="C36:D36"/>
    <mergeCell ref="J25:K25"/>
    <mergeCell ref="J26:K26"/>
    <mergeCell ref="J27:K27"/>
    <mergeCell ref="C25:D25"/>
    <mergeCell ref="C73:D73"/>
    <mergeCell ref="C47:D47"/>
    <mergeCell ref="C48:D48"/>
    <mergeCell ref="C52:D52"/>
    <mergeCell ref="C65:D65"/>
    <mergeCell ref="C66:D66"/>
    <mergeCell ref="C69:D69"/>
    <mergeCell ref="C70:D70"/>
    <mergeCell ref="C71:D71"/>
    <mergeCell ref="J56:K56"/>
    <mergeCell ref="J57:K57"/>
    <mergeCell ref="J58:K58"/>
    <mergeCell ref="J24:K24"/>
    <mergeCell ref="J23:K23"/>
  </mergeCells>
  <pageMargins left="0.7" right="0.7" top="0.75" bottom="0.75" header="0.3" footer="0.3"/>
  <pageSetup orientation="portrait" horizontalDpi="4294967292" verticalDpi="4294967292"/>
  <ignoredErrors>
    <ignoredError sqref="C23:D25 J24:K25" formulaRange="1"/>
    <ignoredError sqref="B24:B25 B26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95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14" customWidth="1"/>
    <col min="2" max="12" width="18.7109375" style="14" customWidth="1"/>
    <col min="13" max="16384" width="11.42578125" style="14"/>
  </cols>
  <sheetData>
    <row r="8" spans="1:13" ht="18.75" customHeight="1" x14ac:dyDescent="0.25"/>
    <row r="9" spans="1:13" s="3" customFormat="1" ht="15" customHeight="1" x14ac:dyDescent="0.35">
      <c r="A9" s="120" t="s">
        <v>0</v>
      </c>
      <c r="B9" s="110" t="s">
        <v>52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</row>
    <row r="10" spans="1:13" s="3" customFormat="1" ht="51.75" customHeight="1" thickBot="1" x14ac:dyDescent="0.3">
      <c r="A10" s="121"/>
      <c r="B10" s="111"/>
      <c r="C10" s="112" t="s">
        <v>1</v>
      </c>
      <c r="D10" s="112"/>
      <c r="E10" s="77" t="s">
        <v>44</v>
      </c>
      <c r="F10" s="77" t="s">
        <v>45</v>
      </c>
      <c r="G10" s="78" t="s">
        <v>46</v>
      </c>
      <c r="H10" s="78" t="s">
        <v>53</v>
      </c>
      <c r="I10" s="77" t="s">
        <v>50</v>
      </c>
      <c r="J10" s="114" t="s">
        <v>73</v>
      </c>
      <c r="K10" s="114"/>
      <c r="L10" s="77" t="s">
        <v>54</v>
      </c>
    </row>
    <row r="11" spans="1:13" ht="17.25" thickTop="1" x14ac:dyDescent="0.3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 ht="17.25" x14ac:dyDescent="0.35">
      <c r="A12" s="68" t="s">
        <v>2</v>
      </c>
      <c r="B12" s="41"/>
      <c r="C12" s="41"/>
      <c r="D12" s="42"/>
      <c r="E12" s="42"/>
      <c r="F12" s="41"/>
      <c r="G12" s="41"/>
      <c r="H12" s="41"/>
      <c r="I12" s="41"/>
      <c r="J12" s="41"/>
      <c r="K12" s="41"/>
      <c r="L12" s="41"/>
    </row>
    <row r="13" spans="1:13" ht="16.5" x14ac:dyDescent="0.3">
      <c r="A13" s="41"/>
      <c r="B13" s="41"/>
      <c r="C13" s="41"/>
      <c r="D13" s="42"/>
      <c r="E13" s="42"/>
      <c r="F13" s="41"/>
      <c r="G13" s="41"/>
      <c r="H13" s="41"/>
      <c r="I13" s="41"/>
      <c r="J13" s="41"/>
      <c r="K13" s="41"/>
      <c r="L13" s="41"/>
    </row>
    <row r="14" spans="1:13" ht="17.25" x14ac:dyDescent="0.35">
      <c r="A14" s="68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</row>
    <row r="15" spans="1:13" ht="16.5" x14ac:dyDescent="0.3">
      <c r="A15" s="30" t="s">
        <v>83</v>
      </c>
      <c r="B15" s="95">
        <v>306110</v>
      </c>
      <c r="C15" s="95">
        <v>139862</v>
      </c>
      <c r="D15" s="95">
        <v>177865</v>
      </c>
      <c r="E15" s="95">
        <v>1931</v>
      </c>
      <c r="F15" s="95">
        <v>168</v>
      </c>
      <c r="G15" s="95">
        <v>10034</v>
      </c>
      <c r="H15" s="95">
        <v>101425</v>
      </c>
      <c r="I15" s="95">
        <v>24470</v>
      </c>
      <c r="J15" s="95">
        <v>162502</v>
      </c>
      <c r="K15" s="95">
        <v>204203</v>
      </c>
      <c r="L15" s="95" t="s">
        <v>48</v>
      </c>
      <c r="M15" s="21"/>
    </row>
    <row r="16" spans="1:13" ht="16.5" x14ac:dyDescent="0.3">
      <c r="A16" s="30" t="s">
        <v>121</v>
      </c>
      <c r="B16" s="95" t="s">
        <v>49</v>
      </c>
      <c r="C16" s="86" t="s">
        <v>49</v>
      </c>
      <c r="D16" s="95">
        <v>136153</v>
      </c>
      <c r="E16" s="95">
        <v>1894</v>
      </c>
      <c r="F16" s="95">
        <v>207</v>
      </c>
      <c r="G16" s="95">
        <v>8036</v>
      </c>
      <c r="H16" s="95">
        <v>174350</v>
      </c>
      <c r="I16" s="95">
        <v>26335</v>
      </c>
      <c r="J16" s="93" t="s">
        <v>48</v>
      </c>
      <c r="K16" s="93">
        <v>80890</v>
      </c>
      <c r="L16" s="95" t="s">
        <v>48</v>
      </c>
      <c r="M16" s="21"/>
    </row>
    <row r="17" spans="1:13" ht="16.5" x14ac:dyDescent="0.3">
      <c r="A17" s="30" t="s">
        <v>55</v>
      </c>
      <c r="B17" s="95">
        <f>+SUM(D17+E17+F17+G17+H17+I17+K17+D1)</f>
        <v>542858</v>
      </c>
      <c r="C17" s="86" t="s">
        <v>49</v>
      </c>
      <c r="D17" s="95">
        <v>272306</v>
      </c>
      <c r="E17" s="95">
        <v>3788</v>
      </c>
      <c r="F17" s="95">
        <v>615</v>
      </c>
      <c r="G17" s="95">
        <v>24108</v>
      </c>
      <c r="H17" s="95">
        <v>80261</v>
      </c>
      <c r="I17" s="95">
        <v>0</v>
      </c>
      <c r="J17" s="93" t="s">
        <v>48</v>
      </c>
      <c r="K17" s="93">
        <v>161780</v>
      </c>
      <c r="L17" s="95" t="s">
        <v>48</v>
      </c>
      <c r="M17" s="21"/>
    </row>
    <row r="18" spans="1:13" s="80" customFormat="1" ht="16.5" x14ac:dyDescent="0.3">
      <c r="A18" s="30" t="s">
        <v>122</v>
      </c>
      <c r="B18" s="95">
        <v>273849</v>
      </c>
      <c r="C18" s="95">
        <v>135355</v>
      </c>
      <c r="D18" s="95">
        <v>170229</v>
      </c>
      <c r="E18" s="95">
        <v>1477</v>
      </c>
      <c r="F18" s="95">
        <v>148</v>
      </c>
      <c r="G18" s="95">
        <v>8501</v>
      </c>
      <c r="H18" s="95">
        <v>69335</v>
      </c>
      <c r="I18" s="95">
        <v>6449</v>
      </c>
      <c r="J18" s="93">
        <v>157925</v>
      </c>
      <c r="K18" s="93">
        <v>209368</v>
      </c>
      <c r="L18" s="95" t="s">
        <v>48</v>
      </c>
      <c r="M18" s="21"/>
    </row>
    <row r="19" spans="1:13" s="80" customFormat="1" ht="16.5" x14ac:dyDescent="0.3">
      <c r="A19" s="30" t="s">
        <v>55</v>
      </c>
      <c r="B19" s="95">
        <f>+SUM(D19+E19+F19+G19+H19+I19+K19+L1)</f>
        <v>1235530</v>
      </c>
      <c r="C19" s="86" t="s">
        <v>49</v>
      </c>
      <c r="D19" s="95">
        <v>486951</v>
      </c>
      <c r="E19" s="95">
        <v>4129</v>
      </c>
      <c r="F19" s="95">
        <v>400</v>
      </c>
      <c r="G19" s="95">
        <v>24252</v>
      </c>
      <c r="H19" s="95">
        <v>176296</v>
      </c>
      <c r="I19" s="95">
        <v>15145</v>
      </c>
      <c r="J19" s="93" t="s">
        <v>48</v>
      </c>
      <c r="K19" s="93">
        <v>528357</v>
      </c>
      <c r="L19" s="95" t="s">
        <v>48</v>
      </c>
      <c r="M19" s="21"/>
    </row>
    <row r="20" spans="1:13" ht="16.5" x14ac:dyDescent="0.3">
      <c r="A20" s="30" t="s">
        <v>90</v>
      </c>
      <c r="B20" s="95" t="s">
        <v>49</v>
      </c>
      <c r="C20" s="86" t="s">
        <v>49</v>
      </c>
      <c r="D20" s="95">
        <v>136153</v>
      </c>
      <c r="E20" s="95">
        <v>1894</v>
      </c>
      <c r="F20" s="95">
        <v>207</v>
      </c>
      <c r="G20" s="95">
        <v>8036</v>
      </c>
      <c r="H20" s="95">
        <v>174350</v>
      </c>
      <c r="I20" s="95">
        <v>26335</v>
      </c>
      <c r="J20" s="93" t="s">
        <v>48</v>
      </c>
      <c r="K20" s="93">
        <v>80890</v>
      </c>
      <c r="L20" s="95" t="s">
        <v>48</v>
      </c>
      <c r="M20" s="21"/>
    </row>
    <row r="21" spans="1:13" ht="16.5" x14ac:dyDescent="0.3">
      <c r="A21" s="23"/>
      <c r="B21" s="95"/>
      <c r="C21" s="95"/>
      <c r="D21" s="95"/>
      <c r="E21" s="95"/>
      <c r="F21" s="95"/>
      <c r="G21" s="95"/>
      <c r="H21" s="95"/>
      <c r="I21" s="95"/>
      <c r="J21" s="95"/>
      <c r="K21" s="93"/>
      <c r="L21" s="93"/>
      <c r="M21" s="21"/>
    </row>
    <row r="22" spans="1:13" ht="17.25" x14ac:dyDescent="0.35">
      <c r="A22" s="32" t="s">
        <v>3</v>
      </c>
      <c r="B22" s="95"/>
      <c r="C22" s="95"/>
      <c r="D22" s="95"/>
      <c r="E22" s="95"/>
      <c r="F22" s="95"/>
      <c r="G22" s="95"/>
      <c r="H22" s="95"/>
      <c r="I22" s="95"/>
      <c r="J22" s="95"/>
      <c r="K22" s="93"/>
      <c r="L22" s="93"/>
      <c r="M22" s="21"/>
    </row>
    <row r="23" spans="1:13" ht="16.5" x14ac:dyDescent="0.3">
      <c r="A23" s="30" t="s">
        <v>83</v>
      </c>
      <c r="B23" s="95">
        <f>+C23+E23+F23+G23+H23+I23+J23+L23</f>
        <v>40139707361.940002</v>
      </c>
      <c r="C23" s="117">
        <v>9749900110</v>
      </c>
      <c r="D23" s="117"/>
      <c r="E23" s="95">
        <v>679146193</v>
      </c>
      <c r="F23" s="95">
        <v>106929708</v>
      </c>
      <c r="G23" s="95">
        <v>1792891868</v>
      </c>
      <c r="H23" s="95">
        <v>21542335613</v>
      </c>
      <c r="I23" s="95">
        <v>2270063583.0000038</v>
      </c>
      <c r="J23" s="117">
        <v>3956676000</v>
      </c>
      <c r="K23" s="117"/>
      <c r="L23" s="93">
        <v>41764286.939999998</v>
      </c>
      <c r="M23" s="21"/>
    </row>
    <row r="24" spans="1:13" ht="16.5" x14ac:dyDescent="0.3">
      <c r="A24" s="30" t="s">
        <v>121</v>
      </c>
      <c r="B24" s="95">
        <f>+SUM(C24+E24+F24+G24+H24+I24+J24)</f>
        <v>20757744040</v>
      </c>
      <c r="C24" s="117">
        <v>9530710000</v>
      </c>
      <c r="D24" s="117"/>
      <c r="E24" s="95">
        <v>295464000</v>
      </c>
      <c r="F24" s="95">
        <v>191855040</v>
      </c>
      <c r="G24" s="95">
        <v>1808100000</v>
      </c>
      <c r="H24" s="95">
        <v>6019575000</v>
      </c>
      <c r="I24" s="95">
        <v>0</v>
      </c>
      <c r="J24" s="117">
        <v>2912040000</v>
      </c>
      <c r="K24" s="117"/>
      <c r="L24" s="93" t="s">
        <v>48</v>
      </c>
      <c r="M24" s="21"/>
    </row>
    <row r="25" spans="1:13" ht="16.5" x14ac:dyDescent="0.3">
      <c r="A25" s="30" t="s">
        <v>122</v>
      </c>
      <c r="B25" s="95">
        <f>+C25+E25+F25+G25+H25+I25+J25+L25</f>
        <v>35717089694.559998</v>
      </c>
      <c r="C25" s="117">
        <v>12931664000</v>
      </c>
      <c r="D25" s="117"/>
      <c r="E25" s="95">
        <v>452377295</v>
      </c>
      <c r="F25" s="95">
        <v>101488500</v>
      </c>
      <c r="G25" s="95">
        <v>1822236068.000001</v>
      </c>
      <c r="H25" s="95">
        <v>12957506685.559999</v>
      </c>
      <c r="I25" s="95">
        <v>1789643145.9999971</v>
      </c>
      <c r="J25" s="117">
        <v>5662174000</v>
      </c>
      <c r="K25" s="117"/>
      <c r="L25" s="93">
        <v>0</v>
      </c>
      <c r="M25" s="21"/>
    </row>
    <row r="26" spans="1:13" ht="16.5" x14ac:dyDescent="0.3">
      <c r="A26" s="30" t="s">
        <v>90</v>
      </c>
      <c r="B26" s="95">
        <f>+SUM(C26+E26+F26+G26+H26+I26+J26)</f>
        <v>155613604488</v>
      </c>
      <c r="C26" s="105">
        <v>49999985000</v>
      </c>
      <c r="D26" s="105"/>
      <c r="E26" s="95">
        <v>1624818000</v>
      </c>
      <c r="F26" s="95">
        <v>569999040</v>
      </c>
      <c r="G26" s="95">
        <v>7204500000</v>
      </c>
      <c r="H26" s="95">
        <v>54200168448</v>
      </c>
      <c r="I26" s="95">
        <v>25997950000</v>
      </c>
      <c r="J26" s="117">
        <v>16016184000</v>
      </c>
      <c r="K26" s="117"/>
      <c r="L26" s="93" t="s">
        <v>48</v>
      </c>
      <c r="M26" s="21"/>
    </row>
    <row r="27" spans="1:13" ht="16.5" x14ac:dyDescent="0.3">
      <c r="A27" s="30" t="s">
        <v>123</v>
      </c>
      <c r="B27" s="95">
        <f>+C27+E27+F27+G27+H27+I27+J27+L27</f>
        <v>35717089694.559998</v>
      </c>
      <c r="C27" s="117">
        <f>C25</f>
        <v>12931664000</v>
      </c>
      <c r="D27" s="117"/>
      <c r="E27" s="95">
        <f>E25</f>
        <v>452377295</v>
      </c>
      <c r="F27" s="95">
        <f t="shared" ref="F27:I27" si="0">F25</f>
        <v>101488500</v>
      </c>
      <c r="G27" s="95">
        <f t="shared" si="0"/>
        <v>1822236068.000001</v>
      </c>
      <c r="H27" s="95">
        <f t="shared" si="0"/>
        <v>12957506685.559999</v>
      </c>
      <c r="I27" s="95">
        <f t="shared" si="0"/>
        <v>1789643145.9999971</v>
      </c>
      <c r="J27" s="117">
        <f>J25</f>
        <v>5662174000</v>
      </c>
      <c r="K27" s="117"/>
      <c r="L27" s="93">
        <f>+L25</f>
        <v>0</v>
      </c>
      <c r="M27" s="21"/>
    </row>
    <row r="28" spans="1:13" ht="16.5" x14ac:dyDescent="0.3">
      <c r="A28" s="23"/>
      <c r="B28" s="95"/>
      <c r="C28" s="95"/>
      <c r="D28" s="95"/>
      <c r="E28" s="95"/>
      <c r="F28" s="95"/>
      <c r="G28" s="95"/>
      <c r="H28" s="95"/>
      <c r="I28" s="95"/>
      <c r="J28" s="95"/>
      <c r="K28" s="93"/>
      <c r="L28" s="93"/>
      <c r="M28" s="21"/>
    </row>
    <row r="29" spans="1:13" ht="17.25" x14ac:dyDescent="0.35">
      <c r="A29" s="32" t="s">
        <v>4</v>
      </c>
      <c r="B29" s="95"/>
      <c r="C29" s="95"/>
      <c r="D29" s="95"/>
      <c r="E29" s="95"/>
      <c r="F29" s="95"/>
      <c r="G29" s="95"/>
      <c r="H29" s="95"/>
      <c r="I29" s="95"/>
      <c r="J29" s="95"/>
      <c r="K29" s="93"/>
      <c r="L29" s="93"/>
      <c r="M29" s="21"/>
    </row>
    <row r="30" spans="1:13" ht="16.5" x14ac:dyDescent="0.3">
      <c r="A30" s="30" t="s">
        <v>121</v>
      </c>
      <c r="B30" s="95">
        <f>B24</f>
        <v>20757744040</v>
      </c>
      <c r="C30" s="95"/>
      <c r="D30" s="95"/>
      <c r="E30" s="95"/>
      <c r="F30" s="95"/>
      <c r="G30" s="95"/>
      <c r="H30" s="95"/>
      <c r="I30" s="95"/>
      <c r="J30" s="95"/>
      <c r="K30" s="93"/>
      <c r="L30" s="93"/>
      <c r="M30" s="21"/>
    </row>
    <row r="31" spans="1:13" ht="15.75" customHeight="1" x14ac:dyDescent="0.3">
      <c r="A31" s="30" t="s">
        <v>122</v>
      </c>
      <c r="B31" s="95">
        <v>23304842622.32</v>
      </c>
      <c r="C31" s="86"/>
      <c r="D31" s="95"/>
      <c r="E31" s="95"/>
      <c r="F31" s="95"/>
      <c r="G31" s="95"/>
      <c r="H31" s="95"/>
      <c r="I31" s="95"/>
      <c r="J31" s="95"/>
      <c r="K31" s="93"/>
      <c r="L31" s="93"/>
      <c r="M31" s="21"/>
    </row>
    <row r="32" spans="1:13" ht="16.5" x14ac:dyDescent="0.3">
      <c r="A32" s="23"/>
      <c r="B32" s="81"/>
      <c r="C32" s="81"/>
      <c r="D32" s="81"/>
      <c r="E32" s="81"/>
      <c r="F32" s="81"/>
      <c r="G32" s="81"/>
      <c r="H32" s="81"/>
      <c r="I32" s="81"/>
      <c r="J32" s="81"/>
      <c r="K32" s="41"/>
      <c r="L32" s="41"/>
    </row>
    <row r="33" spans="1:12" ht="17.25" x14ac:dyDescent="0.35">
      <c r="A33" s="27" t="s">
        <v>5</v>
      </c>
      <c r="B33" s="81"/>
      <c r="C33" s="81"/>
      <c r="D33" s="81"/>
      <c r="E33" s="81"/>
      <c r="F33" s="81"/>
      <c r="G33" s="81"/>
      <c r="H33" s="81"/>
      <c r="I33" s="81"/>
      <c r="J33" s="81"/>
      <c r="K33" s="41"/>
      <c r="L33" s="41"/>
    </row>
    <row r="34" spans="1:12" ht="16.5" x14ac:dyDescent="0.3">
      <c r="A34" s="30" t="s">
        <v>84</v>
      </c>
      <c r="B34" s="62">
        <v>1.0610999999999999</v>
      </c>
      <c r="C34" s="62">
        <v>1.0610999999999999</v>
      </c>
      <c r="D34" s="62">
        <v>1.0610999999999999</v>
      </c>
      <c r="E34" s="62">
        <v>1.0610999999999999</v>
      </c>
      <c r="F34" s="62">
        <v>1.0610999999999999</v>
      </c>
      <c r="G34" s="62">
        <v>1.0610999999999999</v>
      </c>
      <c r="H34" s="62">
        <v>1.0610999999999999</v>
      </c>
      <c r="I34" s="62">
        <v>1.0610999999999999</v>
      </c>
      <c r="J34" s="62">
        <v>1.0610999999999999</v>
      </c>
      <c r="K34" s="62">
        <v>1.0610999999999999</v>
      </c>
      <c r="L34" s="62">
        <v>1.0610999999999999</v>
      </c>
    </row>
    <row r="35" spans="1:12" ht="16.5" x14ac:dyDescent="0.3">
      <c r="A35" s="30" t="s">
        <v>124</v>
      </c>
      <c r="B35" s="62">
        <v>1.0706</v>
      </c>
      <c r="C35" s="62">
        <v>1.0706</v>
      </c>
      <c r="D35" s="62">
        <v>1.0706</v>
      </c>
      <c r="E35" s="62">
        <v>1.0706</v>
      </c>
      <c r="F35" s="62">
        <v>1.0706</v>
      </c>
      <c r="G35" s="62">
        <v>1.0706</v>
      </c>
      <c r="H35" s="62">
        <v>1.0706</v>
      </c>
      <c r="I35" s="62">
        <v>1.0706</v>
      </c>
      <c r="J35" s="62">
        <v>1.0706</v>
      </c>
      <c r="K35" s="62">
        <v>1.0706</v>
      </c>
      <c r="L35" s="62">
        <v>1.0706</v>
      </c>
    </row>
    <row r="36" spans="1:12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</row>
    <row r="37" spans="1:12" ht="16.5" x14ac:dyDescent="0.3">
      <c r="A37" s="23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ht="17.25" x14ac:dyDescent="0.35">
      <c r="A38" s="27" t="s">
        <v>7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ht="16.5" x14ac:dyDescent="0.3">
      <c r="A39" s="23" t="s">
        <v>85</v>
      </c>
      <c r="B39" s="97">
        <f>B23/B34</f>
        <v>37828392575.572525</v>
      </c>
      <c r="C39" s="118">
        <f>C23/C34</f>
        <v>9188483752.7094536</v>
      </c>
      <c r="D39" s="118"/>
      <c r="E39" s="97">
        <f>E23/E34</f>
        <v>640039763.45302045</v>
      </c>
      <c r="F39" s="97">
        <f t="shared" ref="F39:I39" si="1">F23/F34</f>
        <v>100772507.77495053</v>
      </c>
      <c r="G39" s="97">
        <f t="shared" si="1"/>
        <v>1689654008.1047971</v>
      </c>
      <c r="H39" s="97">
        <f t="shared" si="1"/>
        <v>20301890126.284046</v>
      </c>
      <c r="I39" s="97">
        <f t="shared" si="1"/>
        <v>2139349338.4223957</v>
      </c>
      <c r="J39" s="118">
        <f t="shared" ref="J39:K39" si="2">J23/J34</f>
        <v>3728843652.8131189</v>
      </c>
      <c r="K39" s="118">
        <f t="shared" si="2"/>
        <v>0</v>
      </c>
      <c r="L39" s="47">
        <f t="shared" ref="L39" si="3">L23/L34</f>
        <v>39359426.010743566</v>
      </c>
    </row>
    <row r="40" spans="1:12" ht="16.5" x14ac:dyDescent="0.3">
      <c r="A40" s="23" t="s">
        <v>125</v>
      </c>
      <c r="B40" s="97">
        <f>B25/B35</f>
        <v>33361750135.027084</v>
      </c>
      <c r="C40" s="118">
        <f>C25/C35</f>
        <v>12078894078.087053</v>
      </c>
      <c r="D40" s="118"/>
      <c r="E40" s="97">
        <f>E25/E35</f>
        <v>422545577.24640387</v>
      </c>
      <c r="F40" s="97">
        <f t="shared" ref="F40:I40" si="4">F25/F35</f>
        <v>94795908.836166635</v>
      </c>
      <c r="G40" s="97">
        <f t="shared" si="4"/>
        <v>1702069930.8798814</v>
      </c>
      <c r="H40" s="97">
        <f t="shared" si="4"/>
        <v>12103032585.055109</v>
      </c>
      <c r="I40" s="97">
        <f t="shared" si="4"/>
        <v>1671626327.2931039</v>
      </c>
      <c r="J40" s="118">
        <f t="shared" ref="J40:K40" si="5">J25/J35</f>
        <v>5288785727.6293669</v>
      </c>
      <c r="K40" s="118">
        <f t="shared" si="5"/>
        <v>0</v>
      </c>
      <c r="L40" s="47">
        <f t="shared" ref="L40" si="6">L25/L35</f>
        <v>0</v>
      </c>
    </row>
    <row r="41" spans="1:12" ht="16.5" x14ac:dyDescent="0.3">
      <c r="A41" s="23" t="s">
        <v>86</v>
      </c>
      <c r="B41" s="97">
        <f>B39/B15</f>
        <v>123577.77457636969</v>
      </c>
      <c r="C41" s="118">
        <f>C39/D15</f>
        <v>51659.875482582036</v>
      </c>
      <c r="D41" s="118"/>
      <c r="E41" s="97">
        <f>E39/E15</f>
        <v>331455.08205749374</v>
      </c>
      <c r="F41" s="97">
        <f t="shared" ref="F41:I41" si="7">F39/F15</f>
        <v>599836.35580327699</v>
      </c>
      <c r="G41" s="97">
        <f t="shared" si="7"/>
        <v>168392.86506924429</v>
      </c>
      <c r="H41" s="97">
        <f t="shared" si="7"/>
        <v>200166.52823548482</v>
      </c>
      <c r="I41" s="97">
        <f t="shared" si="7"/>
        <v>87427.43516233738</v>
      </c>
      <c r="J41" s="100">
        <f>J39/K15</f>
        <v>18260.474394661778</v>
      </c>
      <c r="K41" s="100">
        <f t="shared" ref="K41" si="8">K39/K15</f>
        <v>0</v>
      </c>
      <c r="L41" s="47" t="s">
        <v>48</v>
      </c>
    </row>
    <row r="42" spans="1:12" ht="16.5" x14ac:dyDescent="0.3">
      <c r="A42" s="23" t="s">
        <v>126</v>
      </c>
      <c r="B42" s="97">
        <f>B40/B18</f>
        <v>121825.34949927546</v>
      </c>
      <c r="C42" s="118">
        <f>C40/D18</f>
        <v>70956.735210140774</v>
      </c>
      <c r="D42" s="118"/>
      <c r="E42" s="97">
        <f>E40/E18</f>
        <v>286083.66773622471</v>
      </c>
      <c r="F42" s="97">
        <f t="shared" ref="F42:I42" si="9">F40/F18</f>
        <v>640512.8975416664</v>
      </c>
      <c r="G42" s="97">
        <f t="shared" si="9"/>
        <v>200219.96598986958</v>
      </c>
      <c r="H42" s="97">
        <f t="shared" si="9"/>
        <v>174558.77385238494</v>
      </c>
      <c r="I42" s="97">
        <f t="shared" si="9"/>
        <v>259207.05958956489</v>
      </c>
      <c r="J42" s="100">
        <f>J40/K18</f>
        <v>25260.716669354279</v>
      </c>
      <c r="K42" s="100">
        <f t="shared" ref="K42" si="10">K40/K18</f>
        <v>0</v>
      </c>
      <c r="L42" s="47" t="s">
        <v>48</v>
      </c>
    </row>
    <row r="43" spans="1:12" ht="16.5" x14ac:dyDescent="0.3">
      <c r="A43" s="23"/>
      <c r="B43" s="65"/>
      <c r="C43" s="65"/>
      <c r="D43" s="65"/>
      <c r="E43" s="65"/>
      <c r="F43" s="65"/>
      <c r="G43" s="65"/>
      <c r="H43" s="65"/>
      <c r="I43" s="65"/>
      <c r="J43" s="65"/>
      <c r="K43" s="82"/>
      <c r="L43" s="82"/>
    </row>
    <row r="44" spans="1:12" ht="17.25" x14ac:dyDescent="0.35">
      <c r="A44" s="27" t="s">
        <v>8</v>
      </c>
      <c r="B44" s="65"/>
      <c r="C44" s="65"/>
      <c r="D44" s="65"/>
      <c r="E44" s="65"/>
      <c r="F44" s="65"/>
      <c r="G44" s="65"/>
      <c r="H44" s="65"/>
      <c r="I44" s="65"/>
      <c r="J44" s="65"/>
      <c r="K44" s="82"/>
      <c r="L44" s="82"/>
    </row>
    <row r="45" spans="1:12" ht="16.5" x14ac:dyDescent="0.3">
      <c r="A45" s="23"/>
      <c r="B45" s="65"/>
      <c r="C45" s="65"/>
      <c r="D45" s="65"/>
      <c r="E45" s="65"/>
      <c r="F45" s="65"/>
      <c r="G45" s="65"/>
      <c r="H45" s="65"/>
      <c r="I45" s="65"/>
      <c r="J45" s="65"/>
      <c r="K45" s="82"/>
      <c r="L45" s="82"/>
    </row>
    <row r="46" spans="1:12" ht="17.25" x14ac:dyDescent="0.35">
      <c r="A46" s="27" t="s">
        <v>9</v>
      </c>
      <c r="B46" s="65"/>
      <c r="C46" s="65"/>
      <c r="D46" s="65"/>
      <c r="E46" s="65"/>
      <c r="F46" s="65"/>
      <c r="G46" s="65"/>
      <c r="H46" s="65"/>
      <c r="I46" s="65"/>
      <c r="J46" s="65"/>
      <c r="K46" s="82"/>
      <c r="L46" s="82"/>
    </row>
    <row r="47" spans="1:12" ht="16.5" x14ac:dyDescent="0.3">
      <c r="A47" s="23" t="s">
        <v>10</v>
      </c>
      <c r="B47" s="92" t="s">
        <v>56</v>
      </c>
      <c r="C47" s="119">
        <f>(D16/C36)*100</f>
        <v>79.65517644856314</v>
      </c>
      <c r="D47" s="119"/>
      <c r="E47" s="96">
        <f>(E16/E36)*100</f>
        <v>1.3439391466625037</v>
      </c>
      <c r="F47" s="92" t="s">
        <v>48</v>
      </c>
      <c r="G47" s="96">
        <f t="shared" ref="G47" si="11">G16/G36*100</f>
        <v>8.6840000864509719</v>
      </c>
      <c r="H47" s="92" t="s">
        <v>56</v>
      </c>
      <c r="I47" s="92" t="s">
        <v>56</v>
      </c>
      <c r="J47" s="101" t="s">
        <v>48</v>
      </c>
      <c r="K47" s="101"/>
      <c r="L47" s="91" t="s">
        <v>56</v>
      </c>
    </row>
    <row r="48" spans="1:12" ht="16.5" x14ac:dyDescent="0.3">
      <c r="A48" s="23" t="s">
        <v>11</v>
      </c>
      <c r="B48" s="92">
        <f>(B18/B36)*100</f>
        <v>71.258987096052323</v>
      </c>
      <c r="C48" s="119">
        <f>(D18/C36)*100</f>
        <v>99.591055883178882</v>
      </c>
      <c r="D48" s="119"/>
      <c r="E48" s="96">
        <f>(E18/E36)*100</f>
        <v>1.0480454697046031</v>
      </c>
      <c r="F48" s="92" t="s">
        <v>48</v>
      </c>
      <c r="G48" s="96">
        <f>(G18/G36)*100</f>
        <v>9.1864963582528247</v>
      </c>
      <c r="H48" s="92" t="s">
        <v>56</v>
      </c>
      <c r="I48" s="92" t="s">
        <v>56</v>
      </c>
      <c r="J48" s="101" t="s">
        <v>48</v>
      </c>
      <c r="K48" s="101"/>
      <c r="L48" s="91" t="s">
        <v>56</v>
      </c>
    </row>
    <row r="49" spans="1:12" ht="16.5" x14ac:dyDescent="0.3">
      <c r="A49" s="23"/>
      <c r="B49" s="96"/>
      <c r="C49" s="96"/>
      <c r="D49" s="96"/>
      <c r="E49" s="96"/>
      <c r="F49" s="96"/>
      <c r="G49" s="96"/>
      <c r="H49" s="96"/>
      <c r="I49" s="96"/>
      <c r="J49" s="96"/>
      <c r="K49" s="91"/>
      <c r="L49" s="91"/>
    </row>
    <row r="50" spans="1:12" ht="17.25" x14ac:dyDescent="0.35">
      <c r="A50" s="27" t="s">
        <v>12</v>
      </c>
      <c r="B50" s="96"/>
      <c r="C50" s="96"/>
      <c r="D50" s="96"/>
      <c r="E50" s="96"/>
      <c r="F50" s="96"/>
      <c r="G50" s="96"/>
      <c r="H50" s="96"/>
      <c r="I50" s="96"/>
      <c r="J50" s="96"/>
      <c r="K50" s="91"/>
      <c r="L50" s="91"/>
    </row>
    <row r="51" spans="1:12" ht="16.5" x14ac:dyDescent="0.3">
      <c r="A51" s="23" t="s">
        <v>13</v>
      </c>
      <c r="B51" s="92" t="s">
        <v>56</v>
      </c>
      <c r="C51" s="92" t="s">
        <v>56</v>
      </c>
      <c r="D51" s="96">
        <f>D18/D16*100</f>
        <v>125.02772616101004</v>
      </c>
      <c r="E51" s="96">
        <f>E18/E16*100</f>
        <v>77.983104540654708</v>
      </c>
      <c r="F51" s="96">
        <f t="shared" ref="F51:I51" si="12">F18/F16*100</f>
        <v>71.497584541062793</v>
      </c>
      <c r="G51" s="96">
        <f t="shared" si="12"/>
        <v>105.78646092583375</v>
      </c>
      <c r="H51" s="96">
        <f t="shared" si="12"/>
        <v>39.767708632061947</v>
      </c>
      <c r="I51" s="96">
        <f t="shared" si="12"/>
        <v>24.488323523827606</v>
      </c>
      <c r="J51" s="92" t="s">
        <v>56</v>
      </c>
      <c r="K51" s="91">
        <f>K18/K16*100</f>
        <v>258.83051056990973</v>
      </c>
      <c r="L51" s="91" t="s">
        <v>48</v>
      </c>
    </row>
    <row r="52" spans="1:12" ht="16.5" x14ac:dyDescent="0.3">
      <c r="A52" s="23" t="s">
        <v>14</v>
      </c>
      <c r="B52" s="96">
        <f>B25/B24*100</f>
        <v>172.06633642718333</v>
      </c>
      <c r="C52" s="119">
        <f>C25/C24*100</f>
        <v>135.68416204039363</v>
      </c>
      <c r="D52" s="119"/>
      <c r="E52" s="96">
        <f>E25/E24*100</f>
        <v>153.10741579346384</v>
      </c>
      <c r="F52" s="96">
        <f t="shared" ref="F52:H52" si="13">F25/F24*100</f>
        <v>52.898532141767028</v>
      </c>
      <c r="G52" s="96">
        <f t="shared" si="13"/>
        <v>100.78181892594442</v>
      </c>
      <c r="H52" s="96">
        <f t="shared" si="13"/>
        <v>215.25617149981517</v>
      </c>
      <c r="I52" s="96" t="s">
        <v>48</v>
      </c>
      <c r="J52" s="101">
        <f>J25/J24*100</f>
        <v>194.44011758080245</v>
      </c>
      <c r="K52" s="101"/>
      <c r="L52" s="91" t="s">
        <v>48</v>
      </c>
    </row>
    <row r="53" spans="1:12" ht="16.5" x14ac:dyDescent="0.3">
      <c r="A53" s="23" t="s">
        <v>15</v>
      </c>
      <c r="B53" s="92" t="s">
        <v>56</v>
      </c>
      <c r="C53" s="92" t="s">
        <v>56</v>
      </c>
      <c r="D53" s="96">
        <f>AVERAGE(D51,C52)</f>
        <v>130.35594410070183</v>
      </c>
      <c r="E53" s="96">
        <f>AVERAGE(E51:E52)</f>
        <v>115.54526016705927</v>
      </c>
      <c r="F53" s="96">
        <f t="shared" ref="F53:H53" si="14">AVERAGE(F51:F52)</f>
        <v>62.198058341414907</v>
      </c>
      <c r="G53" s="96">
        <f t="shared" si="14"/>
        <v>103.28413992588909</v>
      </c>
      <c r="H53" s="96">
        <f t="shared" si="14"/>
        <v>127.51194006593856</v>
      </c>
      <c r="I53" s="96" t="s">
        <v>48</v>
      </c>
      <c r="J53" s="92" t="s">
        <v>56</v>
      </c>
      <c r="K53" s="91">
        <f>AVERAGE(K51,J52)</f>
        <v>226.63531407535609</v>
      </c>
      <c r="L53" s="91" t="s">
        <v>48</v>
      </c>
    </row>
    <row r="54" spans="1:12" ht="16.5" x14ac:dyDescent="0.3">
      <c r="A54" s="23"/>
      <c r="B54" s="96"/>
      <c r="C54" s="96"/>
      <c r="D54" s="96"/>
      <c r="E54" s="96"/>
      <c r="F54" s="96"/>
      <c r="G54" s="96"/>
      <c r="H54" s="96"/>
      <c r="I54" s="96"/>
      <c r="J54" s="96"/>
      <c r="K54" s="91"/>
      <c r="L54" s="91"/>
    </row>
    <row r="55" spans="1:12" ht="17.25" x14ac:dyDescent="0.35">
      <c r="A55" s="27" t="s">
        <v>16</v>
      </c>
      <c r="B55" s="96"/>
      <c r="C55" s="96"/>
      <c r="D55" s="96"/>
      <c r="E55" s="96"/>
      <c r="F55" s="96"/>
      <c r="G55" s="96"/>
      <c r="H55" s="96"/>
      <c r="I55" s="96"/>
      <c r="J55" s="96"/>
      <c r="K55" s="91"/>
      <c r="L55" s="91" t="s">
        <v>48</v>
      </c>
    </row>
    <row r="56" spans="1:12" ht="16.5" x14ac:dyDescent="0.3">
      <c r="A56" s="23" t="s">
        <v>17</v>
      </c>
      <c r="B56" s="92" t="s">
        <v>56</v>
      </c>
      <c r="C56" s="119">
        <f>D18/D20*100</f>
        <v>125.02772616101004</v>
      </c>
      <c r="D56" s="119"/>
      <c r="E56" s="96">
        <f>E18/E20*100</f>
        <v>77.983104540654708</v>
      </c>
      <c r="F56" s="96">
        <f t="shared" ref="F56:I56" si="15">F18/F20*100</f>
        <v>71.497584541062793</v>
      </c>
      <c r="G56" s="96">
        <f t="shared" si="15"/>
        <v>105.78646092583375</v>
      </c>
      <c r="H56" s="96">
        <f t="shared" si="15"/>
        <v>39.767708632061947</v>
      </c>
      <c r="I56" s="96">
        <f t="shared" si="15"/>
        <v>24.488323523827606</v>
      </c>
      <c r="J56" s="101">
        <f>K18/K20*100</f>
        <v>258.83051056990973</v>
      </c>
      <c r="K56" s="101"/>
      <c r="L56" s="91" t="s">
        <v>48</v>
      </c>
    </row>
    <row r="57" spans="1:12" ht="16.5" x14ac:dyDescent="0.3">
      <c r="A57" s="23" t="s">
        <v>18</v>
      </c>
      <c r="B57" s="96">
        <f>B25/B26*100</f>
        <v>22.952421038042527</v>
      </c>
      <c r="C57" s="119">
        <f>C25/C26*100</f>
        <v>25.863335759000726</v>
      </c>
      <c r="D57" s="119"/>
      <c r="E57" s="96">
        <f>E25/E26*100</f>
        <v>27.841721041987473</v>
      </c>
      <c r="F57" s="96">
        <f t="shared" ref="F57:I57" si="16">F25/F26*100</f>
        <v>17.805029987418926</v>
      </c>
      <c r="G57" s="96">
        <f t="shared" si="16"/>
        <v>25.293026136442514</v>
      </c>
      <c r="H57" s="96">
        <f t="shared" si="16"/>
        <v>23.906764603492917</v>
      </c>
      <c r="I57" s="96">
        <f t="shared" si="16"/>
        <v>6.8837856292515269</v>
      </c>
      <c r="J57" s="101">
        <f>J25/J26*100</f>
        <v>35.352828114362325</v>
      </c>
      <c r="K57" s="101"/>
      <c r="L57" s="91" t="s">
        <v>48</v>
      </c>
    </row>
    <row r="58" spans="1:12" ht="16.5" x14ac:dyDescent="0.3">
      <c r="A58" s="23" t="s">
        <v>19</v>
      </c>
      <c r="B58" s="92" t="s">
        <v>56</v>
      </c>
      <c r="C58" s="119">
        <f>(C56+C57)/2</f>
        <v>75.445530960005385</v>
      </c>
      <c r="D58" s="119"/>
      <c r="E58" s="96">
        <f>(E56+E57)/2</f>
        <v>52.912412791321088</v>
      </c>
      <c r="F58" s="96">
        <f t="shared" ref="F58:I58" si="17">(F56+F57)/2</f>
        <v>44.651307264240856</v>
      </c>
      <c r="G58" s="96">
        <f t="shared" si="17"/>
        <v>65.539743531138129</v>
      </c>
      <c r="H58" s="96">
        <f t="shared" si="17"/>
        <v>31.837236617777432</v>
      </c>
      <c r="I58" s="96">
        <f t="shared" si="17"/>
        <v>15.686054576539567</v>
      </c>
      <c r="J58" s="101">
        <f>(J56+J57)/2</f>
        <v>147.09166934213602</v>
      </c>
      <c r="K58" s="101"/>
      <c r="L58" s="91" t="s">
        <v>48</v>
      </c>
    </row>
    <row r="59" spans="1:12" ht="16.5" x14ac:dyDescent="0.3">
      <c r="A59" s="23"/>
      <c r="B59" s="96"/>
      <c r="C59" s="96"/>
      <c r="D59" s="96"/>
      <c r="E59" s="96"/>
      <c r="F59" s="96"/>
      <c r="G59" s="96"/>
      <c r="H59" s="96"/>
      <c r="I59" s="96"/>
      <c r="J59" s="96"/>
      <c r="K59" s="91"/>
      <c r="L59" s="91"/>
    </row>
    <row r="60" spans="1:12" ht="17.25" x14ac:dyDescent="0.35">
      <c r="A60" s="27" t="s">
        <v>30</v>
      </c>
      <c r="B60" s="96"/>
      <c r="C60" s="96"/>
      <c r="D60" s="96"/>
      <c r="E60" s="96"/>
      <c r="F60" s="96"/>
      <c r="G60" s="96"/>
      <c r="H60" s="96"/>
      <c r="I60" s="96"/>
      <c r="J60" s="96"/>
      <c r="K60" s="91"/>
      <c r="L60" s="91"/>
    </row>
    <row r="61" spans="1:12" ht="16.5" x14ac:dyDescent="0.3">
      <c r="A61" s="23" t="s">
        <v>20</v>
      </c>
      <c r="B61" s="96">
        <f>B27/B25*100</f>
        <v>100</v>
      </c>
      <c r="C61" s="119">
        <f>C27/C25*100</f>
        <v>100</v>
      </c>
      <c r="D61" s="119"/>
      <c r="E61" s="96">
        <f>E27/E25*100</f>
        <v>100</v>
      </c>
      <c r="F61" s="96">
        <f t="shared" ref="F61:I61" si="18">F27/F25*100</f>
        <v>100</v>
      </c>
      <c r="G61" s="96">
        <f t="shared" si="18"/>
        <v>100</v>
      </c>
      <c r="H61" s="96">
        <f t="shared" si="18"/>
        <v>100</v>
      </c>
      <c r="I61" s="96">
        <f t="shared" si="18"/>
        <v>100</v>
      </c>
      <c r="J61" s="119">
        <f>J27/J25*100</f>
        <v>100</v>
      </c>
      <c r="K61" s="119"/>
      <c r="L61" s="91" t="s">
        <v>48</v>
      </c>
    </row>
    <row r="62" spans="1:12" ht="16.5" x14ac:dyDescent="0.3">
      <c r="A62" s="23"/>
      <c r="B62" s="96"/>
      <c r="C62" s="96"/>
      <c r="D62" s="96"/>
      <c r="E62" s="96"/>
      <c r="F62" s="96"/>
      <c r="G62" s="96"/>
      <c r="H62" s="96"/>
      <c r="I62" s="96"/>
      <c r="J62" s="96"/>
      <c r="K62" s="91"/>
      <c r="L62" s="91"/>
    </row>
    <row r="63" spans="1:12" ht="17.25" x14ac:dyDescent="0.35">
      <c r="A63" s="27" t="s">
        <v>21</v>
      </c>
      <c r="B63" s="96"/>
      <c r="C63" s="96"/>
      <c r="D63" s="96"/>
      <c r="E63" s="96"/>
      <c r="F63" s="96"/>
      <c r="G63" s="96"/>
      <c r="H63" s="96"/>
      <c r="I63" s="96"/>
      <c r="J63" s="96"/>
      <c r="K63" s="91"/>
      <c r="L63" s="91"/>
    </row>
    <row r="64" spans="1:12" ht="16.5" x14ac:dyDescent="0.3">
      <c r="A64" s="23" t="s">
        <v>22</v>
      </c>
      <c r="B64" s="96">
        <f>((B18/B15)-1)*100</f>
        <v>-10.539021920224755</v>
      </c>
      <c r="C64" s="119">
        <f>((D18/D15)-1)*100</f>
        <v>-4.2931436763837709</v>
      </c>
      <c r="D64" s="119"/>
      <c r="E64" s="96">
        <f>((E18/E15)-1)*100</f>
        <v>-23.511134127395128</v>
      </c>
      <c r="F64" s="96">
        <f t="shared" ref="F64:I64" si="19">((F18/F15)-1)*100</f>
        <v>-11.904761904761907</v>
      </c>
      <c r="G64" s="96">
        <f t="shared" si="19"/>
        <v>-15.278054614311342</v>
      </c>
      <c r="H64" s="96">
        <f t="shared" si="19"/>
        <v>-31.63914222331772</v>
      </c>
      <c r="I64" s="96">
        <f t="shared" si="19"/>
        <v>-73.645279934613811</v>
      </c>
      <c r="J64" s="101">
        <f>((K18/K15)-1)*100</f>
        <v>2.5293457980539058</v>
      </c>
      <c r="K64" s="101">
        <f t="shared" ref="K64" si="20">((K18/K15)-1)*100</f>
        <v>2.5293457980539058</v>
      </c>
      <c r="L64" s="91" t="s">
        <v>48</v>
      </c>
    </row>
    <row r="65" spans="1:12" ht="16.5" x14ac:dyDescent="0.3">
      <c r="A65" s="23" t="s">
        <v>23</v>
      </c>
      <c r="B65" s="96">
        <f>((B40/B39)-1)*100</f>
        <v>-11.807645359559238</v>
      </c>
      <c r="C65" s="119">
        <f>((C40/C39)-1)*100</f>
        <v>31.456880190110702</v>
      </c>
      <c r="D65" s="119"/>
      <c r="E65" s="96">
        <f>((E40/E39)-1)*100</f>
        <v>-33.981355319743486</v>
      </c>
      <c r="F65" s="96">
        <f t="shared" ref="F65:I65" si="21">((F40/F39)-1)*100</f>
        <v>-5.9307831776213131</v>
      </c>
      <c r="G65" s="96">
        <f t="shared" si="21"/>
        <v>0.73482042569239514</v>
      </c>
      <c r="H65" s="96">
        <f t="shared" si="21"/>
        <v>-40.38470058812014</v>
      </c>
      <c r="I65" s="96">
        <f t="shared" si="21"/>
        <v>-21.862862821375462</v>
      </c>
      <c r="J65" s="101">
        <f t="shared" ref="J65:K65" si="22">((J40/J39)-1)*100</f>
        <v>41.834472562007122</v>
      </c>
      <c r="K65" s="101" t="e">
        <f t="shared" si="22"/>
        <v>#DIV/0!</v>
      </c>
      <c r="L65" s="91">
        <f t="shared" ref="L65" si="23">((L40/L39)-1)*100</f>
        <v>-100</v>
      </c>
    </row>
    <row r="66" spans="1:12" ht="16.5" x14ac:dyDescent="0.3">
      <c r="A66" s="23" t="s">
        <v>24</v>
      </c>
      <c r="B66" s="96">
        <f>((B42/B41)-1)*100</f>
        <v>-1.4180746360756391</v>
      </c>
      <c r="C66" s="119">
        <f>((C42/C41)-1)*100</f>
        <v>37.353670614372625</v>
      </c>
      <c r="D66" s="119"/>
      <c r="E66" s="96">
        <f>((E42/E41)-1)*100</f>
        <v>-13.688555939353186</v>
      </c>
      <c r="F66" s="96">
        <f t="shared" ref="F66:I66" si="24">((F42/F41)-1)*100</f>
        <v>6.7812731497271406</v>
      </c>
      <c r="G66" s="96">
        <f t="shared" si="24"/>
        <v>18.900504429055111</v>
      </c>
      <c r="H66" s="96">
        <f t="shared" si="24"/>
        <v>-12.793225025601574</v>
      </c>
      <c r="I66" s="96">
        <f t="shared" si="24"/>
        <v>196.48251616699372</v>
      </c>
      <c r="J66" s="101">
        <f t="shared" ref="J66:K66" si="25">((J42/J41)-1)*100</f>
        <v>38.335489666900081</v>
      </c>
      <c r="K66" s="101" t="e">
        <f t="shared" si="25"/>
        <v>#DIV/0!</v>
      </c>
      <c r="L66" s="91" t="s">
        <v>48</v>
      </c>
    </row>
    <row r="67" spans="1:12" ht="16.5" x14ac:dyDescent="0.3">
      <c r="A67" s="23"/>
      <c r="B67" s="96"/>
      <c r="C67" s="96"/>
      <c r="D67" s="96"/>
      <c r="E67" s="96"/>
      <c r="F67" s="96"/>
      <c r="G67" s="96"/>
      <c r="H67" s="96"/>
      <c r="I67" s="96"/>
      <c r="J67" s="96"/>
      <c r="K67" s="91"/>
      <c r="L67" s="91"/>
    </row>
    <row r="68" spans="1:12" ht="17.25" x14ac:dyDescent="0.35">
      <c r="A68" s="27" t="s">
        <v>25</v>
      </c>
      <c r="B68" s="96"/>
      <c r="C68" s="96"/>
      <c r="D68" s="96"/>
      <c r="E68" s="96"/>
      <c r="F68" s="96"/>
      <c r="G68" s="96"/>
      <c r="H68" s="96"/>
      <c r="I68" s="96"/>
      <c r="J68" s="96"/>
      <c r="K68" s="91"/>
      <c r="L68" s="91"/>
    </row>
    <row r="69" spans="1:12" ht="16.5" x14ac:dyDescent="0.3">
      <c r="A69" s="23" t="s">
        <v>31</v>
      </c>
      <c r="B69" s="96">
        <f>(B24/B17)*3</f>
        <v>114713.66751526181</v>
      </c>
      <c r="C69" s="119">
        <f>(C24/D17)*3</f>
        <v>105000</v>
      </c>
      <c r="D69" s="119"/>
      <c r="E69" s="96">
        <f>(E24/E17)*3</f>
        <v>234000</v>
      </c>
      <c r="F69" s="96">
        <f t="shared" ref="F69:H69" si="26">(F24/F17)*3</f>
        <v>935878.24390243902</v>
      </c>
      <c r="G69" s="96">
        <f t="shared" si="26"/>
        <v>225000</v>
      </c>
      <c r="H69" s="96">
        <f t="shared" si="26"/>
        <v>225000</v>
      </c>
      <c r="I69" s="96" t="s">
        <v>48</v>
      </c>
      <c r="J69" s="101">
        <f>(J24/K17)*3</f>
        <v>54000</v>
      </c>
      <c r="K69" s="101"/>
      <c r="L69" s="91" t="s">
        <v>48</v>
      </c>
    </row>
    <row r="70" spans="1:12" ht="16.5" x14ac:dyDescent="0.3">
      <c r="A70" s="23" t="s">
        <v>32</v>
      </c>
      <c r="B70" s="96">
        <f>(B25/B19)*3</f>
        <v>86724.943209537596</v>
      </c>
      <c r="C70" s="119">
        <f>(C25/D19)*3</f>
        <v>79669.190534571244</v>
      </c>
      <c r="D70" s="119"/>
      <c r="E70" s="96">
        <f>(E25/E19)*3</f>
        <v>328682.94623395498</v>
      </c>
      <c r="F70" s="96">
        <f t="shared" ref="F70:I70" si="27">(F25/F19)*3</f>
        <v>761163.75</v>
      </c>
      <c r="G70" s="96">
        <f t="shared" si="27"/>
        <v>225412.67540821387</v>
      </c>
      <c r="H70" s="96">
        <f t="shared" si="27"/>
        <v>220495.75745723103</v>
      </c>
      <c r="I70" s="96">
        <f t="shared" si="27"/>
        <v>354501.77867282875</v>
      </c>
      <c r="J70" s="101">
        <f>(J25/K19)*3</f>
        <v>32149.705596783995</v>
      </c>
      <c r="K70" s="101"/>
      <c r="L70" s="91" t="s">
        <v>48</v>
      </c>
    </row>
    <row r="71" spans="1:12" ht="16.5" x14ac:dyDescent="0.3">
      <c r="A71" s="23" t="s">
        <v>26</v>
      </c>
      <c r="B71" s="92" t="s">
        <v>56</v>
      </c>
      <c r="C71" s="119">
        <f>(C70/C69)*D53</f>
        <v>98.908119503549827</v>
      </c>
      <c r="D71" s="119"/>
      <c r="E71" s="96">
        <f>(E70/E69)*E53</f>
        <v>162.29810485076018</v>
      </c>
      <c r="F71" s="96">
        <f t="shared" ref="F71:H71" si="28">(F70/F69)*F53</f>
        <v>50.586609570555879</v>
      </c>
      <c r="G71" s="96">
        <f t="shared" si="28"/>
        <v>103.47357470191547</v>
      </c>
      <c r="H71" s="96">
        <f t="shared" si="28"/>
        <v>124.95929693191185</v>
      </c>
      <c r="I71" s="96" t="s">
        <v>48</v>
      </c>
      <c r="J71" s="101">
        <f>(J70/J69)*K53</f>
        <v>134.93071528439583</v>
      </c>
      <c r="K71" s="101"/>
      <c r="L71" s="91" t="s">
        <v>48</v>
      </c>
    </row>
    <row r="72" spans="1:12" ht="16.5" x14ac:dyDescent="0.3">
      <c r="A72" s="23" t="s">
        <v>33</v>
      </c>
      <c r="B72" s="96">
        <f>B24/B17</f>
        <v>38237.889171753937</v>
      </c>
      <c r="C72" s="119">
        <f>C24/D17</f>
        <v>35000</v>
      </c>
      <c r="D72" s="119"/>
      <c r="E72" s="96">
        <f>E24/E17</f>
        <v>78000</v>
      </c>
      <c r="F72" s="96">
        <f>F24/F17</f>
        <v>311959.41463414632</v>
      </c>
      <c r="G72" s="96">
        <f t="shared" ref="G72:H72" si="29">G24/G17</f>
        <v>75000</v>
      </c>
      <c r="H72" s="96">
        <f t="shared" si="29"/>
        <v>75000</v>
      </c>
      <c r="I72" s="96" t="s">
        <v>48</v>
      </c>
      <c r="J72" s="101">
        <f>J24/K17</f>
        <v>18000</v>
      </c>
      <c r="K72" s="101"/>
      <c r="L72" s="91" t="s">
        <v>48</v>
      </c>
    </row>
    <row r="73" spans="1:12" ht="16.5" x14ac:dyDescent="0.3">
      <c r="A73" s="23" t="s">
        <v>34</v>
      </c>
      <c r="B73" s="96">
        <f>B25/B19</f>
        <v>28908.3144031792</v>
      </c>
      <c r="C73" s="119">
        <f>C25/D19</f>
        <v>26556.396844857081</v>
      </c>
      <c r="D73" s="119"/>
      <c r="E73" s="96">
        <f>E25/E19</f>
        <v>109560.98207798498</v>
      </c>
      <c r="F73" s="96">
        <f>F25/F19</f>
        <v>253721.25</v>
      </c>
      <c r="G73" s="96">
        <f t="shared" ref="G73:I73" si="30">G25/G19</f>
        <v>75137.558469404627</v>
      </c>
      <c r="H73" s="96">
        <f t="shared" si="30"/>
        <v>73498.585819077009</v>
      </c>
      <c r="I73" s="96">
        <f t="shared" si="30"/>
        <v>118167.25955760958</v>
      </c>
      <c r="J73" s="101">
        <f>J25/K19</f>
        <v>10716.568532261332</v>
      </c>
      <c r="K73" s="101"/>
      <c r="L73" s="91" t="s">
        <v>48</v>
      </c>
    </row>
    <row r="74" spans="1:12" ht="16.5" x14ac:dyDescent="0.3">
      <c r="A74" s="23"/>
      <c r="B74" s="96"/>
      <c r="C74" s="96"/>
      <c r="D74" s="96"/>
      <c r="E74" s="96"/>
      <c r="F74" s="96"/>
      <c r="G74" s="96"/>
      <c r="H74" s="96"/>
      <c r="I74" s="96"/>
      <c r="J74" s="96"/>
      <c r="K74" s="91"/>
      <c r="L74" s="91"/>
    </row>
    <row r="75" spans="1:12" ht="17.25" x14ac:dyDescent="0.35">
      <c r="A75" s="27" t="s">
        <v>27</v>
      </c>
      <c r="B75" s="96"/>
      <c r="C75" s="96"/>
      <c r="D75" s="96"/>
      <c r="E75" s="96"/>
      <c r="F75" s="96"/>
      <c r="G75" s="96"/>
      <c r="H75" s="96"/>
      <c r="I75" s="96"/>
      <c r="J75" s="96"/>
      <c r="K75" s="91"/>
      <c r="L75" s="91"/>
    </row>
    <row r="76" spans="1:12" ht="16.5" x14ac:dyDescent="0.3">
      <c r="A76" s="23" t="s">
        <v>28</v>
      </c>
      <c r="B76" s="96">
        <f>(B31/B30)*100</f>
        <v>112.27059442207093</v>
      </c>
      <c r="C76" s="96"/>
      <c r="D76" s="96"/>
      <c r="E76" s="96"/>
      <c r="F76" s="96"/>
      <c r="G76" s="96"/>
      <c r="H76" s="96"/>
      <c r="I76" s="96"/>
      <c r="J76" s="96"/>
      <c r="K76" s="91"/>
      <c r="L76" s="91"/>
    </row>
    <row r="77" spans="1:12" ht="16.5" x14ac:dyDescent="0.3">
      <c r="A77" s="23" t="s">
        <v>29</v>
      </c>
      <c r="B77" s="96">
        <f>(B25/B31)*100</f>
        <v>153.26037713875093</v>
      </c>
      <c r="C77" s="96"/>
      <c r="D77" s="96"/>
      <c r="E77" s="96"/>
      <c r="F77" s="96"/>
      <c r="G77" s="96"/>
      <c r="H77" s="96"/>
      <c r="I77" s="96"/>
      <c r="J77" s="96"/>
      <c r="K77" s="91"/>
      <c r="L77" s="91"/>
    </row>
    <row r="78" spans="1:12" ht="17.25" thickBot="1" x14ac:dyDescent="0.35">
      <c r="A78" s="51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</row>
    <row r="79" spans="1:12" s="5" customFormat="1" ht="17.25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</row>
    <row r="80" spans="1:12" ht="16.5" x14ac:dyDescent="0.3">
      <c r="A80" s="38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</row>
    <row r="81" spans="1:12" ht="16.5" x14ac:dyDescent="0.3">
      <c r="A81" s="23"/>
      <c r="B81" s="23"/>
      <c r="C81" s="41"/>
      <c r="D81" s="41"/>
      <c r="E81" s="41"/>
      <c r="F81" s="41"/>
      <c r="G81" s="41"/>
      <c r="H81" s="41"/>
      <c r="I81" s="41"/>
      <c r="J81" s="41"/>
      <c r="K81" s="41"/>
      <c r="L81" s="41"/>
    </row>
    <row r="82" spans="1:12" ht="16.5" x14ac:dyDescent="0.3">
      <c r="A82" s="23"/>
      <c r="B82" s="67"/>
      <c r="C82" s="67"/>
      <c r="D82" s="67"/>
      <c r="E82" s="67"/>
      <c r="F82" s="41"/>
      <c r="G82" s="41"/>
      <c r="H82" s="41"/>
      <c r="I82" s="41"/>
      <c r="J82" s="41"/>
      <c r="K82" s="41"/>
      <c r="L82" s="41"/>
    </row>
    <row r="83" spans="1:12" ht="16.5" x14ac:dyDescent="0.3">
      <c r="A83" s="23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</row>
    <row r="84" spans="1:12" ht="16.5" x14ac:dyDescent="0.3">
      <c r="A84" s="38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</row>
    <row r="85" spans="1:12" x14ac:dyDescent="0.25">
      <c r="A85" s="5"/>
    </row>
    <row r="86" spans="1:12" x14ac:dyDescent="0.25">
      <c r="A86" s="5"/>
    </row>
    <row r="87" spans="1:12" x14ac:dyDescent="0.25">
      <c r="A87" s="5"/>
    </row>
    <row r="88" spans="1:12" x14ac:dyDescent="0.25">
      <c r="A88" s="5"/>
    </row>
    <row r="89" spans="1:12" x14ac:dyDescent="0.25">
      <c r="A89" s="79"/>
    </row>
    <row r="90" spans="1:12" x14ac:dyDescent="0.25">
      <c r="A90" s="79"/>
    </row>
    <row r="91" spans="1:12" x14ac:dyDescent="0.25">
      <c r="A91" s="5"/>
    </row>
    <row r="92" spans="1:12" x14ac:dyDescent="0.25">
      <c r="A92" s="5"/>
    </row>
    <row r="93" spans="1:12" x14ac:dyDescent="0.25">
      <c r="A93" s="5"/>
    </row>
    <row r="95" spans="1:12" x14ac:dyDescent="0.25">
      <c r="A95" s="17"/>
    </row>
  </sheetData>
  <mergeCells count="55">
    <mergeCell ref="J71:K71"/>
    <mergeCell ref="J72:K72"/>
    <mergeCell ref="J73:K73"/>
    <mergeCell ref="A79:F79"/>
    <mergeCell ref="J64:K64"/>
    <mergeCell ref="J65:K65"/>
    <mergeCell ref="J66:K66"/>
    <mergeCell ref="J69:K69"/>
    <mergeCell ref="J70:K70"/>
    <mergeCell ref="C73:D73"/>
    <mergeCell ref="C71:D71"/>
    <mergeCell ref="C69:D69"/>
    <mergeCell ref="C70:D70"/>
    <mergeCell ref="C64:D64"/>
    <mergeCell ref="C72:D72"/>
    <mergeCell ref="A9:A10"/>
    <mergeCell ref="C9:L9"/>
    <mergeCell ref="J10:K10"/>
    <mergeCell ref="C26:D26"/>
    <mergeCell ref="C24:D24"/>
    <mergeCell ref="B9:B10"/>
    <mergeCell ref="C23:D23"/>
    <mergeCell ref="C25:D25"/>
    <mergeCell ref="C10:D10"/>
    <mergeCell ref="J25:K25"/>
    <mergeCell ref="J24:K24"/>
    <mergeCell ref="J23:K23"/>
    <mergeCell ref="J42:K42"/>
    <mergeCell ref="C57:D57"/>
    <mergeCell ref="C58:D58"/>
    <mergeCell ref="C61:D61"/>
    <mergeCell ref="J26:K26"/>
    <mergeCell ref="J47:K47"/>
    <mergeCell ref="J48:K48"/>
    <mergeCell ref="C47:D47"/>
    <mergeCell ref="C48:D48"/>
    <mergeCell ref="J27:K27"/>
    <mergeCell ref="J52:K52"/>
    <mergeCell ref="J56:K56"/>
    <mergeCell ref="J57:K57"/>
    <mergeCell ref="J58:K58"/>
    <mergeCell ref="J61:K61"/>
    <mergeCell ref="C39:D39"/>
    <mergeCell ref="C27:D27"/>
    <mergeCell ref="C36:D36"/>
    <mergeCell ref="J39:K39"/>
    <mergeCell ref="J40:K40"/>
    <mergeCell ref="J41:K41"/>
    <mergeCell ref="C40:D40"/>
    <mergeCell ref="C52:D52"/>
    <mergeCell ref="C65:D65"/>
    <mergeCell ref="C66:D66"/>
    <mergeCell ref="C56:D56"/>
    <mergeCell ref="C41:D41"/>
    <mergeCell ref="C42:D42"/>
  </mergeCells>
  <pageMargins left="0.7" right="0.7" top="0.75" bottom="0.75" header="0.3" footer="0.3"/>
  <pageSetup orientation="portrait" horizontalDpi="300" verticalDpi="300" r:id="rId1"/>
  <ignoredErrors>
    <ignoredError sqref="B49:I50 C47:G47 B48:G48 B54:I55 D53:H53 B52:H52 D51:I51 B59:I63 B57:I57 B67:I68 B66:I66 B65:I65 B64:I64 B74:J77 B70:I70 B73:I73 C71:H71 C58:I58 C56:I56 B69:H69 B72:H72" evalError="1"/>
    <ignoredError sqref="B24:B26" 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M86"/>
  <sheetViews>
    <sheetView showGridLines="0" zoomScale="80" zoomScaleNormal="80" zoomScalePageLayoutView="9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3.42578125" style="11" customWidth="1"/>
    <col min="2" max="12" width="18.7109375" style="11" customWidth="1"/>
    <col min="13" max="16384" width="11.42578125" style="11"/>
  </cols>
  <sheetData>
    <row r="8" spans="1:13" ht="18.75" customHeight="1" x14ac:dyDescent="0.25"/>
    <row r="9" spans="1:13" s="3" customFormat="1" ht="15" customHeight="1" x14ac:dyDescent="0.35">
      <c r="A9" s="120" t="s">
        <v>0</v>
      </c>
      <c r="B9" s="110" t="s">
        <v>52</v>
      </c>
      <c r="C9" s="113" t="s">
        <v>59</v>
      </c>
      <c r="D9" s="113"/>
      <c r="E9" s="113"/>
      <c r="F9" s="113"/>
      <c r="G9" s="113"/>
      <c r="H9" s="113"/>
      <c r="I9" s="113"/>
      <c r="J9" s="113"/>
      <c r="K9" s="113"/>
      <c r="L9" s="113"/>
      <c r="M9" s="68"/>
    </row>
    <row r="10" spans="1:13" s="3" customFormat="1" ht="51.75" customHeight="1" thickBot="1" x14ac:dyDescent="0.4">
      <c r="A10" s="121"/>
      <c r="B10" s="111"/>
      <c r="C10" s="112" t="s">
        <v>1</v>
      </c>
      <c r="D10" s="112"/>
      <c r="E10" s="85" t="s">
        <v>44</v>
      </c>
      <c r="F10" s="85" t="s">
        <v>45</v>
      </c>
      <c r="G10" s="89" t="s">
        <v>46</v>
      </c>
      <c r="H10" s="89" t="s">
        <v>53</v>
      </c>
      <c r="I10" s="85" t="s">
        <v>50</v>
      </c>
      <c r="J10" s="112" t="s">
        <v>73</v>
      </c>
      <c r="K10" s="112"/>
      <c r="L10" s="85" t="s">
        <v>54</v>
      </c>
      <c r="M10" s="68"/>
    </row>
    <row r="11" spans="1:13" ht="17.25" thickTop="1" x14ac:dyDescent="0.3">
      <c r="A11" s="23"/>
      <c r="B11" s="23"/>
      <c r="C11" s="23"/>
      <c r="D11" s="23"/>
      <c r="E11" s="40"/>
      <c r="F11" s="23"/>
      <c r="G11" s="23"/>
      <c r="H11" s="23"/>
      <c r="I11" s="23"/>
      <c r="J11" s="23"/>
      <c r="K11" s="23"/>
      <c r="L11" s="23"/>
      <c r="M11" s="23"/>
    </row>
    <row r="12" spans="1:13" ht="17.25" x14ac:dyDescent="0.35">
      <c r="A12" s="27" t="s">
        <v>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3" ht="16.5" x14ac:dyDescent="0.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3" s="20" customFormat="1" ht="17.25" x14ac:dyDescent="0.35">
      <c r="A14" s="68" t="s">
        <v>41</v>
      </c>
      <c r="B14" s="28" t="s">
        <v>57</v>
      </c>
      <c r="C14" s="28" t="s">
        <v>42</v>
      </c>
      <c r="D14" s="28" t="s">
        <v>43</v>
      </c>
      <c r="E14" s="29" t="s">
        <v>42</v>
      </c>
      <c r="F14" s="29" t="s">
        <v>42</v>
      </c>
      <c r="G14" s="29" t="s">
        <v>42</v>
      </c>
      <c r="H14" s="29" t="s">
        <v>87</v>
      </c>
      <c r="I14" s="29" t="s">
        <v>51</v>
      </c>
      <c r="J14" s="29" t="s">
        <v>42</v>
      </c>
      <c r="K14" s="29" t="s">
        <v>82</v>
      </c>
      <c r="L14" s="29" t="s">
        <v>57</v>
      </c>
      <c r="M14" s="41"/>
    </row>
    <row r="15" spans="1:13" ht="16.5" x14ac:dyDescent="0.3">
      <c r="A15" s="30" t="s">
        <v>128</v>
      </c>
      <c r="B15" s="95">
        <v>328292</v>
      </c>
      <c r="C15" s="95">
        <v>154353</v>
      </c>
      <c r="D15" s="95">
        <v>200526</v>
      </c>
      <c r="E15" s="95">
        <v>2030</v>
      </c>
      <c r="F15" s="95">
        <v>184</v>
      </c>
      <c r="G15" s="95">
        <v>11214</v>
      </c>
      <c r="H15" s="95">
        <v>119554</v>
      </c>
      <c r="I15" s="95">
        <v>29660</v>
      </c>
      <c r="J15" s="94">
        <v>167807</v>
      </c>
      <c r="K15" s="94">
        <v>210321</v>
      </c>
      <c r="L15" s="94" t="s">
        <v>48</v>
      </c>
      <c r="M15" s="23"/>
    </row>
    <row r="16" spans="1:13" ht="16.5" x14ac:dyDescent="0.3">
      <c r="A16" s="30" t="s">
        <v>129</v>
      </c>
      <c r="B16" s="95" t="str">
        <f>'IV Trimestre'!B16</f>
        <v>n.d</v>
      </c>
      <c r="C16" s="95" t="str">
        <f>'IV Trimestre'!C16</f>
        <v>n.d</v>
      </c>
      <c r="D16" s="95">
        <f>'IV Trimestre'!D16</f>
        <v>136153</v>
      </c>
      <c r="E16" s="95">
        <f>'IV Trimestre'!E16</f>
        <v>1894</v>
      </c>
      <c r="F16" s="95">
        <f>'IV Trimestre'!F16</f>
        <v>207</v>
      </c>
      <c r="G16" s="95">
        <f>'IV Trimestre'!G16</f>
        <v>8036</v>
      </c>
      <c r="H16" s="95">
        <f>'IV Trimestre'!H16</f>
        <v>174350</v>
      </c>
      <c r="I16" s="95">
        <f>'IV Trimestre'!I16</f>
        <v>26335</v>
      </c>
      <c r="J16" s="94" t="s">
        <v>48</v>
      </c>
      <c r="K16" s="94">
        <f>+'IV Trimestre'!K16</f>
        <v>80890</v>
      </c>
      <c r="L16" s="94" t="s">
        <v>48</v>
      </c>
      <c r="M16" s="23"/>
    </row>
    <row r="17" spans="1:13" ht="16.5" x14ac:dyDescent="0.3">
      <c r="A17" s="30" t="s">
        <v>55</v>
      </c>
      <c r="B17" s="95">
        <f>+D17+E17+F17+G17+H17+I17+K17</f>
        <v>3396090.9126399998</v>
      </c>
      <c r="C17" s="95" t="str">
        <f>'IV Trimestre'!C17</f>
        <v>n.d</v>
      </c>
      <c r="D17" s="95">
        <f>+'I Trimestre'!D17+'II Trimestre'!D17+'III Trimestre'!D17+'IV Trimestre'!D17</f>
        <v>1428571</v>
      </c>
      <c r="E17" s="95">
        <f>+'I Trimestre'!E17+'II Trimestre'!E17+'III Trimestre'!E17+'IV Trimestre'!E17</f>
        <v>20831</v>
      </c>
      <c r="F17" s="95">
        <f>+'I Trimestre'!F17+'II Trimestre'!F17+'III Trimestre'!F17+'IV Trimestre'!F17</f>
        <v>1827</v>
      </c>
      <c r="G17" s="95">
        <f>+'I Trimestre'!G17+'II Trimestre'!G17+'III Trimestre'!G17+'IV Trimestre'!G17</f>
        <v>96060</v>
      </c>
      <c r="H17" s="95">
        <f>+'I Trimestre'!H17+'II Trimestre'!H17+'III Trimestre'!H17+'IV Trimestre'!H17</f>
        <v>722668.91264</v>
      </c>
      <c r="I17" s="95">
        <f>+'I Trimestre'!I17+'II Trimestre'!I17+'III Trimestre'!I17+'IV Trimestre'!I17</f>
        <v>236345</v>
      </c>
      <c r="J17" s="94" t="s">
        <v>48</v>
      </c>
      <c r="K17" s="94">
        <f>+'I Trimestre'!K17+'II Trimestre'!K17+'III Trimestre'!K17+'IV Trimestre'!K17</f>
        <v>889788</v>
      </c>
      <c r="L17" s="94" t="s">
        <v>48</v>
      </c>
      <c r="M17" s="23"/>
    </row>
    <row r="18" spans="1:13" ht="16.5" x14ac:dyDescent="0.3">
      <c r="A18" s="30" t="s">
        <v>130</v>
      </c>
      <c r="B18" s="95">
        <v>319258</v>
      </c>
      <c r="C18" s="95">
        <v>145286</v>
      </c>
      <c r="D18" s="95">
        <v>184810</v>
      </c>
      <c r="E18" s="95">
        <v>1578</v>
      </c>
      <c r="F18" s="95">
        <v>157</v>
      </c>
      <c r="G18" s="95">
        <v>9333</v>
      </c>
      <c r="H18" s="95">
        <v>123732</v>
      </c>
      <c r="I18" s="95">
        <v>24968</v>
      </c>
      <c r="J18" s="95">
        <v>228844</v>
      </c>
      <c r="K18" s="94">
        <v>169776</v>
      </c>
      <c r="L18" s="94" t="s">
        <v>48</v>
      </c>
      <c r="M18" s="23"/>
    </row>
    <row r="19" spans="1:13" ht="16.5" x14ac:dyDescent="0.3">
      <c r="A19" s="30" t="s">
        <v>55</v>
      </c>
      <c r="B19" s="95">
        <f>+SUM(D19+E19+F19+G19+H19+I19+K19)</f>
        <v>5183070</v>
      </c>
      <c r="C19" s="95" t="str">
        <f>'IV Trimestre'!C19</f>
        <v>n.d</v>
      </c>
      <c r="D19" s="95">
        <f>+'I Trimestre'!D19+'II Trimestre'!D19+'III Trimestre'!D19+'IV Trimestre'!D19</f>
        <v>1816709</v>
      </c>
      <c r="E19" s="95">
        <f>+'I Trimestre'!E19+'II Trimestre'!E19+'III Trimestre'!E19+'IV Trimestre'!E19</f>
        <v>14947</v>
      </c>
      <c r="F19" s="95">
        <f>+'I Trimestre'!F19+'II Trimestre'!F19+'III Trimestre'!F19+'IV Trimestre'!F19</f>
        <v>1035</v>
      </c>
      <c r="G19" s="95">
        <f>+'I Trimestre'!G19+'II Trimestre'!G19+'III Trimestre'!G19+'IV Trimestre'!G19</f>
        <v>94533</v>
      </c>
      <c r="H19" s="95">
        <f>+'I Trimestre'!H19+'II Trimestre'!H19+'III Trimestre'!H19+'IV Trimestre'!H19</f>
        <v>799972</v>
      </c>
      <c r="I19" s="95">
        <f>+'I Trimestre'!I19+'II Trimestre'!I19+'III Trimestre'!I19+'IV Trimestre'!I19</f>
        <v>203102</v>
      </c>
      <c r="J19" s="95" t="s">
        <v>48</v>
      </c>
      <c r="K19" s="95">
        <f>+'I Trimestre'!K19+'II Trimestre'!K19+'III Trimestre'!K19+'IV Trimestre'!K19</f>
        <v>2252772</v>
      </c>
      <c r="L19" s="94" t="s">
        <v>48</v>
      </c>
      <c r="M19" s="23"/>
    </row>
    <row r="20" spans="1:13" ht="16.5" x14ac:dyDescent="0.3">
      <c r="A20" s="30" t="s">
        <v>90</v>
      </c>
      <c r="B20" s="95" t="str">
        <f>'IV Trimestre'!B20</f>
        <v>n.d</v>
      </c>
      <c r="C20" s="95" t="str">
        <f>'IV Trimestre'!C20</f>
        <v>n.d</v>
      </c>
      <c r="D20" s="95">
        <f>'IV Trimestre'!D20</f>
        <v>136153</v>
      </c>
      <c r="E20" s="95">
        <f>'IV Trimestre'!E20</f>
        <v>1894</v>
      </c>
      <c r="F20" s="95">
        <f>'IV Trimestre'!F20</f>
        <v>207</v>
      </c>
      <c r="G20" s="95">
        <f>'IV Trimestre'!G20</f>
        <v>8036</v>
      </c>
      <c r="H20" s="95">
        <f>'IV Trimestre'!H20</f>
        <v>174350</v>
      </c>
      <c r="I20" s="95">
        <f>'IV Trimestre'!I20</f>
        <v>26335</v>
      </c>
      <c r="J20" s="94" t="s">
        <v>48</v>
      </c>
      <c r="K20" s="94">
        <f>'IV Trimestre'!K20</f>
        <v>80890</v>
      </c>
      <c r="L20" s="94" t="s">
        <v>48</v>
      </c>
      <c r="M20" s="23"/>
    </row>
    <row r="21" spans="1:13" ht="16.5" x14ac:dyDescent="0.3">
      <c r="A21" s="23"/>
      <c r="B21" s="86"/>
      <c r="C21" s="86"/>
      <c r="D21" s="86"/>
      <c r="E21" s="86"/>
      <c r="F21" s="86"/>
      <c r="G21" s="86"/>
      <c r="H21" s="86"/>
      <c r="I21" s="86"/>
      <c r="J21" s="86"/>
      <c r="K21" s="94"/>
      <c r="L21" s="94"/>
      <c r="M21" s="23"/>
    </row>
    <row r="22" spans="1:13" ht="17.25" x14ac:dyDescent="0.35">
      <c r="A22" s="32" t="s">
        <v>3</v>
      </c>
      <c r="B22" s="86"/>
      <c r="C22" s="86"/>
      <c r="D22" s="86"/>
      <c r="E22" s="86"/>
      <c r="F22" s="86"/>
      <c r="G22" s="86"/>
      <c r="H22" s="86"/>
      <c r="I22" s="86"/>
      <c r="J22" s="86"/>
      <c r="K22" s="94"/>
      <c r="L22" s="94"/>
      <c r="M22" s="23"/>
    </row>
    <row r="23" spans="1:13" ht="16.5" x14ac:dyDescent="0.3">
      <c r="A23" s="30" t="s">
        <v>128</v>
      </c>
      <c r="B23" s="95">
        <f>+C23+E23+F23+G23+H23+I23+J23+L23</f>
        <v>147665783879.23999</v>
      </c>
      <c r="C23" s="117">
        <f>'I Trimestre'!C23:D23+'II Trimestre'!C23:D23+'III Trimestre'!C23:D23+'IV Trimestre'!C23:D23</f>
        <v>49812700110</v>
      </c>
      <c r="D23" s="117"/>
      <c r="E23" s="95">
        <f>'I Trimestre'!E23+'II Trimestre'!E23+'III Trimestre'!E23+'IV Trimestre'!E23</f>
        <v>1370697293</v>
      </c>
      <c r="F23" s="95">
        <f>'I Trimestre'!F23+'II Trimestre'!F23+'III Trimestre'!F23+'IV Trimestre'!F23</f>
        <v>291837308</v>
      </c>
      <c r="G23" s="95">
        <f>'I Trimestre'!G23+'II Trimestre'!G23+'III Trimestre'!G23+'IV Trimestre'!G23</f>
        <v>7169540258</v>
      </c>
      <c r="H23" s="95">
        <f>'I Trimestre'!H23+'II Trimestre'!H23+'III Trimestre'!H23+'IV Trimestre'!H23</f>
        <v>54835913152</v>
      </c>
      <c r="I23" s="95">
        <f>'I Trimestre'!I23+'II Trimestre'!I23+'III Trimestre'!I23+'IV Trimestre'!I23</f>
        <v>26216967380.000008</v>
      </c>
      <c r="J23" s="117">
        <f>+'III Trimestre'!J23:K23+'IV Trimestre'!J23:K23</f>
        <v>7763285000</v>
      </c>
      <c r="K23" s="117"/>
      <c r="L23" s="95">
        <f>+'I Trimestre'!L23+'II Trimestre'!L23+'III Trimestre'!L23+'IV Trimestre'!L23</f>
        <v>204843378.23999998</v>
      </c>
      <c r="M23" s="23"/>
    </row>
    <row r="24" spans="1:13" ht="16.5" x14ac:dyDescent="0.3">
      <c r="A24" s="30" t="s">
        <v>129</v>
      </c>
      <c r="B24" s="95">
        <f>+SUM(C24+E24+F24+G24+H24+I24+J24)</f>
        <v>155613604488</v>
      </c>
      <c r="C24" s="117">
        <f>'I Trimestre'!C24:D24+'II Trimestre'!C24:D24+'III Trimestre'!C24:D24+'IV Trimestre'!C24:D24</f>
        <v>49999985000</v>
      </c>
      <c r="D24" s="117"/>
      <c r="E24" s="95">
        <f>+'I Trimestre'!E24+'II Trimestre'!E24+'III Trimestre'!E24+'IV Trimestre'!E24</f>
        <v>1624818000</v>
      </c>
      <c r="F24" s="95">
        <f>+'I Trimestre'!F24+'II Trimestre'!F24+'III Trimestre'!F24+'IV Trimestre'!F24</f>
        <v>569999040</v>
      </c>
      <c r="G24" s="95">
        <f>+'I Trimestre'!G24+'II Trimestre'!G24+'III Trimestre'!G24+'IV Trimestre'!G24</f>
        <v>7204500000</v>
      </c>
      <c r="H24" s="95">
        <f>+'I Trimestre'!H24+'II Trimestre'!H24+'III Trimestre'!H24+'IV Trimestre'!H24</f>
        <v>54200168448</v>
      </c>
      <c r="I24" s="95">
        <f>+'I Trimestre'!I24+'II Trimestre'!I24+'III Trimestre'!I24+'IV Trimestre'!I24</f>
        <v>25997950000</v>
      </c>
      <c r="J24" s="117">
        <f>+'I Trimestre'!J24:K24+'II Trimestre'!J24:K24+'III Trimestre'!J24:K24+'IV Trimestre'!J24:K24</f>
        <v>16016184000</v>
      </c>
      <c r="K24" s="117"/>
      <c r="L24" s="94" t="s">
        <v>48</v>
      </c>
      <c r="M24" s="23"/>
    </row>
    <row r="25" spans="1:13" ht="16.5" x14ac:dyDescent="0.3">
      <c r="A25" s="30" t="s">
        <v>130</v>
      </c>
      <c r="B25" s="95">
        <f>+C25+E25+F25+G25+H25+I25+J25+L25</f>
        <v>154042664467.60999</v>
      </c>
      <c r="C25" s="117">
        <f>'I Trimestre'!C25:D25+'II Trimestre'!C25:D25+'III Trimestre'!C25:D25+'IV Trimestre'!C25:D25</f>
        <v>48556293000</v>
      </c>
      <c r="D25" s="117"/>
      <c r="E25" s="95">
        <f>'I Trimestre'!E25+'II Trimestre'!E25+'III Trimestre'!E25+'IV Trimestre'!E25</f>
        <v>1575485515</v>
      </c>
      <c r="F25" s="95">
        <f>'I Trimestre'!F25+'II Trimestre'!F25+'III Trimestre'!F25+'IV Trimestre'!F25</f>
        <v>260758000</v>
      </c>
      <c r="G25" s="95">
        <f>'I Trimestre'!G25+'II Trimestre'!G25+'III Trimestre'!G25+'IV Trimestre'!G25</f>
        <v>7199256361.000001</v>
      </c>
      <c r="H25" s="95">
        <f>'I Trimestre'!H25+'II Trimestre'!H25+'III Trimestre'!H25+'IV Trimestre'!H25</f>
        <v>54019669975.610001</v>
      </c>
      <c r="I25" s="95">
        <f>'I Trimestre'!I25+'II Trimestre'!I25+'III Trimestre'!I25+'IV Trimestre'!I25</f>
        <v>26159978616</v>
      </c>
      <c r="J25" s="117">
        <f>+'I Trimestre'!J25:K25+'II Trimestre'!J25:K25+'III Trimestre'!J25:K25+'IV Trimestre'!J25:K25</f>
        <v>15921223000</v>
      </c>
      <c r="K25" s="117"/>
      <c r="L25" s="94">
        <f>+'I Trimestre'!L25</f>
        <v>350000000</v>
      </c>
      <c r="M25" s="23"/>
    </row>
    <row r="26" spans="1:13" ht="16.5" x14ac:dyDescent="0.3">
      <c r="A26" s="30" t="s">
        <v>90</v>
      </c>
      <c r="B26" s="95">
        <f>+SUM(C26+E26+F26+G26+H26+I26+J26)</f>
        <v>155613604488</v>
      </c>
      <c r="C26" s="117">
        <f>'IV Trimestre'!C26</f>
        <v>49999985000</v>
      </c>
      <c r="D26" s="117"/>
      <c r="E26" s="95">
        <f>'IV Trimestre'!E26</f>
        <v>1624818000</v>
      </c>
      <c r="F26" s="95">
        <f>'IV Trimestre'!F26</f>
        <v>569999040</v>
      </c>
      <c r="G26" s="95">
        <f>'IV Trimestre'!G26</f>
        <v>7204500000</v>
      </c>
      <c r="H26" s="95">
        <f>'IV Trimestre'!H26</f>
        <v>54200168448</v>
      </c>
      <c r="I26" s="95">
        <f>'IV Trimestre'!I26</f>
        <v>25997950000</v>
      </c>
      <c r="J26" s="117">
        <f>+'IV Trimestre'!J26:K26</f>
        <v>16016184000</v>
      </c>
      <c r="K26" s="117"/>
      <c r="L26" s="94" t="s">
        <v>48</v>
      </c>
      <c r="M26" s="23"/>
    </row>
    <row r="27" spans="1:13" ht="16.5" x14ac:dyDescent="0.3">
      <c r="A27" s="30" t="s">
        <v>131</v>
      </c>
      <c r="B27" s="95">
        <f>+SUM(C27+E27+F27+G27+H27+I27+J27+L27)</f>
        <v>154042664467.60999</v>
      </c>
      <c r="C27" s="117">
        <f>C25</f>
        <v>48556293000</v>
      </c>
      <c r="D27" s="117"/>
      <c r="E27" s="95">
        <f>E25</f>
        <v>1575485515</v>
      </c>
      <c r="F27" s="95">
        <f t="shared" ref="F27:I27" si="0">F25</f>
        <v>260758000</v>
      </c>
      <c r="G27" s="95">
        <f t="shared" si="0"/>
        <v>7199256361.000001</v>
      </c>
      <c r="H27" s="95">
        <f t="shared" si="0"/>
        <v>54019669975.610001</v>
      </c>
      <c r="I27" s="95">
        <f t="shared" si="0"/>
        <v>26159978616</v>
      </c>
      <c r="J27" s="117">
        <f>J25</f>
        <v>15921223000</v>
      </c>
      <c r="K27" s="117"/>
      <c r="L27" s="94">
        <f>+L25</f>
        <v>350000000</v>
      </c>
      <c r="M27" s="23"/>
    </row>
    <row r="28" spans="1:13" ht="16.5" x14ac:dyDescent="0.3">
      <c r="A28" s="23"/>
      <c r="B28" s="86"/>
      <c r="C28" s="86"/>
      <c r="D28" s="86"/>
      <c r="E28" s="86"/>
      <c r="F28" s="86"/>
      <c r="G28" s="86"/>
      <c r="H28" s="86"/>
      <c r="I28" s="86"/>
      <c r="J28" s="86"/>
      <c r="K28" s="94"/>
      <c r="L28" s="94"/>
      <c r="M28" s="23"/>
    </row>
    <row r="29" spans="1:13" ht="17.25" x14ac:dyDescent="0.35">
      <c r="A29" s="32" t="s">
        <v>4</v>
      </c>
      <c r="B29" s="86"/>
      <c r="C29" s="86"/>
      <c r="D29" s="86"/>
      <c r="E29" s="86"/>
      <c r="F29" s="86"/>
      <c r="G29" s="86"/>
      <c r="H29" s="86"/>
      <c r="I29" s="86"/>
      <c r="J29" s="86"/>
      <c r="K29" s="94"/>
      <c r="L29" s="94"/>
      <c r="M29" s="23"/>
    </row>
    <row r="30" spans="1:13" ht="16.5" x14ac:dyDescent="0.3">
      <c r="A30" s="30" t="s">
        <v>129</v>
      </c>
      <c r="B30" s="95">
        <f>B26</f>
        <v>155613604488</v>
      </c>
      <c r="C30" s="86"/>
      <c r="D30" s="86"/>
      <c r="E30" s="86"/>
      <c r="F30" s="86"/>
      <c r="G30" s="86"/>
      <c r="H30" s="86"/>
      <c r="I30" s="86"/>
      <c r="J30" s="86"/>
      <c r="K30" s="94"/>
      <c r="L30" s="94"/>
      <c r="M30" s="23"/>
    </row>
    <row r="31" spans="1:13" ht="16.5" x14ac:dyDescent="0.3">
      <c r="A31" s="30" t="s">
        <v>130</v>
      </c>
      <c r="B31" s="95">
        <f>'I Trimestre'!B31+'II Trimestre'!B31+'III Trimestre'!B31+'IV Trimestre'!B31</f>
        <v>152012664483.28</v>
      </c>
      <c r="C31" s="86"/>
      <c r="D31" s="86"/>
      <c r="E31" s="86"/>
      <c r="F31" s="86"/>
      <c r="G31" s="86"/>
      <c r="H31" s="86"/>
      <c r="I31" s="86"/>
      <c r="J31" s="86"/>
      <c r="K31" s="94"/>
      <c r="L31" s="94"/>
      <c r="M31" s="23"/>
    </row>
    <row r="32" spans="1:13" ht="16.5" x14ac:dyDescent="0.3">
      <c r="A32" s="23"/>
      <c r="B32" s="84"/>
      <c r="C32" s="84"/>
      <c r="D32" s="84"/>
      <c r="E32" s="84"/>
      <c r="F32" s="84"/>
      <c r="G32" s="84"/>
      <c r="H32" s="84"/>
      <c r="I32" s="84"/>
      <c r="J32" s="84"/>
      <c r="K32" s="23"/>
      <c r="L32" s="23"/>
      <c r="M32" s="23"/>
    </row>
    <row r="33" spans="1:13" ht="17.25" x14ac:dyDescent="0.35">
      <c r="A33" s="27" t="s">
        <v>5</v>
      </c>
      <c r="B33" s="84"/>
      <c r="C33" s="84"/>
      <c r="D33" s="84"/>
      <c r="E33" s="84"/>
      <c r="F33" s="84"/>
      <c r="G33" s="84"/>
      <c r="H33" s="84"/>
      <c r="I33" s="84"/>
      <c r="J33" s="84"/>
      <c r="K33" s="23"/>
      <c r="L33" s="23"/>
      <c r="M33" s="23"/>
    </row>
    <row r="34" spans="1:13" ht="16.5" x14ac:dyDescent="0.3">
      <c r="A34" s="30" t="s">
        <v>132</v>
      </c>
      <c r="B34" s="83">
        <v>1.0610999999999999</v>
      </c>
      <c r="C34" s="83">
        <v>1.0610999999999999</v>
      </c>
      <c r="D34" s="83">
        <v>1.0610999999999999</v>
      </c>
      <c r="E34" s="83">
        <v>1.0610999999999999</v>
      </c>
      <c r="F34" s="83">
        <v>1.0610999999999999</v>
      </c>
      <c r="G34" s="83">
        <v>1.0610999999999999</v>
      </c>
      <c r="H34" s="83">
        <v>1.0610999999999999</v>
      </c>
      <c r="I34" s="83">
        <v>1.0610999999999999</v>
      </c>
      <c r="J34" s="83">
        <v>1.0610999999999999</v>
      </c>
      <c r="K34" s="83">
        <v>1.0610999999999999</v>
      </c>
      <c r="L34" s="83">
        <v>1.0610999999999999</v>
      </c>
      <c r="M34" s="23"/>
    </row>
    <row r="35" spans="1:13" ht="16.5" x14ac:dyDescent="0.3">
      <c r="A35" s="30" t="s">
        <v>133</v>
      </c>
      <c r="B35" s="83">
        <v>1.0706</v>
      </c>
      <c r="C35" s="83">
        <v>1.0706</v>
      </c>
      <c r="D35" s="83">
        <v>1.0706</v>
      </c>
      <c r="E35" s="83">
        <v>1.0706</v>
      </c>
      <c r="F35" s="83">
        <v>1.0706</v>
      </c>
      <c r="G35" s="83">
        <v>1.0706</v>
      </c>
      <c r="H35" s="83">
        <v>1.0706</v>
      </c>
      <c r="I35" s="83">
        <v>1.0706</v>
      </c>
      <c r="J35" s="83">
        <v>1.0706</v>
      </c>
      <c r="K35" s="83">
        <v>1.0706</v>
      </c>
      <c r="L35" s="83">
        <v>1.0706</v>
      </c>
      <c r="M35" s="23"/>
    </row>
    <row r="36" spans="1:13" ht="16.5" x14ac:dyDescent="0.3">
      <c r="A36" s="30" t="s">
        <v>6</v>
      </c>
      <c r="B36" s="87">
        <v>384301</v>
      </c>
      <c r="C36" s="100">
        <v>170928</v>
      </c>
      <c r="D36" s="100"/>
      <c r="E36" s="87">
        <v>140929</v>
      </c>
      <c r="F36" s="87" t="s">
        <v>56</v>
      </c>
      <c r="G36" s="87">
        <v>92538</v>
      </c>
      <c r="H36" s="87" t="s">
        <v>56</v>
      </c>
      <c r="I36" s="87" t="s">
        <v>56</v>
      </c>
      <c r="J36" s="87" t="s">
        <v>56</v>
      </c>
      <c r="K36" s="47" t="s">
        <v>56</v>
      </c>
      <c r="L36" s="47" t="s">
        <v>56</v>
      </c>
      <c r="M36" s="23"/>
    </row>
    <row r="37" spans="1:13" ht="16.5" x14ac:dyDescent="0.3">
      <c r="A37" s="23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23"/>
    </row>
    <row r="38" spans="1:13" ht="17.25" x14ac:dyDescent="0.35">
      <c r="A38" s="27" t="s">
        <v>7</v>
      </c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23"/>
    </row>
    <row r="39" spans="1:13" ht="16.5" x14ac:dyDescent="0.3">
      <c r="A39" s="23" t="s">
        <v>134</v>
      </c>
      <c r="B39" s="87">
        <f>B23/B34</f>
        <v>139162928922.0997</v>
      </c>
      <c r="C39" s="100">
        <f>C23/C34</f>
        <v>46944397427.198196</v>
      </c>
      <c r="D39" s="100"/>
      <c r="E39" s="87">
        <f>E23/E34</f>
        <v>1291770137.5930638</v>
      </c>
      <c r="F39" s="87">
        <f t="shared" ref="F39:K39" si="1">F23/F34</f>
        <v>275032803.69427955</v>
      </c>
      <c r="G39" s="87">
        <f t="shared" si="1"/>
        <v>6756705548.9586287</v>
      </c>
      <c r="H39" s="87">
        <f t="shared" si="1"/>
        <v>51678365047.592125</v>
      </c>
      <c r="I39" s="87">
        <f t="shared" si="1"/>
        <v>24707348393.176899</v>
      </c>
      <c r="J39" s="100">
        <f t="shared" si="1"/>
        <v>7316261426.8212233</v>
      </c>
      <c r="K39" s="100">
        <f t="shared" si="1"/>
        <v>0</v>
      </c>
      <c r="L39" s="88">
        <f t="shared" ref="L39" si="2">L23/L34</f>
        <v>193048137.06530958</v>
      </c>
      <c r="M39" s="23"/>
    </row>
    <row r="40" spans="1:13" ht="16.5" x14ac:dyDescent="0.3">
      <c r="A40" s="23" t="s">
        <v>135</v>
      </c>
      <c r="B40" s="87">
        <f>B25/B35</f>
        <v>143884424124.42554</v>
      </c>
      <c r="C40" s="100">
        <f>C25/C35</f>
        <v>45354280777.134315</v>
      </c>
      <c r="D40" s="100"/>
      <c r="E40" s="87">
        <f>E25/E35</f>
        <v>1471591177.8441994</v>
      </c>
      <c r="F40" s="87">
        <f t="shared" ref="F40:I40" si="3">F25/F35</f>
        <v>243562488.32430413</v>
      </c>
      <c r="G40" s="87">
        <f t="shared" si="3"/>
        <v>6724506221.7448168</v>
      </c>
      <c r="H40" s="87">
        <f t="shared" si="3"/>
        <v>50457379017.009155</v>
      </c>
      <c r="I40" s="87">
        <f t="shared" si="3"/>
        <v>24434876345.97422</v>
      </c>
      <c r="J40" s="100">
        <f>J25/J35</f>
        <v>14871308611.993275</v>
      </c>
      <c r="K40" s="100"/>
      <c r="L40" s="88">
        <f t="shared" ref="L40" si="4">L25/L35</f>
        <v>326919484.40127033</v>
      </c>
      <c r="M40" s="23"/>
    </row>
    <row r="41" spans="1:13" ht="16.5" x14ac:dyDescent="0.3">
      <c r="A41" s="23" t="s">
        <v>136</v>
      </c>
      <c r="B41" s="87">
        <f>B39/B15</f>
        <v>423899.8480684869</v>
      </c>
      <c r="C41" s="100">
        <f>C39/D15</f>
        <v>234106.28759960402</v>
      </c>
      <c r="D41" s="100"/>
      <c r="E41" s="87">
        <f>E39/E15</f>
        <v>636339.96925766696</v>
      </c>
      <c r="F41" s="87">
        <f t="shared" ref="F41:I41" si="5">F39/F15</f>
        <v>1494743.4983384758</v>
      </c>
      <c r="G41" s="87">
        <f t="shared" si="5"/>
        <v>602524.125999521</v>
      </c>
      <c r="H41" s="87">
        <f t="shared" si="5"/>
        <v>432259.6069357121</v>
      </c>
      <c r="I41" s="87">
        <f t="shared" si="5"/>
        <v>833019.16362700262</v>
      </c>
      <c r="J41" s="100">
        <f>J39/K15</f>
        <v>34786.166986754644</v>
      </c>
      <c r="K41" s="100"/>
      <c r="L41" s="88" t="s">
        <v>48</v>
      </c>
      <c r="M41" s="23"/>
    </row>
    <row r="42" spans="1:13" ht="16.5" x14ac:dyDescent="0.3">
      <c r="A42" s="23" t="s">
        <v>137</v>
      </c>
      <c r="B42" s="87">
        <f>B40/B18</f>
        <v>450683.84856268455</v>
      </c>
      <c r="C42" s="100">
        <f>C40/D18</f>
        <v>245410.31749977986</v>
      </c>
      <c r="D42" s="100"/>
      <c r="E42" s="87">
        <f>E40/E18</f>
        <v>932567.28633979685</v>
      </c>
      <c r="F42" s="87">
        <f t="shared" ref="F42:I42" si="6">F40/F18</f>
        <v>1551353.4288172238</v>
      </c>
      <c r="G42" s="87">
        <f t="shared" si="6"/>
        <v>720508.54192058463</v>
      </c>
      <c r="H42" s="87">
        <f t="shared" si="6"/>
        <v>407795.71183694724</v>
      </c>
      <c r="I42" s="87">
        <f t="shared" si="6"/>
        <v>978647.72292431188</v>
      </c>
      <c r="J42" s="100">
        <f>J40/K18</f>
        <v>87593.703538740898</v>
      </c>
      <c r="K42" s="100"/>
      <c r="L42" s="88" t="s">
        <v>48</v>
      </c>
      <c r="M42" s="23"/>
    </row>
    <row r="43" spans="1:13" ht="16.5" x14ac:dyDescent="0.3">
      <c r="A43" s="23"/>
      <c r="B43" s="70"/>
      <c r="C43" s="70"/>
      <c r="D43" s="70"/>
      <c r="E43" s="70"/>
      <c r="F43" s="70"/>
      <c r="G43" s="70"/>
      <c r="H43" s="70"/>
      <c r="I43" s="70"/>
      <c r="J43" s="70"/>
      <c r="K43" s="23"/>
      <c r="L43" s="23"/>
      <c r="M43" s="23"/>
    </row>
    <row r="44" spans="1:13" ht="17.25" x14ac:dyDescent="0.35">
      <c r="A44" s="27" t="s">
        <v>8</v>
      </c>
      <c r="B44" s="70"/>
      <c r="C44" s="70"/>
      <c r="D44" s="70"/>
      <c r="E44" s="70"/>
      <c r="F44" s="70"/>
      <c r="G44" s="70"/>
      <c r="H44" s="70"/>
      <c r="I44" s="70"/>
      <c r="J44" s="70"/>
      <c r="K44" s="23"/>
      <c r="L44" s="23"/>
      <c r="M44" s="23"/>
    </row>
    <row r="45" spans="1:13" ht="16.5" x14ac:dyDescent="0.3">
      <c r="A45" s="23"/>
      <c r="B45" s="70"/>
      <c r="C45" s="70"/>
      <c r="D45" s="70"/>
      <c r="E45" s="70"/>
      <c r="F45" s="70"/>
      <c r="G45" s="70"/>
      <c r="H45" s="70"/>
      <c r="I45" s="70"/>
      <c r="J45" s="70"/>
      <c r="K45" s="23"/>
      <c r="L45" s="23"/>
      <c r="M45" s="23"/>
    </row>
    <row r="46" spans="1:13" ht="17.25" x14ac:dyDescent="0.35">
      <c r="A46" s="27" t="s">
        <v>9</v>
      </c>
      <c r="B46" s="70"/>
      <c r="C46" s="70"/>
      <c r="D46" s="70"/>
      <c r="E46" s="70"/>
      <c r="F46" s="70"/>
      <c r="G46" s="70"/>
      <c r="H46" s="70"/>
      <c r="I46" s="70"/>
      <c r="J46" s="70"/>
      <c r="K46" s="23"/>
      <c r="L46" s="23"/>
      <c r="M46" s="23"/>
    </row>
    <row r="47" spans="1:13" ht="16.5" x14ac:dyDescent="0.3">
      <c r="A47" s="23" t="s">
        <v>10</v>
      </c>
      <c r="B47" s="92" t="s">
        <v>48</v>
      </c>
      <c r="C47" s="101">
        <f>D16/C36*100</f>
        <v>79.65517644856314</v>
      </c>
      <c r="D47" s="101"/>
      <c r="E47" s="92">
        <f>E16/E36*100</f>
        <v>1.3439391466625037</v>
      </c>
      <c r="F47" s="92" t="s">
        <v>48</v>
      </c>
      <c r="G47" s="92">
        <f t="shared" ref="G47" si="7">G16/G36*100</f>
        <v>8.6840000864509719</v>
      </c>
      <c r="H47" s="92" t="s">
        <v>48</v>
      </c>
      <c r="I47" s="92" t="s">
        <v>48</v>
      </c>
      <c r="J47" s="101" t="s">
        <v>48</v>
      </c>
      <c r="K47" s="101"/>
      <c r="L47" s="90" t="s">
        <v>48</v>
      </c>
      <c r="M47" s="23"/>
    </row>
    <row r="48" spans="1:13" ht="16.5" x14ac:dyDescent="0.3">
      <c r="A48" s="23" t="s">
        <v>11</v>
      </c>
      <c r="B48" s="92">
        <f>(B18/B36)*100</f>
        <v>83.074985493142094</v>
      </c>
      <c r="C48" s="101">
        <f>D18/C36*100</f>
        <v>108.12154825423571</v>
      </c>
      <c r="D48" s="101"/>
      <c r="E48" s="92">
        <f>E18/E36*100</f>
        <v>1.1197127631644304</v>
      </c>
      <c r="F48" s="92" t="s">
        <v>48</v>
      </c>
      <c r="G48" s="92">
        <f t="shared" ref="G48" si="8">G18/G36*100</f>
        <v>10.085586461777863</v>
      </c>
      <c r="H48" s="92" t="s">
        <v>48</v>
      </c>
      <c r="I48" s="92" t="s">
        <v>48</v>
      </c>
      <c r="J48" s="101" t="s">
        <v>48</v>
      </c>
      <c r="K48" s="101"/>
      <c r="L48" s="90" t="s">
        <v>48</v>
      </c>
      <c r="M48" s="23"/>
    </row>
    <row r="49" spans="1:13" ht="16.5" x14ac:dyDescent="0.3">
      <c r="A49" s="23"/>
      <c r="B49" s="92"/>
      <c r="C49" s="92"/>
      <c r="D49" s="92"/>
      <c r="E49" s="92"/>
      <c r="F49" s="92"/>
      <c r="G49" s="92"/>
      <c r="H49" s="92"/>
      <c r="I49" s="92"/>
      <c r="J49" s="92"/>
      <c r="K49" s="90"/>
      <c r="L49" s="90"/>
      <c r="M49" s="23"/>
    </row>
    <row r="50" spans="1:13" ht="17.25" x14ac:dyDescent="0.35">
      <c r="A50" s="27" t="s">
        <v>12</v>
      </c>
      <c r="B50" s="92"/>
      <c r="C50" s="92"/>
      <c r="D50" s="92"/>
      <c r="E50" s="92"/>
      <c r="F50" s="92"/>
      <c r="G50" s="92"/>
      <c r="H50" s="92"/>
      <c r="I50" s="92"/>
      <c r="J50" s="92"/>
      <c r="K50" s="90"/>
      <c r="L50" s="90"/>
      <c r="M50" s="23"/>
    </row>
    <row r="51" spans="1:13" ht="16.5" x14ac:dyDescent="0.3">
      <c r="A51" s="23" t="s">
        <v>13</v>
      </c>
      <c r="B51" s="92" t="s">
        <v>48</v>
      </c>
      <c r="C51" s="92" t="s">
        <v>48</v>
      </c>
      <c r="D51" s="92">
        <f>D18/D16*100</f>
        <v>135.73700175537815</v>
      </c>
      <c r="E51" s="92">
        <f>E18/E16*100</f>
        <v>83.315733896515312</v>
      </c>
      <c r="F51" s="92">
        <f t="shared" ref="F51:I51" si="9">F18/F16*100</f>
        <v>75.845410628019323</v>
      </c>
      <c r="G51" s="92">
        <f t="shared" si="9"/>
        <v>116.13987058237929</v>
      </c>
      <c r="H51" s="92">
        <f t="shared" si="9"/>
        <v>70.967593920275306</v>
      </c>
      <c r="I51" s="92">
        <f t="shared" si="9"/>
        <v>94.809189291816978</v>
      </c>
      <c r="J51" s="92" t="s">
        <v>48</v>
      </c>
      <c r="K51" s="90">
        <f>K18/K16*100</f>
        <v>209.88502905179877</v>
      </c>
      <c r="L51" s="90" t="s">
        <v>48</v>
      </c>
      <c r="M51" s="23"/>
    </row>
    <row r="52" spans="1:13" ht="16.5" x14ac:dyDescent="0.3">
      <c r="A52" s="23" t="s">
        <v>14</v>
      </c>
      <c r="B52" s="92">
        <f>B25/B24*100</f>
        <v>98.990486708691876</v>
      </c>
      <c r="C52" s="101">
        <f>C25/C24*100</f>
        <v>97.112615133784544</v>
      </c>
      <c r="D52" s="101"/>
      <c r="E52" s="92">
        <f>E25/E24*100</f>
        <v>96.963814716479007</v>
      </c>
      <c r="F52" s="92">
        <f t="shared" ref="F52:I52" si="10">F25/F24*100</f>
        <v>45.747094591597907</v>
      </c>
      <c r="G52" s="92">
        <f t="shared" si="10"/>
        <v>99.927217169824431</v>
      </c>
      <c r="H52" s="92">
        <f t="shared" si="10"/>
        <v>99.66697802320823</v>
      </c>
      <c r="I52" s="92">
        <f t="shared" si="10"/>
        <v>100.62323612438672</v>
      </c>
      <c r="J52" s="101">
        <f>J25/J24*100</f>
        <v>99.407093474950088</v>
      </c>
      <c r="K52" s="101"/>
      <c r="L52" s="90" t="s">
        <v>48</v>
      </c>
      <c r="M52" s="23"/>
    </row>
    <row r="53" spans="1:13" ht="16.5" x14ac:dyDescent="0.3">
      <c r="A53" s="23" t="s">
        <v>15</v>
      </c>
      <c r="B53" s="92" t="s">
        <v>48</v>
      </c>
      <c r="C53" s="92" t="s">
        <v>48</v>
      </c>
      <c r="D53" s="92">
        <f>AVERAGE(D51,C52)</f>
        <v>116.42480844458134</v>
      </c>
      <c r="E53" s="92">
        <f>AVERAGE(E51:E52)</f>
        <v>90.139774306497159</v>
      </c>
      <c r="F53" s="92">
        <f t="shared" ref="F53:I53" si="11">AVERAGE(F51:F52)</f>
        <v>60.796252609808619</v>
      </c>
      <c r="G53" s="92">
        <f t="shared" si="11"/>
        <v>108.03354387610186</v>
      </c>
      <c r="H53" s="92">
        <f t="shared" si="11"/>
        <v>85.317285971741768</v>
      </c>
      <c r="I53" s="92">
        <f t="shared" si="11"/>
        <v>97.71621270810185</v>
      </c>
      <c r="J53" s="92" t="s">
        <v>48</v>
      </c>
      <c r="K53" s="90">
        <f>AVERAGE(K51,J52)</f>
        <v>154.64606126337443</v>
      </c>
      <c r="L53" s="90" t="s">
        <v>48</v>
      </c>
      <c r="M53" s="23"/>
    </row>
    <row r="54" spans="1:13" ht="16.5" x14ac:dyDescent="0.3">
      <c r="A54" s="23"/>
      <c r="B54" s="92"/>
      <c r="C54" s="92"/>
      <c r="D54" s="92"/>
      <c r="E54" s="92"/>
      <c r="F54" s="92"/>
      <c r="G54" s="92"/>
      <c r="H54" s="92"/>
      <c r="I54" s="92"/>
      <c r="J54" s="92"/>
      <c r="K54" s="90"/>
      <c r="L54" s="90"/>
      <c r="M54" s="23"/>
    </row>
    <row r="55" spans="1:13" ht="17.25" x14ac:dyDescent="0.35">
      <c r="A55" s="27" t="s">
        <v>16</v>
      </c>
      <c r="B55" s="92"/>
      <c r="C55" s="92"/>
      <c r="D55" s="92"/>
      <c r="E55" s="92"/>
      <c r="F55" s="92"/>
      <c r="G55" s="92"/>
      <c r="H55" s="92"/>
      <c r="I55" s="92"/>
      <c r="J55" s="92"/>
      <c r="K55" s="90"/>
      <c r="L55" s="90"/>
      <c r="M55" s="23"/>
    </row>
    <row r="56" spans="1:13" ht="16.5" x14ac:dyDescent="0.3">
      <c r="A56" s="23" t="s">
        <v>17</v>
      </c>
      <c r="B56" s="92" t="s">
        <v>48</v>
      </c>
      <c r="C56" s="101">
        <f>D18/D20*100</f>
        <v>135.73700175537815</v>
      </c>
      <c r="D56" s="101"/>
      <c r="E56" s="92">
        <f>E18/E20*100</f>
        <v>83.315733896515312</v>
      </c>
      <c r="F56" s="92">
        <f t="shared" ref="F56:I56" si="12">F18/F20*100</f>
        <v>75.845410628019323</v>
      </c>
      <c r="G56" s="92">
        <f t="shared" si="12"/>
        <v>116.13987058237929</v>
      </c>
      <c r="H56" s="92">
        <f t="shared" si="12"/>
        <v>70.967593920275306</v>
      </c>
      <c r="I56" s="92">
        <f t="shared" si="12"/>
        <v>94.809189291816978</v>
      </c>
      <c r="J56" s="101">
        <f>K18/K20*100</f>
        <v>209.88502905179877</v>
      </c>
      <c r="K56" s="101"/>
      <c r="L56" s="90" t="s">
        <v>48</v>
      </c>
      <c r="M56" s="23"/>
    </row>
    <row r="57" spans="1:13" ht="16.5" x14ac:dyDescent="0.3">
      <c r="A57" s="23" t="s">
        <v>18</v>
      </c>
      <c r="B57" s="92">
        <f>B25/B26*100</f>
        <v>98.990486708691876</v>
      </c>
      <c r="C57" s="101">
        <f>C25/C26*100</f>
        <v>97.112615133784544</v>
      </c>
      <c r="D57" s="101"/>
      <c r="E57" s="92">
        <f>E25/E26*100</f>
        <v>96.963814716479007</v>
      </c>
      <c r="F57" s="92">
        <f t="shared" ref="F57:I57" si="13">F25/F26*100</f>
        <v>45.747094591597907</v>
      </c>
      <c r="G57" s="92">
        <f t="shared" si="13"/>
        <v>99.927217169824431</v>
      </c>
      <c r="H57" s="92">
        <f t="shared" si="13"/>
        <v>99.66697802320823</v>
      </c>
      <c r="I57" s="92">
        <f t="shared" si="13"/>
        <v>100.62323612438672</v>
      </c>
      <c r="J57" s="101">
        <f>J25/J26*100</f>
        <v>99.407093474950088</v>
      </c>
      <c r="K57" s="101"/>
      <c r="L57" s="90" t="s">
        <v>48</v>
      </c>
      <c r="M57" s="23"/>
    </row>
    <row r="58" spans="1:13" ht="16.5" x14ac:dyDescent="0.3">
      <c r="A58" s="23" t="s">
        <v>19</v>
      </c>
      <c r="B58" s="92" t="s">
        <v>48</v>
      </c>
      <c r="C58" s="101">
        <f>(C56+C57)/2</f>
        <v>116.42480844458134</v>
      </c>
      <c r="D58" s="101"/>
      <c r="E58" s="92">
        <f>(E56+E57)/2</f>
        <v>90.139774306497159</v>
      </c>
      <c r="F58" s="92">
        <f t="shared" ref="F58:I58" si="14">(F56+F57)/2</f>
        <v>60.796252609808619</v>
      </c>
      <c r="G58" s="92">
        <f t="shared" si="14"/>
        <v>108.03354387610186</v>
      </c>
      <c r="H58" s="92">
        <f t="shared" si="14"/>
        <v>85.317285971741768</v>
      </c>
      <c r="I58" s="92">
        <f t="shared" si="14"/>
        <v>97.71621270810185</v>
      </c>
      <c r="J58" s="101">
        <f>(J56+J57)/2</f>
        <v>154.64606126337443</v>
      </c>
      <c r="K58" s="101"/>
      <c r="L58" s="90" t="s">
        <v>48</v>
      </c>
      <c r="M58" s="23"/>
    </row>
    <row r="59" spans="1:13" ht="16.5" x14ac:dyDescent="0.3">
      <c r="A59" s="23"/>
      <c r="B59" s="92"/>
      <c r="C59" s="92"/>
      <c r="D59" s="92"/>
      <c r="E59" s="92"/>
      <c r="F59" s="92"/>
      <c r="G59" s="92"/>
      <c r="H59" s="92"/>
      <c r="I59" s="92"/>
      <c r="J59" s="92"/>
      <c r="K59" s="90"/>
      <c r="L59" s="90"/>
      <c r="M59" s="23"/>
    </row>
    <row r="60" spans="1:13" ht="17.25" x14ac:dyDescent="0.35">
      <c r="A60" s="27" t="s">
        <v>30</v>
      </c>
      <c r="B60" s="92"/>
      <c r="C60" s="92"/>
      <c r="D60" s="92"/>
      <c r="E60" s="92"/>
      <c r="F60" s="92"/>
      <c r="G60" s="92"/>
      <c r="H60" s="92"/>
      <c r="I60" s="92"/>
      <c r="J60" s="92"/>
      <c r="K60" s="90"/>
      <c r="L60" s="90"/>
      <c r="M60" s="23"/>
    </row>
    <row r="61" spans="1:13" ht="16.5" x14ac:dyDescent="0.3">
      <c r="A61" s="23" t="s">
        <v>20</v>
      </c>
      <c r="B61" s="92">
        <f>B27/B25*100</f>
        <v>100</v>
      </c>
      <c r="C61" s="101">
        <f>C27/C25*100</f>
        <v>100</v>
      </c>
      <c r="D61" s="101"/>
      <c r="E61" s="92">
        <f>E27/E25*100</f>
        <v>100</v>
      </c>
      <c r="F61" s="92">
        <f t="shared" ref="F61:I61" si="15">F27/F25*100</f>
        <v>100</v>
      </c>
      <c r="G61" s="92">
        <f t="shared" si="15"/>
        <v>100</v>
      </c>
      <c r="H61" s="92">
        <f t="shared" si="15"/>
        <v>100</v>
      </c>
      <c r="I61" s="92">
        <f t="shared" si="15"/>
        <v>100</v>
      </c>
      <c r="J61" s="101">
        <f>J27/J25*100</f>
        <v>100</v>
      </c>
      <c r="K61" s="101"/>
      <c r="L61" s="90">
        <f t="shared" ref="L61" si="16">L27/L25*100</f>
        <v>100</v>
      </c>
      <c r="M61" s="23"/>
    </row>
    <row r="62" spans="1:13" ht="16.5" x14ac:dyDescent="0.3">
      <c r="A62" s="23"/>
      <c r="B62" s="92"/>
      <c r="C62" s="92"/>
      <c r="D62" s="92"/>
      <c r="E62" s="92"/>
      <c r="F62" s="92"/>
      <c r="G62" s="92"/>
      <c r="H62" s="92"/>
      <c r="I62" s="92"/>
      <c r="J62" s="92"/>
      <c r="K62" s="90"/>
      <c r="L62" s="90"/>
      <c r="M62" s="23"/>
    </row>
    <row r="63" spans="1:13" ht="17.25" x14ac:dyDescent="0.35">
      <c r="A63" s="27" t="s">
        <v>21</v>
      </c>
      <c r="B63" s="92"/>
      <c r="C63" s="92"/>
      <c r="D63" s="92"/>
      <c r="E63" s="92"/>
      <c r="F63" s="92"/>
      <c r="G63" s="92"/>
      <c r="H63" s="92"/>
      <c r="I63" s="92"/>
      <c r="J63" s="92"/>
      <c r="K63" s="90"/>
      <c r="L63" s="90"/>
      <c r="M63" s="23"/>
    </row>
    <row r="64" spans="1:13" ht="16.5" x14ac:dyDescent="0.3">
      <c r="A64" s="23" t="s">
        <v>22</v>
      </c>
      <c r="B64" s="96">
        <f>((B18/B15)-1)*100</f>
        <v>-2.7518185030399711</v>
      </c>
      <c r="C64" s="119">
        <f>((D18/D15)-1)*100</f>
        <v>-7.8373876704267769</v>
      </c>
      <c r="D64" s="119"/>
      <c r="E64" s="96">
        <f>((E18/E15)-1)*100</f>
        <v>-22.266009852216751</v>
      </c>
      <c r="F64" s="96">
        <f t="shared" ref="F64:H64" si="17">((F18/F15)-1)*100</f>
        <v>-14.67391304347826</v>
      </c>
      <c r="G64" s="96">
        <f t="shared" si="17"/>
        <v>-16.773675762439812</v>
      </c>
      <c r="H64" s="96">
        <f t="shared" si="17"/>
        <v>3.4946551349181121</v>
      </c>
      <c r="I64" s="96">
        <f>((I18/I15)-1)*100</f>
        <v>-15.819285232636549</v>
      </c>
      <c r="J64" s="101">
        <f>((K18/K15)-1)*100</f>
        <v>-19.277675553083139</v>
      </c>
      <c r="K64" s="101">
        <f t="shared" ref="K64" si="18">((K18/K15)-1)*100</f>
        <v>-19.277675553083139</v>
      </c>
      <c r="L64" s="90" t="s">
        <v>48</v>
      </c>
      <c r="M64" s="23"/>
    </row>
    <row r="65" spans="1:13" ht="16.5" x14ac:dyDescent="0.3">
      <c r="A65" s="23" t="s">
        <v>23</v>
      </c>
      <c r="B65" s="96">
        <f>((B40/B39)-1)*100</f>
        <v>3.3927822868465407</v>
      </c>
      <c r="C65" s="119">
        <f>((C40/C39)-1)*100</f>
        <v>-3.3872341263509687</v>
      </c>
      <c r="D65" s="119"/>
      <c r="E65" s="96">
        <f>((E40/E39)-1)*100</f>
        <v>13.920513798700561</v>
      </c>
      <c r="F65" s="96">
        <f t="shared" ref="F65:I65" si="19">((F40/F39)-1)*100</f>
        <v>-11.442386125313664</v>
      </c>
      <c r="G65" s="96">
        <f t="shared" si="19"/>
        <v>-0.47655365444738695</v>
      </c>
      <c r="H65" s="96">
        <f t="shared" si="19"/>
        <v>-2.3626638138774858</v>
      </c>
      <c r="I65" s="96">
        <f t="shared" si="19"/>
        <v>-1.102797608495798</v>
      </c>
      <c r="J65" s="101">
        <f t="shared" ref="J65:K65" si="20">((J40/J39)-1)*100</f>
        <v>103.26376744105188</v>
      </c>
      <c r="K65" s="101" t="e">
        <f t="shared" si="20"/>
        <v>#DIV/0!</v>
      </c>
      <c r="L65" s="90">
        <f t="shared" ref="L65" si="21">((L40/L39)-1)*100</f>
        <v>69.346096456072573</v>
      </c>
      <c r="M65" s="23"/>
    </row>
    <row r="66" spans="1:13" ht="16.5" x14ac:dyDescent="0.3">
      <c r="A66" s="23" t="s">
        <v>24</v>
      </c>
      <c r="B66" s="96">
        <f>((B42/B41)-1)*100</f>
        <v>6.3184737187899076</v>
      </c>
      <c r="C66" s="119">
        <f>((C42/C41)-1)*100</f>
        <v>4.828588764565489</v>
      </c>
      <c r="D66" s="119"/>
      <c r="E66" s="96">
        <f>((E42/E41)-1)*100</f>
        <v>46.551738283499432</v>
      </c>
      <c r="F66" s="96">
        <f t="shared" ref="F66:I66" si="22">((F42/F41)-1)*100</f>
        <v>3.7872672161928911</v>
      </c>
      <c r="G66" s="96">
        <f t="shared" si="22"/>
        <v>19.581691558879989</v>
      </c>
      <c r="H66" s="96">
        <f t="shared" si="22"/>
        <v>-5.6595376265178636</v>
      </c>
      <c r="I66" s="96">
        <f t="shared" si="22"/>
        <v>17.482017900192837</v>
      </c>
      <c r="J66" s="101">
        <f t="shared" ref="J66:K66" si="23">((J42/J41)-1)*100</f>
        <v>151.80613768712581</v>
      </c>
      <c r="K66" s="101" t="e">
        <f t="shared" si="23"/>
        <v>#DIV/0!</v>
      </c>
      <c r="L66" s="90" t="s">
        <v>48</v>
      </c>
      <c r="M66" s="23"/>
    </row>
    <row r="67" spans="1:13" ht="16.5" x14ac:dyDescent="0.3">
      <c r="A67" s="23"/>
      <c r="B67" s="92"/>
      <c r="C67" s="92"/>
      <c r="D67" s="92"/>
      <c r="E67" s="92"/>
      <c r="F67" s="92"/>
      <c r="G67" s="92"/>
      <c r="H67" s="92"/>
      <c r="I67" s="92"/>
      <c r="J67" s="92"/>
      <c r="K67" s="90"/>
      <c r="L67" s="90"/>
      <c r="M67" s="23"/>
    </row>
    <row r="68" spans="1:13" ht="17.25" x14ac:dyDescent="0.35">
      <c r="A68" s="27" t="s">
        <v>25</v>
      </c>
      <c r="B68" s="92"/>
      <c r="C68" s="92"/>
      <c r="D68" s="92"/>
      <c r="E68" s="92"/>
      <c r="F68" s="92"/>
      <c r="G68" s="92"/>
      <c r="H68" s="92"/>
      <c r="I68" s="92"/>
      <c r="J68" s="92"/>
      <c r="K68" s="90"/>
      <c r="L68" s="90"/>
      <c r="M68" s="23"/>
    </row>
    <row r="69" spans="1:13" ht="16.5" x14ac:dyDescent="0.3">
      <c r="A69" s="23" t="s">
        <v>39</v>
      </c>
      <c r="B69" s="92">
        <f>(B24/B17)*12</f>
        <v>549856.67400887643</v>
      </c>
      <c r="C69" s="101">
        <f>(C24/D17)*12</f>
        <v>420000</v>
      </c>
      <c r="D69" s="101"/>
      <c r="E69" s="92">
        <f>(E24/E17)*12</f>
        <v>936000</v>
      </c>
      <c r="F69" s="92">
        <f t="shared" ref="F69:I69" si="24">(F24/F17)*12</f>
        <v>3743836.0591133004</v>
      </c>
      <c r="G69" s="92">
        <f t="shared" si="24"/>
        <v>900000</v>
      </c>
      <c r="H69" s="92">
        <f t="shared" si="24"/>
        <v>900000</v>
      </c>
      <c r="I69" s="92">
        <f t="shared" si="24"/>
        <v>1320000</v>
      </c>
      <c r="J69" s="101">
        <f>(J24/K17)*12</f>
        <v>216000</v>
      </c>
      <c r="K69" s="101"/>
      <c r="L69" s="90" t="s">
        <v>48</v>
      </c>
      <c r="M69" s="23"/>
    </row>
    <row r="70" spans="1:13" ht="16.5" x14ac:dyDescent="0.3">
      <c r="A70" s="23" t="s">
        <v>40</v>
      </c>
      <c r="B70" s="92">
        <f>(B25/B19)*12</f>
        <v>356644.22313634964</v>
      </c>
      <c r="C70" s="101">
        <f>(C25/D19)*12</f>
        <v>320731.34222376836</v>
      </c>
      <c r="D70" s="101"/>
      <c r="E70" s="92">
        <f>(E25/E19)*12</f>
        <v>1264857.5754331974</v>
      </c>
      <c r="F70" s="92">
        <f t="shared" ref="F70:I70" si="25">(F25/F19)*12</f>
        <v>3023281.15942029</v>
      </c>
      <c r="G70" s="92">
        <f t="shared" si="25"/>
        <v>913872.15397797618</v>
      </c>
      <c r="H70" s="92">
        <f t="shared" si="25"/>
        <v>810323.41095353337</v>
      </c>
      <c r="I70" s="92">
        <f t="shared" si="25"/>
        <v>1545626.0568187414</v>
      </c>
      <c r="J70" s="101">
        <f>(J25/K19)*12</f>
        <v>84808.705008762539</v>
      </c>
      <c r="K70" s="101"/>
      <c r="L70" s="90" t="s">
        <v>48</v>
      </c>
      <c r="M70" s="23"/>
    </row>
    <row r="71" spans="1:13" ht="16.5" x14ac:dyDescent="0.3">
      <c r="A71" s="23" t="s">
        <v>26</v>
      </c>
      <c r="B71" s="92" t="s">
        <v>48</v>
      </c>
      <c r="C71" s="101">
        <f>(C70/C69)*D53</f>
        <v>88.90734542994214</v>
      </c>
      <c r="D71" s="101"/>
      <c r="E71" s="92">
        <f>(E70/E69)*E53</f>
        <v>121.80980382415773</v>
      </c>
      <c r="F71" s="92">
        <f t="shared" ref="F71:I71" si="26">(F70/F69)*F53</f>
        <v>49.095142569390092</v>
      </c>
      <c r="G71" s="92">
        <f t="shared" si="26"/>
        <v>109.69871938214155</v>
      </c>
      <c r="H71" s="92">
        <f t="shared" si="26"/>
        <v>76.816215757688695</v>
      </c>
      <c r="I71" s="92">
        <f t="shared" si="26"/>
        <v>114.41873070854912</v>
      </c>
      <c r="J71" s="101">
        <f>(J70/J69)*K53</f>
        <v>60.719130511354358</v>
      </c>
      <c r="K71" s="101"/>
      <c r="L71" s="90" t="s">
        <v>48</v>
      </c>
      <c r="M71" s="23"/>
    </row>
    <row r="72" spans="1:13" ht="16.5" x14ac:dyDescent="0.3">
      <c r="A72" s="23" t="s">
        <v>33</v>
      </c>
      <c r="B72" s="92">
        <f>B24/B17</f>
        <v>45821.3895007397</v>
      </c>
      <c r="C72" s="101">
        <f>C24/D17</f>
        <v>35000</v>
      </c>
      <c r="D72" s="101"/>
      <c r="E72" s="92">
        <f>E24/E17</f>
        <v>78000</v>
      </c>
      <c r="F72" s="92">
        <f t="shared" ref="F72:I72" si="27">F24/F17</f>
        <v>311986.33825944172</v>
      </c>
      <c r="G72" s="92">
        <f t="shared" si="27"/>
        <v>75000</v>
      </c>
      <c r="H72" s="92">
        <f t="shared" si="27"/>
        <v>75000</v>
      </c>
      <c r="I72" s="92">
        <f t="shared" si="27"/>
        <v>110000</v>
      </c>
      <c r="J72" s="101">
        <f>J24/K17</f>
        <v>18000</v>
      </c>
      <c r="K72" s="101"/>
      <c r="L72" s="90" t="s">
        <v>48</v>
      </c>
      <c r="M72" s="23"/>
    </row>
    <row r="73" spans="1:13" ht="16.5" x14ac:dyDescent="0.3">
      <c r="A73" s="23" t="s">
        <v>34</v>
      </c>
      <c r="B73" s="92">
        <f>B25/B19</f>
        <v>29720.351928029137</v>
      </c>
      <c r="C73" s="101">
        <f>C25/D19</f>
        <v>26727.611851980699</v>
      </c>
      <c r="D73" s="101"/>
      <c r="E73" s="92">
        <f>E25/E19</f>
        <v>105404.79795276644</v>
      </c>
      <c r="F73" s="92">
        <f t="shared" ref="F73:I73" si="28">F25/F19</f>
        <v>251940.09661835749</v>
      </c>
      <c r="G73" s="92">
        <f t="shared" si="28"/>
        <v>76156.01283149801</v>
      </c>
      <c r="H73" s="92">
        <f t="shared" si="28"/>
        <v>67526.950912794448</v>
      </c>
      <c r="I73" s="92">
        <f t="shared" si="28"/>
        <v>128802.17140156178</v>
      </c>
      <c r="J73" s="101">
        <f>J25/K19</f>
        <v>7067.3920840635446</v>
      </c>
      <c r="K73" s="101"/>
      <c r="L73" s="90" t="s">
        <v>48</v>
      </c>
      <c r="M73" s="23"/>
    </row>
    <row r="74" spans="1:13" ht="16.5" x14ac:dyDescent="0.3">
      <c r="A74" s="23"/>
      <c r="B74" s="92"/>
      <c r="C74" s="92"/>
      <c r="D74" s="92"/>
      <c r="E74" s="92"/>
      <c r="F74" s="92"/>
      <c r="G74" s="92"/>
      <c r="H74" s="92"/>
      <c r="I74" s="92"/>
      <c r="J74" s="92"/>
      <c r="K74" s="90"/>
      <c r="L74" s="90"/>
      <c r="M74" s="23"/>
    </row>
    <row r="75" spans="1:13" ht="17.25" x14ac:dyDescent="0.35">
      <c r="A75" s="27" t="s">
        <v>27</v>
      </c>
      <c r="B75" s="92"/>
      <c r="C75" s="92"/>
      <c r="D75" s="92"/>
      <c r="E75" s="92"/>
      <c r="F75" s="92"/>
      <c r="G75" s="92"/>
      <c r="H75" s="92"/>
      <c r="I75" s="92"/>
      <c r="J75" s="92"/>
      <c r="K75" s="90"/>
      <c r="L75" s="90"/>
      <c r="M75" s="23"/>
    </row>
    <row r="76" spans="1:13" ht="16.5" x14ac:dyDescent="0.3">
      <c r="A76" s="23" t="s">
        <v>28</v>
      </c>
      <c r="B76" s="92">
        <f>(B31/B30)*100</f>
        <v>97.685973526178628</v>
      </c>
      <c r="C76" s="92"/>
      <c r="D76" s="92"/>
      <c r="E76" s="92"/>
      <c r="F76" s="92"/>
      <c r="G76" s="92"/>
      <c r="H76" s="92"/>
      <c r="I76" s="92"/>
      <c r="J76" s="92"/>
      <c r="K76" s="90"/>
      <c r="L76" s="90"/>
      <c r="M76" s="23"/>
    </row>
    <row r="77" spans="1:13" ht="16.5" x14ac:dyDescent="0.3">
      <c r="A77" s="23" t="s">
        <v>29</v>
      </c>
      <c r="B77" s="92">
        <f>(B25/B31)*100</f>
        <v>101.33541504007599</v>
      </c>
      <c r="C77" s="92"/>
      <c r="D77" s="92"/>
      <c r="E77" s="92"/>
      <c r="F77" s="92"/>
      <c r="G77" s="92"/>
      <c r="H77" s="92"/>
      <c r="I77" s="92"/>
      <c r="J77" s="92"/>
      <c r="K77" s="90"/>
      <c r="L77" s="90"/>
      <c r="M77" s="23"/>
    </row>
    <row r="78" spans="1:13" ht="17.25" thickBot="1" x14ac:dyDescent="0.35">
      <c r="A78" s="3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23"/>
    </row>
    <row r="79" spans="1:13" ht="15.75" customHeight="1" thickTop="1" x14ac:dyDescent="0.3">
      <c r="A79" s="106" t="s">
        <v>127</v>
      </c>
      <c r="B79" s="106"/>
      <c r="C79" s="106"/>
      <c r="D79" s="106"/>
      <c r="E79" s="106"/>
      <c r="F79" s="106"/>
      <c r="G79" s="23"/>
      <c r="H79" s="23"/>
      <c r="I79" s="23"/>
      <c r="J79" s="23"/>
      <c r="K79" s="23"/>
      <c r="L79" s="23"/>
      <c r="M79" s="23"/>
    </row>
    <row r="80" spans="1:13" ht="77.25" customHeight="1" x14ac:dyDescent="0.3">
      <c r="A80" s="122" t="s">
        <v>138</v>
      </c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23"/>
    </row>
    <row r="81" spans="1:13" ht="16.5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</row>
    <row r="82" spans="1:13" ht="16.5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</row>
    <row r="83" spans="1:13" ht="16.5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</row>
    <row r="84" spans="1:13" ht="16.5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</row>
    <row r="85" spans="1:13" ht="16.5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</row>
    <row r="86" spans="1:13" ht="16.5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</row>
  </sheetData>
  <mergeCells count="56">
    <mergeCell ref="A80:L80"/>
    <mergeCell ref="J69:K69"/>
    <mergeCell ref="J70:K70"/>
    <mergeCell ref="J71:K71"/>
    <mergeCell ref="J72:K72"/>
    <mergeCell ref="J73:K73"/>
    <mergeCell ref="C69:D69"/>
    <mergeCell ref="A79:F79"/>
    <mergeCell ref="C72:D72"/>
    <mergeCell ref="C73:D73"/>
    <mergeCell ref="C71:D71"/>
    <mergeCell ref="C70:D70"/>
    <mergeCell ref="J58:K58"/>
    <mergeCell ref="J61:K61"/>
    <mergeCell ref="J64:K64"/>
    <mergeCell ref="J65:K65"/>
    <mergeCell ref="J66:K66"/>
    <mergeCell ref="J47:K47"/>
    <mergeCell ref="J48:K48"/>
    <mergeCell ref="J52:K52"/>
    <mergeCell ref="J56:K56"/>
    <mergeCell ref="J57:K57"/>
    <mergeCell ref="C42:D42"/>
    <mergeCell ref="C27:D27"/>
    <mergeCell ref="C36:D36"/>
    <mergeCell ref="J39:K39"/>
    <mergeCell ref="J40:K40"/>
    <mergeCell ref="J41:K41"/>
    <mergeCell ref="J42:K42"/>
    <mergeCell ref="J27:K27"/>
    <mergeCell ref="C39:D39"/>
    <mergeCell ref="C40:D40"/>
    <mergeCell ref="C41:D41"/>
    <mergeCell ref="A9:A10"/>
    <mergeCell ref="C9:L9"/>
    <mergeCell ref="J10:K10"/>
    <mergeCell ref="C26:D26"/>
    <mergeCell ref="B9:B10"/>
    <mergeCell ref="C23:D23"/>
    <mergeCell ref="C24:D24"/>
    <mergeCell ref="C25:D25"/>
    <mergeCell ref="C10:D10"/>
    <mergeCell ref="J24:K24"/>
    <mergeCell ref="J25:K25"/>
    <mergeCell ref="J26:K26"/>
    <mergeCell ref="J23:K23"/>
    <mergeCell ref="C47:D47"/>
    <mergeCell ref="C48:D48"/>
    <mergeCell ref="C52:D52"/>
    <mergeCell ref="C65:D65"/>
    <mergeCell ref="C66:D66"/>
    <mergeCell ref="C64:D64"/>
    <mergeCell ref="C56:D56"/>
    <mergeCell ref="C57:D57"/>
    <mergeCell ref="C58:D58"/>
    <mergeCell ref="C61:D61"/>
  </mergeCells>
  <pageMargins left="0.7" right="0.7" top="0.75" bottom="0.75" header="0.3" footer="0.3"/>
  <pageSetup orientation="portrait" r:id="rId1"/>
  <ignoredErrors>
    <ignoredError sqref="B24:B25" formula="1"/>
    <ignoredError sqref="C23:D25 K27 J24:J26 J23" formulaRange="1"/>
    <ignoredError sqref="B49:I50 C47:G47 B54:I55 D53:I53 B52:I52 D51:I51 B59:I63 C58:I58 B57:I57 C56:I56 B75:J77 C71 B67:I68 B66:I66 B65:I65 B64:H64 B73:C73 B69:I69 B48:D48 E71:I71 B72:C72 E72:I72 E73:I73 B70:C70 E70:I70 F48:G48 B74:I74" evalError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2012-11-21T16:57:56Z</cp:lastPrinted>
  <dcterms:created xsi:type="dcterms:W3CDTF">2012-04-24T21:09:42Z</dcterms:created>
  <dcterms:modified xsi:type="dcterms:W3CDTF">2021-03-11T21:01:34Z</dcterms:modified>
</cp:coreProperties>
</file>