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phanieTatiana\Desktop\INDICADORES 2020\IV Trimestre - Anual 2020\IAFA\"/>
    </mc:Choice>
  </mc:AlternateContent>
  <bookViews>
    <workbookView xWindow="0" yWindow="0" windowWidth="20490" windowHeight="8460" tabRatio="670"/>
  </bookViews>
  <sheets>
    <sheet name="I Trimestre" sheetId="2" r:id="rId1"/>
    <sheet name="II Trimestre" sheetId="3" r:id="rId2"/>
    <sheet name="I Semestre" sheetId="5" r:id="rId3"/>
    <sheet name="III Trimestre" sheetId="1" r:id="rId4"/>
    <sheet name="III T Acumulado" sheetId="6" r:id="rId5"/>
    <sheet name="IV Trimestre" sheetId="4" r:id="rId6"/>
    <sheet name="Anual" sheetId="7" r:id="rId7"/>
  </sheets>
  <calcPr calcId="162913"/>
</workbook>
</file>

<file path=xl/calcChain.xml><?xml version="1.0" encoding="utf-8"?>
<calcChain xmlns="http://schemas.openxmlformats.org/spreadsheetml/2006/main">
  <c r="G73" i="7" l="1"/>
  <c r="F73" i="7"/>
  <c r="G73" i="6"/>
  <c r="F73" i="6"/>
  <c r="G73" i="5"/>
  <c r="F73" i="5"/>
  <c r="F40" i="7" l="1"/>
  <c r="G40" i="7"/>
  <c r="F41" i="7"/>
  <c r="G41" i="7"/>
  <c r="F42" i="7"/>
  <c r="G42" i="7"/>
  <c r="C52" i="4" l="1"/>
  <c r="D52" i="4"/>
  <c r="E52" i="4"/>
  <c r="C53" i="4"/>
  <c r="C54" i="4" s="1"/>
  <c r="D53" i="4"/>
  <c r="E53" i="4"/>
  <c r="E54" i="4" s="1"/>
  <c r="D54" i="4"/>
  <c r="C40" i="4"/>
  <c r="D40" i="4"/>
  <c r="E40" i="4"/>
  <c r="F40" i="4"/>
  <c r="G40" i="4"/>
  <c r="C41" i="4"/>
  <c r="D41" i="4"/>
  <c r="E41" i="4"/>
  <c r="F41" i="4"/>
  <c r="G41" i="4"/>
  <c r="C42" i="4"/>
  <c r="D42" i="4"/>
  <c r="E42" i="4"/>
  <c r="F42" i="4"/>
  <c r="G42" i="4"/>
  <c r="C43" i="4"/>
  <c r="D43" i="4"/>
  <c r="E43" i="4"/>
  <c r="D21" i="7" l="1"/>
  <c r="C62" i="2" l="1"/>
  <c r="G40" i="2" l="1"/>
  <c r="G41" i="2"/>
  <c r="D70" i="3" l="1"/>
  <c r="E70" i="3"/>
  <c r="G70" i="3"/>
  <c r="D71" i="3"/>
  <c r="E71" i="3"/>
  <c r="D73" i="3"/>
  <c r="E73" i="3"/>
  <c r="G73" i="3"/>
  <c r="D74" i="3"/>
  <c r="E74" i="3"/>
  <c r="D65" i="3"/>
  <c r="E65" i="3"/>
  <c r="G65" i="3"/>
  <c r="D57" i="3"/>
  <c r="E57" i="3"/>
  <c r="G57" i="3"/>
  <c r="D58" i="3"/>
  <c r="E58" i="3"/>
  <c r="E59" i="3" s="1"/>
  <c r="G58" i="3"/>
  <c r="G59" i="3" s="1"/>
  <c r="D59" i="3"/>
  <c r="D52" i="3"/>
  <c r="E52" i="3"/>
  <c r="G52" i="3"/>
  <c r="D53" i="3"/>
  <c r="E53" i="3"/>
  <c r="E54" i="3" s="1"/>
  <c r="G53" i="3"/>
  <c r="G54" i="3" s="1"/>
  <c r="D54" i="3"/>
  <c r="D72" i="3" s="1"/>
  <c r="D70" i="2"/>
  <c r="E70" i="2"/>
  <c r="D71" i="2"/>
  <c r="E71" i="2"/>
  <c r="D73" i="2"/>
  <c r="E73" i="2"/>
  <c r="D74" i="2"/>
  <c r="E74" i="2"/>
  <c r="D65" i="2"/>
  <c r="E65" i="2"/>
  <c r="D57" i="2"/>
  <c r="E57" i="2"/>
  <c r="G57" i="2"/>
  <c r="D58" i="2"/>
  <c r="E58" i="2"/>
  <c r="E59" i="2" s="1"/>
  <c r="G58" i="2"/>
  <c r="D59" i="2"/>
  <c r="E52" i="2"/>
  <c r="E53" i="2"/>
  <c r="E54" i="2" s="1"/>
  <c r="D52" i="2"/>
  <c r="D53" i="2"/>
  <c r="D54" i="2"/>
  <c r="D72" i="2" s="1"/>
  <c r="E72" i="3" l="1"/>
  <c r="E72" i="2"/>
  <c r="G59" i="2"/>
  <c r="G28" i="4"/>
  <c r="E28" i="4"/>
  <c r="D28" i="4"/>
  <c r="F28" i="4" l="1"/>
  <c r="F21" i="3" l="1"/>
  <c r="F17" i="3"/>
  <c r="F18" i="3"/>
  <c r="F19" i="3"/>
  <c r="F16" i="3"/>
  <c r="F65" i="3" l="1"/>
  <c r="F57" i="3"/>
  <c r="F52" i="3"/>
  <c r="C26" i="2"/>
  <c r="C78" i="2" s="1"/>
  <c r="G20" i="7" l="1"/>
  <c r="F20" i="7" s="1"/>
  <c r="B32" i="2" l="1"/>
  <c r="D25" i="7" l="1"/>
  <c r="G28" i="1" l="1"/>
  <c r="F28" i="1" s="1"/>
  <c r="G28" i="3"/>
  <c r="F28" i="3" s="1"/>
  <c r="G28" i="2"/>
  <c r="F28" i="2" s="1"/>
  <c r="E26" i="7" l="1"/>
  <c r="E26" i="6"/>
  <c r="E26" i="5"/>
  <c r="C27" i="2" l="1"/>
  <c r="C58" i="2" s="1"/>
  <c r="C25" i="2"/>
  <c r="F25" i="2"/>
  <c r="C53" i="2" l="1"/>
  <c r="F27" i="1"/>
  <c r="C27" i="1"/>
  <c r="F21" i="1"/>
  <c r="C21" i="1"/>
  <c r="F27" i="3"/>
  <c r="C27" i="3"/>
  <c r="C21" i="3"/>
  <c r="B27" i="1" l="1"/>
  <c r="B27" i="3"/>
  <c r="B21" i="3"/>
  <c r="B21" i="1"/>
  <c r="F21" i="2"/>
  <c r="C17" i="3"/>
  <c r="C16" i="3"/>
  <c r="B16" i="3" l="1"/>
  <c r="B17" i="3"/>
  <c r="E41" i="2"/>
  <c r="F32" i="7" l="1"/>
  <c r="E25" i="7"/>
  <c r="G25" i="7"/>
  <c r="F25" i="7" s="1"/>
  <c r="G19" i="7"/>
  <c r="F19" i="7" s="1"/>
  <c r="F32" i="6"/>
  <c r="G25" i="6"/>
  <c r="E25" i="6"/>
  <c r="D25" i="6"/>
  <c r="G20" i="6"/>
  <c r="G19" i="6"/>
  <c r="C25" i="6" l="1"/>
  <c r="C25" i="7"/>
  <c r="B25" i="7" s="1"/>
  <c r="F32" i="5"/>
  <c r="G25" i="5"/>
  <c r="E25" i="5"/>
  <c r="E53" i="5" s="1"/>
  <c r="D25" i="5"/>
  <c r="C25" i="5" l="1"/>
  <c r="E28" i="2"/>
  <c r="G65" i="1" l="1"/>
  <c r="G57" i="1"/>
  <c r="G52" i="1"/>
  <c r="F25" i="1" l="1"/>
  <c r="C25" i="1"/>
  <c r="F24" i="1"/>
  <c r="C24" i="1"/>
  <c r="F20" i="1"/>
  <c r="F19" i="1"/>
  <c r="F18" i="1"/>
  <c r="F17" i="1"/>
  <c r="C17" i="1"/>
  <c r="F16" i="1"/>
  <c r="C16" i="1"/>
  <c r="B16" i="1" l="1"/>
  <c r="F65" i="1"/>
  <c r="F52" i="1"/>
  <c r="F57" i="1"/>
  <c r="B25" i="1"/>
  <c r="B17" i="1"/>
  <c r="B24" i="1"/>
  <c r="B32" i="3" l="1"/>
  <c r="B32" i="5" s="1"/>
  <c r="C25" i="3" l="1"/>
  <c r="F25" i="3"/>
  <c r="F24" i="3"/>
  <c r="C24" i="3"/>
  <c r="F73" i="3" l="1"/>
  <c r="F70" i="3"/>
  <c r="B24" i="3"/>
  <c r="F19" i="2" l="1"/>
  <c r="F57" i="2" s="1"/>
  <c r="F20" i="2"/>
  <c r="F24" i="2" l="1"/>
  <c r="F40" i="2" s="1"/>
  <c r="C24" i="2"/>
  <c r="B24" i="2" l="1"/>
  <c r="F16" i="2"/>
  <c r="F17" i="2"/>
  <c r="C16" i="2"/>
  <c r="B16" i="2" l="1"/>
  <c r="C28" i="4"/>
  <c r="E28" i="1"/>
  <c r="D28" i="1"/>
  <c r="E28" i="3"/>
  <c r="D28" i="3"/>
  <c r="C28" i="3" l="1"/>
  <c r="C28" i="1"/>
  <c r="B28" i="4"/>
  <c r="G57" i="4"/>
  <c r="E57" i="4"/>
  <c r="D57" i="4"/>
  <c r="E57" i="1"/>
  <c r="D57" i="1"/>
  <c r="B28" i="1" l="1"/>
  <c r="B28" i="3"/>
  <c r="C32" i="5"/>
  <c r="E52" i="1"/>
  <c r="D52" i="1"/>
  <c r="C32" i="7" l="1"/>
  <c r="D19" i="7"/>
  <c r="D19" i="6"/>
  <c r="D19" i="5"/>
  <c r="D17" i="7" l="1"/>
  <c r="D18" i="7"/>
  <c r="D20" i="7"/>
  <c r="D16" i="7"/>
  <c r="D20" i="5"/>
  <c r="D20" i="6"/>
  <c r="D21" i="5" l="1"/>
  <c r="D57" i="5" s="1"/>
  <c r="D16" i="5"/>
  <c r="D65" i="5" s="1"/>
  <c r="D17" i="5"/>
  <c r="D18" i="5"/>
  <c r="C32" i="6"/>
  <c r="D16" i="6"/>
  <c r="D17" i="6"/>
  <c r="D18" i="6"/>
  <c r="D70" i="5" l="1"/>
  <c r="D73" i="5"/>
  <c r="D52" i="5"/>
  <c r="B32" i="1"/>
  <c r="B32" i="6" s="1"/>
  <c r="B32" i="4"/>
  <c r="D27" i="7"/>
  <c r="E27" i="7"/>
  <c r="G27" i="7"/>
  <c r="E24" i="7"/>
  <c r="G24" i="7"/>
  <c r="F24" i="7" s="1"/>
  <c r="E28" i="7"/>
  <c r="G26" i="7"/>
  <c r="F26" i="7" s="1"/>
  <c r="F78" i="7" s="1"/>
  <c r="E21" i="7"/>
  <c r="G21" i="7"/>
  <c r="G57" i="7" s="1"/>
  <c r="E16" i="7"/>
  <c r="G16" i="7"/>
  <c r="F16" i="7" s="1"/>
  <c r="E17" i="7"/>
  <c r="G17" i="7"/>
  <c r="F17" i="7" s="1"/>
  <c r="E18" i="7"/>
  <c r="G18" i="7"/>
  <c r="F18" i="7" s="1"/>
  <c r="E19" i="7"/>
  <c r="D27" i="6"/>
  <c r="E27" i="6"/>
  <c r="G27" i="6"/>
  <c r="E24" i="6"/>
  <c r="E28" i="6"/>
  <c r="E21" i="6"/>
  <c r="G21" i="6"/>
  <c r="E16" i="6"/>
  <c r="E17" i="6"/>
  <c r="E18" i="6"/>
  <c r="E19" i="6"/>
  <c r="E27" i="5"/>
  <c r="E58" i="5" s="1"/>
  <c r="G27" i="5"/>
  <c r="D27" i="5"/>
  <c r="E21" i="5"/>
  <c r="F21" i="5"/>
  <c r="G21" i="5"/>
  <c r="E17" i="5"/>
  <c r="E18" i="5"/>
  <c r="E19" i="5"/>
  <c r="E16" i="5"/>
  <c r="E74" i="5" l="1"/>
  <c r="E57" i="5"/>
  <c r="E59" i="5" s="1"/>
  <c r="E71" i="5"/>
  <c r="E65" i="5"/>
  <c r="E52" i="5"/>
  <c r="E54" i="5" s="1"/>
  <c r="E70" i="5"/>
  <c r="E73" i="5"/>
  <c r="E57" i="7"/>
  <c r="G28" i="7"/>
  <c r="F28" i="7" s="1"/>
  <c r="F62" i="7" s="1"/>
  <c r="E28" i="5"/>
  <c r="E41" i="5"/>
  <c r="B32" i="7"/>
  <c r="E57" i="6"/>
  <c r="G26" i="5"/>
  <c r="G24" i="5"/>
  <c r="F25" i="6"/>
  <c r="B25" i="6" s="1"/>
  <c r="G26" i="6"/>
  <c r="G28" i="6" s="1"/>
  <c r="F28" i="6" s="1"/>
  <c r="G24" i="6"/>
  <c r="E24" i="5"/>
  <c r="G17" i="5"/>
  <c r="G18" i="5"/>
  <c r="G19" i="5"/>
  <c r="G20" i="5"/>
  <c r="G16" i="5"/>
  <c r="G17" i="6"/>
  <c r="G18" i="6"/>
  <c r="G57" i="6"/>
  <c r="G16" i="6"/>
  <c r="G58" i="5" l="1"/>
  <c r="G53" i="5"/>
  <c r="G70" i="5"/>
  <c r="G65" i="5"/>
  <c r="G57" i="5"/>
  <c r="G59" i="5" s="1"/>
  <c r="G52" i="5"/>
  <c r="G54" i="5" s="1"/>
  <c r="E72" i="5"/>
  <c r="G41" i="5"/>
  <c r="G28" i="5"/>
  <c r="F28" i="5" s="1"/>
  <c r="C19" i="7"/>
  <c r="C18" i="7"/>
  <c r="C17" i="7"/>
  <c r="C16" i="7"/>
  <c r="F26" i="6"/>
  <c r="F78" i="6" s="1"/>
  <c r="F31" i="6"/>
  <c r="F77" i="6" s="1"/>
  <c r="F24" i="6"/>
  <c r="F20" i="6"/>
  <c r="F19" i="6"/>
  <c r="F18" i="6"/>
  <c r="F17" i="6"/>
  <c r="F16" i="6"/>
  <c r="C19" i="6"/>
  <c r="C18" i="6"/>
  <c r="C17" i="6"/>
  <c r="C16" i="6"/>
  <c r="F26" i="5"/>
  <c r="F25" i="5"/>
  <c r="F24" i="5"/>
  <c r="F20" i="5"/>
  <c r="F19" i="5"/>
  <c r="F18" i="5"/>
  <c r="F17" i="5"/>
  <c r="F16" i="5"/>
  <c r="C19" i="5"/>
  <c r="C18" i="5"/>
  <c r="C17" i="5"/>
  <c r="C16" i="5"/>
  <c r="F27" i="4"/>
  <c r="F27" i="7" s="1"/>
  <c r="F26" i="4"/>
  <c r="F25" i="4"/>
  <c r="F31" i="4" s="1"/>
  <c r="F24" i="4"/>
  <c r="C27" i="4"/>
  <c r="C26" i="4"/>
  <c r="C25" i="4"/>
  <c r="C31" i="4" s="1"/>
  <c r="C77" i="4" s="1"/>
  <c r="C24" i="4"/>
  <c r="F21" i="4"/>
  <c r="F21" i="7" s="1"/>
  <c r="F20" i="4"/>
  <c r="F19" i="4"/>
  <c r="F18" i="4"/>
  <c r="F17" i="4"/>
  <c r="F16" i="4"/>
  <c r="C20" i="4"/>
  <c r="C19" i="4"/>
  <c r="C18" i="4"/>
  <c r="C17" i="4"/>
  <c r="C16" i="4"/>
  <c r="F27" i="6"/>
  <c r="F26" i="1"/>
  <c r="F31" i="1"/>
  <c r="F77" i="1" s="1"/>
  <c r="C26" i="1"/>
  <c r="C31" i="1"/>
  <c r="C77" i="1" s="1"/>
  <c r="F21" i="6"/>
  <c r="C20" i="1"/>
  <c r="B20" i="1" s="1"/>
  <c r="C19" i="1"/>
  <c r="B19" i="1" s="1"/>
  <c r="C18" i="1"/>
  <c r="F27" i="5"/>
  <c r="F26" i="3"/>
  <c r="F31" i="3"/>
  <c r="F77" i="3" s="1"/>
  <c r="C26" i="3"/>
  <c r="C31" i="3"/>
  <c r="C77" i="3" s="1"/>
  <c r="F20" i="3"/>
  <c r="C19" i="3"/>
  <c r="C18" i="3"/>
  <c r="F27" i="2"/>
  <c r="B27" i="2" s="1"/>
  <c r="F26" i="2"/>
  <c r="F18" i="2"/>
  <c r="C21" i="2"/>
  <c r="C20" i="2"/>
  <c r="C19" i="2"/>
  <c r="C18" i="2"/>
  <c r="C17" i="2"/>
  <c r="F78" i="3" l="1"/>
  <c r="F58" i="3"/>
  <c r="F59" i="3" s="1"/>
  <c r="F53" i="3"/>
  <c r="F54" i="3" s="1"/>
  <c r="C58" i="3"/>
  <c r="C53" i="3"/>
  <c r="C62" i="3"/>
  <c r="C70" i="3"/>
  <c r="C73" i="3"/>
  <c r="B19" i="3"/>
  <c r="C71" i="3"/>
  <c r="C65" i="3"/>
  <c r="C52" i="3"/>
  <c r="C74" i="3"/>
  <c r="C57" i="3"/>
  <c r="C59" i="3" s="1"/>
  <c r="F41" i="2"/>
  <c r="F58" i="2"/>
  <c r="F59" i="2" s="1"/>
  <c r="F78" i="5"/>
  <c r="F58" i="5"/>
  <c r="F53" i="5"/>
  <c r="F70" i="5"/>
  <c r="F65" i="5"/>
  <c r="F57" i="5"/>
  <c r="F52" i="5"/>
  <c r="F54" i="5" s="1"/>
  <c r="C65" i="2"/>
  <c r="C52" i="2"/>
  <c r="C54" i="2" s="1"/>
  <c r="C71" i="2"/>
  <c r="C74" i="2"/>
  <c r="C57" i="2"/>
  <c r="C59" i="2" s="1"/>
  <c r="C73" i="5"/>
  <c r="C70" i="5"/>
  <c r="C70" i="2"/>
  <c r="C72" i="2" s="1"/>
  <c r="C73" i="2"/>
  <c r="C65" i="5"/>
  <c r="C52" i="5"/>
  <c r="C78" i="4"/>
  <c r="C62" i="4"/>
  <c r="C78" i="1"/>
  <c r="C62" i="1"/>
  <c r="F78" i="1"/>
  <c r="F62" i="1"/>
  <c r="F62" i="6"/>
  <c r="C78" i="3"/>
  <c r="F41" i="5"/>
  <c r="F31" i="5"/>
  <c r="F77" i="5" s="1"/>
  <c r="B25" i="5"/>
  <c r="B26" i="4"/>
  <c r="F57" i="4"/>
  <c r="F57" i="6"/>
  <c r="B26" i="3"/>
  <c r="B19" i="5"/>
  <c r="C52" i="1"/>
  <c r="B18" i="5"/>
  <c r="B18" i="3"/>
  <c r="B17" i="5"/>
  <c r="B24" i="4"/>
  <c r="B21" i="5"/>
  <c r="C21" i="5"/>
  <c r="C57" i="5" s="1"/>
  <c r="B16" i="5"/>
  <c r="B16" i="4"/>
  <c r="B18" i="4"/>
  <c r="B20" i="4"/>
  <c r="B18" i="1"/>
  <c r="B17" i="4"/>
  <c r="B19" i="4"/>
  <c r="B17" i="7"/>
  <c r="B19" i="6"/>
  <c r="B18" i="6"/>
  <c r="B27" i="4"/>
  <c r="B27" i="7" s="1"/>
  <c r="C27" i="7"/>
  <c r="C21" i="4"/>
  <c r="C57" i="4" s="1"/>
  <c r="D57" i="7"/>
  <c r="B27" i="6"/>
  <c r="C27" i="6"/>
  <c r="C57" i="1"/>
  <c r="D21" i="6"/>
  <c r="D57" i="6" s="1"/>
  <c r="B27" i="5"/>
  <c r="C27" i="5"/>
  <c r="B16" i="7"/>
  <c r="B18" i="7"/>
  <c r="B70" i="7" s="1"/>
  <c r="D24" i="7"/>
  <c r="C24" i="7" s="1"/>
  <c r="B24" i="7" s="1"/>
  <c r="D24" i="6"/>
  <c r="C24" i="6" s="1"/>
  <c r="B24" i="6" s="1"/>
  <c r="D24" i="5"/>
  <c r="C24" i="5" s="1"/>
  <c r="B24" i="5" s="1"/>
  <c r="C31" i="7"/>
  <c r="C77" i="7" s="1"/>
  <c r="C31" i="6"/>
  <c r="C77" i="6" s="1"/>
  <c r="C31" i="5"/>
  <c r="C77" i="5" s="1"/>
  <c r="C31" i="2"/>
  <c r="C77" i="2" s="1"/>
  <c r="B17" i="2"/>
  <c r="B17" i="6"/>
  <c r="B16" i="6"/>
  <c r="B19" i="2"/>
  <c r="B18" i="2"/>
  <c r="B21" i="2"/>
  <c r="B31" i="1"/>
  <c r="B25" i="3"/>
  <c r="B31" i="3" s="1"/>
  <c r="B77" i="3" s="1"/>
  <c r="B25" i="4"/>
  <c r="B31" i="4" s="1"/>
  <c r="B26" i="1"/>
  <c r="B20" i="2"/>
  <c r="C54" i="3" l="1"/>
  <c r="C72" i="3"/>
  <c r="F59" i="5"/>
  <c r="B57" i="2"/>
  <c r="B52" i="2"/>
  <c r="B52" i="1"/>
  <c r="B57" i="5"/>
  <c r="B19" i="7"/>
  <c r="F57" i="7"/>
  <c r="B57" i="3"/>
  <c r="B52" i="4"/>
  <c r="B52" i="3"/>
  <c r="B21" i="4"/>
  <c r="B21" i="7" s="1"/>
  <c r="C21" i="7"/>
  <c r="C57" i="7" s="1"/>
  <c r="B21" i="6"/>
  <c r="B57" i="6" s="1"/>
  <c r="C21" i="6"/>
  <c r="C57" i="6" s="1"/>
  <c r="B57" i="7" l="1"/>
  <c r="B57" i="1"/>
  <c r="B57" i="4"/>
  <c r="B70" i="3"/>
  <c r="B71" i="3" l="1"/>
  <c r="C74" i="4" l="1"/>
  <c r="D74" i="4"/>
  <c r="E74" i="4"/>
  <c r="C73" i="4"/>
  <c r="D73" i="4"/>
  <c r="E73" i="4"/>
  <c r="D74" i="1"/>
  <c r="E74" i="1"/>
  <c r="D73" i="1"/>
  <c r="E73" i="1"/>
  <c r="G73" i="1"/>
  <c r="G40" i="5" l="1"/>
  <c r="E40" i="5"/>
  <c r="E66" i="5" s="1"/>
  <c r="E74" i="6"/>
  <c r="E40" i="6"/>
  <c r="G40" i="6"/>
  <c r="G42" i="6" s="1"/>
  <c r="E40" i="7"/>
  <c r="E71" i="4"/>
  <c r="G65" i="4"/>
  <c r="E65" i="4"/>
  <c r="G58" i="4"/>
  <c r="G59" i="4" s="1"/>
  <c r="E58" i="4"/>
  <c r="E59" i="4" s="1"/>
  <c r="D70" i="4"/>
  <c r="G41" i="3"/>
  <c r="E41" i="3"/>
  <c r="G40" i="3"/>
  <c r="G42" i="3" s="1"/>
  <c r="E40" i="3"/>
  <c r="E42" i="3" s="1"/>
  <c r="F40" i="3"/>
  <c r="D40" i="3"/>
  <c r="E40" i="2"/>
  <c r="E71" i="1"/>
  <c r="G70" i="1"/>
  <c r="E65" i="1"/>
  <c r="G58" i="1"/>
  <c r="G59" i="1" s="1"/>
  <c r="E58" i="1"/>
  <c r="E59" i="1" s="1"/>
  <c r="G53" i="1"/>
  <c r="G54" i="1" s="1"/>
  <c r="G41" i="1"/>
  <c r="E41" i="1"/>
  <c r="G40" i="1"/>
  <c r="G42" i="1" s="1"/>
  <c r="E40" i="1"/>
  <c r="E42" i="1" s="1"/>
  <c r="F40" i="1"/>
  <c r="E66" i="3" l="1"/>
  <c r="E42" i="2"/>
  <c r="E66" i="2"/>
  <c r="C73" i="1"/>
  <c r="F73" i="1"/>
  <c r="E74" i="7"/>
  <c r="E41" i="7"/>
  <c r="E43" i="7" s="1"/>
  <c r="F40" i="5"/>
  <c r="F42" i="5" s="1"/>
  <c r="G65" i="6"/>
  <c r="G70" i="6"/>
  <c r="G42" i="5"/>
  <c r="G66" i="7"/>
  <c r="G52" i="7"/>
  <c r="G58" i="7"/>
  <c r="E65" i="7"/>
  <c r="G53" i="7"/>
  <c r="G65" i="7"/>
  <c r="E58" i="7"/>
  <c r="G70" i="7"/>
  <c r="E65" i="6"/>
  <c r="F40" i="6"/>
  <c r="F42" i="6" s="1"/>
  <c r="E71" i="6"/>
  <c r="E71" i="7"/>
  <c r="E42" i="6"/>
  <c r="E42" i="7"/>
  <c r="E73" i="6"/>
  <c r="D40" i="1"/>
  <c r="D42" i="1" s="1"/>
  <c r="D70" i="1"/>
  <c r="D71" i="1"/>
  <c r="F42" i="3"/>
  <c r="F65" i="4"/>
  <c r="E70" i="4"/>
  <c r="E42" i="5"/>
  <c r="E41" i="6"/>
  <c r="G41" i="6"/>
  <c r="G52" i="6"/>
  <c r="E53" i="6"/>
  <c r="G53" i="6"/>
  <c r="E58" i="6"/>
  <c r="G58" i="6"/>
  <c r="C65" i="4"/>
  <c r="F58" i="7"/>
  <c r="E66" i="4"/>
  <c r="G66" i="4"/>
  <c r="D71" i="4"/>
  <c r="F58" i="4"/>
  <c r="E67" i="4"/>
  <c r="D58" i="4"/>
  <c r="F41" i="3"/>
  <c r="D41" i="3"/>
  <c r="D66" i="3" s="1"/>
  <c r="E43" i="3"/>
  <c r="E67" i="3" s="1"/>
  <c r="D40" i="2"/>
  <c r="D42" i="2" s="1"/>
  <c r="E43" i="2"/>
  <c r="F42" i="1"/>
  <c r="G66" i="1"/>
  <c r="E70" i="1"/>
  <c r="E66" i="1"/>
  <c r="F70" i="1"/>
  <c r="B77" i="1"/>
  <c r="F41" i="1"/>
  <c r="F53" i="1"/>
  <c r="F58" i="1"/>
  <c r="D41" i="1"/>
  <c r="E43" i="1"/>
  <c r="E67" i="1" s="1"/>
  <c r="D53" i="1"/>
  <c r="E53" i="1"/>
  <c r="E54" i="1" s="1"/>
  <c r="D58" i="1"/>
  <c r="E67" i="2" l="1"/>
  <c r="E72" i="4"/>
  <c r="E72" i="1"/>
  <c r="E66" i="7"/>
  <c r="G54" i="6"/>
  <c r="G54" i="7"/>
  <c r="B74" i="4"/>
  <c r="F54" i="1"/>
  <c r="B74" i="3"/>
  <c r="E53" i="7"/>
  <c r="E73" i="7"/>
  <c r="F52" i="7"/>
  <c r="E67" i="7"/>
  <c r="F58" i="6"/>
  <c r="F59" i="6" s="1"/>
  <c r="F53" i="6"/>
  <c r="F41" i="6"/>
  <c r="E59" i="7"/>
  <c r="G59" i="7"/>
  <c r="E52" i="6"/>
  <c r="E54" i="6" s="1"/>
  <c r="F65" i="7"/>
  <c r="E70" i="6"/>
  <c r="E70" i="7"/>
  <c r="G59" i="6"/>
  <c r="D65" i="4"/>
  <c r="D42" i="3"/>
  <c r="D73" i="7"/>
  <c r="D65" i="1"/>
  <c r="D54" i="1"/>
  <c r="D72" i="1" s="1"/>
  <c r="D59" i="1"/>
  <c r="E52" i="7"/>
  <c r="D40" i="5"/>
  <c r="D42" i="5" s="1"/>
  <c r="E43" i="5"/>
  <c r="E67" i="5" s="1"/>
  <c r="G66" i="6"/>
  <c r="D40" i="6"/>
  <c r="D42" i="6" s="1"/>
  <c r="E59" i="6"/>
  <c r="F70" i="6"/>
  <c r="E66" i="6"/>
  <c r="E43" i="6"/>
  <c r="E67" i="6" s="1"/>
  <c r="F65" i="6"/>
  <c r="F52" i="6"/>
  <c r="F59" i="7"/>
  <c r="F66" i="7"/>
  <c r="F59" i="4"/>
  <c r="D66" i="4"/>
  <c r="F66" i="4"/>
  <c r="C70" i="4"/>
  <c r="C71" i="4"/>
  <c r="C58" i="4"/>
  <c r="C59" i="4" s="1"/>
  <c r="B40" i="4"/>
  <c r="B42" i="4" s="1"/>
  <c r="D59" i="4"/>
  <c r="D72" i="4"/>
  <c r="B65" i="4"/>
  <c r="D43" i="3"/>
  <c r="D67" i="3" s="1"/>
  <c r="C41" i="3"/>
  <c r="B40" i="3"/>
  <c r="B42" i="3" s="1"/>
  <c r="C40" i="3"/>
  <c r="C42" i="3" s="1"/>
  <c r="B65" i="3"/>
  <c r="B40" i="2"/>
  <c r="C40" i="2"/>
  <c r="C42" i="2" s="1"/>
  <c r="F59" i="1"/>
  <c r="D66" i="1"/>
  <c r="D43" i="1"/>
  <c r="D67" i="1" s="1"/>
  <c r="C71" i="1"/>
  <c r="C58" i="1"/>
  <c r="C53" i="1"/>
  <c r="C41" i="1"/>
  <c r="B40" i="1"/>
  <c r="B42" i="1" s="1"/>
  <c r="C40" i="1"/>
  <c r="C42" i="1" s="1"/>
  <c r="F66" i="1"/>
  <c r="C70" i="1"/>
  <c r="C66" i="3" l="1"/>
  <c r="E72" i="6"/>
  <c r="C72" i="4"/>
  <c r="D67" i="4"/>
  <c r="F54" i="6"/>
  <c r="B77" i="4"/>
  <c r="C74" i="1"/>
  <c r="C59" i="1"/>
  <c r="B70" i="4"/>
  <c r="B73" i="4"/>
  <c r="B70" i="1"/>
  <c r="B73" i="1"/>
  <c r="B73" i="3"/>
  <c r="D73" i="6"/>
  <c r="F66" i="6"/>
  <c r="E54" i="7"/>
  <c r="E72" i="7" s="1"/>
  <c r="D70" i="6"/>
  <c r="B52" i="5"/>
  <c r="D65" i="7"/>
  <c r="D52" i="7"/>
  <c r="B65" i="2"/>
  <c r="D40" i="7"/>
  <c r="D52" i="6"/>
  <c r="D65" i="6"/>
  <c r="C65" i="1"/>
  <c r="C54" i="1"/>
  <c r="C72" i="1" s="1"/>
  <c r="D70" i="7"/>
  <c r="C40" i="5"/>
  <c r="B40" i="5"/>
  <c r="C40" i="6"/>
  <c r="C42" i="6" s="1"/>
  <c r="B40" i="6"/>
  <c r="B42" i="6" s="1"/>
  <c r="C66" i="4"/>
  <c r="C67" i="4"/>
  <c r="B71" i="4"/>
  <c r="B62" i="4"/>
  <c r="B58" i="4"/>
  <c r="B59" i="4" s="1"/>
  <c r="B53" i="4"/>
  <c r="B54" i="4" s="1"/>
  <c r="B41" i="4"/>
  <c r="B78" i="4"/>
  <c r="B62" i="3"/>
  <c r="B58" i="3"/>
  <c r="B59" i="3" s="1"/>
  <c r="B53" i="3"/>
  <c r="B54" i="3" s="1"/>
  <c r="B72" i="3" s="1"/>
  <c r="B41" i="3"/>
  <c r="B78" i="3"/>
  <c r="C43" i="3"/>
  <c r="C67" i="3" s="1"/>
  <c r="B71" i="1"/>
  <c r="B62" i="1"/>
  <c r="B58" i="1"/>
  <c r="B53" i="1"/>
  <c r="B41" i="1"/>
  <c r="B78" i="1"/>
  <c r="C66" i="1"/>
  <c r="C43" i="1"/>
  <c r="C67" i="1" s="1"/>
  <c r="B72" i="4" l="1"/>
  <c r="C73" i="7"/>
  <c r="B59" i="1"/>
  <c r="B74" i="1"/>
  <c r="C73" i="6"/>
  <c r="C70" i="6"/>
  <c r="C42" i="5"/>
  <c r="C70" i="7"/>
  <c r="B65" i="1"/>
  <c r="B54" i="1"/>
  <c r="B72" i="1" s="1"/>
  <c r="C65" i="6"/>
  <c r="C52" i="6"/>
  <c r="C40" i="7"/>
  <c r="B40" i="7"/>
  <c r="B42" i="7" s="1"/>
  <c r="B65" i="5"/>
  <c r="D42" i="7"/>
  <c r="C52" i="7"/>
  <c r="C65" i="7"/>
  <c r="B42" i="2"/>
  <c r="B66" i="4"/>
  <c r="B43" i="4"/>
  <c r="B67" i="4" s="1"/>
  <c r="B66" i="3"/>
  <c r="B43" i="3"/>
  <c r="B67" i="3" s="1"/>
  <c r="B66" i="1"/>
  <c r="B43" i="1"/>
  <c r="B67" i="1" s="1"/>
  <c r="B65" i="7" l="1"/>
  <c r="B52" i="7"/>
  <c r="C42" i="7"/>
  <c r="B42" i="5"/>
  <c r="B65" i="6"/>
  <c r="B52" i="6"/>
  <c r="D41" i="2" l="1"/>
  <c r="D26" i="6"/>
  <c r="D26" i="7"/>
  <c r="D26" i="5"/>
  <c r="D28" i="2"/>
  <c r="C28" i="2" s="1"/>
  <c r="C26" i="5" l="1"/>
  <c r="D53" i="5"/>
  <c r="D54" i="5" s="1"/>
  <c r="D71" i="5"/>
  <c r="D74" i="5"/>
  <c r="D58" i="5"/>
  <c r="D59" i="5" s="1"/>
  <c r="D43" i="2"/>
  <c r="D67" i="2" s="1"/>
  <c r="D66" i="2"/>
  <c r="B26" i="5"/>
  <c r="C78" i="5"/>
  <c r="D53" i="6"/>
  <c r="D54" i="6" s="1"/>
  <c r="C26" i="6"/>
  <c r="D53" i="7"/>
  <c r="D54" i="7" s="1"/>
  <c r="C26" i="7"/>
  <c r="D41" i="5"/>
  <c r="D66" i="5" s="1"/>
  <c r="B26" i="2"/>
  <c r="B58" i="2" s="1"/>
  <c r="B59" i="2" s="1"/>
  <c r="D28" i="7"/>
  <c r="B28" i="2"/>
  <c r="C41" i="5"/>
  <c r="C66" i="5" s="1"/>
  <c r="C41" i="2"/>
  <c r="C66" i="2" s="1"/>
  <c r="D58" i="6"/>
  <c r="D59" i="6" s="1"/>
  <c r="D71" i="7"/>
  <c r="D71" i="6"/>
  <c r="D74" i="6"/>
  <c r="D58" i="7"/>
  <c r="D59" i="7" s="1"/>
  <c r="D41" i="6"/>
  <c r="D74" i="7"/>
  <c r="D28" i="5"/>
  <c r="C28" i="5" s="1"/>
  <c r="C62" i="5" s="1"/>
  <c r="D28" i="6"/>
  <c r="C28" i="6" s="1"/>
  <c r="C62" i="6" s="1"/>
  <c r="D41" i="7"/>
  <c r="D72" i="5" l="1"/>
  <c r="C53" i="5"/>
  <c r="C54" i="5" s="1"/>
  <c r="C74" i="5"/>
  <c r="C71" i="5"/>
  <c r="C72" i="5" s="1"/>
  <c r="C58" i="5"/>
  <c r="C59" i="5" s="1"/>
  <c r="B26" i="6"/>
  <c r="B74" i="6" s="1"/>
  <c r="C78" i="6"/>
  <c r="B26" i="7"/>
  <c r="B41" i="7" s="1"/>
  <c r="C78" i="7"/>
  <c r="D72" i="7"/>
  <c r="B62" i="2"/>
  <c r="D72" i="6"/>
  <c r="C28" i="7"/>
  <c r="C62" i="7" s="1"/>
  <c r="B74" i="2"/>
  <c r="B41" i="2"/>
  <c r="B66" i="2" s="1"/>
  <c r="B78" i="5"/>
  <c r="B78" i="2"/>
  <c r="B71" i="2"/>
  <c r="D66" i="7"/>
  <c r="D43" i="7"/>
  <c r="D67" i="7" s="1"/>
  <c r="D43" i="5"/>
  <c r="D67" i="5" s="1"/>
  <c r="B28" i="6"/>
  <c r="C74" i="7"/>
  <c r="C53" i="7"/>
  <c r="C54" i="7" s="1"/>
  <c r="C58" i="7"/>
  <c r="C59" i="7" s="1"/>
  <c r="C71" i="7"/>
  <c r="C41" i="7"/>
  <c r="C74" i="6"/>
  <c r="C53" i="6"/>
  <c r="C54" i="6" s="1"/>
  <c r="C58" i="6"/>
  <c r="C59" i="6" s="1"/>
  <c r="C71" i="6"/>
  <c r="C41" i="6"/>
  <c r="B28" i="5"/>
  <c r="C43" i="2"/>
  <c r="C67" i="2" s="1"/>
  <c r="D43" i="6"/>
  <c r="D67" i="6" s="1"/>
  <c r="D66" i="6"/>
  <c r="B62" i="6" l="1"/>
  <c r="B58" i="6"/>
  <c r="B59" i="6" s="1"/>
  <c r="B41" i="6"/>
  <c r="B66" i="6" s="1"/>
  <c r="B78" i="6"/>
  <c r="B71" i="6"/>
  <c r="B28" i="7"/>
  <c r="B62" i="7" s="1"/>
  <c r="C72" i="7"/>
  <c r="C72" i="6"/>
  <c r="B43" i="2"/>
  <c r="B67" i="2" s="1"/>
  <c r="B62" i="5"/>
  <c r="B71" i="5"/>
  <c r="B58" i="5"/>
  <c r="B59" i="5" s="1"/>
  <c r="B41" i="5"/>
  <c r="B74" i="5"/>
  <c r="B78" i="7"/>
  <c r="B74" i="7"/>
  <c r="B58" i="7"/>
  <c r="B59" i="7" s="1"/>
  <c r="B71" i="7"/>
  <c r="B43" i="6"/>
  <c r="B67" i="6" s="1"/>
  <c r="C43" i="7"/>
  <c r="C67" i="7" s="1"/>
  <c r="C66" i="7"/>
  <c r="B66" i="7"/>
  <c r="B43" i="7"/>
  <c r="B67" i="7" s="1"/>
  <c r="C43" i="6"/>
  <c r="C67" i="6" s="1"/>
  <c r="C66" i="6"/>
  <c r="C43" i="5"/>
  <c r="C67" i="5" s="1"/>
  <c r="F31" i="2"/>
  <c r="B25" i="2"/>
  <c r="B53" i="2" l="1"/>
  <c r="B54" i="2" s="1"/>
  <c r="B31" i="2"/>
  <c r="B77" i="2" s="1"/>
  <c r="B43" i="5"/>
  <c r="B67" i="5" s="1"/>
  <c r="B66" i="5"/>
  <c r="F53" i="7"/>
  <c r="F54" i="7" s="1"/>
  <c r="F31" i="7"/>
  <c r="F77" i="7" s="1"/>
  <c r="B73" i="2"/>
  <c r="F70" i="7"/>
  <c r="B70" i="2"/>
  <c r="B72" i="2" l="1"/>
  <c r="B31" i="6"/>
  <c r="B77" i="6" s="1"/>
  <c r="B73" i="6"/>
  <c r="B70" i="6"/>
  <c r="B53" i="6"/>
  <c r="B54" i="6" s="1"/>
  <c r="B73" i="7"/>
  <c r="B53" i="7"/>
  <c r="B54" i="7" s="1"/>
  <c r="B31" i="7"/>
  <c r="B77" i="7" s="1"/>
  <c r="B73" i="5"/>
  <c r="B31" i="5"/>
  <c r="B77" i="5" s="1"/>
  <c r="B53" i="5"/>
  <c r="B54" i="5" s="1"/>
  <c r="B70" i="5"/>
  <c r="B72" i="5" l="1"/>
  <c r="B72" i="7"/>
  <c r="B72" i="6"/>
  <c r="E20" i="6"/>
  <c r="C20" i="6" s="1"/>
  <c r="B20" i="6" s="1"/>
  <c r="E20" i="5"/>
  <c r="C20" i="5" s="1"/>
  <c r="B20" i="5" s="1"/>
  <c r="C20" i="3"/>
  <c r="B20" i="3" s="1"/>
  <c r="E20" i="7"/>
  <c r="C20" i="7" s="1"/>
  <c r="B20" i="7" s="1"/>
</calcChain>
</file>

<file path=xl/sharedStrings.xml><?xml version="1.0" encoding="utf-8"?>
<sst xmlns="http://schemas.openxmlformats.org/spreadsheetml/2006/main" count="679" uniqueCount="131">
  <si>
    <t>Indicador</t>
  </si>
  <si>
    <t>Total IAFA</t>
  </si>
  <si>
    <t>Total</t>
  </si>
  <si>
    <t xml:space="preserve">Atención integral </t>
  </si>
  <si>
    <t>Insumos</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</si>
  <si>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</si>
  <si>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</si>
  <si>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</si>
  <si>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</si>
  <si>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</si>
  <si>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</si>
  <si>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</si>
  <si>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</si>
  <si>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</si>
  <si>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</si>
  <si>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</si>
  <si>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</si>
  <si>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</si>
  <si>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</si>
  <si>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</si>
  <si>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</si>
  <si>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</si>
  <si>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</si>
  <si>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</si>
  <si>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</si>
  <si>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</si>
  <si>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</si>
  <si>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</si>
  <si>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</si>
  <si>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</si>
  <si>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</si>
  <si>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</si>
  <si>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De Composición</t>
  </si>
  <si>
    <t xml:space="preserve">Gasto programado trimestral por beneficiario (GPB) </t>
  </si>
  <si>
    <t xml:space="preserve">Gasto efectivo trimestral por beneficiario (GEB) </t>
  </si>
  <si>
    <t xml:space="preserve">Gasto programado mensual por beneficiario (GPB) </t>
  </si>
  <si>
    <t xml:space="preserve">Gasto efectivo mensual por beneficiario (GEB) </t>
  </si>
  <si>
    <t xml:space="preserve">Gasto programado semestral por beneficiario (GPB) </t>
  </si>
  <si>
    <t xml:space="preserve">Gasto efectivo semestral por beneficiario (GEB) </t>
  </si>
  <si>
    <t xml:space="preserve">Gasto programado anual por beneficiario (GPB) </t>
  </si>
  <si>
    <t xml:space="preserve">Gasto efectivo anual por beneficiario (GEB) </t>
  </si>
  <si>
    <t xml:space="preserve">Beneficiarios </t>
  </si>
  <si>
    <t>Personas diferentes</t>
  </si>
  <si>
    <t>Beneficiarios</t>
  </si>
  <si>
    <t>na</t>
  </si>
  <si>
    <t>na.</t>
  </si>
  <si>
    <t xml:space="preserve"> </t>
  </si>
  <si>
    <t xml:space="preserve">n.d. </t>
  </si>
  <si>
    <t>Apoyo económico</t>
  </si>
  <si>
    <t>Divulgación y movilización</t>
  </si>
  <si>
    <t>Efectivos 1T 2019</t>
  </si>
  <si>
    <t>IPC (1T 2019)</t>
  </si>
  <si>
    <t>Gasto efectivo real 1T 2019</t>
  </si>
  <si>
    <t>Gasto efectivo real por beneficiario 1T 2019</t>
  </si>
  <si>
    <t>Efectivos 2T 2019</t>
  </si>
  <si>
    <t>IPC (2T 2019)</t>
  </si>
  <si>
    <t>Gasto efectivo real 2T 2019</t>
  </si>
  <si>
    <t>Gasto efectivo real por beneficiario 2T 2019</t>
  </si>
  <si>
    <t>Efectivos 1S 2019</t>
  </si>
  <si>
    <t>IPC (1S 2019)</t>
  </si>
  <si>
    <t>Gasto efectivo real 1S 2019</t>
  </si>
  <si>
    <t>Gasto efectivo real por beneficiario 1S 2019</t>
  </si>
  <si>
    <t>Efectivos 3T 2019</t>
  </si>
  <si>
    <t>IPC (3T 2019)</t>
  </si>
  <si>
    <t>Gasto efectivo real 3T 2019</t>
  </si>
  <si>
    <t>Gasto efectivo real por beneficiario 3T 2019</t>
  </si>
  <si>
    <t>Efectivos 3TA 2019</t>
  </si>
  <si>
    <t>IPC (3TA 2019)</t>
  </si>
  <si>
    <t>Gasto efectivo real 3TA 2019</t>
  </si>
  <si>
    <t>Gasto efectivo real por beneficiario 3TA 2019</t>
  </si>
  <si>
    <t>Efectivos 4T 2019</t>
  </si>
  <si>
    <t>IPC (4T 2019)</t>
  </si>
  <si>
    <t>Gasto efectivo real 4T 2019</t>
  </si>
  <si>
    <t>Gasto efectivo real por beneficiario 4T 2019</t>
  </si>
  <si>
    <t>n.d.</t>
  </si>
  <si>
    <t xml:space="preserve">Gasto programado acumulado por beneficiario (GPB) </t>
  </si>
  <si>
    <t xml:space="preserve">Gasto efectivo acumulado por beneficiario (GEB) </t>
  </si>
  <si>
    <t>Tratamiento</t>
  </si>
  <si>
    <t>Prevención</t>
  </si>
  <si>
    <t>Programados 1T 2020</t>
  </si>
  <si>
    <t>Efectivos 1T 2020</t>
  </si>
  <si>
    <t>Programados año 2020</t>
  </si>
  <si>
    <t>En transferencias 1T 2020</t>
  </si>
  <si>
    <t>IPC (1T 2020)</t>
  </si>
  <si>
    <t>Gasto efectivo real 1T 2020</t>
  </si>
  <si>
    <t>Gasto efectivo real por beneficiario 1T 2020</t>
  </si>
  <si>
    <t>Programados 2T 2020</t>
  </si>
  <si>
    <t>Efectivos 2T 2020</t>
  </si>
  <si>
    <t>En transferencias 2T 2020</t>
  </si>
  <si>
    <t>IPC (2T 2020)</t>
  </si>
  <si>
    <t>Gasto efectivo real 2T 2020</t>
  </si>
  <si>
    <t>Gasto efectivo real por beneficiario 2T 2020</t>
  </si>
  <si>
    <t>Programados 1S 2020</t>
  </si>
  <si>
    <t>Efectivos 1S 2020</t>
  </si>
  <si>
    <t>En transferencias 1S 2020</t>
  </si>
  <si>
    <t>IPC (1S 2020)</t>
  </si>
  <si>
    <t>Gasto efectivo real 1S 2020</t>
  </si>
  <si>
    <t>Gasto efectivo real por beneficiario 1S 2020</t>
  </si>
  <si>
    <t>Programados 3T 2020</t>
  </si>
  <si>
    <t>Efectivos 3T 2020</t>
  </si>
  <si>
    <t>En transferencias 3T 2020</t>
  </si>
  <si>
    <t>IPC (3T 2020)</t>
  </si>
  <si>
    <t>Gasto efectivo real 3T 2020</t>
  </si>
  <si>
    <t>Gasto efectivo real por beneficiario 3T 2020</t>
  </si>
  <si>
    <t>Programados 3TA 2020</t>
  </si>
  <si>
    <t>Efectivos 3TA 2020</t>
  </si>
  <si>
    <t>En transferencias 3TA 2020</t>
  </si>
  <si>
    <t>IPC (3TA 2020)</t>
  </si>
  <si>
    <t>Gasto efectivo real 3TA 2020</t>
  </si>
  <si>
    <t>Gasto efectivo real por beneficiario 3TA 2020</t>
  </si>
  <si>
    <t>Programados 4T 2020</t>
  </si>
  <si>
    <t>Efectivos 4T 2020</t>
  </si>
  <si>
    <t>En transferencias 4T 2020</t>
  </si>
  <si>
    <t>IPC (4T 2020)</t>
  </si>
  <si>
    <t>Gasto efectivo real 4T 2020</t>
  </si>
  <si>
    <t>Gasto efectivo real por beneficiario 4T 2020</t>
  </si>
  <si>
    <t>Efectivos 2019</t>
  </si>
  <si>
    <t>Programados 2020</t>
  </si>
  <si>
    <t>Efectivos 2020</t>
  </si>
  <si>
    <t>En transferencias 2020</t>
  </si>
  <si>
    <t>IPC (2019)</t>
  </si>
  <si>
    <t>IPC (2020)</t>
  </si>
  <si>
    <t>Gasto efectivo real 2019</t>
  </si>
  <si>
    <t>Gasto efectivo real 2020</t>
  </si>
  <si>
    <t>Gasto efectivo real por beneficiario 2019</t>
  </si>
  <si>
    <t>Gasto efectivo real por beneficiario 2020</t>
  </si>
  <si>
    <t xml:space="preserve">Total </t>
  </si>
  <si>
    <r>
      <rPr>
        <b/>
        <sz val="11"/>
        <color theme="1"/>
        <rFont val="Palatino Linotype"/>
        <family val="1"/>
      </rPr>
      <t xml:space="preserve">Fuentes: </t>
    </r>
    <r>
      <rPr>
        <sz val="11"/>
        <color theme="1"/>
        <rFont val="Palatino Linotype"/>
        <family val="1"/>
      </rPr>
      <t>Informes Trimestrales IAFA 2019 y 2020 - Cronogramas de Metas e Inversión - Modificaciones 2020 - IPC, INEC 2019 y 2020</t>
    </r>
  </si>
  <si>
    <r>
      <rPr>
        <b/>
        <sz val="11"/>
        <color theme="1"/>
        <rFont val="Palatino Linotype"/>
        <family val="1"/>
      </rPr>
      <t xml:space="preserve">Nota: </t>
    </r>
    <r>
      <rPr>
        <sz val="11"/>
        <color theme="1"/>
        <rFont val="Palatino Linotype"/>
        <family val="1"/>
      </rPr>
      <t xml:space="preserve">
Para el caso del producto "Divulgación y Movilización", el indicador "gasto programado mensual por beneficiario" se multiplica únicamente por 03, ya que solamente para 03 meses del I S estaba programado.  </t>
    </r>
  </si>
  <si>
    <r>
      <rPr>
        <b/>
        <sz val="11"/>
        <color theme="1"/>
        <rFont val="Palatino Linotype"/>
        <family val="1"/>
      </rPr>
      <t xml:space="preserve">Nota: </t>
    </r>
    <r>
      <rPr>
        <sz val="11"/>
        <color theme="1"/>
        <rFont val="Palatino Linotype"/>
        <family val="1"/>
      </rPr>
      <t xml:space="preserve">
Para el caso del producto "Divulgación y Movilización", el indicador "gasto programado mensual por beneficiario" se multiplica únicamente por 06, ya que solamente para 06 meses del año estaba programado.  </t>
    </r>
  </si>
  <si>
    <r>
      <rPr>
        <b/>
        <sz val="11"/>
        <color theme="1"/>
        <rFont val="Palatino Linotype"/>
        <family val="1"/>
      </rPr>
      <t xml:space="preserve">Nota: </t>
    </r>
    <r>
      <rPr>
        <sz val="11"/>
        <color theme="1"/>
        <rFont val="Palatino Linotype"/>
        <family val="1"/>
      </rPr>
      <t xml:space="preserve">
*Se modificó el dato de los beneficiarios programados para el año 2020, esto debido a que en el Cronograma de Metas e Inversión se indica que es 165 y en realidad si se suman los 04 promedios del año, el dato es 102. Esto es un tema que debe analizarse con la UE del programa, además del dato de las personas diferentes y las efectivas (Se realizará una reunión para aclarar estos temas para el año 2021). 
*Para el caso del producto "Divulgación y Movilización", el indicador "gasto programado mensual por beneficiario" se multiplica únicamente por 06, ya que solamente para 06 meses del año estaba programado.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</si>
</sst>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____"/>
    <numFmt numFmtId="166" formatCode="#,##0.0"/>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theme="1"/>
      <name val="Calibri"/>
      <family val="2"/>
    </font>
    <font>
      <b/>
      <sz val="11"/>
      <color theme="1"/>
      <name val="Palatino Linotype"/>
      <family val="1"/>
    </font>
    <font>
      <sz val="11"/>
      <color theme="1"/>
      <name val="Palatino Linotype"/>
      <family val="1"/>
    </font>
    <font>
      <sz val="11"/>
      <color rgb="FFFF0000"/>
      <name val="Palatino Linotype"/>
      <family val="1"/>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s>
  <cellStyleXfs count="3">
    <xf numFmtId="0" fontId="0" fillId="0" borderId="0"/>
    <xf numFmtId="164" fontId="3" fillId="0" borderId="0" applyFont="0" applyFill="0" applyBorder="0" applyAlignment="0" applyProtection="0"/>
    <xf numFmtId="43" fontId="3" fillId="0" borderId="0" applyFont="0" applyFill="0" applyBorder="0" applyAlignment="0" applyProtection="0"/>
  </cellStyleXfs>
  <cellXfs count="50">
    <xf numFmtId="0" fontId="0" fillId="0" borderId="0" xfId="0"/>
    <xf numFmtId="0" fontId="0" fillId="0" borderId="0" xfId="0" applyFill="1"/>
    <xf numFmtId="0" fontId="1" fillId="0" borderId="0" xfId="0" applyFont="1" applyFill="1"/>
    <xf numFmtId="0" fontId="4" fillId="0" borderId="0" xfId="0" applyFont="1" applyFill="1"/>
    <xf numFmtId="0" fontId="2" fillId="0" borderId="0" xfId="0" applyFont="1" applyFill="1"/>
    <xf numFmtId="166" fontId="0" fillId="0" borderId="0" xfId="0" applyNumberFormat="1" applyFill="1"/>
    <xf numFmtId="3" fontId="0" fillId="0" borderId="0" xfId="0" applyNumberFormat="1" applyFont="1" applyFill="1"/>
    <xf numFmtId="0" fontId="0" fillId="0" borderId="0" xfId="0" applyFont="1" applyFill="1"/>
    <xf numFmtId="0" fontId="0" fillId="0" borderId="0" xfId="0" applyFont="1" applyFill="1" applyBorder="1"/>
    <xf numFmtId="166" fontId="0" fillId="0" borderId="0" xfId="0" applyNumberFormat="1" applyFont="1" applyFill="1"/>
    <xf numFmtId="165" fontId="0" fillId="0" borderId="0" xfId="0" applyNumberFormat="1" applyFont="1" applyFill="1"/>
    <xf numFmtId="0" fontId="6" fillId="0" borderId="0" xfId="0" applyFont="1" applyFill="1"/>
    <xf numFmtId="0" fontId="5" fillId="0" borderId="0" xfId="0" applyFont="1" applyFill="1"/>
    <xf numFmtId="0" fontId="6" fillId="0" borderId="0" xfId="0" applyFont="1" applyFill="1" applyAlignment="1">
      <alignment horizontal="left" indent="1"/>
    </xf>
    <xf numFmtId="3" fontId="6" fillId="0" borderId="0" xfId="0" applyNumberFormat="1" applyFont="1" applyFill="1" applyAlignment="1">
      <alignment horizontal="right" vertical="center"/>
    </xf>
    <xf numFmtId="0" fontId="6" fillId="0" borderId="0" xfId="0" applyFont="1" applyFill="1" applyAlignment="1">
      <alignment horizontal="left" indent="2"/>
    </xf>
    <xf numFmtId="3" fontId="7" fillId="0" borderId="0" xfId="0" applyNumberFormat="1" applyFont="1" applyFill="1" applyAlignment="1">
      <alignment horizontal="right" vertical="center"/>
    </xf>
    <xf numFmtId="0" fontId="5" fillId="0" borderId="0" xfId="0" applyFont="1" applyFill="1" applyAlignment="1">
      <alignment horizontal="left"/>
    </xf>
    <xf numFmtId="0" fontId="7" fillId="0" borderId="0" xfId="0" applyFont="1" applyFill="1" applyAlignment="1">
      <alignment horizontal="right" vertical="center"/>
    </xf>
    <xf numFmtId="2" fontId="6" fillId="0" borderId="0" xfId="0" applyNumberFormat="1" applyFont="1" applyFill="1" applyAlignment="1">
      <alignment horizontal="right" vertical="center"/>
    </xf>
    <xf numFmtId="0" fontId="6" fillId="0" borderId="0" xfId="0" applyFont="1" applyFill="1" applyAlignment="1">
      <alignment horizontal="right" vertical="center"/>
    </xf>
    <xf numFmtId="4" fontId="6" fillId="0" borderId="0" xfId="0" applyNumberFormat="1" applyFont="1" applyFill="1" applyAlignment="1">
      <alignment horizontal="right" vertical="center"/>
    </xf>
    <xf numFmtId="0" fontId="6" fillId="0" borderId="8" xfId="0" applyFont="1" applyFill="1" applyBorder="1"/>
    <xf numFmtId="0" fontId="6" fillId="0" borderId="0" xfId="0" applyFont="1" applyFill="1" applyBorder="1"/>
    <xf numFmtId="166" fontId="6" fillId="0" borderId="0" xfId="0" applyNumberFormat="1" applyFont="1" applyFill="1"/>
    <xf numFmtId="3" fontId="6" fillId="0" borderId="0" xfId="1" applyNumberFormat="1" applyFont="1" applyFill="1" applyAlignment="1">
      <alignment horizontal="right" vertical="center"/>
    </xf>
    <xf numFmtId="0" fontId="6" fillId="0" borderId="8"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0" xfId="0" applyFont="1" applyFill="1" applyAlignment="1">
      <alignment horizontal="right"/>
    </xf>
    <xf numFmtId="0" fontId="6" fillId="0" borderId="0" xfId="0" applyFont="1" applyFill="1" applyAlignment="1">
      <alignment horizontal="left"/>
    </xf>
    <xf numFmtId="1" fontId="6" fillId="0" borderId="0" xfId="0" applyNumberFormat="1" applyFont="1" applyFill="1" applyAlignment="1">
      <alignment horizontal="right" vertical="center"/>
    </xf>
    <xf numFmtId="0" fontId="6" fillId="0" borderId="8" xfId="0" applyFont="1" applyFill="1" applyBorder="1" applyAlignment="1">
      <alignment horizontal="right"/>
    </xf>
    <xf numFmtId="3" fontId="0" fillId="0" borderId="0" xfId="0" applyNumberFormat="1" applyFont="1" applyFill="1" applyAlignment="1">
      <alignment horizontal="right"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2" xfId="0" applyFont="1" applyFill="1" applyBorder="1" applyAlignment="1">
      <alignment horizontal="left" vertical="top"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0" xfId="0" applyFont="1" applyFill="1" applyBorder="1" applyAlignment="1">
      <alignment horizontal="left" vertical="top" wrapText="1"/>
    </xf>
  </cellXfs>
  <cellStyles count="3">
    <cellStyle name="Millares" xfId="1" builtinId="3"/>
    <cellStyle name="Millares 2" xfId="2"/>
    <cellStyle name="Normal" xfId="0" builtinId="0"/>
  </cellStyles>
  <dxfs count="0"/>
  <tableStyles count="0" defaultTableStyle="TableStyleMedium9" defaultPivotStyle="PivotStyleLight16"/>
  <colors>
    <mruColors>
      <color rgb="FF102D7C"/>
      <color rgb="FFA2BFE6"/>
      <color rgb="FF4071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s-CR"/>
              <a:t>IAFA: Indicadores de resultado 2020</a:t>
            </a:r>
          </a:p>
        </c:rich>
      </c:tx>
      <c:layout>
        <c:manualLayout>
          <c:xMode val="edge"/>
          <c:yMode val="edge"/>
          <c:x val="0.27103237986140283"/>
          <c:y val="3.3637763010335879E-2"/>
        </c:manualLayout>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Anual!$A$52</c:f>
              <c:strCache>
                <c:ptCount val="1"/>
                <c:pt idx="0">
                  <c:v>Índice efectividad en beneficiarios (IEB)</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(Anual!$B$52:$C$52,Anual!$F$52)</c:f>
              <c:numCache>
                <c:formatCode>#,##0.00</c:formatCode>
                <c:ptCount val="3"/>
                <c:pt idx="0">
                  <c:v>46.42213852955625</c:v>
                </c:pt>
                <c:pt idx="1">
                  <c:v>267.20075400565509</c:v>
                </c:pt>
                <c:pt idx="2">
                  <c:v>0</c:v>
                </c:pt>
              </c:numCache>
            </c:numRef>
          </c:val>
          <c:extLst>
            <c:ext xmlns:c16="http://schemas.microsoft.com/office/drawing/2014/chart" uri="{C3380CC4-5D6E-409C-BE32-E72D297353CC}">
              <c16:uniqueId val="{00000000-69CA-415D-A6F6-F2611599A16F}"/>
            </c:ext>
          </c:extLst>
        </c:ser>
        <c:ser>
          <c:idx val="1"/>
          <c:order val="1"/>
          <c:tx>
            <c:strRef>
              <c:f>Anual!$A$53</c:f>
              <c:strCache>
                <c:ptCount val="1"/>
                <c:pt idx="0">
                  <c:v>Índice efectividad en gasto (IEG)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(Anual!$B$53:$C$53,Anual!$F$53)</c:f>
              <c:numCache>
                <c:formatCode>#,##0.00</c:formatCode>
                <c:ptCount val="3"/>
                <c:pt idx="0">
                  <c:v>69.473679484709038</c:v>
                </c:pt>
                <c:pt idx="1">
                  <c:v>75.801653808489846</c:v>
                </c:pt>
                <c:pt idx="2">
                  <c:v>23.035354107648725</c:v>
                </c:pt>
              </c:numCache>
            </c:numRef>
          </c:val>
          <c:extLst>
            <c:ext xmlns:c16="http://schemas.microsoft.com/office/drawing/2014/chart" uri="{C3380CC4-5D6E-409C-BE32-E72D297353CC}">
              <c16:uniqueId val="{00000001-69CA-415D-A6F6-F2611599A16F}"/>
            </c:ext>
          </c:extLst>
        </c:ser>
        <c:ser>
          <c:idx val="2"/>
          <c:order val="2"/>
          <c:tx>
            <c:strRef>
              <c:f>Anual!$A$54</c:f>
              <c:strCache>
                <c:ptCount val="1"/>
                <c:pt idx="0">
                  <c:v>Índice efectividad total (IET)</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(Anual!$B$54:$C$54,Anual!$F$54)</c:f>
              <c:numCache>
                <c:formatCode>#,##0.00</c:formatCode>
                <c:ptCount val="3"/>
                <c:pt idx="0">
                  <c:v>57.947909007132644</c:v>
                </c:pt>
                <c:pt idx="1">
                  <c:v>171.50120390707247</c:v>
                </c:pt>
                <c:pt idx="2">
                  <c:v>11.517677053824363</c:v>
                </c:pt>
              </c:numCache>
            </c:numRef>
          </c:val>
          <c:extLst>
            <c:ext xmlns:c16="http://schemas.microsoft.com/office/drawing/2014/chart" uri="{C3380CC4-5D6E-409C-BE32-E72D297353CC}">
              <c16:uniqueId val="{00000002-69CA-415D-A6F6-F2611599A16F}"/>
            </c:ext>
          </c:extLst>
        </c:ser>
        <c:dLbls>
          <c:showLegendKey val="0"/>
          <c:showVal val="0"/>
          <c:showCatName val="0"/>
          <c:showSerName val="0"/>
          <c:showPercent val="0"/>
          <c:showBubbleSize val="0"/>
        </c:dLbls>
        <c:gapWidth val="100"/>
        <c:shape val="box"/>
        <c:axId val="51431296"/>
        <c:axId val="51432832"/>
        <c:axId val="0"/>
      </c:bar3DChart>
      <c:catAx>
        <c:axId val="514312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432832"/>
        <c:crosses val="autoZero"/>
        <c:auto val="1"/>
        <c:lblAlgn val="ctr"/>
        <c:lblOffset val="100"/>
        <c:noMultiLvlLbl val="0"/>
      </c:catAx>
      <c:valAx>
        <c:axId val="5143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51431296"/>
        <c:crosses val="autoZero"/>
        <c:crossBetween val="between"/>
      </c:valAx>
    </c:plotArea>
    <c:legend>
      <c:legendPos val="b"/>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avance 2020</a:t>
            </a:r>
          </a:p>
        </c:rich>
      </c:tx>
      <c:layout/>
      <c:overlay val="0"/>
      <c:spPr>
        <a:noFill/>
        <a:ln>
          <a:noFill/>
        </a:ln>
        <a:effectLst/>
      </c:spPr>
    </c:title>
    <c:autoTitleDeleted val="0"/>
    <c:view3D>
      <c:rotX val="5"/>
      <c:rotY val="0"/>
      <c:rAngAx val="0"/>
      <c:perspective val="10"/>
    </c:view3D>
    <c:floor>
      <c:thickness val="0"/>
      <c:spPr>
        <a:ln>
          <a:solidFill>
            <a:schemeClr val="tx1">
              <a:lumMod val="15000"/>
              <a:lumOff val="85000"/>
            </a:schemeClr>
          </a:solidFill>
        </a:ln>
      </c:spPr>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Anual!$A$57</c:f>
              <c:strCache>
                <c:ptCount val="1"/>
                <c:pt idx="0">
                  <c:v>Índice avance beneficiarios (IAB)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(Anual!$B$57:$C$57,Anual!$F$57)</c:f>
              <c:numCache>
                <c:formatCode>#,##0.00</c:formatCode>
                <c:ptCount val="3"/>
                <c:pt idx="0">
                  <c:v>46.414538310412574</c:v>
                </c:pt>
                <c:pt idx="1">
                  <c:v>266.94915254237287</c:v>
                </c:pt>
                <c:pt idx="2">
                  <c:v>0</c:v>
                </c:pt>
              </c:numCache>
            </c:numRef>
          </c:val>
          <c:extLst>
            <c:ext xmlns:c16="http://schemas.microsoft.com/office/drawing/2014/chart" uri="{C3380CC4-5D6E-409C-BE32-E72D297353CC}">
              <c16:uniqueId val="{00000000-A38B-4FE8-AF2F-80E7B021D776}"/>
            </c:ext>
          </c:extLst>
        </c:ser>
        <c:ser>
          <c:idx val="1"/>
          <c:order val="1"/>
          <c:tx>
            <c:strRef>
              <c:f>Anual!$A$58</c:f>
              <c:strCache>
                <c:ptCount val="1"/>
                <c:pt idx="0">
                  <c:v>Índice avance gasto (IAG)</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(Anual!$B$58:$C$58,Anual!$F$58)</c:f>
              <c:numCache>
                <c:formatCode>#,##0.00</c:formatCode>
                <c:ptCount val="3"/>
                <c:pt idx="0">
                  <c:v>69.473679484709038</c:v>
                </c:pt>
                <c:pt idx="1">
                  <c:v>75.801653808489846</c:v>
                </c:pt>
                <c:pt idx="2">
                  <c:v>23.035354107648725</c:v>
                </c:pt>
              </c:numCache>
            </c:numRef>
          </c:val>
          <c:extLst>
            <c:ext xmlns:c16="http://schemas.microsoft.com/office/drawing/2014/chart" uri="{C3380CC4-5D6E-409C-BE32-E72D297353CC}">
              <c16:uniqueId val="{00000001-A38B-4FE8-AF2F-80E7B021D776}"/>
            </c:ext>
          </c:extLst>
        </c:ser>
        <c:ser>
          <c:idx val="2"/>
          <c:order val="2"/>
          <c:tx>
            <c:strRef>
              <c:f>Anual!$A$59</c:f>
              <c:strCache>
                <c:ptCount val="1"/>
                <c:pt idx="0">
                  <c:v>Índice avance total (IAT)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(Anual!$B$59:$C$59,Anual!$F$59)</c:f>
              <c:numCache>
                <c:formatCode>#,##0.00</c:formatCode>
                <c:ptCount val="3"/>
                <c:pt idx="0">
                  <c:v>57.94410889756081</c:v>
                </c:pt>
                <c:pt idx="1">
                  <c:v>171.37540317543136</c:v>
                </c:pt>
                <c:pt idx="2">
                  <c:v>11.517677053824363</c:v>
                </c:pt>
              </c:numCache>
            </c:numRef>
          </c:val>
          <c:extLst>
            <c:ext xmlns:c16="http://schemas.microsoft.com/office/drawing/2014/chart" uri="{C3380CC4-5D6E-409C-BE32-E72D297353CC}">
              <c16:uniqueId val="{00000002-A38B-4FE8-AF2F-80E7B021D776}"/>
            </c:ext>
          </c:extLst>
        </c:ser>
        <c:dLbls>
          <c:showLegendKey val="0"/>
          <c:showVal val="0"/>
          <c:showCatName val="0"/>
          <c:showSerName val="0"/>
          <c:showPercent val="0"/>
          <c:showBubbleSize val="0"/>
        </c:dLbls>
        <c:gapWidth val="100"/>
        <c:shape val="box"/>
        <c:axId val="51813376"/>
        <c:axId val="51905280"/>
        <c:axId val="0"/>
      </c:bar3DChart>
      <c:catAx>
        <c:axId val="518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905280"/>
        <c:crosses val="autoZero"/>
        <c:auto val="1"/>
        <c:lblAlgn val="ctr"/>
        <c:lblOffset val="100"/>
        <c:noMultiLvlLbl val="0"/>
      </c:catAx>
      <c:valAx>
        <c:axId val="51905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ln>
            <a:noFill/>
          </a:ln>
        </c:spPr>
        <c:txPr>
          <a:bodyPr rot="-60000000" vert="horz"/>
          <a:lstStyle/>
          <a:p>
            <a:pPr>
              <a:defRPr/>
            </a:pPr>
            <a:endParaRPr lang="es-CR"/>
          </a:p>
        </c:txPr>
        <c:crossAx val="51813376"/>
        <c:crosses val="autoZero"/>
        <c:crossBetween val="between"/>
      </c:valAx>
    </c:plotArea>
    <c:legend>
      <c:legendPos val="b"/>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expansión 2020</a:t>
            </a:r>
          </a:p>
        </c:rich>
      </c:tx>
      <c:layout/>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Anual!$A$65</c:f>
              <c:strCache>
                <c:ptCount val="1"/>
                <c:pt idx="0">
                  <c:v>Índice de crecimiento beneficiarios (ICB)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(Anual!$B$65:$C$65,Anual!$F$65)</c:f>
              <c:numCache>
                <c:formatCode>#,##0.00</c:formatCode>
                <c:ptCount val="3"/>
                <c:pt idx="0">
                  <c:v>-70.496409615985016</c:v>
                </c:pt>
                <c:pt idx="1">
                  <c:v>-30.309734513274332</c:v>
                </c:pt>
                <c:pt idx="2">
                  <c:v>-100</c:v>
                </c:pt>
              </c:numCache>
            </c:numRef>
          </c:val>
          <c:extLst>
            <c:ext xmlns:c16="http://schemas.microsoft.com/office/drawing/2014/chart" uri="{C3380CC4-5D6E-409C-BE32-E72D297353CC}">
              <c16:uniqueId val="{00000000-15C4-4B1D-8408-67DF75180DC4}"/>
            </c:ext>
          </c:extLst>
        </c:ser>
        <c:ser>
          <c:idx val="1"/>
          <c:order val="1"/>
          <c:tx>
            <c:strRef>
              <c:f>Anual!$A$66</c:f>
              <c:strCache>
                <c:ptCount val="1"/>
                <c:pt idx="0">
                  <c:v>Índice de crecimiento del gasto real (ICGR)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(Anual!$B$66:$C$66,Anual!$F$66)</c:f>
              <c:numCache>
                <c:formatCode>#,##0.00</c:formatCode>
                <c:ptCount val="3"/>
                <c:pt idx="0">
                  <c:v>-23.009102093663149</c:v>
                </c:pt>
                <c:pt idx="1">
                  <c:v>-12.824768446036838</c:v>
                </c:pt>
                <c:pt idx="2">
                  <c:v>-79.85168730618345</c:v>
                </c:pt>
              </c:numCache>
            </c:numRef>
          </c:val>
          <c:extLst>
            <c:ext xmlns:c16="http://schemas.microsoft.com/office/drawing/2014/chart" uri="{C3380CC4-5D6E-409C-BE32-E72D297353CC}">
              <c16:uniqueId val="{00000001-15C4-4B1D-8408-67DF75180DC4}"/>
            </c:ext>
          </c:extLst>
        </c:ser>
        <c:ser>
          <c:idx val="2"/>
          <c:order val="2"/>
          <c:tx>
            <c:strRef>
              <c:f>Anual!$A$67</c:f>
              <c:strCache>
                <c:ptCount val="1"/>
                <c:pt idx="0">
                  <c:v>Índice de crecimiento del gasto real por beneficiario (ICGRB)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34CA-4065-AD6C-D37BF5F3D2F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(Anual!$B$67:$C$67,Anual!$F$67)</c:f>
              <c:numCache>
                <c:formatCode>#,##0.00</c:formatCode>
                <c:ptCount val="3"/>
                <c:pt idx="0">
                  <c:v>160.95433438518194</c:v>
                </c:pt>
                <c:pt idx="1">
                  <c:v>25.089538610766194</c:v>
                </c:pt>
                <c:pt idx="2">
                  <c:v>0</c:v>
                </c:pt>
              </c:numCache>
            </c:numRef>
          </c:val>
          <c:extLst>
            <c:ext xmlns:c16="http://schemas.microsoft.com/office/drawing/2014/chart" uri="{C3380CC4-5D6E-409C-BE32-E72D297353CC}">
              <c16:uniqueId val="{00000002-15C4-4B1D-8408-67DF75180DC4}"/>
            </c:ext>
          </c:extLst>
        </c:ser>
        <c:dLbls>
          <c:showLegendKey val="0"/>
          <c:showVal val="0"/>
          <c:showCatName val="0"/>
          <c:showSerName val="0"/>
          <c:showPercent val="0"/>
          <c:showBubbleSize val="0"/>
        </c:dLbls>
        <c:gapWidth val="100"/>
        <c:shape val="box"/>
        <c:axId val="53442432"/>
        <c:axId val="53443968"/>
        <c:axId val="0"/>
      </c:bar3DChart>
      <c:catAx>
        <c:axId val="53442432"/>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vert="horz"/>
          <a:lstStyle/>
          <a:p>
            <a:pPr>
              <a:defRPr/>
            </a:pPr>
            <a:endParaRPr lang="es-CR"/>
          </a:p>
        </c:txPr>
        <c:crossAx val="53443968"/>
        <c:crosses val="autoZero"/>
        <c:auto val="1"/>
        <c:lblAlgn val="ctr"/>
        <c:lblOffset val="100"/>
        <c:noMultiLvlLbl val="0"/>
      </c:catAx>
      <c:valAx>
        <c:axId val="53443968"/>
        <c:scaling>
          <c:orientation val="minMax"/>
          <c:max val="250"/>
          <c:min val="-2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53442432"/>
        <c:crosses val="autoZero"/>
        <c:crossBetween val="between"/>
      </c:valAx>
    </c:plotArea>
    <c:legend>
      <c:legendPos val="b"/>
      <c:layout>
        <c:manualLayout>
          <c:xMode val="edge"/>
          <c:yMode val="edge"/>
          <c:x val="1.1827598584010774E-2"/>
          <c:y val="0.91459253653348627"/>
          <c:w val="0.97896336993967359"/>
          <c:h val="6.256661020890858E-2"/>
        </c:manualLayout>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gasto medio 2020</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Anual!$A$70</c:f>
              <c:strCache>
                <c:ptCount val="1"/>
                <c:pt idx="0">
                  <c:v>Gasto programado anual por beneficiario (GPB)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(Anual!$B$9,Anual!$C$9,Anual!$F$9)</c:f>
              <c:strCache>
                <c:ptCount val="3"/>
                <c:pt idx="0">
                  <c:v>Total IAFA</c:v>
                </c:pt>
                <c:pt idx="1">
                  <c:v>Tratamiento</c:v>
                </c:pt>
                <c:pt idx="2">
                  <c:v>Prevención</c:v>
                </c:pt>
              </c:strCache>
            </c:strRef>
          </c:cat>
          <c:val>
            <c:numRef>
              <c:f>(Anual!$B$70:$C$70,Anual!$F$70)</c:f>
              <c:numCache>
                <c:formatCode>#,##0.00</c:formatCode>
                <c:ptCount val="3"/>
                <c:pt idx="0">
                  <c:v>43379.168822662519</c:v>
                </c:pt>
                <c:pt idx="1">
                  <c:v>219742.30348727616</c:v>
                </c:pt>
                <c:pt idx="2">
                  <c:v>6296.0760998810938</c:v>
                </c:pt>
              </c:numCache>
            </c:numRef>
          </c:val>
          <c:extLst>
            <c:ext xmlns:c16="http://schemas.microsoft.com/office/drawing/2014/chart" uri="{C3380CC4-5D6E-409C-BE32-E72D297353CC}">
              <c16:uniqueId val="{00000000-5786-4CC8-8744-8962E0789E60}"/>
            </c:ext>
          </c:extLst>
        </c:ser>
        <c:ser>
          <c:idx val="1"/>
          <c:order val="1"/>
          <c:tx>
            <c:strRef>
              <c:f>Anual!$A$71</c:f>
              <c:strCache>
                <c:ptCount val="1"/>
                <c:pt idx="0">
                  <c:v>Gasto efectivo anual por beneficiario (GEB)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(Anual!$B$9,Anual!$C$9,Anual!$F$9)</c:f>
              <c:strCache>
                <c:ptCount val="3"/>
                <c:pt idx="0">
                  <c:v>Total IAFA</c:v>
                </c:pt>
                <c:pt idx="1">
                  <c:v>Tratamiento</c:v>
                </c:pt>
                <c:pt idx="2">
                  <c:v>Prevención</c:v>
                </c:pt>
              </c:strCache>
            </c:strRef>
          </c:cat>
          <c:val>
            <c:numRef>
              <c:f>(Anual!$B$71:$C$71,Anual!$F$71)</c:f>
              <c:numCache>
                <c:formatCode>#,##0.00</c:formatCode>
                <c:ptCount val="3"/>
                <c:pt idx="0">
                  <c:v>64919.681999999993</c:v>
                </c:pt>
                <c:pt idx="1">
                  <c:v>62338.25977777777</c:v>
                </c:pt>
                <c:pt idx="2">
                  <c:v>0</c:v>
                </c:pt>
              </c:numCache>
            </c:numRef>
          </c:val>
          <c:extLst>
            <c:ext xmlns:c16="http://schemas.microsoft.com/office/drawing/2014/chart" uri="{C3380CC4-5D6E-409C-BE32-E72D297353CC}">
              <c16:uniqueId val="{00000001-5786-4CC8-8744-8962E0789E60}"/>
            </c:ext>
          </c:extLst>
        </c:ser>
        <c:dLbls>
          <c:showLegendKey val="0"/>
          <c:showVal val="0"/>
          <c:showCatName val="0"/>
          <c:showSerName val="0"/>
          <c:showPercent val="0"/>
          <c:showBubbleSize val="0"/>
        </c:dLbls>
        <c:gapWidth val="150"/>
        <c:shape val="box"/>
        <c:axId val="62227968"/>
        <c:axId val="62229504"/>
        <c:axId val="0"/>
      </c:bar3DChart>
      <c:catAx>
        <c:axId val="622279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62229504"/>
        <c:crosses val="autoZero"/>
        <c:auto val="1"/>
        <c:lblAlgn val="ctr"/>
        <c:lblOffset val="100"/>
        <c:noMultiLvlLbl val="0"/>
      </c:catAx>
      <c:valAx>
        <c:axId val="62229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effectLst/>
        </c:spPr>
        <c:txPr>
          <a:bodyPr rot="-60000000" vert="horz"/>
          <a:lstStyle/>
          <a:p>
            <a:pPr>
              <a:defRPr/>
            </a:pPr>
            <a:endParaRPr lang="es-CR"/>
          </a:p>
        </c:txPr>
        <c:crossAx val="62227968"/>
        <c:crosses val="autoZero"/>
        <c:crossBetween val="between"/>
      </c:valAx>
      <c:dTable>
        <c:showHorzBorder val="1"/>
        <c:showVertBorder val="1"/>
        <c:showOutline val="1"/>
        <c:showKeys val="1"/>
      </c:dTable>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IAFA:  Indicadores de giro de recursos 2020</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Anual!$A$77</c:f>
              <c:strCache>
                <c:ptCount val="1"/>
                <c:pt idx="0">
                  <c:v>Índice de giro efectivo (IGE)</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(Anual!$B$77:$C$77,Anual!$F$77)</c:f>
              <c:numCache>
                <c:formatCode>#,##0.00</c:formatCode>
                <c:ptCount val="3"/>
                <c:pt idx="0">
                  <c:v>100</c:v>
                </c:pt>
                <c:pt idx="1">
                  <c:v>98.829062835422036</c:v>
                </c:pt>
                <c:pt idx="2">
                  <c:v>108.59301227573181</c:v>
                </c:pt>
              </c:numCache>
            </c:numRef>
          </c:val>
          <c:extLst>
            <c:ext xmlns:c16="http://schemas.microsoft.com/office/drawing/2014/chart" uri="{C3380CC4-5D6E-409C-BE32-E72D297353CC}">
              <c16:uniqueId val="{00000000-EB7A-4C7E-8A80-E93546000EF6}"/>
            </c:ext>
          </c:extLst>
        </c:ser>
        <c:ser>
          <c:idx val="1"/>
          <c:order val="1"/>
          <c:tx>
            <c:strRef>
              <c:f>Anual!$A$78</c:f>
              <c:strCache>
                <c:ptCount val="1"/>
                <c:pt idx="0">
                  <c:v>Índice de uso de recursos (IUR)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(Anual!$B$78:$C$78,Anual!$F$78)</c:f>
              <c:numCache>
                <c:formatCode>#,##0.00</c:formatCode>
                <c:ptCount val="3"/>
                <c:pt idx="0">
                  <c:v>69.473679484709038</c:v>
                </c:pt>
                <c:pt idx="1">
                  <c:v>76.699759801143472</c:v>
                </c:pt>
                <c:pt idx="2">
                  <c:v>21.212556521739131</c:v>
                </c:pt>
              </c:numCache>
            </c:numRef>
          </c:val>
          <c:extLst>
            <c:ext xmlns:c16="http://schemas.microsoft.com/office/drawing/2014/chart" uri="{C3380CC4-5D6E-409C-BE32-E72D297353CC}">
              <c16:uniqueId val="{00000001-EB7A-4C7E-8A80-E93546000EF6}"/>
            </c:ext>
          </c:extLst>
        </c:ser>
        <c:dLbls>
          <c:showLegendKey val="0"/>
          <c:showVal val="0"/>
          <c:showCatName val="0"/>
          <c:showSerName val="0"/>
          <c:showPercent val="0"/>
          <c:showBubbleSize val="0"/>
        </c:dLbls>
        <c:gapWidth val="100"/>
        <c:shape val="box"/>
        <c:axId val="74949760"/>
        <c:axId val="74951296"/>
        <c:axId val="0"/>
      </c:bar3DChart>
      <c:catAx>
        <c:axId val="749497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74951296"/>
        <c:crosses val="autoZero"/>
        <c:auto val="1"/>
        <c:lblAlgn val="ctr"/>
        <c:lblOffset val="100"/>
        <c:noMultiLvlLbl val="0"/>
      </c:catAx>
      <c:valAx>
        <c:axId val="74951296"/>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74949760"/>
        <c:crosses val="autoZero"/>
        <c:crossBetween val="between"/>
      </c:valAx>
    </c:plotArea>
    <c:legend>
      <c:legendPos val="b"/>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IAFA: Índice de eficiencia (IE) 2020 </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Anual!$A$72</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E85A-40A7-A061-2F655ECA343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(Anual!$B$9,Anual!$C$9,Anual!$F$9)</c:f>
              <c:strCache>
                <c:ptCount val="3"/>
                <c:pt idx="0">
                  <c:v>Total IAFA</c:v>
                </c:pt>
                <c:pt idx="1">
                  <c:v>Tratamiento</c:v>
                </c:pt>
                <c:pt idx="2">
                  <c:v>Prevención</c:v>
                </c:pt>
              </c:strCache>
            </c:strRef>
          </c:cat>
          <c:val>
            <c:numRef>
              <c:f>(Anual!$B$72:$C$72,Anual!$F$72)</c:f>
              <c:numCache>
                <c:formatCode>#,##0.00</c:formatCode>
                <c:ptCount val="3"/>
                <c:pt idx="0">
                  <c:v>86.722727230832305</c:v>
                </c:pt>
                <c:pt idx="1">
                  <c:v>48.652837581543643</c:v>
                </c:pt>
                <c:pt idx="2">
                  <c:v>0</c:v>
                </c:pt>
              </c:numCache>
            </c:numRef>
          </c:val>
          <c:extLst>
            <c:ext xmlns:c16="http://schemas.microsoft.com/office/drawing/2014/chart" uri="{C3380CC4-5D6E-409C-BE32-E72D297353CC}">
              <c16:uniqueId val="{00000000-27EB-40D4-89CE-4BB7AF3B18A6}"/>
            </c:ext>
          </c:extLst>
        </c:ser>
        <c:dLbls>
          <c:showLegendKey val="0"/>
          <c:showVal val="0"/>
          <c:showCatName val="0"/>
          <c:showSerName val="0"/>
          <c:showPercent val="0"/>
          <c:showBubbleSize val="0"/>
        </c:dLbls>
        <c:gapWidth val="100"/>
        <c:shape val="box"/>
        <c:axId val="75014528"/>
        <c:axId val="75016064"/>
        <c:axId val="0"/>
      </c:bar3DChart>
      <c:catAx>
        <c:axId val="750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75016064"/>
        <c:crosses val="autoZero"/>
        <c:auto val="1"/>
        <c:lblAlgn val="ctr"/>
        <c:lblOffset val="100"/>
        <c:noMultiLvlLbl val="0"/>
      </c:catAx>
      <c:valAx>
        <c:axId val="75016064"/>
        <c:scaling>
          <c:orientation val="minMax"/>
          <c:max val="12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vert="horz"/>
          <a:lstStyle/>
          <a:p>
            <a:pPr>
              <a:defRPr/>
            </a:pPr>
            <a:endParaRPr lang="es-CR"/>
          </a:p>
        </c:txPr>
        <c:crossAx val="75014528"/>
        <c:crosses val="autoZero"/>
        <c:crossBetween val="between"/>
      </c:valAx>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Palatino Linotype" panose="02040502050505030304" pitchFamily="18" charset="0"/>
        </a:defRPr>
      </a:pPr>
      <a:endParaRPr lang="es-CR"/>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11907</xdr:rowOff>
    </xdr:from>
    <xdr:ext cx="12049125" cy="631030"/>
    <xdr:pic>
      <xdr:nvPicPr>
        <xdr:cNvPr id="6" name="Imagen 5"/>
        <xdr:cNvPicPr>
          <a:picLocks noChangeAspect="1"/>
        </xdr:cNvPicPr>
      </xdr:nvPicPr>
      <xdr:blipFill>
        <a:blip xmlns:r="http://schemas.openxmlformats.org/officeDocument/2006/relationships" r:embed="rId1"/>
        <a:stretch>
          <a:fillRect/>
        </a:stretch>
      </xdr:blipFill>
      <xdr:spPr>
        <a:xfrm>
          <a:off x="0" y="1154907"/>
          <a:ext cx="12049125" cy="631030"/>
        </a:xfrm>
        <a:prstGeom prst="rect">
          <a:avLst/>
        </a:prstGeom>
      </xdr:spPr>
    </xdr:pic>
    <xdr:clientData/>
  </xdr:oneCellAnchor>
  <xdr:twoCellAnchor editAs="oneCell">
    <xdr:from>
      <xdr:col>0</xdr:col>
      <xdr:colOff>0</xdr:colOff>
      <xdr:row>0</xdr:row>
      <xdr:rowOff>0</xdr:rowOff>
    </xdr:from>
    <xdr:to>
      <xdr:col>7</xdr:col>
      <xdr:colOff>11906</xdr:colOff>
      <xdr:row>6</xdr:row>
      <xdr:rowOff>35719</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8" name="Imagen 7"/>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23813</xdr:colOff>
      <xdr:row>6</xdr:row>
      <xdr:rowOff>71439</xdr:rowOff>
    </xdr:from>
    <xdr:to>
      <xdr:col>6</xdr:col>
      <xdr:colOff>1273969</xdr:colOff>
      <xdr:row>7</xdr:row>
      <xdr:rowOff>297656</xdr:rowOff>
    </xdr:to>
    <xdr:sp macro="" textlink="">
      <xdr:nvSpPr>
        <xdr:cNvPr id="9" name="CuadroTexto 8"/>
        <xdr:cNvSpPr txBox="1"/>
      </xdr:nvSpPr>
      <xdr:spPr>
        <a:xfrm>
          <a:off x="23813" y="1214439"/>
          <a:ext cx="11965781" cy="547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12-05-2020</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11907</xdr:colOff>
      <xdr:row>6</xdr:row>
      <xdr:rowOff>11905</xdr:rowOff>
    </xdr:from>
    <xdr:ext cx="12037218" cy="631031"/>
    <xdr:pic>
      <xdr:nvPicPr>
        <xdr:cNvPr id="6" name="Imagen 5"/>
        <xdr:cNvPicPr>
          <a:picLocks noChangeAspect="1"/>
        </xdr:cNvPicPr>
      </xdr:nvPicPr>
      <xdr:blipFill>
        <a:blip xmlns:r="http://schemas.openxmlformats.org/officeDocument/2006/relationships" r:embed="rId1"/>
        <a:stretch>
          <a:fillRect/>
        </a:stretch>
      </xdr:blipFill>
      <xdr:spPr>
        <a:xfrm>
          <a:off x="11907" y="1154905"/>
          <a:ext cx="12037218" cy="631031"/>
        </a:xfrm>
        <a:prstGeom prst="rect">
          <a:avLst/>
        </a:prstGeom>
      </xdr:spPr>
    </xdr:pic>
    <xdr:clientData/>
  </xdr:oneCellAnchor>
  <xdr:twoCellAnchor editAs="oneCell">
    <xdr:from>
      <xdr:col>0</xdr:col>
      <xdr:colOff>0</xdr:colOff>
      <xdr:row>0</xdr:row>
      <xdr:rowOff>0</xdr:rowOff>
    </xdr:from>
    <xdr:to>
      <xdr:col>7</xdr:col>
      <xdr:colOff>11906</xdr:colOff>
      <xdr:row>6</xdr:row>
      <xdr:rowOff>35719</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8" name="Imagen 7"/>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twoCellAnchor>
    <xdr:from>
      <xdr:col>0</xdr:col>
      <xdr:colOff>142876</xdr:colOff>
      <xdr:row>6</xdr:row>
      <xdr:rowOff>71437</xdr:rowOff>
    </xdr:from>
    <xdr:to>
      <xdr:col>7</xdr:col>
      <xdr:colOff>16668</xdr:colOff>
      <xdr:row>7</xdr:row>
      <xdr:rowOff>285750</xdr:rowOff>
    </xdr:to>
    <xdr:sp macro="" textlink="">
      <xdr:nvSpPr>
        <xdr:cNvPr id="9" name="CuadroTexto 8"/>
        <xdr:cNvSpPr txBox="1"/>
      </xdr:nvSpPr>
      <xdr:spPr>
        <a:xfrm>
          <a:off x="142876" y="1214437"/>
          <a:ext cx="11899105" cy="535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 Trimestre 2020    Fecha Actualización:  10-08-2020</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12049124" cy="654843"/>
    <xdr:pic>
      <xdr:nvPicPr>
        <xdr:cNvPr id="6" name="Imagen 5"/>
        <xdr:cNvPicPr>
          <a:picLocks noChangeAspect="1"/>
        </xdr:cNvPicPr>
      </xdr:nvPicPr>
      <xdr:blipFill>
        <a:blip xmlns:r="http://schemas.openxmlformats.org/officeDocument/2006/relationships" r:embed="rId1"/>
        <a:stretch>
          <a:fillRect/>
        </a:stretch>
      </xdr:blipFill>
      <xdr:spPr>
        <a:xfrm>
          <a:off x="0" y="1143000"/>
          <a:ext cx="12049124" cy="654843"/>
        </a:xfrm>
        <a:prstGeom prst="rect">
          <a:avLst/>
        </a:prstGeom>
      </xdr:spPr>
    </xdr:pic>
    <xdr:clientData/>
  </xdr:oneCellAnchor>
  <xdr:twoCellAnchor>
    <xdr:from>
      <xdr:col>0</xdr:col>
      <xdr:colOff>47625</xdr:colOff>
      <xdr:row>6</xdr:row>
      <xdr:rowOff>71437</xdr:rowOff>
    </xdr:from>
    <xdr:to>
      <xdr:col>6</xdr:col>
      <xdr:colOff>1195387</xdr:colOff>
      <xdr:row>7</xdr:row>
      <xdr:rowOff>297656</xdr:rowOff>
    </xdr:to>
    <xdr:sp macro="" textlink="">
      <xdr:nvSpPr>
        <xdr:cNvPr id="7" name="CuadroTexto 6"/>
        <xdr:cNvSpPr txBox="1"/>
      </xdr:nvSpPr>
      <xdr:spPr>
        <a:xfrm>
          <a:off x="47625" y="1214437"/>
          <a:ext cx="11863387" cy="54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Semestre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10-08-2020</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7</xdr:col>
      <xdr:colOff>11906</xdr:colOff>
      <xdr:row>6</xdr:row>
      <xdr:rowOff>35719</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9" name="Imagen 8"/>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12049124" cy="654843"/>
    <xdr:pic>
      <xdr:nvPicPr>
        <xdr:cNvPr id="6" name="Imagen 5"/>
        <xdr:cNvPicPr>
          <a:picLocks noChangeAspect="1"/>
        </xdr:cNvPicPr>
      </xdr:nvPicPr>
      <xdr:blipFill>
        <a:blip xmlns:r="http://schemas.openxmlformats.org/officeDocument/2006/relationships" r:embed="rId1"/>
        <a:stretch>
          <a:fillRect/>
        </a:stretch>
      </xdr:blipFill>
      <xdr:spPr>
        <a:xfrm>
          <a:off x="0" y="1143000"/>
          <a:ext cx="12049124" cy="654843"/>
        </a:xfrm>
        <a:prstGeom prst="rect">
          <a:avLst/>
        </a:prstGeom>
      </xdr:spPr>
    </xdr:pic>
    <xdr:clientData/>
  </xdr:oneCellAnchor>
  <xdr:twoCellAnchor>
    <xdr:from>
      <xdr:col>0</xdr:col>
      <xdr:colOff>47625</xdr:colOff>
      <xdr:row>6</xdr:row>
      <xdr:rowOff>71437</xdr:rowOff>
    </xdr:from>
    <xdr:to>
      <xdr:col>6</xdr:col>
      <xdr:colOff>1207293</xdr:colOff>
      <xdr:row>7</xdr:row>
      <xdr:rowOff>309562</xdr:rowOff>
    </xdr:to>
    <xdr:sp macro="" textlink="">
      <xdr:nvSpPr>
        <xdr:cNvPr id="7" name="CuadroTexto 6"/>
        <xdr:cNvSpPr txBox="1"/>
      </xdr:nvSpPr>
      <xdr:spPr>
        <a:xfrm>
          <a:off x="47625" y="1214437"/>
          <a:ext cx="11875293" cy="559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17-11-2020</a:t>
          </a:r>
          <a:endParaRPr lang="es-CR">
            <a:solidFill>
              <a:schemeClr val="bg1"/>
            </a:solidFill>
            <a:effectLst/>
            <a:latin typeface="Palatino Linotype" panose="02040502050505030304" pitchFamily="18" charset="0"/>
          </a:endParaRPr>
        </a:p>
        <a:p>
          <a:endParaRPr lang="es-CR" sz="1100">
            <a:solidFill>
              <a:schemeClr val="bg1"/>
            </a:solidFill>
          </a:endParaRPr>
        </a:p>
      </xdr:txBody>
    </xdr:sp>
    <xdr:clientData/>
  </xdr:twoCellAnchor>
  <xdr:twoCellAnchor editAs="oneCell">
    <xdr:from>
      <xdr:col>0</xdr:col>
      <xdr:colOff>0</xdr:colOff>
      <xdr:row>0</xdr:row>
      <xdr:rowOff>0</xdr:rowOff>
    </xdr:from>
    <xdr:to>
      <xdr:col>7</xdr:col>
      <xdr:colOff>11906</xdr:colOff>
      <xdr:row>6</xdr:row>
      <xdr:rowOff>35719</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9" name="Imagen 8"/>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12049124" cy="654844"/>
    <xdr:pic>
      <xdr:nvPicPr>
        <xdr:cNvPr id="10" name="Imagen 9"/>
        <xdr:cNvPicPr>
          <a:picLocks noChangeAspect="1"/>
        </xdr:cNvPicPr>
      </xdr:nvPicPr>
      <xdr:blipFill>
        <a:blip xmlns:r="http://schemas.openxmlformats.org/officeDocument/2006/relationships" r:embed="rId1"/>
        <a:stretch>
          <a:fillRect/>
        </a:stretch>
      </xdr:blipFill>
      <xdr:spPr>
        <a:xfrm>
          <a:off x="0" y="1143000"/>
          <a:ext cx="12049124" cy="654844"/>
        </a:xfrm>
        <a:prstGeom prst="rect">
          <a:avLst/>
        </a:prstGeom>
      </xdr:spPr>
    </xdr:pic>
    <xdr:clientData/>
  </xdr:oneCellAnchor>
  <xdr:twoCellAnchor>
    <xdr:from>
      <xdr:col>0</xdr:col>
      <xdr:colOff>23812</xdr:colOff>
      <xdr:row>6</xdr:row>
      <xdr:rowOff>47626</xdr:rowOff>
    </xdr:from>
    <xdr:to>
      <xdr:col>6</xdr:col>
      <xdr:colOff>1262062</xdr:colOff>
      <xdr:row>8</xdr:row>
      <xdr:rowOff>11906</xdr:rowOff>
    </xdr:to>
    <xdr:sp macro="" textlink="">
      <xdr:nvSpPr>
        <xdr:cNvPr id="11" name="CuadroTexto 10"/>
        <xdr:cNvSpPr txBox="1"/>
      </xdr:nvSpPr>
      <xdr:spPr>
        <a:xfrm>
          <a:off x="23812" y="1190626"/>
          <a:ext cx="11953875" cy="34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baseline="0">
              <a:solidFill>
                <a:schemeClr val="bg1"/>
              </a:solidFill>
              <a:effectLst/>
              <a:latin typeface="Palatino Linotype" panose="02040502050505030304" pitchFamily="18" charset="0"/>
              <a:ea typeface="+mn-ea"/>
              <a:cs typeface="+mn-cs"/>
            </a:rPr>
            <a:t>P</a:t>
          </a:r>
          <a:r>
            <a:rPr lang="es-CR" sz="1100" b="1">
              <a:solidFill>
                <a:schemeClr val="bg1"/>
              </a:solidFill>
              <a:effectLst/>
              <a:latin typeface="Palatino Linotype" panose="02040502050505030304" pitchFamily="18" charset="0"/>
              <a:ea typeface="+mn-ea"/>
              <a:cs typeface="+mn-cs"/>
            </a:rPr>
            <a:t>eríodo</a:t>
          </a:r>
          <a:r>
            <a:rPr lang="es-CR" sz="1100" b="1" baseline="0">
              <a:solidFill>
                <a:schemeClr val="bg1"/>
              </a:solidFill>
              <a:effectLst/>
              <a:latin typeface="Palatino Linotype" panose="02040502050505030304" pitchFamily="18" charset="0"/>
              <a:ea typeface="+mn-ea"/>
              <a:cs typeface="+mn-cs"/>
            </a:rPr>
            <a:t>:  III T Acumulado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17-11-2020</a:t>
          </a: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7</xdr:col>
      <xdr:colOff>11906</xdr:colOff>
      <xdr:row>5</xdr:row>
      <xdr:rowOff>190499</xdr:rowOff>
    </xdr:to>
    <xdr:pic>
      <xdr:nvPicPr>
        <xdr:cNvPr id="12" name="Imagen 11"/>
        <xdr:cNvPicPr>
          <a:picLocks noChangeAspect="1"/>
        </xdr:cNvPicPr>
      </xdr:nvPicPr>
      <xdr:blipFill>
        <a:blip xmlns:r="http://schemas.openxmlformats.org/officeDocument/2006/relationships" r:embed="rId2"/>
        <a:stretch>
          <a:fillRect/>
        </a:stretch>
      </xdr:blipFill>
      <xdr:spPr>
        <a:xfrm>
          <a:off x="0" y="0"/>
          <a:ext cx="12037219" cy="1142999"/>
        </a:xfrm>
        <a:prstGeom prst="rect">
          <a:avLst/>
        </a:prstGeom>
      </xdr:spPr>
    </xdr:pic>
    <xdr:clientData/>
  </xdr:twoCellAnchor>
  <xdr:twoCellAnchor editAs="oneCell">
    <xdr:from>
      <xdr:col>0</xdr:col>
      <xdr:colOff>462643</xdr:colOff>
      <xdr:row>0</xdr:row>
      <xdr:rowOff>95249</xdr:rowOff>
    </xdr:from>
    <xdr:to>
      <xdr:col>0</xdr:col>
      <xdr:colOff>3270461</xdr:colOff>
      <xdr:row>5</xdr:row>
      <xdr:rowOff>136070</xdr:rowOff>
    </xdr:to>
    <xdr:pic>
      <xdr:nvPicPr>
        <xdr:cNvPr id="13" name="Imagen 12"/>
        <xdr:cNvPicPr>
          <a:picLocks noChangeAspect="1"/>
        </xdr:cNvPicPr>
      </xdr:nvPicPr>
      <xdr:blipFill>
        <a:blip xmlns:r="http://schemas.openxmlformats.org/officeDocument/2006/relationships" r:embed="rId3"/>
        <a:stretch>
          <a:fillRect/>
        </a:stretch>
      </xdr:blipFill>
      <xdr:spPr>
        <a:xfrm>
          <a:off x="462643" y="95249"/>
          <a:ext cx="2807818" cy="993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5</xdr:row>
      <xdr:rowOff>190499</xdr:rowOff>
    </xdr:from>
    <xdr:ext cx="12049124" cy="642937"/>
    <xdr:pic>
      <xdr:nvPicPr>
        <xdr:cNvPr id="2" name="Imagen 1"/>
        <xdr:cNvPicPr>
          <a:picLocks noChangeAspect="1"/>
        </xdr:cNvPicPr>
      </xdr:nvPicPr>
      <xdr:blipFill>
        <a:blip xmlns:r="http://schemas.openxmlformats.org/officeDocument/2006/relationships" r:embed="rId1"/>
        <a:stretch>
          <a:fillRect/>
        </a:stretch>
      </xdr:blipFill>
      <xdr:spPr>
        <a:xfrm>
          <a:off x="0" y="1142999"/>
          <a:ext cx="12049124" cy="642937"/>
        </a:xfrm>
        <a:prstGeom prst="rect">
          <a:avLst/>
        </a:prstGeom>
      </xdr:spPr>
    </xdr:pic>
    <xdr:clientData/>
  </xdr:oneCellAnchor>
  <xdr:twoCellAnchor>
    <xdr:from>
      <xdr:col>0</xdr:col>
      <xdr:colOff>47625</xdr:colOff>
      <xdr:row>6</xdr:row>
      <xdr:rowOff>71435</xdr:rowOff>
    </xdr:from>
    <xdr:to>
      <xdr:col>6</xdr:col>
      <xdr:colOff>1273969</xdr:colOff>
      <xdr:row>7</xdr:row>
      <xdr:rowOff>309561</xdr:rowOff>
    </xdr:to>
    <xdr:sp macro="" textlink="">
      <xdr:nvSpPr>
        <xdr:cNvPr id="3" name="CuadroTexto 2"/>
        <xdr:cNvSpPr txBox="1"/>
      </xdr:nvSpPr>
      <xdr:spPr>
        <a:xfrm>
          <a:off x="47625" y="1214435"/>
          <a:ext cx="11941969" cy="559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IV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09-03-2021</a:t>
          </a:r>
          <a:endParaRPr lang="es-CR">
            <a:solidFill>
              <a:schemeClr val="bg1"/>
            </a:solidFill>
            <a:effectLst/>
            <a:latin typeface="Palatino Linotype" panose="02040502050505030304" pitchFamily="18" charset="0"/>
          </a:endParaRPr>
        </a:p>
        <a:p>
          <a:endParaRPr lang="es-CR" sz="1100">
            <a:solidFill>
              <a:schemeClr val="bg1"/>
            </a:solidFill>
          </a:endParaRPr>
        </a:p>
      </xdr:txBody>
    </xdr:sp>
    <xdr:clientData/>
  </xdr:twoCellAnchor>
  <xdr:twoCellAnchor editAs="oneCell">
    <xdr:from>
      <xdr:col>0</xdr:col>
      <xdr:colOff>0</xdr:colOff>
      <xdr:row>0</xdr:row>
      <xdr:rowOff>0</xdr:rowOff>
    </xdr:from>
    <xdr:to>
      <xdr:col>7</xdr:col>
      <xdr:colOff>11906</xdr:colOff>
      <xdr:row>6</xdr:row>
      <xdr:rowOff>35719</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2807818" cy="993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11905</xdr:colOff>
      <xdr:row>14</xdr:row>
      <xdr:rowOff>164306</xdr:rowOff>
    </xdr:from>
    <xdr:to>
      <xdr:col>17</xdr:col>
      <xdr:colOff>250030</xdr:colOff>
      <xdr:row>31</xdr:row>
      <xdr:rowOff>23812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32</xdr:row>
      <xdr:rowOff>164307</xdr:rowOff>
    </xdr:from>
    <xdr:to>
      <xdr:col>17</xdr:col>
      <xdr:colOff>226218</xdr:colOff>
      <xdr:row>49</xdr:row>
      <xdr:rowOff>-1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678657</xdr:colOff>
      <xdr:row>50</xdr:row>
      <xdr:rowOff>164306</xdr:rowOff>
    </xdr:from>
    <xdr:to>
      <xdr:col>17</xdr:col>
      <xdr:colOff>714374</xdr:colOff>
      <xdr:row>69</xdr:row>
      <xdr:rowOff>130968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11905</xdr:colOff>
      <xdr:row>14</xdr:row>
      <xdr:rowOff>188120</xdr:rowOff>
    </xdr:from>
    <xdr:to>
      <xdr:col>27</xdr:col>
      <xdr:colOff>214313</xdr:colOff>
      <xdr:row>31</xdr:row>
      <xdr:rowOff>166686</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xdr:colOff>
      <xdr:row>33</xdr:row>
      <xdr:rowOff>9525</xdr:rowOff>
    </xdr:from>
    <xdr:to>
      <xdr:col>27</xdr:col>
      <xdr:colOff>202406</xdr:colOff>
      <xdr:row>49</xdr:row>
      <xdr:rowOff>166686</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11905</xdr:colOff>
      <xdr:row>52</xdr:row>
      <xdr:rowOff>0</xdr:rowOff>
    </xdr:from>
    <xdr:to>
      <xdr:col>28</xdr:col>
      <xdr:colOff>250030</xdr:colOff>
      <xdr:row>68</xdr:row>
      <xdr:rowOff>166686</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0</xdr:colOff>
      <xdr:row>6</xdr:row>
      <xdr:rowOff>0</xdr:rowOff>
    </xdr:from>
    <xdr:ext cx="12049124" cy="642937"/>
    <xdr:pic>
      <xdr:nvPicPr>
        <xdr:cNvPr id="9" name="Imagen 8"/>
        <xdr:cNvPicPr>
          <a:picLocks noChangeAspect="1"/>
        </xdr:cNvPicPr>
      </xdr:nvPicPr>
      <xdr:blipFill>
        <a:blip xmlns:r="http://schemas.openxmlformats.org/officeDocument/2006/relationships" r:embed="rId7"/>
        <a:stretch>
          <a:fillRect/>
        </a:stretch>
      </xdr:blipFill>
      <xdr:spPr>
        <a:xfrm>
          <a:off x="0" y="1143000"/>
          <a:ext cx="12049124" cy="642937"/>
        </a:xfrm>
        <a:prstGeom prst="rect">
          <a:avLst/>
        </a:prstGeom>
      </xdr:spPr>
    </xdr:pic>
    <xdr:clientData/>
  </xdr:oneCellAnchor>
  <xdr:twoCellAnchor>
    <xdr:from>
      <xdr:col>0</xdr:col>
      <xdr:colOff>47625</xdr:colOff>
      <xdr:row>6</xdr:row>
      <xdr:rowOff>71435</xdr:rowOff>
    </xdr:from>
    <xdr:to>
      <xdr:col>6</xdr:col>
      <xdr:colOff>1297781</xdr:colOff>
      <xdr:row>7</xdr:row>
      <xdr:rowOff>309561</xdr:rowOff>
    </xdr:to>
    <xdr:sp macro="" textlink="">
      <xdr:nvSpPr>
        <xdr:cNvPr id="10" name="CuadroTexto 9"/>
        <xdr:cNvSpPr txBox="1"/>
      </xdr:nvSpPr>
      <xdr:spPr>
        <a:xfrm>
          <a:off x="47625" y="1214435"/>
          <a:ext cx="11965781" cy="559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sobre Alcoholismo y Farmacodependencia</a:t>
          </a:r>
          <a:r>
            <a:rPr lang="es-CR" sz="1100" b="1" baseline="0">
              <a:solidFill>
                <a:schemeClr val="bg1"/>
              </a:solidFill>
              <a:effectLst/>
              <a:latin typeface="Palatino Linotype" panose="02040502050505030304" pitchFamily="18" charset="0"/>
              <a:ea typeface="+mn-ea"/>
              <a:cs typeface="+mn-cs"/>
            </a:rPr>
            <a:t>   Programa Prevención y Tratamiento del Consumo de Alcohol, Tabaco y otras Drogas</a:t>
          </a:r>
          <a:r>
            <a:rPr lang="es-CR" sz="1100" b="1" baseline="0">
              <a:solidFill>
                <a:schemeClr val="dk1"/>
              </a:solidFill>
              <a:effectLst/>
              <a:latin typeface="Palatino Linotype" panose="02040502050505030304" pitchFamily="18" charset="0"/>
              <a:ea typeface="+mn-ea"/>
              <a:cs typeface="+mn-cs"/>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s-CR" sz="300" b="1" baseline="0">
            <a:solidFill>
              <a:schemeClr val="dk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Anual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09-03-2021</a:t>
          </a:r>
          <a:endParaRPr lang="es-CR">
            <a:solidFill>
              <a:schemeClr val="bg1"/>
            </a:solidFill>
            <a:effectLst/>
            <a:latin typeface="Palatino Linotype" panose="02040502050505030304" pitchFamily="18" charset="0"/>
          </a:endParaRPr>
        </a:p>
        <a:p>
          <a:endParaRPr lang="es-CR" sz="1100">
            <a:solidFill>
              <a:schemeClr val="bg1"/>
            </a:solidFill>
          </a:endParaRPr>
        </a:p>
      </xdr:txBody>
    </xdr:sp>
    <xdr:clientData/>
  </xdr:twoCellAnchor>
  <xdr:twoCellAnchor editAs="oneCell">
    <xdr:from>
      <xdr:col>0</xdr:col>
      <xdr:colOff>0</xdr:colOff>
      <xdr:row>0</xdr:row>
      <xdr:rowOff>0</xdr:rowOff>
    </xdr:from>
    <xdr:to>
      <xdr:col>7</xdr:col>
      <xdr:colOff>11906</xdr:colOff>
      <xdr:row>6</xdr:row>
      <xdr:rowOff>35719</xdr:rowOff>
    </xdr:to>
    <xdr:pic>
      <xdr:nvPicPr>
        <xdr:cNvPr id="11" name="Imagen 10"/>
        <xdr:cNvPicPr>
          <a:picLocks noChangeAspect="1"/>
        </xdr:cNvPicPr>
      </xdr:nvPicPr>
      <xdr:blipFill>
        <a:blip xmlns:r="http://schemas.openxmlformats.org/officeDocument/2006/relationships" r:embed="rId8"/>
        <a:stretch>
          <a:fillRect/>
        </a:stretch>
      </xdr:blipFill>
      <xdr:spPr>
        <a:xfrm>
          <a:off x="0" y="0"/>
          <a:ext cx="12037219" cy="1178719"/>
        </a:xfrm>
        <a:prstGeom prst="rect">
          <a:avLst/>
        </a:prstGeom>
      </xdr:spPr>
    </xdr:pic>
    <xdr:clientData/>
  </xdr:twoCellAnchor>
  <xdr:twoCellAnchor editAs="oneCell">
    <xdr:from>
      <xdr:col>0</xdr:col>
      <xdr:colOff>462643</xdr:colOff>
      <xdr:row>0</xdr:row>
      <xdr:rowOff>95250</xdr:rowOff>
    </xdr:from>
    <xdr:to>
      <xdr:col>0</xdr:col>
      <xdr:colOff>3270461</xdr:colOff>
      <xdr:row>5</xdr:row>
      <xdr:rowOff>136071</xdr:rowOff>
    </xdr:to>
    <xdr:pic>
      <xdr:nvPicPr>
        <xdr:cNvPr id="12" name="Imagen 11"/>
        <xdr:cNvPicPr>
          <a:picLocks noChangeAspect="1"/>
        </xdr:cNvPicPr>
      </xdr:nvPicPr>
      <xdr:blipFill>
        <a:blip xmlns:r="http://schemas.openxmlformats.org/officeDocument/2006/relationships" r:embed="rId9"/>
        <a:stretch>
          <a:fillRect/>
        </a:stretch>
      </xdr:blipFill>
      <xdr:spPr>
        <a:xfrm>
          <a:off x="462643" y="95250"/>
          <a:ext cx="2807818" cy="9933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85"/>
  <sheetViews>
    <sheetView showGridLines="0" tabSelected="1"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7" customWidth="1"/>
    <col min="2" max="7" width="19.5703125" style="7" customWidth="1"/>
    <col min="8" max="16384" width="11.42578125" style="7"/>
  </cols>
  <sheetData>
    <row r="7" spans="1:7" ht="25.5" customHeight="1" x14ac:dyDescent="0.25"/>
    <row r="8" spans="1:7" ht="25.5" customHeight="1" x14ac:dyDescent="0.25"/>
    <row r="9" spans="1:7" s="4" customFormat="1" ht="17.25"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126</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11"/>
      <c r="C14" s="11"/>
      <c r="D14" s="11"/>
      <c r="E14" s="11"/>
      <c r="F14" s="11"/>
      <c r="G14" s="11"/>
    </row>
    <row r="15" spans="1:7" ht="17.25" x14ac:dyDescent="0.35">
      <c r="A15" s="12" t="s">
        <v>41</v>
      </c>
      <c r="B15" s="11"/>
      <c r="C15" s="11"/>
      <c r="D15" s="11"/>
      <c r="E15" s="11"/>
      <c r="F15" s="11"/>
      <c r="G15" s="11"/>
    </row>
    <row r="16" spans="1:7" ht="16.5" x14ac:dyDescent="0.3">
      <c r="A16" s="13" t="s">
        <v>50</v>
      </c>
      <c r="B16" s="14">
        <f>C16+F16</f>
        <v>337</v>
      </c>
      <c r="C16" s="14">
        <f>D16+E16</f>
        <v>337</v>
      </c>
      <c r="D16" s="14">
        <v>67</v>
      </c>
      <c r="E16" s="14">
        <v>270</v>
      </c>
      <c r="F16" s="14">
        <f t="shared" ref="F16:F21" si="0">SUM(G16:G16)</f>
        <v>0</v>
      </c>
      <c r="G16" s="14">
        <v>0</v>
      </c>
    </row>
    <row r="17" spans="1:9" ht="16.5" x14ac:dyDescent="0.3">
      <c r="A17" s="15" t="s">
        <v>42</v>
      </c>
      <c r="B17" s="14">
        <f>C17+F17</f>
        <v>313</v>
      </c>
      <c r="C17" s="14">
        <f>D17+E17</f>
        <v>313</v>
      </c>
      <c r="D17" s="14">
        <v>43</v>
      </c>
      <c r="E17" s="14">
        <v>270</v>
      </c>
      <c r="F17" s="14">
        <f t="shared" si="0"/>
        <v>0</v>
      </c>
      <c r="G17" s="14">
        <v>0</v>
      </c>
    </row>
    <row r="18" spans="1:9" ht="16.5" x14ac:dyDescent="0.3">
      <c r="A18" s="13" t="s">
        <v>79</v>
      </c>
      <c r="B18" s="14">
        <f t="shared" ref="B18:B21" si="1">C18+F18</f>
        <v>88.333333333333329</v>
      </c>
      <c r="C18" s="14">
        <f t="shared" ref="C18:C21" si="2">D18+E18</f>
        <v>88.333333333333329</v>
      </c>
      <c r="D18" s="14">
        <v>25.333333333333332</v>
      </c>
      <c r="E18" s="14">
        <v>63</v>
      </c>
      <c r="F18" s="14">
        <f t="shared" si="0"/>
        <v>0</v>
      </c>
      <c r="G18" s="14">
        <v>0</v>
      </c>
    </row>
    <row r="19" spans="1:9" ht="16.5" x14ac:dyDescent="0.3">
      <c r="A19" s="13" t="s">
        <v>80</v>
      </c>
      <c r="B19" s="14">
        <f>C19+F19</f>
        <v>228</v>
      </c>
      <c r="C19" s="14">
        <f>D19+E19</f>
        <v>228</v>
      </c>
      <c r="D19" s="14">
        <v>63</v>
      </c>
      <c r="E19" s="14">
        <v>165</v>
      </c>
      <c r="F19" s="14">
        <f t="shared" si="0"/>
        <v>0</v>
      </c>
      <c r="G19" s="14">
        <v>0</v>
      </c>
    </row>
    <row r="20" spans="1:9" ht="16.5" x14ac:dyDescent="0.3">
      <c r="A20" s="15" t="s">
        <v>42</v>
      </c>
      <c r="B20" s="14">
        <f>C20+F20</f>
        <v>217</v>
      </c>
      <c r="C20" s="14">
        <f>D20+E20</f>
        <v>217</v>
      </c>
      <c r="D20" s="14">
        <v>52</v>
      </c>
      <c r="E20" s="14">
        <v>165</v>
      </c>
      <c r="F20" s="14">
        <f t="shared" si="0"/>
        <v>0</v>
      </c>
      <c r="G20" s="14">
        <v>0</v>
      </c>
    </row>
    <row r="21" spans="1:9" ht="16.5" x14ac:dyDescent="0.3">
      <c r="A21" s="13" t="s">
        <v>81</v>
      </c>
      <c r="B21" s="14">
        <f t="shared" si="1"/>
        <v>2271</v>
      </c>
      <c r="C21" s="14">
        <f t="shared" si="2"/>
        <v>354</v>
      </c>
      <c r="D21" s="14">
        <v>102</v>
      </c>
      <c r="E21" s="14">
        <v>252</v>
      </c>
      <c r="F21" s="14">
        <f t="shared" si="0"/>
        <v>1917</v>
      </c>
      <c r="G21" s="14">
        <v>1917</v>
      </c>
    </row>
    <row r="22" spans="1:9" ht="16.5" x14ac:dyDescent="0.3">
      <c r="A22" s="11"/>
      <c r="B22" s="16"/>
      <c r="C22" s="16"/>
      <c r="D22" s="16"/>
      <c r="E22" s="16"/>
      <c r="F22" s="16"/>
      <c r="G22" s="16"/>
    </row>
    <row r="23" spans="1:9" ht="17.25" x14ac:dyDescent="0.35">
      <c r="A23" s="17" t="s">
        <v>5</v>
      </c>
      <c r="B23" s="16"/>
      <c r="C23" s="16"/>
      <c r="D23" s="16"/>
      <c r="E23" s="16"/>
      <c r="F23" s="16"/>
      <c r="G23" s="16"/>
    </row>
    <row r="24" spans="1:9" ht="16.5" x14ac:dyDescent="0.3">
      <c r="A24" s="13" t="s">
        <v>50</v>
      </c>
      <c r="B24" s="14">
        <f>C24+F24</f>
        <v>14243984.02</v>
      </c>
      <c r="C24" s="14">
        <f>D24+E24</f>
        <v>14243984.02</v>
      </c>
      <c r="D24" s="14">
        <v>12741344.02</v>
      </c>
      <c r="E24" s="14">
        <v>1502640</v>
      </c>
      <c r="F24" s="14">
        <f>SUM(G24:G24)</f>
        <v>0</v>
      </c>
      <c r="G24" s="14">
        <v>0</v>
      </c>
    </row>
    <row r="25" spans="1:9" ht="16.5" x14ac:dyDescent="0.3">
      <c r="A25" s="13" t="s">
        <v>79</v>
      </c>
      <c r="B25" s="14">
        <f>C25+F25</f>
        <v>29315528</v>
      </c>
      <c r="C25" s="14">
        <f>D25+E25</f>
        <v>29315528</v>
      </c>
      <c r="D25" s="14">
        <v>27315528</v>
      </c>
      <c r="E25" s="14">
        <v>1999999.9999999995</v>
      </c>
      <c r="F25" s="14">
        <f>SUM(G25:G25)</f>
        <v>0</v>
      </c>
      <c r="G25" s="14">
        <v>0</v>
      </c>
    </row>
    <row r="26" spans="1:9" ht="16.5" x14ac:dyDescent="0.3">
      <c r="A26" s="13" t="s">
        <v>80</v>
      </c>
      <c r="B26" s="14">
        <f>C26+F26</f>
        <v>7478589.0499999998</v>
      </c>
      <c r="C26" s="14">
        <f>D26+E26</f>
        <v>7478589.0499999998</v>
      </c>
      <c r="D26" s="14">
        <v>6355729.0499999998</v>
      </c>
      <c r="E26" s="14">
        <v>1122860</v>
      </c>
      <c r="F26" s="14">
        <f>SUM(G26:G26)</f>
        <v>0</v>
      </c>
      <c r="G26" s="14">
        <v>0</v>
      </c>
      <c r="I26" s="6"/>
    </row>
    <row r="27" spans="1:9" ht="16.5" x14ac:dyDescent="0.3">
      <c r="A27" s="13" t="s">
        <v>81</v>
      </c>
      <c r="B27" s="14">
        <f>C27+F27</f>
        <v>89715528</v>
      </c>
      <c r="C27" s="14">
        <f>D27+E27</f>
        <v>77715528</v>
      </c>
      <c r="D27" s="14">
        <v>69715528</v>
      </c>
      <c r="E27" s="14">
        <v>7999999.9999999991</v>
      </c>
      <c r="F27" s="14">
        <f>SUM(G27:G27)</f>
        <v>12000000</v>
      </c>
      <c r="G27" s="14">
        <v>12000000</v>
      </c>
    </row>
    <row r="28" spans="1:9" ht="16.5" x14ac:dyDescent="0.3">
      <c r="A28" s="13" t="s">
        <v>82</v>
      </c>
      <c r="B28" s="14">
        <f>+C28+F28</f>
        <v>7478589.0499999998</v>
      </c>
      <c r="C28" s="14">
        <f>+D28+E28</f>
        <v>7478589.0499999998</v>
      </c>
      <c r="D28" s="14">
        <f>D26</f>
        <v>6355729.0499999998</v>
      </c>
      <c r="E28" s="14">
        <f>+E26</f>
        <v>1122860</v>
      </c>
      <c r="F28" s="14">
        <f>G28</f>
        <v>0</v>
      </c>
      <c r="G28" s="14">
        <f>G26</f>
        <v>0</v>
      </c>
    </row>
    <row r="29" spans="1:9" ht="16.5" x14ac:dyDescent="0.3">
      <c r="A29" s="11"/>
      <c r="B29" s="16"/>
      <c r="C29" s="16"/>
      <c r="D29" s="16"/>
      <c r="E29" s="16"/>
      <c r="F29" s="16"/>
      <c r="G29" s="16"/>
    </row>
    <row r="30" spans="1:9" ht="17.25" x14ac:dyDescent="0.35">
      <c r="A30" s="17" t="s">
        <v>6</v>
      </c>
      <c r="B30" s="16"/>
      <c r="C30" s="16"/>
      <c r="D30" s="16"/>
      <c r="E30" s="16"/>
      <c r="F30" s="16"/>
      <c r="G30" s="16"/>
    </row>
    <row r="31" spans="1:9" ht="16.5" x14ac:dyDescent="0.3">
      <c r="A31" s="13" t="s">
        <v>79</v>
      </c>
      <c r="B31" s="14">
        <f>B25</f>
        <v>29315528</v>
      </c>
      <c r="C31" s="14">
        <f>C25</f>
        <v>29315528</v>
      </c>
      <c r="D31" s="14"/>
      <c r="E31" s="14"/>
      <c r="F31" s="14">
        <f>F25</f>
        <v>0</v>
      </c>
      <c r="G31" s="14"/>
    </row>
    <row r="32" spans="1:9" ht="16.5" x14ac:dyDescent="0.3">
      <c r="A32" s="13" t="s">
        <v>80</v>
      </c>
      <c r="B32" s="14">
        <f>C32+F32</f>
        <v>29315528</v>
      </c>
      <c r="C32" s="14">
        <v>29315528</v>
      </c>
      <c r="D32" s="14"/>
      <c r="E32" s="14"/>
      <c r="F32" s="14">
        <v>0</v>
      </c>
      <c r="G32" s="14"/>
    </row>
    <row r="33" spans="1:7" ht="16.5" x14ac:dyDescent="0.3">
      <c r="A33" s="11"/>
      <c r="B33" s="18"/>
      <c r="C33" s="18"/>
      <c r="D33" s="18"/>
      <c r="E33" s="18"/>
      <c r="F33" s="18"/>
      <c r="G33" s="18"/>
    </row>
    <row r="34" spans="1:7" ht="17.25" x14ac:dyDescent="0.35">
      <c r="A34" s="12" t="s">
        <v>7</v>
      </c>
      <c r="B34" s="18"/>
      <c r="C34" s="18"/>
      <c r="D34" s="18"/>
      <c r="E34" s="18"/>
      <c r="F34" s="18"/>
      <c r="G34" s="18"/>
    </row>
    <row r="35" spans="1:7" ht="16.5" x14ac:dyDescent="0.3">
      <c r="A35" s="13" t="s">
        <v>51</v>
      </c>
      <c r="B35" s="19">
        <v>1.0451016243</v>
      </c>
      <c r="C35" s="19">
        <v>1.0451016243</v>
      </c>
      <c r="D35" s="19">
        <v>1.0451016243</v>
      </c>
      <c r="E35" s="19">
        <v>1.0451016243</v>
      </c>
      <c r="F35" s="19">
        <v>1.0451016243</v>
      </c>
      <c r="G35" s="19">
        <v>1.0451016243</v>
      </c>
    </row>
    <row r="36" spans="1:7" ht="16.5" x14ac:dyDescent="0.3">
      <c r="A36" s="13" t="s">
        <v>83</v>
      </c>
      <c r="B36" s="19">
        <v>1.0649999999999999</v>
      </c>
      <c r="C36" s="19">
        <v>1.0649999999999999</v>
      </c>
      <c r="D36" s="19">
        <v>1.0649999999999999</v>
      </c>
      <c r="E36" s="19">
        <v>1.0649999999999999</v>
      </c>
      <c r="F36" s="19">
        <v>1.0649999999999999</v>
      </c>
      <c r="G36" s="19">
        <v>1.0649999999999999</v>
      </c>
    </row>
    <row r="37" spans="1:7" ht="16.5" x14ac:dyDescent="0.3">
      <c r="A37" s="13" t="s">
        <v>8</v>
      </c>
      <c r="B37" s="14" t="s">
        <v>47</v>
      </c>
      <c r="C37" s="14" t="s">
        <v>47</v>
      </c>
      <c r="D37" s="14" t="s">
        <v>47</v>
      </c>
      <c r="E37" s="14" t="s">
        <v>47</v>
      </c>
      <c r="F37" s="14" t="s">
        <v>47</v>
      </c>
      <c r="G37" s="14" t="s">
        <v>47</v>
      </c>
    </row>
    <row r="38" spans="1:7" ht="16.5" x14ac:dyDescent="0.3">
      <c r="A38" s="11"/>
      <c r="B38" s="16"/>
      <c r="C38" s="16"/>
      <c r="D38" s="16"/>
      <c r="E38" s="16"/>
      <c r="F38" s="16"/>
      <c r="G38" s="16"/>
    </row>
    <row r="39" spans="1:7" ht="17.25" x14ac:dyDescent="0.35">
      <c r="A39" s="12" t="s">
        <v>9</v>
      </c>
      <c r="B39" s="16"/>
      <c r="C39" s="16"/>
      <c r="D39" s="16"/>
      <c r="E39" s="16"/>
      <c r="F39" s="16"/>
      <c r="G39" s="16"/>
    </row>
    <row r="40" spans="1:7" ht="16.5" x14ac:dyDescent="0.3">
      <c r="A40" s="11" t="s">
        <v>52</v>
      </c>
      <c r="B40" s="14">
        <f>B24/B35</f>
        <v>13629281.29552999</v>
      </c>
      <c r="C40" s="14">
        <f t="shared" ref="C40:E40" si="3">C24/C35</f>
        <v>13629281.29552999</v>
      </c>
      <c r="D40" s="14">
        <f>D24/D35</f>
        <v>12191488.103880847</v>
      </c>
      <c r="E40" s="14">
        <f t="shared" si="3"/>
        <v>1437793.1916491424</v>
      </c>
      <c r="F40" s="14">
        <f t="shared" ref="F40:G40" si="4">F24/F35</f>
        <v>0</v>
      </c>
      <c r="G40" s="14">
        <f t="shared" si="4"/>
        <v>0</v>
      </c>
    </row>
    <row r="41" spans="1:7" ht="16.5" x14ac:dyDescent="0.3">
      <c r="A41" s="11" t="s">
        <v>84</v>
      </c>
      <c r="B41" s="14">
        <f>B26/B36</f>
        <v>7022149.3427230045</v>
      </c>
      <c r="C41" s="14">
        <f>C26/C36</f>
        <v>7022149.3427230045</v>
      </c>
      <c r="D41" s="14">
        <f t="shared" ref="D41" si="5">D26/D36</f>
        <v>5967820.704225352</v>
      </c>
      <c r="E41" s="14">
        <f>E26/E36</f>
        <v>1054328.6384976527</v>
      </c>
      <c r="F41" s="14">
        <f t="shared" ref="F41:G41" si="6">F26/F36</f>
        <v>0</v>
      </c>
      <c r="G41" s="14">
        <f t="shared" si="6"/>
        <v>0</v>
      </c>
    </row>
    <row r="42" spans="1:7" ht="16.5" x14ac:dyDescent="0.3">
      <c r="A42" s="11" t="s">
        <v>53</v>
      </c>
      <c r="B42" s="14">
        <f t="shared" ref="B42:C42" si="7">B40/B16</f>
        <v>40442.971203353081</v>
      </c>
      <c r="C42" s="14">
        <f t="shared" si="7"/>
        <v>40442.971203353081</v>
      </c>
      <c r="D42" s="14">
        <f>D40/D16</f>
        <v>181962.50901314698</v>
      </c>
      <c r="E42" s="14">
        <f>E40/E16</f>
        <v>5325.1599690708981</v>
      </c>
      <c r="F42" s="14" t="s">
        <v>74</v>
      </c>
      <c r="G42" s="14" t="s">
        <v>74</v>
      </c>
    </row>
    <row r="43" spans="1:7" ht="16.5" x14ac:dyDescent="0.3">
      <c r="A43" s="11" t="s">
        <v>85</v>
      </c>
      <c r="B43" s="14">
        <f t="shared" ref="B43:C43" si="8">B41/B19</f>
        <v>30798.900625978091</v>
      </c>
      <c r="C43" s="14">
        <f t="shared" si="8"/>
        <v>30798.900625978091</v>
      </c>
      <c r="D43" s="14">
        <f>D41/D19</f>
        <v>94727.31276548178</v>
      </c>
      <c r="E43" s="14">
        <f>E41/E19</f>
        <v>6389.87053634941</v>
      </c>
      <c r="F43" s="14" t="s">
        <v>74</v>
      </c>
      <c r="G43" s="14" t="s">
        <v>74</v>
      </c>
    </row>
    <row r="44" spans="1:7" ht="16.5" x14ac:dyDescent="0.3">
      <c r="A44" s="11"/>
      <c r="B44" s="20"/>
      <c r="C44" s="20"/>
      <c r="D44" s="20"/>
      <c r="E44" s="20"/>
      <c r="F44" s="20"/>
      <c r="G44" s="20"/>
    </row>
    <row r="45" spans="1:7" ht="17.25" x14ac:dyDescent="0.35">
      <c r="A45" s="12" t="s">
        <v>10</v>
      </c>
      <c r="B45" s="20"/>
      <c r="C45" s="20"/>
      <c r="D45" s="20"/>
      <c r="E45" s="20"/>
      <c r="F45" s="20"/>
      <c r="G45" s="20"/>
    </row>
    <row r="46" spans="1:7" ht="16.5" x14ac:dyDescent="0.3">
      <c r="A46" s="11"/>
      <c r="B46" s="20"/>
      <c r="C46" s="20"/>
      <c r="D46" s="20"/>
      <c r="E46" s="20"/>
      <c r="F46" s="20"/>
      <c r="G46" s="20"/>
    </row>
    <row r="47" spans="1:7" ht="17.25" x14ac:dyDescent="0.35">
      <c r="A47" s="12" t="s">
        <v>11</v>
      </c>
      <c r="B47" s="20"/>
      <c r="C47" s="20"/>
      <c r="D47" s="20"/>
      <c r="E47" s="20"/>
      <c r="F47" s="20"/>
      <c r="G47" s="20"/>
    </row>
    <row r="48" spans="1:7" ht="16.5" x14ac:dyDescent="0.3">
      <c r="A48" s="11" t="s">
        <v>12</v>
      </c>
      <c r="B48" s="21" t="s">
        <v>44</v>
      </c>
      <c r="C48" s="21" t="s">
        <v>44</v>
      </c>
      <c r="D48" s="21" t="s">
        <v>44</v>
      </c>
      <c r="E48" s="21" t="s">
        <v>44</v>
      </c>
      <c r="F48" s="21" t="s">
        <v>44</v>
      </c>
      <c r="G48" s="21" t="s">
        <v>44</v>
      </c>
    </row>
    <row r="49" spans="1:7" ht="16.5" x14ac:dyDescent="0.3">
      <c r="A49" s="11" t="s">
        <v>13</v>
      </c>
      <c r="B49" s="21" t="s">
        <v>44</v>
      </c>
      <c r="C49" s="21" t="s">
        <v>44</v>
      </c>
      <c r="D49" s="21" t="s">
        <v>44</v>
      </c>
      <c r="E49" s="21" t="s">
        <v>44</v>
      </c>
      <c r="F49" s="21" t="s">
        <v>44</v>
      </c>
      <c r="G49" s="21" t="s">
        <v>44</v>
      </c>
    </row>
    <row r="50" spans="1:7" ht="16.5" x14ac:dyDescent="0.3">
      <c r="A50" s="11"/>
      <c r="B50" s="21"/>
      <c r="C50" s="21"/>
      <c r="D50" s="21"/>
      <c r="E50" s="21"/>
      <c r="F50" s="21"/>
      <c r="G50" s="21"/>
    </row>
    <row r="51" spans="1:7" ht="17.25" x14ac:dyDescent="0.35">
      <c r="A51" s="12" t="s">
        <v>14</v>
      </c>
      <c r="B51" s="21"/>
      <c r="C51" s="21"/>
      <c r="D51" s="21"/>
      <c r="E51" s="21"/>
      <c r="F51" s="21"/>
      <c r="G51" s="21"/>
    </row>
    <row r="52" spans="1:7" ht="16.5" x14ac:dyDescent="0.3">
      <c r="A52" s="11" t="s">
        <v>15</v>
      </c>
      <c r="B52" s="21">
        <f>B19/B18*100</f>
        <v>258.11320754716985</v>
      </c>
      <c r="C52" s="21">
        <f t="shared" ref="C52:D52" si="9">C19/C18*100</f>
        <v>258.11320754716985</v>
      </c>
      <c r="D52" s="21">
        <f t="shared" si="9"/>
        <v>248.68421052631581</v>
      </c>
      <c r="E52" s="21">
        <f>E19/E18*100</f>
        <v>261.90476190476193</v>
      </c>
      <c r="F52" s="21" t="s">
        <v>74</v>
      </c>
      <c r="G52" s="21" t="s">
        <v>74</v>
      </c>
    </row>
    <row r="53" spans="1:7" ht="16.5" x14ac:dyDescent="0.3">
      <c r="A53" s="11" t="s">
        <v>16</v>
      </c>
      <c r="B53" s="21">
        <f>B26/B25*100</f>
        <v>25.510674922859994</v>
      </c>
      <c r="C53" s="21">
        <f t="shared" ref="C53:D53" si="10">C26/C25*100</f>
        <v>25.510674922859994</v>
      </c>
      <c r="D53" s="21">
        <f t="shared" si="10"/>
        <v>23.267824257323529</v>
      </c>
      <c r="E53" s="21">
        <f>E26/E25*100</f>
        <v>56.143000000000008</v>
      </c>
      <c r="F53" s="21" t="s">
        <v>74</v>
      </c>
      <c r="G53" s="21" t="s">
        <v>74</v>
      </c>
    </row>
    <row r="54" spans="1:7" ht="16.5" x14ac:dyDescent="0.3">
      <c r="A54" s="11" t="s">
        <v>17</v>
      </c>
      <c r="B54" s="21">
        <f t="shared" ref="B54" si="11">AVERAGE(B52:B53)</f>
        <v>141.81194123501493</v>
      </c>
      <c r="C54" s="21">
        <f t="shared" ref="C54:E54" si="12">AVERAGE(C52:C53)</f>
        <v>141.81194123501493</v>
      </c>
      <c r="D54" s="21">
        <f t="shared" si="12"/>
        <v>135.97601739181968</v>
      </c>
      <c r="E54" s="21">
        <f t="shared" si="12"/>
        <v>159.02388095238098</v>
      </c>
      <c r="F54" s="21" t="s">
        <v>74</v>
      </c>
      <c r="G54" s="21" t="s">
        <v>74</v>
      </c>
    </row>
    <row r="55" spans="1:7" ht="16.5" x14ac:dyDescent="0.3">
      <c r="A55" s="11"/>
      <c r="B55" s="21"/>
      <c r="C55" s="21"/>
      <c r="D55" s="21"/>
      <c r="E55" s="21"/>
      <c r="F55" s="21"/>
      <c r="G55" s="21"/>
    </row>
    <row r="56" spans="1:7" ht="17.25" x14ac:dyDescent="0.35">
      <c r="A56" s="12" t="s">
        <v>18</v>
      </c>
      <c r="B56" s="21"/>
      <c r="C56" s="21"/>
      <c r="D56" s="21"/>
      <c r="E56" s="21"/>
      <c r="F56" s="21"/>
      <c r="G56" s="21"/>
    </row>
    <row r="57" spans="1:7" ht="16.5" x14ac:dyDescent="0.3">
      <c r="A57" s="11" t="s">
        <v>19</v>
      </c>
      <c r="B57" s="21">
        <f>(B19/B21)*100</f>
        <v>10.039630118890356</v>
      </c>
      <c r="C57" s="21">
        <f t="shared" ref="C57:G57" si="13">(C19/C21)*100</f>
        <v>64.406779661016941</v>
      </c>
      <c r="D57" s="21">
        <f t="shared" si="13"/>
        <v>61.764705882352942</v>
      </c>
      <c r="E57" s="21">
        <f t="shared" si="13"/>
        <v>65.476190476190482</v>
      </c>
      <c r="F57" s="21">
        <f t="shared" si="13"/>
        <v>0</v>
      </c>
      <c r="G57" s="21">
        <f t="shared" si="13"/>
        <v>0</v>
      </c>
    </row>
    <row r="58" spans="1:7" ht="16.5" x14ac:dyDescent="0.3">
      <c r="A58" s="11" t="s">
        <v>20</v>
      </c>
      <c r="B58" s="21">
        <f>B26/B27*100</f>
        <v>8.3358914746620005</v>
      </c>
      <c r="C58" s="21">
        <f t="shared" ref="C58:G58" si="14">C26/C27*100</f>
        <v>9.6230306123635945</v>
      </c>
      <c r="D58" s="21">
        <f t="shared" si="14"/>
        <v>9.1166620010394244</v>
      </c>
      <c r="E58" s="21">
        <f t="shared" si="14"/>
        <v>14.035750000000002</v>
      </c>
      <c r="F58" s="21">
        <f t="shared" si="14"/>
        <v>0</v>
      </c>
      <c r="G58" s="21">
        <f t="shared" si="14"/>
        <v>0</v>
      </c>
    </row>
    <row r="59" spans="1:7" ht="16.5" x14ac:dyDescent="0.3">
      <c r="A59" s="11" t="s">
        <v>21</v>
      </c>
      <c r="B59" s="21">
        <f t="shared" ref="B59" si="15">(B57+B58)/2</f>
        <v>9.1877607967761783</v>
      </c>
      <c r="C59" s="21">
        <f t="shared" ref="C59:G59" si="16">(C57+C58)/2</f>
        <v>37.014905136690267</v>
      </c>
      <c r="D59" s="21">
        <f t="shared" si="16"/>
        <v>35.440683941696186</v>
      </c>
      <c r="E59" s="21">
        <f t="shared" si="16"/>
        <v>39.755970238095244</v>
      </c>
      <c r="F59" s="21">
        <f t="shared" si="16"/>
        <v>0</v>
      </c>
      <c r="G59" s="21">
        <f t="shared" si="16"/>
        <v>0</v>
      </c>
    </row>
    <row r="60" spans="1:7" ht="16.5" x14ac:dyDescent="0.3">
      <c r="A60" s="11"/>
      <c r="B60" s="21"/>
      <c r="C60" s="21"/>
      <c r="D60" s="21"/>
      <c r="E60" s="21"/>
      <c r="F60" s="21"/>
      <c r="G60" s="21"/>
    </row>
    <row r="61" spans="1:7" ht="17.25" x14ac:dyDescent="0.35">
      <c r="A61" s="12" t="s">
        <v>32</v>
      </c>
      <c r="B61" s="21"/>
      <c r="C61" s="21"/>
      <c r="D61" s="21"/>
      <c r="E61" s="21"/>
      <c r="F61" s="21"/>
      <c r="G61" s="21"/>
    </row>
    <row r="62" spans="1:7" ht="16.5" x14ac:dyDescent="0.3">
      <c r="A62" s="11" t="s">
        <v>22</v>
      </c>
      <c r="B62" s="21">
        <f t="shared" ref="B62:C62" si="17">B28/B26*100</f>
        <v>100</v>
      </c>
      <c r="C62" s="21">
        <f t="shared" si="17"/>
        <v>100</v>
      </c>
      <c r="D62" s="21"/>
      <c r="E62" s="21"/>
      <c r="F62" s="21" t="s">
        <v>74</v>
      </c>
      <c r="G62" s="21"/>
    </row>
    <row r="63" spans="1:7" ht="16.5" x14ac:dyDescent="0.3">
      <c r="A63" s="11"/>
      <c r="B63" s="21"/>
      <c r="C63" s="21"/>
      <c r="D63" s="21"/>
      <c r="E63" s="21"/>
      <c r="F63" s="21"/>
      <c r="G63" s="21"/>
    </row>
    <row r="64" spans="1:7" ht="17.25" x14ac:dyDescent="0.35">
      <c r="A64" s="12" t="s">
        <v>23</v>
      </c>
      <c r="B64" s="21"/>
      <c r="C64" s="21"/>
      <c r="D64" s="21"/>
      <c r="E64" s="21"/>
      <c r="F64" s="21"/>
      <c r="G64" s="21"/>
    </row>
    <row r="65" spans="1:7" ht="16.5" x14ac:dyDescent="0.3">
      <c r="A65" s="11" t="s">
        <v>24</v>
      </c>
      <c r="B65" s="21">
        <f t="shared" ref="B65" si="18">((B19/B16)-1)*100</f>
        <v>-32.344213649851625</v>
      </c>
      <c r="C65" s="21">
        <f t="shared" ref="C65:E65" si="19">((C19/C16)-1)*100</f>
        <v>-32.344213649851625</v>
      </c>
      <c r="D65" s="21">
        <f t="shared" si="19"/>
        <v>-5.9701492537313383</v>
      </c>
      <c r="E65" s="21">
        <f t="shared" si="19"/>
        <v>-38.888888888888886</v>
      </c>
      <c r="F65" s="21" t="s">
        <v>74</v>
      </c>
      <c r="G65" s="21" t="s">
        <v>74</v>
      </c>
    </row>
    <row r="66" spans="1:7" ht="16.5" x14ac:dyDescent="0.3">
      <c r="A66" s="11" t="s">
        <v>25</v>
      </c>
      <c r="B66" s="21">
        <f>((B41/B40)-1)*100</f>
        <v>-48.477478815951457</v>
      </c>
      <c r="C66" s="21">
        <f t="shared" ref="C66:E66" si="20">((C41/C40)-1)*100</f>
        <v>-48.477478815951457</v>
      </c>
      <c r="D66" s="21">
        <f t="shared" si="20"/>
        <v>-51.049284112202429</v>
      </c>
      <c r="E66" s="21">
        <f t="shared" si="20"/>
        <v>-26.670355331955463</v>
      </c>
      <c r="F66" s="21" t="s">
        <v>74</v>
      </c>
      <c r="G66" s="21" t="s">
        <v>74</v>
      </c>
    </row>
    <row r="67" spans="1:7" ht="16.5" x14ac:dyDescent="0.3">
      <c r="A67" s="11" t="s">
        <v>26</v>
      </c>
      <c r="B67" s="21">
        <f t="shared" ref="B67" si="21">((B43/B42)-1)*100</f>
        <v>-23.846098074454559</v>
      </c>
      <c r="C67" s="21">
        <f t="shared" ref="C67:E67" si="22">((C43/C42)-1)*100</f>
        <v>-23.846098074454559</v>
      </c>
      <c r="D67" s="21">
        <f t="shared" si="22"/>
        <v>-47.941302151072428</v>
      </c>
      <c r="E67" s="21">
        <f t="shared" si="22"/>
        <v>19.993964002254682</v>
      </c>
      <c r="F67" s="21" t="s">
        <v>74</v>
      </c>
      <c r="G67" s="21" t="s">
        <v>74</v>
      </c>
    </row>
    <row r="68" spans="1:7" ht="16.5" x14ac:dyDescent="0.3">
      <c r="A68" s="11"/>
      <c r="B68" s="21"/>
      <c r="C68" s="21"/>
      <c r="D68" s="21"/>
      <c r="E68" s="21"/>
      <c r="F68" s="21"/>
      <c r="G68" s="21"/>
    </row>
    <row r="69" spans="1:7" ht="17.25" x14ac:dyDescent="0.35">
      <c r="A69" s="12" t="s">
        <v>27</v>
      </c>
      <c r="B69" s="21"/>
      <c r="C69" s="21"/>
      <c r="D69" s="21"/>
      <c r="E69" s="21"/>
      <c r="F69" s="21"/>
      <c r="G69" s="21"/>
    </row>
    <row r="70" spans="1:7" ht="16.5" x14ac:dyDescent="0.3">
      <c r="A70" s="11" t="s">
        <v>33</v>
      </c>
      <c r="B70" s="21">
        <f t="shared" ref="B70" si="23">B25/B18</f>
        <v>331873.90188679245</v>
      </c>
      <c r="C70" s="21">
        <f t="shared" ref="C70:E70" si="24">C25/C18</f>
        <v>331873.90188679245</v>
      </c>
      <c r="D70" s="21">
        <f t="shared" si="24"/>
        <v>1078244.5263157894</v>
      </c>
      <c r="E70" s="21">
        <f t="shared" si="24"/>
        <v>31746.031746031738</v>
      </c>
      <c r="F70" s="21" t="s">
        <v>74</v>
      </c>
      <c r="G70" s="21" t="s">
        <v>74</v>
      </c>
    </row>
    <row r="71" spans="1:7" ht="16.5" x14ac:dyDescent="0.3">
      <c r="A71" s="11" t="s">
        <v>34</v>
      </c>
      <c r="B71" s="21">
        <f t="shared" ref="B71" si="25">B26/B19</f>
        <v>32800.829166666663</v>
      </c>
      <c r="C71" s="21">
        <f t="shared" ref="C71:E71" si="26">C26/C19</f>
        <v>32800.829166666663</v>
      </c>
      <c r="D71" s="21">
        <f t="shared" si="26"/>
        <v>100884.5880952381</v>
      </c>
      <c r="E71" s="21">
        <f t="shared" si="26"/>
        <v>6805.212121212121</v>
      </c>
      <c r="F71" s="21" t="s">
        <v>74</v>
      </c>
      <c r="G71" s="21" t="s">
        <v>74</v>
      </c>
    </row>
    <row r="72" spans="1:7" ht="16.5" x14ac:dyDescent="0.3">
      <c r="A72" s="11" t="s">
        <v>28</v>
      </c>
      <c r="B72" s="21">
        <f>(B71/B70)*B54</f>
        <v>14.016014009531293</v>
      </c>
      <c r="C72" s="21">
        <f t="shared" ref="C72:E72" si="27">(C71/C70)*C54</f>
        <v>14.016014009531293</v>
      </c>
      <c r="D72" s="21">
        <f t="shared" si="27"/>
        <v>12.722424432124642</v>
      </c>
      <c r="E72" s="21">
        <f t="shared" si="27"/>
        <v>34.089024129909106</v>
      </c>
      <c r="F72" s="21" t="s">
        <v>74</v>
      </c>
      <c r="G72" s="21" t="s">
        <v>74</v>
      </c>
    </row>
    <row r="73" spans="1:7" ht="16.5" x14ac:dyDescent="0.3">
      <c r="A73" s="11" t="s">
        <v>35</v>
      </c>
      <c r="B73" s="21">
        <f t="shared" ref="B73" si="28">B25/(B18*3)</f>
        <v>110624.63396226415</v>
      </c>
      <c r="C73" s="21">
        <f t="shared" ref="C73:E73" si="29">C25/(C18*3)</f>
        <v>110624.63396226415</v>
      </c>
      <c r="D73" s="21">
        <f t="shared" si="29"/>
        <v>359414.84210526315</v>
      </c>
      <c r="E73" s="21">
        <f t="shared" si="29"/>
        <v>10582.01058201058</v>
      </c>
      <c r="F73" s="21" t="s">
        <v>74</v>
      </c>
      <c r="G73" s="21" t="s">
        <v>74</v>
      </c>
    </row>
    <row r="74" spans="1:7" ht="16.5" x14ac:dyDescent="0.3">
      <c r="A74" s="11" t="s">
        <v>36</v>
      </c>
      <c r="B74" s="21">
        <f>B26/(B19*3)</f>
        <v>10933.609722222222</v>
      </c>
      <c r="C74" s="21">
        <f t="shared" ref="C74:E74" si="30">C26/(C19*3)</f>
        <v>10933.609722222222</v>
      </c>
      <c r="D74" s="21">
        <f t="shared" si="30"/>
        <v>33628.196031746033</v>
      </c>
      <c r="E74" s="21">
        <f t="shared" si="30"/>
        <v>2268.4040404040402</v>
      </c>
      <c r="F74" s="21" t="s">
        <v>74</v>
      </c>
      <c r="G74" s="21" t="s">
        <v>74</v>
      </c>
    </row>
    <row r="75" spans="1:7" ht="16.5" x14ac:dyDescent="0.3">
      <c r="A75" s="11"/>
      <c r="B75" s="21"/>
      <c r="C75" s="21"/>
      <c r="D75" s="21"/>
      <c r="E75" s="21"/>
      <c r="F75" s="21"/>
      <c r="G75" s="21"/>
    </row>
    <row r="76" spans="1:7" ht="17.25" x14ac:dyDescent="0.35">
      <c r="A76" s="12" t="s">
        <v>29</v>
      </c>
      <c r="B76" s="21"/>
      <c r="C76" s="21"/>
      <c r="D76" s="21"/>
      <c r="E76" s="21"/>
      <c r="F76" s="21"/>
      <c r="G76" s="21"/>
    </row>
    <row r="77" spans="1:7" ht="16.5" x14ac:dyDescent="0.3">
      <c r="A77" s="11" t="s">
        <v>30</v>
      </c>
      <c r="B77" s="21">
        <f>(B32/B31)*100</f>
        <v>100</v>
      </c>
      <c r="C77" s="21">
        <f t="shared" ref="C77" si="31">(C32/C31)*100</f>
        <v>100</v>
      </c>
      <c r="D77" s="21"/>
      <c r="E77" s="21"/>
      <c r="F77" s="21" t="s">
        <v>74</v>
      </c>
      <c r="G77" s="21"/>
    </row>
    <row r="78" spans="1:7" ht="16.5" x14ac:dyDescent="0.3">
      <c r="A78" s="11" t="s">
        <v>31</v>
      </c>
      <c r="B78" s="21">
        <f>(B26/B32)*100</f>
        <v>25.510674922859994</v>
      </c>
      <c r="C78" s="21">
        <f t="shared" ref="C78" si="32">(C26/C32)*100</f>
        <v>25.510674922859994</v>
      </c>
      <c r="D78" s="21"/>
      <c r="E78" s="21"/>
      <c r="F78" s="21" t="s">
        <v>74</v>
      </c>
      <c r="G78" s="21"/>
    </row>
    <row r="79" spans="1:7" ht="17.25" thickBot="1" x14ac:dyDescent="0.35">
      <c r="A79" s="22"/>
      <c r="B79" s="22"/>
      <c r="C79" s="22"/>
      <c r="D79" s="22"/>
      <c r="E79" s="22"/>
      <c r="F79" s="22"/>
      <c r="G79" s="22"/>
    </row>
    <row r="80" spans="1:7" ht="16.5" customHeight="1" thickTop="1" x14ac:dyDescent="0.25">
      <c r="A80" s="39" t="s">
        <v>127</v>
      </c>
      <c r="B80" s="39"/>
      <c r="C80" s="39"/>
      <c r="D80" s="39"/>
      <c r="E80" s="39"/>
      <c r="F80" s="39"/>
      <c r="G80" s="39"/>
    </row>
    <row r="81" spans="1:7" ht="16.5" x14ac:dyDescent="0.3">
      <c r="A81" s="23"/>
      <c r="B81" s="11"/>
      <c r="C81" s="11"/>
      <c r="D81" s="11"/>
      <c r="E81" s="11"/>
      <c r="F81" s="11"/>
      <c r="G81" s="11"/>
    </row>
    <row r="82" spans="1:7" ht="16.5" x14ac:dyDescent="0.3">
      <c r="A82" s="23"/>
      <c r="B82" s="11"/>
      <c r="C82" s="11"/>
      <c r="D82" s="11"/>
      <c r="E82" s="11"/>
      <c r="F82" s="11"/>
      <c r="G82" s="11"/>
    </row>
    <row r="83" spans="1:7" ht="16.5" x14ac:dyDescent="0.3">
      <c r="A83" s="23"/>
      <c r="B83" s="24"/>
      <c r="C83" s="24"/>
      <c r="D83" s="24"/>
      <c r="E83" s="11"/>
      <c r="F83" s="11"/>
      <c r="G83" s="11"/>
    </row>
    <row r="84" spans="1:7" ht="16.5" x14ac:dyDescent="0.3">
      <c r="A84" s="23"/>
      <c r="B84" s="11"/>
      <c r="C84" s="11"/>
      <c r="D84" s="11"/>
      <c r="E84" s="11"/>
      <c r="F84" s="11"/>
      <c r="G84" s="11"/>
    </row>
    <row r="85" spans="1:7" x14ac:dyDescent="0.25">
      <c r="A85" s="3"/>
    </row>
  </sheetData>
  <mergeCells count="10">
    <mergeCell ref="G10:G11"/>
    <mergeCell ref="D10:D11"/>
    <mergeCell ref="F9:G9"/>
    <mergeCell ref="C9:E9"/>
    <mergeCell ref="A80:G80"/>
    <mergeCell ref="A9:A11"/>
    <mergeCell ref="B9:B11"/>
    <mergeCell ref="C10:C11"/>
    <mergeCell ref="E10:E11"/>
    <mergeCell ref="F10:F11"/>
  </mergeCells>
  <pageMargins left="0.7" right="0.7" top="0.75" bottom="0.75" header="0.3" footer="0.3"/>
  <pageSetup orientation="portrait" r:id="rId1"/>
  <ignoredErrors>
    <ignoredError sqref="F44:G51 F63:G64 F55:G56 F68:G69 F60:G6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93"/>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42578125" style="7" customWidth="1"/>
    <col min="2" max="7" width="19.5703125" style="7" customWidth="1"/>
    <col min="8" max="16384" width="11.42578125" style="7"/>
  </cols>
  <sheetData>
    <row r="7" spans="1:7" ht="25.5" customHeight="1" x14ac:dyDescent="0.25"/>
    <row r="8" spans="1:7" ht="25.5" customHeight="1" x14ac:dyDescent="0.25"/>
    <row r="9" spans="1:7" s="4" customFormat="1" ht="17.25"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126</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11"/>
      <c r="C14" s="11"/>
      <c r="D14" s="11"/>
      <c r="E14" s="11"/>
      <c r="F14" s="11"/>
      <c r="G14" s="11"/>
    </row>
    <row r="15" spans="1:7" ht="17.25" x14ac:dyDescent="0.35">
      <c r="A15" s="12" t="s">
        <v>41</v>
      </c>
      <c r="B15" s="11"/>
      <c r="C15" s="11"/>
      <c r="D15" s="11"/>
      <c r="E15" s="11"/>
      <c r="F15" s="11"/>
      <c r="G15" s="11"/>
    </row>
    <row r="16" spans="1:7" ht="16.5" x14ac:dyDescent="0.3">
      <c r="A16" s="13" t="s">
        <v>54</v>
      </c>
      <c r="B16" s="14">
        <f>C16+F16</f>
        <v>649</v>
      </c>
      <c r="C16" s="14">
        <f>D16+E16</f>
        <v>423</v>
      </c>
      <c r="D16" s="14">
        <v>50</v>
      </c>
      <c r="E16" s="14">
        <v>373</v>
      </c>
      <c r="F16" s="25">
        <f>+SUM(G16)</f>
        <v>226</v>
      </c>
      <c r="G16" s="14">
        <v>226</v>
      </c>
    </row>
    <row r="17" spans="1:9" ht="16.5" x14ac:dyDescent="0.3">
      <c r="A17" s="15" t="s">
        <v>42</v>
      </c>
      <c r="B17" s="14">
        <f>C17+F17</f>
        <v>621</v>
      </c>
      <c r="C17" s="14">
        <f>D17+E17</f>
        <v>395</v>
      </c>
      <c r="D17" s="14">
        <v>22</v>
      </c>
      <c r="E17" s="14">
        <v>373</v>
      </c>
      <c r="F17" s="25">
        <f t="shared" ref="F17:F19" si="0">+SUM(G17)</f>
        <v>226</v>
      </c>
      <c r="G17" s="14">
        <v>226</v>
      </c>
    </row>
    <row r="18" spans="1:9" ht="16.5" x14ac:dyDescent="0.3">
      <c r="A18" s="13" t="s">
        <v>86</v>
      </c>
      <c r="B18" s="14">
        <f t="shared" ref="B18:B20" si="1">C18+F18</f>
        <v>1061</v>
      </c>
      <c r="C18" s="14">
        <f t="shared" ref="C18:C20" si="2">D18+E18</f>
        <v>89</v>
      </c>
      <c r="D18" s="14">
        <v>26</v>
      </c>
      <c r="E18" s="14">
        <v>63</v>
      </c>
      <c r="F18" s="25">
        <f t="shared" si="0"/>
        <v>972</v>
      </c>
      <c r="G18" s="14">
        <v>972</v>
      </c>
    </row>
    <row r="19" spans="1:9" ht="16.5" customHeight="1" x14ac:dyDescent="0.3">
      <c r="A19" s="13" t="s">
        <v>87</v>
      </c>
      <c r="B19" s="14">
        <f>C19+F19</f>
        <v>207</v>
      </c>
      <c r="C19" s="14">
        <f t="shared" si="2"/>
        <v>207</v>
      </c>
      <c r="D19" s="14">
        <v>60</v>
      </c>
      <c r="E19" s="14">
        <v>147</v>
      </c>
      <c r="F19" s="25">
        <f t="shared" si="0"/>
        <v>0</v>
      </c>
      <c r="G19" s="14">
        <v>0</v>
      </c>
    </row>
    <row r="20" spans="1:9" ht="16.5" x14ac:dyDescent="0.3">
      <c r="A20" s="15" t="s">
        <v>42</v>
      </c>
      <c r="B20" s="14">
        <f t="shared" si="1"/>
        <v>170</v>
      </c>
      <c r="C20" s="14">
        <f t="shared" si="2"/>
        <v>170</v>
      </c>
      <c r="D20" s="14">
        <v>23</v>
      </c>
      <c r="E20" s="14">
        <v>147</v>
      </c>
      <c r="F20" s="14">
        <f>SUM(G20:G20)</f>
        <v>0</v>
      </c>
      <c r="G20" s="14">
        <v>0</v>
      </c>
    </row>
    <row r="21" spans="1:9" ht="16.5" x14ac:dyDescent="0.3">
      <c r="A21" s="13" t="s">
        <v>81</v>
      </c>
      <c r="B21" s="14">
        <f>C21+F21</f>
        <v>2271</v>
      </c>
      <c r="C21" s="14">
        <f>D21+E21</f>
        <v>354</v>
      </c>
      <c r="D21" s="14">
        <v>102</v>
      </c>
      <c r="E21" s="14">
        <v>252</v>
      </c>
      <c r="F21" s="25">
        <f>+SUM(G21)</f>
        <v>1917</v>
      </c>
      <c r="G21" s="14">
        <v>1917</v>
      </c>
    </row>
    <row r="22" spans="1:9" ht="16.5" x14ac:dyDescent="0.3">
      <c r="A22" s="11"/>
      <c r="B22" s="14"/>
      <c r="C22" s="14"/>
      <c r="D22" s="14"/>
      <c r="E22" s="14"/>
      <c r="F22" s="14"/>
      <c r="G22" s="14"/>
    </row>
    <row r="23" spans="1:9" ht="17.25" x14ac:dyDescent="0.35">
      <c r="A23" s="17" t="s">
        <v>5</v>
      </c>
      <c r="B23" s="14"/>
      <c r="C23" s="14"/>
      <c r="D23" s="14"/>
      <c r="E23" s="14"/>
      <c r="F23" s="14"/>
      <c r="G23" s="14"/>
    </row>
    <row r="24" spans="1:9" ht="16.5" x14ac:dyDescent="0.3">
      <c r="A24" s="13" t="s">
        <v>54</v>
      </c>
      <c r="B24" s="14">
        <f>C24+F24</f>
        <v>14813025.329999998</v>
      </c>
      <c r="C24" s="14">
        <f>D24+E24</f>
        <v>14813025.329999998</v>
      </c>
      <c r="D24" s="14">
        <v>12957745.329999998</v>
      </c>
      <c r="E24" s="14">
        <v>1855280</v>
      </c>
      <c r="F24" s="14">
        <f>SUM(G24:G24)</f>
        <v>0</v>
      </c>
      <c r="G24" s="14">
        <v>0</v>
      </c>
    </row>
    <row r="25" spans="1:9" ht="16.5" x14ac:dyDescent="0.3">
      <c r="A25" s="13" t="s">
        <v>86</v>
      </c>
      <c r="B25" s="14">
        <f>C25+F25</f>
        <v>22434885</v>
      </c>
      <c r="C25" s="14">
        <f>D25+E25</f>
        <v>17600000</v>
      </c>
      <c r="D25" s="14">
        <v>15200000</v>
      </c>
      <c r="E25" s="14">
        <v>2399999.9999999995</v>
      </c>
      <c r="F25" s="25">
        <f>SUM(G25:G25)</f>
        <v>4834885</v>
      </c>
      <c r="G25" s="14">
        <v>4834885</v>
      </c>
    </row>
    <row r="26" spans="1:9" ht="16.5" x14ac:dyDescent="0.3">
      <c r="A26" s="13" t="s">
        <v>87</v>
      </c>
      <c r="B26" s="14">
        <f>C26+F26</f>
        <v>21459863.039999999</v>
      </c>
      <c r="C26" s="14">
        <f>D26+E26</f>
        <v>21459863.039999999</v>
      </c>
      <c r="D26" s="14">
        <v>20997718.039999999</v>
      </c>
      <c r="E26" s="14">
        <v>462145</v>
      </c>
      <c r="F26" s="14">
        <f>SUM(G26:G26)</f>
        <v>0</v>
      </c>
      <c r="G26" s="14">
        <v>0</v>
      </c>
      <c r="I26" s="6"/>
    </row>
    <row r="27" spans="1:9" ht="16.5" x14ac:dyDescent="0.3">
      <c r="A27" s="13" t="s">
        <v>81</v>
      </c>
      <c r="B27" s="14">
        <f>C27+F27</f>
        <v>89715528</v>
      </c>
      <c r="C27" s="14">
        <f>D27+E27</f>
        <v>77715528</v>
      </c>
      <c r="D27" s="14">
        <v>69715528</v>
      </c>
      <c r="E27" s="14">
        <v>7999999.9999999991</v>
      </c>
      <c r="F27" s="14">
        <f>SUM(G27:G27)</f>
        <v>12000000</v>
      </c>
      <c r="G27" s="14">
        <v>12000000</v>
      </c>
    </row>
    <row r="28" spans="1:9" ht="16.5" x14ac:dyDescent="0.3">
      <c r="A28" s="13" t="s">
        <v>88</v>
      </c>
      <c r="B28" s="14">
        <f>+C28+F28</f>
        <v>21459863.039999999</v>
      </c>
      <c r="C28" s="14">
        <f>+D28+E28</f>
        <v>21459863.039999999</v>
      </c>
      <c r="D28" s="14">
        <f>D26</f>
        <v>20997718.039999999</v>
      </c>
      <c r="E28" s="14">
        <f>+E26</f>
        <v>462145</v>
      </c>
      <c r="F28" s="14">
        <f>+SUM(G28)</f>
        <v>0</v>
      </c>
      <c r="G28" s="14">
        <f>G26</f>
        <v>0</v>
      </c>
    </row>
    <row r="29" spans="1:9" ht="16.5" x14ac:dyDescent="0.3">
      <c r="A29" s="11"/>
      <c r="B29" s="14"/>
      <c r="C29" s="14"/>
      <c r="D29" s="14"/>
      <c r="E29" s="14"/>
      <c r="F29" s="14"/>
      <c r="G29" s="14"/>
    </row>
    <row r="30" spans="1:9" ht="17.25" x14ac:dyDescent="0.35">
      <c r="A30" s="17" t="s">
        <v>6</v>
      </c>
      <c r="B30" s="14"/>
      <c r="C30" s="14"/>
      <c r="D30" s="14"/>
      <c r="E30" s="14"/>
      <c r="F30" s="14"/>
      <c r="G30" s="14"/>
    </row>
    <row r="31" spans="1:9" ht="16.5" x14ac:dyDescent="0.3">
      <c r="A31" s="13" t="s">
        <v>86</v>
      </c>
      <c r="B31" s="14">
        <f>B25</f>
        <v>22434885</v>
      </c>
      <c r="C31" s="14">
        <f>C25</f>
        <v>17600000</v>
      </c>
      <c r="D31" s="14"/>
      <c r="E31" s="14"/>
      <c r="F31" s="14">
        <f>F25</f>
        <v>4834885</v>
      </c>
      <c r="G31" s="14"/>
    </row>
    <row r="32" spans="1:9" ht="16.5" x14ac:dyDescent="0.3">
      <c r="A32" s="13" t="s">
        <v>87</v>
      </c>
      <c r="B32" s="14">
        <f>SUM(C32+ F32)</f>
        <v>22434885</v>
      </c>
      <c r="C32" s="14">
        <v>18100000</v>
      </c>
      <c r="D32" s="14"/>
      <c r="E32" s="14"/>
      <c r="F32" s="14">
        <v>4334885</v>
      </c>
      <c r="G32" s="14"/>
    </row>
    <row r="33" spans="1:7" ht="16.5" x14ac:dyDescent="0.3">
      <c r="A33" s="11"/>
      <c r="B33" s="18"/>
      <c r="C33" s="18"/>
      <c r="D33" s="18"/>
      <c r="E33" s="18"/>
      <c r="F33" s="18"/>
      <c r="G33" s="18"/>
    </row>
    <row r="34" spans="1:7" ht="17.25" x14ac:dyDescent="0.35">
      <c r="A34" s="12" t="s">
        <v>7</v>
      </c>
      <c r="B34" s="18"/>
      <c r="C34" s="18"/>
      <c r="D34" s="18"/>
      <c r="E34" s="18"/>
      <c r="F34" s="18"/>
      <c r="G34" s="18"/>
    </row>
    <row r="35" spans="1:7" ht="16.5" x14ac:dyDescent="0.3">
      <c r="A35" s="13" t="s">
        <v>55</v>
      </c>
      <c r="B35" s="19">
        <v>1.0552807376</v>
      </c>
      <c r="C35" s="19">
        <v>1.0552807376</v>
      </c>
      <c r="D35" s="19">
        <v>1.0552807376</v>
      </c>
      <c r="E35" s="19">
        <v>1.0552807376</v>
      </c>
      <c r="F35" s="19">
        <v>1.0552807376</v>
      </c>
      <c r="G35" s="19">
        <v>1.0552807376</v>
      </c>
    </row>
    <row r="36" spans="1:7" ht="16.5" x14ac:dyDescent="0.3">
      <c r="A36" s="13" t="s">
        <v>89</v>
      </c>
      <c r="B36" s="19">
        <v>1.0586</v>
      </c>
      <c r="C36" s="19">
        <v>1.0586</v>
      </c>
      <c r="D36" s="19">
        <v>1.0586</v>
      </c>
      <c r="E36" s="19">
        <v>1.0586</v>
      </c>
      <c r="F36" s="19">
        <v>1.0586</v>
      </c>
      <c r="G36" s="19">
        <v>1.0586</v>
      </c>
    </row>
    <row r="37" spans="1:7" ht="16.5" x14ac:dyDescent="0.3">
      <c r="A37" s="13" t="s">
        <v>8</v>
      </c>
      <c r="B37" s="14" t="s">
        <v>47</v>
      </c>
      <c r="C37" s="14" t="s">
        <v>47</v>
      </c>
      <c r="D37" s="14" t="s">
        <v>47</v>
      </c>
      <c r="E37" s="14" t="s">
        <v>47</v>
      </c>
      <c r="F37" s="14" t="s">
        <v>47</v>
      </c>
      <c r="G37" s="14" t="s">
        <v>47</v>
      </c>
    </row>
    <row r="38" spans="1:7" ht="16.5" x14ac:dyDescent="0.3">
      <c r="A38" s="11"/>
      <c r="B38" s="16"/>
      <c r="C38" s="16"/>
      <c r="D38" s="16"/>
      <c r="E38" s="16"/>
      <c r="F38" s="16"/>
      <c r="G38" s="16"/>
    </row>
    <row r="39" spans="1:7" ht="17.25" x14ac:dyDescent="0.35">
      <c r="A39" s="12" t="s">
        <v>9</v>
      </c>
      <c r="B39" s="16"/>
      <c r="C39" s="16"/>
      <c r="D39" s="16"/>
      <c r="E39" s="16"/>
      <c r="F39" s="16"/>
      <c r="G39" s="16"/>
    </row>
    <row r="40" spans="1:7" ht="16.5" x14ac:dyDescent="0.3">
      <c r="A40" s="11" t="s">
        <v>56</v>
      </c>
      <c r="B40" s="14">
        <f>B24/B35</f>
        <v>14037047.017165225</v>
      </c>
      <c r="C40" s="14">
        <f t="shared" ref="C40:G40" si="3">C24/C35</f>
        <v>14037047.017165225</v>
      </c>
      <c r="D40" s="14">
        <f>D24/D35</f>
        <v>12278955.607082805</v>
      </c>
      <c r="E40" s="14">
        <f t="shared" si="3"/>
        <v>1758091.4100824199</v>
      </c>
      <c r="F40" s="14">
        <f t="shared" si="3"/>
        <v>0</v>
      </c>
      <c r="G40" s="14">
        <f t="shared" si="3"/>
        <v>0</v>
      </c>
    </row>
    <row r="41" spans="1:7" ht="16.5" x14ac:dyDescent="0.3">
      <c r="A41" s="11" t="s">
        <v>90</v>
      </c>
      <c r="B41" s="14">
        <f t="shared" ref="B41:F41" si="4">B26/B36</f>
        <v>20271928.055922918</v>
      </c>
      <c r="C41" s="14">
        <f t="shared" si="4"/>
        <v>20271928.055922918</v>
      </c>
      <c r="D41" s="14">
        <f t="shared" si="4"/>
        <v>19835365.614963159</v>
      </c>
      <c r="E41" s="14">
        <f t="shared" si="4"/>
        <v>436562.44095975818</v>
      </c>
      <c r="F41" s="14">
        <f t="shared" si="4"/>
        <v>0</v>
      </c>
      <c r="G41" s="14">
        <f>G26/G36</f>
        <v>0</v>
      </c>
    </row>
    <row r="42" spans="1:7" ht="16.5" x14ac:dyDescent="0.3">
      <c r="A42" s="11" t="s">
        <v>57</v>
      </c>
      <c r="B42" s="14">
        <f t="shared" ref="B42:G42" si="5">B40/B16</f>
        <v>21628.731921672148</v>
      </c>
      <c r="C42" s="14">
        <f t="shared" si="5"/>
        <v>33184.508314811406</v>
      </c>
      <c r="D42" s="14">
        <f t="shared" si="5"/>
        <v>245579.11214165611</v>
      </c>
      <c r="E42" s="14">
        <f t="shared" si="5"/>
        <v>4713.3817964676136</v>
      </c>
      <c r="F42" s="14">
        <f t="shared" si="5"/>
        <v>0</v>
      </c>
      <c r="G42" s="14">
        <f t="shared" si="5"/>
        <v>0</v>
      </c>
    </row>
    <row r="43" spans="1:7" ht="16.5" x14ac:dyDescent="0.3">
      <c r="A43" s="11" t="s">
        <v>91</v>
      </c>
      <c r="B43" s="14">
        <f t="shared" ref="B43:E43" si="6">B41/B19</f>
        <v>97932.019593830526</v>
      </c>
      <c r="C43" s="14">
        <f t="shared" si="6"/>
        <v>97932.019593830526</v>
      </c>
      <c r="D43" s="14">
        <f t="shared" si="6"/>
        <v>330589.42691605265</v>
      </c>
      <c r="E43" s="14">
        <f t="shared" si="6"/>
        <v>2969.8125235357697</v>
      </c>
      <c r="F43" s="14" t="s">
        <v>74</v>
      </c>
      <c r="G43" s="14" t="s">
        <v>74</v>
      </c>
    </row>
    <row r="44" spans="1:7" ht="16.5" x14ac:dyDescent="0.3">
      <c r="A44" s="11"/>
      <c r="B44" s="20"/>
      <c r="C44" s="20"/>
      <c r="D44" s="20"/>
      <c r="E44" s="20"/>
      <c r="F44" s="20"/>
      <c r="G44" s="20"/>
    </row>
    <row r="45" spans="1:7" ht="17.25" x14ac:dyDescent="0.35">
      <c r="A45" s="12" t="s">
        <v>10</v>
      </c>
      <c r="B45" s="20"/>
      <c r="C45" s="20"/>
      <c r="D45" s="20"/>
      <c r="E45" s="20"/>
      <c r="F45" s="20"/>
      <c r="G45" s="20"/>
    </row>
    <row r="46" spans="1:7" ht="16.5" x14ac:dyDescent="0.3">
      <c r="A46" s="11"/>
      <c r="B46" s="20"/>
      <c r="C46" s="20"/>
      <c r="D46" s="20"/>
      <c r="E46" s="20"/>
      <c r="F46" s="20"/>
      <c r="G46" s="20"/>
    </row>
    <row r="47" spans="1:7" ht="17.25" x14ac:dyDescent="0.35">
      <c r="A47" s="12" t="s">
        <v>11</v>
      </c>
      <c r="B47" s="20"/>
      <c r="C47" s="20"/>
      <c r="D47" s="20"/>
      <c r="E47" s="20"/>
      <c r="F47" s="20"/>
      <c r="G47" s="20"/>
    </row>
    <row r="48" spans="1:7" ht="16.5" x14ac:dyDescent="0.3">
      <c r="A48" s="11" t="s">
        <v>12</v>
      </c>
      <c r="B48" s="21" t="s">
        <v>44</v>
      </c>
      <c r="C48" s="21" t="s">
        <v>44</v>
      </c>
      <c r="D48" s="21" t="s">
        <v>44</v>
      </c>
      <c r="E48" s="21" t="s">
        <v>44</v>
      </c>
      <c r="F48" s="21" t="s">
        <v>44</v>
      </c>
      <c r="G48" s="21" t="s">
        <v>44</v>
      </c>
    </row>
    <row r="49" spans="1:7" ht="16.5" x14ac:dyDescent="0.3">
      <c r="A49" s="11" t="s">
        <v>13</v>
      </c>
      <c r="B49" s="21" t="s">
        <v>44</v>
      </c>
      <c r="C49" s="21" t="s">
        <v>44</v>
      </c>
      <c r="D49" s="21" t="s">
        <v>44</v>
      </c>
      <c r="E49" s="21" t="s">
        <v>44</v>
      </c>
      <c r="F49" s="21" t="s">
        <v>44</v>
      </c>
      <c r="G49" s="21" t="s">
        <v>44</v>
      </c>
    </row>
    <row r="50" spans="1:7" ht="16.5" x14ac:dyDescent="0.3">
      <c r="A50" s="11"/>
      <c r="B50" s="21"/>
      <c r="C50" s="21"/>
      <c r="D50" s="21"/>
      <c r="E50" s="21"/>
      <c r="F50" s="21"/>
      <c r="G50" s="21"/>
    </row>
    <row r="51" spans="1:7" ht="17.25" x14ac:dyDescent="0.35">
      <c r="A51" s="12" t="s">
        <v>14</v>
      </c>
      <c r="B51" s="21"/>
      <c r="C51" s="21"/>
      <c r="D51" s="21"/>
      <c r="E51" s="21"/>
      <c r="F51" s="21"/>
      <c r="G51" s="21"/>
    </row>
    <row r="52" spans="1:7" ht="16.5" x14ac:dyDescent="0.3">
      <c r="A52" s="11" t="s">
        <v>15</v>
      </c>
      <c r="B52" s="21">
        <f>B19/B18*100</f>
        <v>19.509896324222431</v>
      </c>
      <c r="C52" s="21">
        <f t="shared" ref="C52:G52" si="7">C19/C18*100</f>
        <v>232.58426966292137</v>
      </c>
      <c r="D52" s="21">
        <f t="shared" si="7"/>
        <v>230.76923076923075</v>
      </c>
      <c r="E52" s="21">
        <f t="shared" si="7"/>
        <v>233.33333333333334</v>
      </c>
      <c r="F52" s="21">
        <f t="shared" si="7"/>
        <v>0</v>
      </c>
      <c r="G52" s="21">
        <f t="shared" si="7"/>
        <v>0</v>
      </c>
    </row>
    <row r="53" spans="1:7" ht="16.5" x14ac:dyDescent="0.3">
      <c r="A53" s="11" t="s">
        <v>16</v>
      </c>
      <c r="B53" s="21">
        <f>B26/B25*100</f>
        <v>95.653991718700581</v>
      </c>
      <c r="C53" s="21">
        <f t="shared" ref="C53:G53" si="8">C26/C25*100</f>
        <v>121.93104</v>
      </c>
      <c r="D53" s="21">
        <f t="shared" si="8"/>
        <v>138.14288184210525</v>
      </c>
      <c r="E53" s="21">
        <f t="shared" si="8"/>
        <v>19.256041666666672</v>
      </c>
      <c r="F53" s="21">
        <f t="shared" si="8"/>
        <v>0</v>
      </c>
      <c r="G53" s="21">
        <f t="shared" si="8"/>
        <v>0</v>
      </c>
    </row>
    <row r="54" spans="1:7" ht="16.5" x14ac:dyDescent="0.3">
      <c r="A54" s="11" t="s">
        <v>17</v>
      </c>
      <c r="B54" s="21">
        <f t="shared" ref="B54" si="9">AVERAGE(B52:B53)</f>
        <v>57.58194402146151</v>
      </c>
      <c r="C54" s="21">
        <f t="shared" ref="C54:G54" si="10">AVERAGE(C52:C53)</f>
        <v>177.25765483146068</v>
      </c>
      <c r="D54" s="21">
        <f t="shared" si="10"/>
        <v>184.456056305668</v>
      </c>
      <c r="E54" s="21">
        <f t="shared" si="10"/>
        <v>126.29468750000001</v>
      </c>
      <c r="F54" s="21">
        <f t="shared" si="10"/>
        <v>0</v>
      </c>
      <c r="G54" s="21">
        <f t="shared" si="10"/>
        <v>0</v>
      </c>
    </row>
    <row r="55" spans="1:7" ht="16.5" x14ac:dyDescent="0.3">
      <c r="A55" s="11"/>
      <c r="B55" s="21"/>
      <c r="C55" s="21"/>
      <c r="D55" s="21"/>
      <c r="E55" s="21"/>
      <c r="F55" s="21"/>
      <c r="G55" s="21"/>
    </row>
    <row r="56" spans="1:7" ht="17.25" x14ac:dyDescent="0.35">
      <c r="A56" s="12" t="s">
        <v>18</v>
      </c>
      <c r="B56" s="21"/>
      <c r="C56" s="21"/>
      <c r="D56" s="21"/>
      <c r="E56" s="21"/>
      <c r="F56" s="21"/>
      <c r="G56" s="21"/>
    </row>
    <row r="57" spans="1:7" ht="16.5" x14ac:dyDescent="0.3">
      <c r="A57" s="11" t="s">
        <v>19</v>
      </c>
      <c r="B57" s="21">
        <f>(B19/B21)*100</f>
        <v>9.1149273447820338</v>
      </c>
      <c r="C57" s="21">
        <f t="shared" ref="C57:G57" si="11">(C19/C21)*100</f>
        <v>58.474576271186443</v>
      </c>
      <c r="D57" s="21">
        <f t="shared" si="11"/>
        <v>58.82352941176471</v>
      </c>
      <c r="E57" s="21">
        <f t="shared" si="11"/>
        <v>58.333333333333336</v>
      </c>
      <c r="F57" s="21">
        <f t="shared" si="11"/>
        <v>0</v>
      </c>
      <c r="G57" s="21">
        <f t="shared" si="11"/>
        <v>0</v>
      </c>
    </row>
    <row r="58" spans="1:7" ht="16.5" x14ac:dyDescent="0.3">
      <c r="A58" s="11" t="s">
        <v>20</v>
      </c>
      <c r="B58" s="21">
        <f>B26/B27*100</f>
        <v>23.919898281153738</v>
      </c>
      <c r="C58" s="21">
        <f t="shared" ref="C58:G58" si="12">C26/C27*100</f>
        <v>27.613352945372771</v>
      </c>
      <c r="D58" s="21">
        <f t="shared" si="12"/>
        <v>30.119140803179455</v>
      </c>
      <c r="E58" s="21">
        <f t="shared" si="12"/>
        <v>5.7768125000000001</v>
      </c>
      <c r="F58" s="21">
        <f t="shared" si="12"/>
        <v>0</v>
      </c>
      <c r="G58" s="21">
        <f t="shared" si="12"/>
        <v>0</v>
      </c>
    </row>
    <row r="59" spans="1:7" ht="16.5" x14ac:dyDescent="0.3">
      <c r="A59" s="11" t="s">
        <v>21</v>
      </c>
      <c r="B59" s="21">
        <f t="shared" ref="B59" si="13">(B57+B58)/2</f>
        <v>16.517412812967887</v>
      </c>
      <c r="C59" s="21">
        <f t="shared" ref="C59:G59" si="14">(C57+C58)/2</f>
        <v>43.043964608279609</v>
      </c>
      <c r="D59" s="21">
        <f t="shared" si="14"/>
        <v>44.471335107472086</v>
      </c>
      <c r="E59" s="21">
        <f t="shared" si="14"/>
        <v>32.055072916666667</v>
      </c>
      <c r="F59" s="21">
        <f t="shared" si="14"/>
        <v>0</v>
      </c>
      <c r="G59" s="21">
        <f t="shared" si="14"/>
        <v>0</v>
      </c>
    </row>
    <row r="60" spans="1:7" ht="16.5" x14ac:dyDescent="0.3">
      <c r="A60" s="11"/>
      <c r="B60" s="21"/>
      <c r="C60" s="21"/>
      <c r="D60" s="21"/>
      <c r="E60" s="21"/>
      <c r="F60" s="21"/>
      <c r="G60" s="21"/>
    </row>
    <row r="61" spans="1:7" ht="17.25" x14ac:dyDescent="0.35">
      <c r="A61" s="12" t="s">
        <v>32</v>
      </c>
      <c r="B61" s="21"/>
      <c r="C61" s="21"/>
      <c r="D61" s="21"/>
      <c r="E61" s="21"/>
      <c r="F61" s="21"/>
      <c r="G61" s="21"/>
    </row>
    <row r="62" spans="1:7" ht="16.5" x14ac:dyDescent="0.3">
      <c r="A62" s="11" t="s">
        <v>22</v>
      </c>
      <c r="B62" s="21">
        <f t="shared" ref="B62:C62" si="15">B28/B26*100</f>
        <v>100</v>
      </c>
      <c r="C62" s="21">
        <f t="shared" si="15"/>
        <v>100</v>
      </c>
      <c r="D62" s="21"/>
      <c r="E62" s="21"/>
      <c r="F62" s="21" t="s">
        <v>74</v>
      </c>
      <c r="G62" s="21"/>
    </row>
    <row r="63" spans="1:7" ht="16.5" x14ac:dyDescent="0.3">
      <c r="A63" s="11"/>
      <c r="B63" s="21"/>
      <c r="C63" s="21"/>
      <c r="D63" s="21"/>
      <c r="E63" s="21"/>
      <c r="F63" s="21"/>
      <c r="G63" s="21"/>
    </row>
    <row r="64" spans="1:7" ht="17.25" x14ac:dyDescent="0.35">
      <c r="A64" s="12" t="s">
        <v>23</v>
      </c>
      <c r="B64" s="21"/>
      <c r="C64" s="21"/>
      <c r="D64" s="21"/>
      <c r="E64" s="21"/>
      <c r="F64" s="21"/>
      <c r="G64" s="21"/>
    </row>
    <row r="65" spans="1:7" ht="16.5" x14ac:dyDescent="0.3">
      <c r="A65" s="11" t="s">
        <v>24</v>
      </c>
      <c r="B65" s="21">
        <f>((B19/B16)-1)*100</f>
        <v>-68.104776579352858</v>
      </c>
      <c r="C65" s="21">
        <f t="shared" ref="C65:G65" si="16">((C19/C16)-1)*100</f>
        <v>-51.063829787234049</v>
      </c>
      <c r="D65" s="21">
        <f t="shared" si="16"/>
        <v>19.999999999999996</v>
      </c>
      <c r="E65" s="21">
        <f t="shared" si="16"/>
        <v>-60.589812332439678</v>
      </c>
      <c r="F65" s="21">
        <f t="shared" si="16"/>
        <v>-100</v>
      </c>
      <c r="G65" s="21">
        <f t="shared" si="16"/>
        <v>-100</v>
      </c>
    </row>
    <row r="66" spans="1:7" ht="16.5" x14ac:dyDescent="0.3">
      <c r="A66" s="11" t="s">
        <v>25</v>
      </c>
      <c r="B66" s="21">
        <f>((B41/B40)-1)*100</f>
        <v>44.417326743533451</v>
      </c>
      <c r="C66" s="21">
        <f t="shared" ref="C66:E66" si="17">((C41/C40)-1)*100</f>
        <v>44.417326743533451</v>
      </c>
      <c r="D66" s="21">
        <f t="shared" si="17"/>
        <v>61.539517282085711</v>
      </c>
      <c r="E66" s="21">
        <f t="shared" si="17"/>
        <v>-75.168387806451321</v>
      </c>
      <c r="F66" s="21" t="s">
        <v>74</v>
      </c>
      <c r="G66" s="21" t="s">
        <v>74</v>
      </c>
    </row>
    <row r="67" spans="1:7" ht="16.5" x14ac:dyDescent="0.3">
      <c r="A67" s="11" t="s">
        <v>26</v>
      </c>
      <c r="B67" s="21">
        <f t="shared" ref="B67" si="18">((B43/B42)-1)*100</f>
        <v>352.78669109446002</v>
      </c>
      <c r="C67" s="21">
        <f t="shared" ref="C67:E67" si="19">((C43/C42)-1)*100</f>
        <v>195.11366769330749</v>
      </c>
      <c r="D67" s="21">
        <f t="shared" si="19"/>
        <v>34.616264401738086</v>
      </c>
      <c r="E67" s="21">
        <f t="shared" si="19"/>
        <v>-36.991895590519327</v>
      </c>
      <c r="F67" s="21" t="s">
        <v>74</v>
      </c>
      <c r="G67" s="21" t="s">
        <v>74</v>
      </c>
    </row>
    <row r="68" spans="1:7" ht="16.5" x14ac:dyDescent="0.3">
      <c r="A68" s="11"/>
      <c r="B68" s="21"/>
      <c r="C68" s="21"/>
      <c r="D68" s="21"/>
      <c r="E68" s="21"/>
      <c r="F68" s="21"/>
      <c r="G68" s="21"/>
    </row>
    <row r="69" spans="1:7" ht="17.25" x14ac:dyDescent="0.35">
      <c r="A69" s="12" t="s">
        <v>27</v>
      </c>
      <c r="B69" s="21"/>
      <c r="C69" s="21"/>
      <c r="D69" s="21"/>
      <c r="E69" s="21"/>
      <c r="F69" s="21"/>
      <c r="G69" s="21"/>
    </row>
    <row r="70" spans="1:7" ht="16.5" x14ac:dyDescent="0.3">
      <c r="A70" s="11" t="s">
        <v>33</v>
      </c>
      <c r="B70" s="21">
        <f>B25/B18</f>
        <v>21145.037700282752</v>
      </c>
      <c r="C70" s="21">
        <f t="shared" ref="C70:G70" si="20">C25/C18</f>
        <v>197752.80898876404</v>
      </c>
      <c r="D70" s="21">
        <f t="shared" si="20"/>
        <v>584615.38461538462</v>
      </c>
      <c r="E70" s="21">
        <f t="shared" si="20"/>
        <v>38095.238095238084</v>
      </c>
      <c r="F70" s="21">
        <f t="shared" si="20"/>
        <v>4974.1615226337444</v>
      </c>
      <c r="G70" s="21">
        <f t="shared" si="20"/>
        <v>4974.1615226337444</v>
      </c>
    </row>
    <row r="71" spans="1:7" ht="16.5" x14ac:dyDescent="0.3">
      <c r="A71" s="11" t="s">
        <v>34</v>
      </c>
      <c r="B71" s="21">
        <f>B26/B19</f>
        <v>103670.83594202898</v>
      </c>
      <c r="C71" s="21">
        <f t="shared" ref="C71:E71" si="21">C26/C19</f>
        <v>103670.83594202898</v>
      </c>
      <c r="D71" s="21">
        <f t="shared" si="21"/>
        <v>349961.96733333333</v>
      </c>
      <c r="E71" s="21">
        <f t="shared" si="21"/>
        <v>3143.8435374149658</v>
      </c>
      <c r="F71" s="21" t="s">
        <v>74</v>
      </c>
      <c r="G71" s="21" t="s">
        <v>74</v>
      </c>
    </row>
    <row r="72" spans="1:7" ht="16.5" x14ac:dyDescent="0.3">
      <c r="A72" s="11" t="s">
        <v>28</v>
      </c>
      <c r="B72" s="21">
        <f>(B71/B70)*B54</f>
        <v>282.31532884863134</v>
      </c>
      <c r="C72" s="21">
        <f t="shared" ref="C72:E72" si="22">(C71/C70)*C54</f>
        <v>92.926362702363832</v>
      </c>
      <c r="D72" s="21">
        <f t="shared" si="22"/>
        <v>110.41892849560999</v>
      </c>
      <c r="E72" s="21">
        <f t="shared" si="22"/>
        <v>10.422581849051342</v>
      </c>
      <c r="F72" s="21" t="s">
        <v>74</v>
      </c>
      <c r="G72" s="21" t="s">
        <v>74</v>
      </c>
    </row>
    <row r="73" spans="1:7" ht="16.5" x14ac:dyDescent="0.3">
      <c r="A73" s="11" t="s">
        <v>35</v>
      </c>
      <c r="B73" s="21">
        <f>B25/(B18*3)</f>
        <v>7048.3459000942503</v>
      </c>
      <c r="C73" s="21">
        <f t="shared" ref="C73:G73" si="23">C25/(C18*3)</f>
        <v>65917.602996254675</v>
      </c>
      <c r="D73" s="21">
        <f t="shared" si="23"/>
        <v>194871.79487179487</v>
      </c>
      <c r="E73" s="21">
        <f t="shared" si="23"/>
        <v>12698.412698412696</v>
      </c>
      <c r="F73" s="21">
        <f t="shared" si="23"/>
        <v>1658.053840877915</v>
      </c>
      <c r="G73" s="21">
        <f t="shared" si="23"/>
        <v>1658.053840877915</v>
      </c>
    </row>
    <row r="74" spans="1:7" ht="16.5" x14ac:dyDescent="0.3">
      <c r="A74" s="11" t="s">
        <v>36</v>
      </c>
      <c r="B74" s="21">
        <f>B26/(B19*3)</f>
        <v>34556.945314009659</v>
      </c>
      <c r="C74" s="21">
        <f t="shared" ref="C74:E74" si="24">C26/(C19*3)</f>
        <v>34556.945314009659</v>
      </c>
      <c r="D74" s="21">
        <f t="shared" si="24"/>
        <v>116653.98911111111</v>
      </c>
      <c r="E74" s="21">
        <f t="shared" si="24"/>
        <v>1047.9478458049887</v>
      </c>
      <c r="F74" s="21" t="s">
        <v>74</v>
      </c>
      <c r="G74" s="21" t="s">
        <v>74</v>
      </c>
    </row>
    <row r="75" spans="1:7" ht="16.5" x14ac:dyDescent="0.3">
      <c r="A75" s="11"/>
      <c r="B75" s="21"/>
      <c r="C75" s="21"/>
      <c r="D75" s="21"/>
      <c r="E75" s="21"/>
      <c r="F75" s="21"/>
      <c r="G75" s="21"/>
    </row>
    <row r="76" spans="1:7" ht="17.25" x14ac:dyDescent="0.35">
      <c r="A76" s="12" t="s">
        <v>29</v>
      </c>
      <c r="B76" s="21"/>
      <c r="C76" s="21"/>
      <c r="D76" s="21"/>
      <c r="E76" s="21"/>
      <c r="F76" s="21"/>
      <c r="G76" s="21"/>
    </row>
    <row r="77" spans="1:7" ht="16.5" x14ac:dyDescent="0.3">
      <c r="A77" s="11" t="s">
        <v>30</v>
      </c>
      <c r="B77" s="21">
        <f>(B32/B31)*100</f>
        <v>100</v>
      </c>
      <c r="C77" s="21">
        <f>(C32/C31)*100</f>
        <v>102.84090909090908</v>
      </c>
      <c r="D77" s="21"/>
      <c r="E77" s="21"/>
      <c r="F77" s="21">
        <f>(F32/F31)*100</f>
        <v>89.658492394338225</v>
      </c>
      <c r="G77" s="21"/>
    </row>
    <row r="78" spans="1:7" ht="16.5" x14ac:dyDescent="0.3">
      <c r="A78" s="11" t="s">
        <v>31</v>
      </c>
      <c r="B78" s="21">
        <f>(B26/B32)*100</f>
        <v>95.653991718700581</v>
      </c>
      <c r="C78" s="21">
        <f>(C26/C32)*100</f>
        <v>118.56277922651932</v>
      </c>
      <c r="D78" s="21"/>
      <c r="E78" s="21"/>
      <c r="F78" s="21">
        <f>(F26/F32)*100</f>
        <v>0</v>
      </c>
      <c r="G78" s="21"/>
    </row>
    <row r="79" spans="1:7" ht="17.25" thickBot="1" x14ac:dyDescent="0.35">
      <c r="A79" s="22"/>
      <c r="B79" s="26"/>
      <c r="C79" s="26"/>
      <c r="D79" s="26"/>
      <c r="E79" s="26"/>
      <c r="F79" s="26"/>
      <c r="G79" s="26"/>
    </row>
    <row r="80" spans="1:7" ht="16.5" customHeight="1" thickTop="1" x14ac:dyDescent="0.25">
      <c r="A80" s="39" t="s">
        <v>127</v>
      </c>
      <c r="B80" s="39"/>
      <c r="C80" s="39"/>
      <c r="D80" s="39"/>
      <c r="E80" s="39"/>
      <c r="F80" s="39"/>
      <c r="G80" s="39"/>
    </row>
    <row r="81" spans="1:7" ht="16.5" x14ac:dyDescent="0.3">
      <c r="A81" s="23"/>
      <c r="B81" s="11"/>
      <c r="C81" s="11"/>
      <c r="D81" s="11"/>
      <c r="E81" s="11"/>
      <c r="F81" s="11"/>
      <c r="G81" s="11"/>
    </row>
    <row r="82" spans="1:7" x14ac:dyDescent="0.25">
      <c r="A82" s="8"/>
    </row>
    <row r="83" spans="1:7" x14ac:dyDescent="0.25">
      <c r="A83" s="8"/>
      <c r="B83" s="9"/>
      <c r="C83" s="9"/>
      <c r="D83" s="9"/>
    </row>
    <row r="84" spans="1:7" x14ac:dyDescent="0.25">
      <c r="A84" s="8"/>
    </row>
    <row r="85" spans="1:7" x14ac:dyDescent="0.25">
      <c r="A85" s="8"/>
    </row>
    <row r="93" spans="1:7" x14ac:dyDescent="0.25">
      <c r="A93" s="3"/>
    </row>
  </sheetData>
  <mergeCells count="10">
    <mergeCell ref="F10:F11"/>
    <mergeCell ref="G10:G11"/>
    <mergeCell ref="D10:D11"/>
    <mergeCell ref="F9:G9"/>
    <mergeCell ref="A80:G80"/>
    <mergeCell ref="A9:A11"/>
    <mergeCell ref="B9:B11"/>
    <mergeCell ref="C9:E9"/>
    <mergeCell ref="C10:C11"/>
    <mergeCell ref="E10:E11"/>
  </mergeCells>
  <pageMargins left="0.7" right="0.7" top="0.75" bottom="0.75" header="0.3" footer="0.3"/>
  <pageSetup orientation="portrait" r:id="rId1"/>
  <ignoredErrors>
    <ignoredError sqref="F2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92"/>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1" customWidth="1"/>
    <col min="2" max="7" width="19.5703125" style="1" customWidth="1"/>
    <col min="8" max="16384" width="11.42578125" style="1"/>
  </cols>
  <sheetData>
    <row r="7" spans="1:7" ht="25.5" customHeight="1" x14ac:dyDescent="0.25"/>
    <row r="8" spans="1:7" ht="25.5" customHeight="1" x14ac:dyDescent="0.25"/>
    <row r="9" spans="1:7" s="4" customFormat="1" ht="17.25"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2</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11"/>
      <c r="C14" s="11"/>
      <c r="D14" s="11"/>
      <c r="E14" s="11"/>
      <c r="F14" s="11"/>
      <c r="G14" s="11"/>
    </row>
    <row r="15" spans="1:7" ht="17.25" x14ac:dyDescent="0.35">
      <c r="A15" s="12" t="s">
        <v>43</v>
      </c>
      <c r="B15" s="11"/>
      <c r="C15" s="11"/>
      <c r="D15" s="11"/>
      <c r="E15" s="11"/>
      <c r="F15" s="11"/>
      <c r="G15" s="11"/>
    </row>
    <row r="16" spans="1:7" s="7" customFormat="1" ht="16.5" x14ac:dyDescent="0.3">
      <c r="A16" s="13" t="s">
        <v>58</v>
      </c>
      <c r="B16" s="14">
        <f>C16+F16</f>
        <v>986</v>
      </c>
      <c r="C16" s="14">
        <f>D16+E16</f>
        <v>760</v>
      </c>
      <c r="D16" s="14">
        <f>+'I Trimestre'!D16+'II Trimestre'!D16</f>
        <v>117</v>
      </c>
      <c r="E16" s="14">
        <f>+'I Trimestre'!E16+'II Trimestre'!E16</f>
        <v>643</v>
      </c>
      <c r="F16" s="25">
        <f>SUM(G16:G16)</f>
        <v>226</v>
      </c>
      <c r="G16" s="25">
        <f>+'I Trimestre'!G16+'II Trimestre'!G16</f>
        <v>226</v>
      </c>
    </row>
    <row r="17" spans="1:9" s="7" customFormat="1" ht="16.5" x14ac:dyDescent="0.3">
      <c r="A17" s="15" t="s">
        <v>42</v>
      </c>
      <c r="B17" s="14">
        <f>C17+F17</f>
        <v>934</v>
      </c>
      <c r="C17" s="14">
        <f>D17+E17</f>
        <v>708</v>
      </c>
      <c r="D17" s="14">
        <f>+'I Trimestre'!D17+'II Trimestre'!D17</f>
        <v>65</v>
      </c>
      <c r="E17" s="14">
        <f>+'I Trimestre'!E17+'II Trimestre'!E17</f>
        <v>643</v>
      </c>
      <c r="F17" s="25">
        <f>SUM(G17:G17)</f>
        <v>226</v>
      </c>
      <c r="G17" s="25">
        <f>+'I Trimestre'!G17+'II Trimestre'!G17</f>
        <v>226</v>
      </c>
    </row>
    <row r="18" spans="1:9" s="7" customFormat="1" ht="16.5" x14ac:dyDescent="0.3">
      <c r="A18" s="13" t="s">
        <v>92</v>
      </c>
      <c r="B18" s="14">
        <f>C18+F18</f>
        <v>1149.3333333333333</v>
      </c>
      <c r="C18" s="14">
        <f>D18+E18</f>
        <v>177.33333333333331</v>
      </c>
      <c r="D18" s="14">
        <f>+'I Trimestre'!D18+'II Trimestre'!D18</f>
        <v>51.333333333333329</v>
      </c>
      <c r="E18" s="14">
        <f>+'I Trimestre'!E18+'II Trimestre'!E18</f>
        <v>126</v>
      </c>
      <c r="F18" s="25">
        <f>SUM(G18:G18)</f>
        <v>972</v>
      </c>
      <c r="G18" s="25">
        <f>+'I Trimestre'!G18+'II Trimestre'!G18</f>
        <v>972</v>
      </c>
    </row>
    <row r="19" spans="1:9" s="7" customFormat="1" ht="16.5" x14ac:dyDescent="0.3">
      <c r="A19" s="13" t="s">
        <v>93</v>
      </c>
      <c r="B19" s="14">
        <f>C19+F19</f>
        <v>435</v>
      </c>
      <c r="C19" s="14">
        <f>D19+E19</f>
        <v>435</v>
      </c>
      <c r="D19" s="14">
        <f>(+'I Trimestre'!D19+'II Trimestre'!D19)</f>
        <v>123</v>
      </c>
      <c r="E19" s="14">
        <f>+'I Trimestre'!E19+'II Trimestre'!E19</f>
        <v>312</v>
      </c>
      <c r="F19" s="25">
        <f>SUM(G19:G19)</f>
        <v>0</v>
      </c>
      <c r="G19" s="25">
        <f>+'I Trimestre'!G19+'II Trimestre'!G19</f>
        <v>0</v>
      </c>
    </row>
    <row r="20" spans="1:9" s="7" customFormat="1" ht="16.5" x14ac:dyDescent="0.3">
      <c r="A20" s="15" t="s">
        <v>42</v>
      </c>
      <c r="B20" s="14">
        <f>C20+F20</f>
        <v>387</v>
      </c>
      <c r="C20" s="14">
        <f>D20+E20</f>
        <v>387</v>
      </c>
      <c r="D20" s="14">
        <f>(+'I Trimestre'!D20+'II Trimestre'!D20)</f>
        <v>75</v>
      </c>
      <c r="E20" s="14">
        <f>+'I Trimestre'!E20+'II Trimestre'!E20</f>
        <v>312</v>
      </c>
      <c r="F20" s="25">
        <f>SUM(G20:G20)</f>
        <v>0</v>
      </c>
      <c r="G20" s="25">
        <f>+'I Trimestre'!G20+'II Trimestre'!G20</f>
        <v>0</v>
      </c>
    </row>
    <row r="21" spans="1:9" s="7" customFormat="1" ht="16.5" x14ac:dyDescent="0.3">
      <c r="A21" s="13" t="s">
        <v>81</v>
      </c>
      <c r="B21" s="14">
        <f>+'II Trimestre'!B21</f>
        <v>2271</v>
      </c>
      <c r="C21" s="14">
        <f>+'II Trimestre'!C21</f>
        <v>354</v>
      </c>
      <c r="D21" s="14">
        <f>+'II Trimestre'!D21</f>
        <v>102</v>
      </c>
      <c r="E21" s="14">
        <f>+'II Trimestre'!E21</f>
        <v>252</v>
      </c>
      <c r="F21" s="25">
        <f>+'II Trimestre'!F21</f>
        <v>1917</v>
      </c>
      <c r="G21" s="25">
        <f>+'II Trimestre'!G21</f>
        <v>1917</v>
      </c>
    </row>
    <row r="22" spans="1:9" s="7" customFormat="1" ht="16.5" x14ac:dyDescent="0.3">
      <c r="A22" s="11"/>
      <c r="B22" s="14"/>
      <c r="C22" s="14"/>
      <c r="D22" s="14"/>
      <c r="E22" s="14"/>
      <c r="F22" s="14"/>
      <c r="G22" s="14"/>
    </row>
    <row r="23" spans="1:9" s="7" customFormat="1" ht="17.25" x14ac:dyDescent="0.35">
      <c r="A23" s="17" t="s">
        <v>5</v>
      </c>
      <c r="B23" s="14"/>
      <c r="C23" s="14"/>
      <c r="D23" s="14"/>
      <c r="E23" s="14"/>
      <c r="F23" s="14"/>
      <c r="G23" s="14"/>
    </row>
    <row r="24" spans="1:9" s="7" customFormat="1" ht="16.5" x14ac:dyDescent="0.3">
      <c r="A24" s="13" t="s">
        <v>58</v>
      </c>
      <c r="B24" s="14">
        <f>C24+F24</f>
        <v>29057009.349999998</v>
      </c>
      <c r="C24" s="14">
        <f>D24+E24</f>
        <v>29057009.349999998</v>
      </c>
      <c r="D24" s="14">
        <f>+'I Trimestre'!D24+'II Trimestre'!D24</f>
        <v>25699089.349999998</v>
      </c>
      <c r="E24" s="14">
        <f>+'I Trimestre'!E24+'II Trimestre'!E24</f>
        <v>3357920</v>
      </c>
      <c r="F24" s="14">
        <f>SUM(G24:G24)</f>
        <v>0</v>
      </c>
      <c r="G24" s="14">
        <f>+'I Trimestre'!G24+'II Trimestre'!G24</f>
        <v>0</v>
      </c>
    </row>
    <row r="25" spans="1:9" s="7" customFormat="1" ht="16.5" x14ac:dyDescent="0.3">
      <c r="A25" s="13" t="s">
        <v>92</v>
      </c>
      <c r="B25" s="14">
        <f t="shared" ref="B25:B26" si="0">C25+F25</f>
        <v>51750413</v>
      </c>
      <c r="C25" s="14">
        <f t="shared" ref="C25:C26" si="1">D25+E25</f>
        <v>46915528</v>
      </c>
      <c r="D25" s="14">
        <f>'I Trimestre'!D25+'II Trimestre'!D25</f>
        <v>42515528</v>
      </c>
      <c r="E25" s="14">
        <f>'I Trimestre'!E25+'II Trimestre'!E25</f>
        <v>4399999.9999999991</v>
      </c>
      <c r="F25" s="14">
        <f>SUM(G25:G25)</f>
        <v>4834885</v>
      </c>
      <c r="G25" s="14">
        <f>'I Trimestre'!G25+'II Trimestre'!G25</f>
        <v>4834885</v>
      </c>
    </row>
    <row r="26" spans="1:9" s="7" customFormat="1" ht="16.5" x14ac:dyDescent="0.3">
      <c r="A26" s="13" t="s">
        <v>93</v>
      </c>
      <c r="B26" s="14">
        <f t="shared" si="0"/>
        <v>28938452.09</v>
      </c>
      <c r="C26" s="14">
        <f t="shared" si="1"/>
        <v>28938452.09</v>
      </c>
      <c r="D26" s="14">
        <f>+'I Trimestre'!D26+'II Trimestre'!D26</f>
        <v>27353447.09</v>
      </c>
      <c r="E26" s="14">
        <f>+'I Trimestre'!E26+'II Trimestre'!E26</f>
        <v>1585005</v>
      </c>
      <c r="F26" s="14">
        <f>SUM(G26:G26)</f>
        <v>0</v>
      </c>
      <c r="G26" s="14">
        <f>+'I Trimestre'!G26+'II Trimestre'!G26</f>
        <v>0</v>
      </c>
      <c r="I26" s="6"/>
    </row>
    <row r="27" spans="1:9" s="7" customFormat="1" ht="16.5" x14ac:dyDescent="0.3">
      <c r="A27" s="13" t="s">
        <v>81</v>
      </c>
      <c r="B27" s="14">
        <f>+'II Trimestre'!B27</f>
        <v>89715528</v>
      </c>
      <c r="C27" s="14">
        <f>+'II Trimestre'!C27</f>
        <v>77715528</v>
      </c>
      <c r="D27" s="14">
        <f>+'II Trimestre'!D27</f>
        <v>69715528</v>
      </c>
      <c r="E27" s="14">
        <f>+'II Trimestre'!E27</f>
        <v>7999999.9999999991</v>
      </c>
      <c r="F27" s="14">
        <f>+'II Trimestre'!F27</f>
        <v>12000000</v>
      </c>
      <c r="G27" s="14">
        <f>+'II Trimestre'!G27</f>
        <v>12000000</v>
      </c>
    </row>
    <row r="28" spans="1:9" s="7" customFormat="1" ht="16.5" x14ac:dyDescent="0.3">
      <c r="A28" s="13" t="s">
        <v>94</v>
      </c>
      <c r="B28" s="14">
        <f>+C28+F28</f>
        <v>28938452.09</v>
      </c>
      <c r="C28" s="14">
        <f>+D28+E28</f>
        <v>28938452.09</v>
      </c>
      <c r="D28" s="14">
        <f>D26</f>
        <v>27353447.09</v>
      </c>
      <c r="E28" s="14">
        <f>+E26</f>
        <v>1585005</v>
      </c>
      <c r="F28" s="14">
        <f>+SUM(G28)</f>
        <v>0</v>
      </c>
      <c r="G28" s="14">
        <f>G26</f>
        <v>0</v>
      </c>
    </row>
    <row r="29" spans="1:9" s="7" customFormat="1" ht="16.5" x14ac:dyDescent="0.3">
      <c r="A29" s="11"/>
      <c r="B29" s="14"/>
      <c r="C29" s="14"/>
      <c r="D29" s="14"/>
      <c r="E29" s="14"/>
      <c r="F29" s="14"/>
      <c r="G29" s="14"/>
    </row>
    <row r="30" spans="1:9" s="7" customFormat="1" ht="17.25" x14ac:dyDescent="0.35">
      <c r="A30" s="17" t="s">
        <v>6</v>
      </c>
      <c r="B30" s="14"/>
      <c r="C30" s="14"/>
      <c r="D30" s="14"/>
      <c r="E30" s="14"/>
      <c r="F30" s="14"/>
      <c r="G30" s="14"/>
    </row>
    <row r="31" spans="1:9" s="7" customFormat="1" ht="16.5" x14ac:dyDescent="0.3">
      <c r="A31" s="13" t="s">
        <v>92</v>
      </c>
      <c r="B31" s="14">
        <f>+B25</f>
        <v>51750413</v>
      </c>
      <c r="C31" s="14">
        <f>+C25</f>
        <v>46915528</v>
      </c>
      <c r="D31" s="14"/>
      <c r="E31" s="14"/>
      <c r="F31" s="14">
        <f>F25</f>
        <v>4834885</v>
      </c>
      <c r="G31" s="14"/>
    </row>
    <row r="32" spans="1:9" s="7" customFormat="1" ht="16.5" x14ac:dyDescent="0.3">
      <c r="A32" s="13" t="s">
        <v>93</v>
      </c>
      <c r="B32" s="14">
        <f>'I Trimestre'!B32+'II Trimestre'!B32</f>
        <v>51750413</v>
      </c>
      <c r="C32" s="14">
        <f>+'I Trimestre'!C32+'II Trimestre'!C32</f>
        <v>47415528</v>
      </c>
      <c r="D32" s="14"/>
      <c r="E32" s="14"/>
      <c r="F32" s="14">
        <f>+'I Trimestre'!F32+'II Trimestre'!F32</f>
        <v>4334885</v>
      </c>
      <c r="G32" s="14"/>
    </row>
    <row r="33" spans="1:13" ht="16.5" x14ac:dyDescent="0.3">
      <c r="A33" s="11"/>
      <c r="B33" s="18"/>
      <c r="C33" s="18"/>
      <c r="D33" s="18"/>
      <c r="E33" s="18"/>
      <c r="F33" s="18"/>
      <c r="G33" s="18"/>
    </row>
    <row r="34" spans="1:13" ht="17.25" x14ac:dyDescent="0.35">
      <c r="A34" s="12" t="s">
        <v>7</v>
      </c>
      <c r="B34" s="18"/>
      <c r="C34" s="18"/>
      <c r="D34" s="18"/>
      <c r="E34" s="18"/>
      <c r="F34" s="18"/>
      <c r="G34" s="18"/>
    </row>
    <row r="35" spans="1:13" ht="16.5" x14ac:dyDescent="0.3">
      <c r="A35" s="13" t="s">
        <v>59</v>
      </c>
      <c r="B35" s="19">
        <v>1.0552807376</v>
      </c>
      <c r="C35" s="19">
        <v>1.0552807376</v>
      </c>
      <c r="D35" s="19">
        <v>1.0552807376</v>
      </c>
      <c r="E35" s="19">
        <v>1.0552807376</v>
      </c>
      <c r="F35" s="19">
        <v>1.0552807376</v>
      </c>
      <c r="G35" s="19">
        <v>1.0552807376</v>
      </c>
      <c r="H35" s="2"/>
      <c r="I35" s="2"/>
      <c r="M35" s="1" t="s">
        <v>46</v>
      </c>
    </row>
    <row r="36" spans="1:13" ht="16.5" x14ac:dyDescent="0.3">
      <c r="A36" s="13" t="s">
        <v>95</v>
      </c>
      <c r="B36" s="19">
        <v>1.0586</v>
      </c>
      <c r="C36" s="19">
        <v>1.0586</v>
      </c>
      <c r="D36" s="19">
        <v>1.0586</v>
      </c>
      <c r="E36" s="19">
        <v>1.0586</v>
      </c>
      <c r="F36" s="19">
        <v>1.0586</v>
      </c>
      <c r="G36" s="19">
        <v>1.0586</v>
      </c>
      <c r="H36" s="2"/>
      <c r="I36" s="2"/>
    </row>
    <row r="37" spans="1:13" s="7" customFormat="1" ht="16.5" x14ac:dyDescent="0.3">
      <c r="A37" s="13" t="s">
        <v>8</v>
      </c>
      <c r="B37" s="14" t="s">
        <v>47</v>
      </c>
      <c r="C37" s="14" t="s">
        <v>47</v>
      </c>
      <c r="D37" s="14" t="s">
        <v>47</v>
      </c>
      <c r="E37" s="14" t="s">
        <v>47</v>
      </c>
      <c r="F37" s="14" t="s">
        <v>47</v>
      </c>
      <c r="G37" s="14" t="s">
        <v>47</v>
      </c>
    </row>
    <row r="38" spans="1:13" ht="16.5" x14ac:dyDescent="0.3">
      <c r="A38" s="11"/>
      <c r="B38" s="16"/>
      <c r="C38" s="16"/>
      <c r="D38" s="16"/>
      <c r="E38" s="16"/>
      <c r="F38" s="16"/>
      <c r="G38" s="16"/>
    </row>
    <row r="39" spans="1:13" ht="17.25" x14ac:dyDescent="0.35">
      <c r="A39" s="12" t="s">
        <v>9</v>
      </c>
      <c r="B39" s="16"/>
      <c r="C39" s="16"/>
      <c r="D39" s="16"/>
      <c r="E39" s="16"/>
      <c r="F39" s="16"/>
      <c r="G39" s="16"/>
    </row>
    <row r="40" spans="1:13" s="7" customFormat="1" ht="16.5" x14ac:dyDescent="0.3">
      <c r="A40" s="11" t="s">
        <v>60</v>
      </c>
      <c r="B40" s="14">
        <f>B24/B35</f>
        <v>27534861.875792094</v>
      </c>
      <c r="C40" s="14">
        <f t="shared" ref="C40:G40" si="2">C24/C35</f>
        <v>27534861.875792094</v>
      </c>
      <c r="D40" s="14">
        <f>D24/D35</f>
        <v>24352846.05729356</v>
      </c>
      <c r="E40" s="14">
        <f t="shared" si="2"/>
        <v>3182015.8184985337</v>
      </c>
      <c r="F40" s="14">
        <f t="shared" si="2"/>
        <v>0</v>
      </c>
      <c r="G40" s="14">
        <f t="shared" si="2"/>
        <v>0</v>
      </c>
    </row>
    <row r="41" spans="1:13" s="7" customFormat="1" ht="16.5" x14ac:dyDescent="0.3">
      <c r="A41" s="11" t="s">
        <v>96</v>
      </c>
      <c r="B41" s="14">
        <f t="shared" ref="B41:G41" si="3">B26/B36</f>
        <v>27336531.352730021</v>
      </c>
      <c r="C41" s="14">
        <f t="shared" si="3"/>
        <v>27336531.352730021</v>
      </c>
      <c r="D41" s="14">
        <f t="shared" si="3"/>
        <v>25839266.096731532</v>
      </c>
      <c r="E41" s="14">
        <f t="shared" si="3"/>
        <v>1497265.2559984885</v>
      </c>
      <c r="F41" s="14">
        <f t="shared" si="3"/>
        <v>0</v>
      </c>
      <c r="G41" s="14">
        <f t="shared" si="3"/>
        <v>0</v>
      </c>
    </row>
    <row r="42" spans="1:13" s="7" customFormat="1" ht="16.5" x14ac:dyDescent="0.3">
      <c r="A42" s="11" t="s">
        <v>61</v>
      </c>
      <c r="B42" s="14">
        <f t="shared" ref="B42:G42" si="4">B40/B16</f>
        <v>27925.823403440256</v>
      </c>
      <c r="C42" s="14">
        <f t="shared" si="4"/>
        <v>36230.08141551591</v>
      </c>
      <c r="D42" s="14">
        <f>D40/D16</f>
        <v>208143.98339567144</v>
      </c>
      <c r="E42" s="14">
        <f t="shared" si="4"/>
        <v>4948.7026726260247</v>
      </c>
      <c r="F42" s="14">
        <f t="shared" si="4"/>
        <v>0</v>
      </c>
      <c r="G42" s="14">
        <f t="shared" si="4"/>
        <v>0</v>
      </c>
    </row>
    <row r="43" spans="1:13" s="7" customFormat="1" ht="16.5" x14ac:dyDescent="0.3">
      <c r="A43" s="11" t="s">
        <v>97</v>
      </c>
      <c r="B43" s="14">
        <f t="shared" ref="B43:E43" si="5">B41/B19</f>
        <v>62842.600810873613</v>
      </c>
      <c r="C43" s="14">
        <f t="shared" si="5"/>
        <v>62842.600810873613</v>
      </c>
      <c r="D43" s="14">
        <f t="shared" si="5"/>
        <v>210075.33411976855</v>
      </c>
      <c r="E43" s="14">
        <f t="shared" si="5"/>
        <v>4798.9271025592579</v>
      </c>
      <c r="F43" s="14" t="s">
        <v>74</v>
      </c>
      <c r="G43" s="14" t="s">
        <v>74</v>
      </c>
    </row>
    <row r="44" spans="1:13" s="7" customFormat="1" ht="16.5" x14ac:dyDescent="0.3">
      <c r="A44" s="11"/>
      <c r="B44" s="20"/>
      <c r="C44" s="20"/>
      <c r="D44" s="20"/>
      <c r="E44" s="20"/>
      <c r="F44" s="20"/>
      <c r="G44" s="20"/>
    </row>
    <row r="45" spans="1:13" s="7" customFormat="1" ht="17.25" x14ac:dyDescent="0.35">
      <c r="A45" s="12" t="s">
        <v>10</v>
      </c>
      <c r="B45" s="20"/>
      <c r="C45" s="20"/>
      <c r="D45" s="20"/>
      <c r="E45" s="20"/>
      <c r="F45" s="20"/>
      <c r="G45" s="20"/>
    </row>
    <row r="46" spans="1:13" s="7" customFormat="1" ht="16.5" x14ac:dyDescent="0.3">
      <c r="A46" s="11"/>
      <c r="B46" s="20"/>
      <c r="C46" s="20"/>
      <c r="D46" s="20"/>
      <c r="E46" s="20"/>
      <c r="F46" s="20"/>
      <c r="G46" s="20"/>
    </row>
    <row r="47" spans="1:13" s="7" customFormat="1" ht="17.25" x14ac:dyDescent="0.35">
      <c r="A47" s="12" t="s">
        <v>11</v>
      </c>
      <c r="B47" s="20"/>
      <c r="C47" s="20"/>
      <c r="D47" s="20"/>
      <c r="E47" s="20"/>
      <c r="F47" s="20"/>
      <c r="G47" s="20"/>
    </row>
    <row r="48" spans="1:13" s="7" customFormat="1" ht="16.5" x14ac:dyDescent="0.3">
      <c r="A48" s="11" t="s">
        <v>12</v>
      </c>
      <c r="B48" s="21" t="s">
        <v>44</v>
      </c>
      <c r="C48" s="21" t="s">
        <v>44</v>
      </c>
      <c r="D48" s="21" t="s">
        <v>44</v>
      </c>
      <c r="E48" s="21" t="s">
        <v>44</v>
      </c>
      <c r="F48" s="21" t="s">
        <v>44</v>
      </c>
      <c r="G48" s="21" t="s">
        <v>44</v>
      </c>
    </row>
    <row r="49" spans="1:7" s="7" customFormat="1" ht="16.5" x14ac:dyDescent="0.3">
      <c r="A49" s="11" t="s">
        <v>13</v>
      </c>
      <c r="B49" s="21" t="s">
        <v>44</v>
      </c>
      <c r="C49" s="21" t="s">
        <v>44</v>
      </c>
      <c r="D49" s="21" t="s">
        <v>44</v>
      </c>
      <c r="E49" s="21" t="s">
        <v>44</v>
      </c>
      <c r="F49" s="21" t="s">
        <v>44</v>
      </c>
      <c r="G49" s="21" t="s">
        <v>44</v>
      </c>
    </row>
    <row r="50" spans="1:7" s="7" customFormat="1" ht="16.5" x14ac:dyDescent="0.3">
      <c r="A50" s="11"/>
      <c r="B50" s="21"/>
      <c r="C50" s="21"/>
      <c r="D50" s="21"/>
      <c r="E50" s="21"/>
      <c r="F50" s="21"/>
      <c r="G50" s="21"/>
    </row>
    <row r="51" spans="1:7" s="7" customFormat="1" ht="17.25" x14ac:dyDescent="0.35">
      <c r="A51" s="12" t="s">
        <v>14</v>
      </c>
      <c r="B51" s="21"/>
      <c r="C51" s="21"/>
      <c r="D51" s="21"/>
      <c r="E51" s="21"/>
      <c r="F51" s="21"/>
      <c r="G51" s="21"/>
    </row>
    <row r="52" spans="1:7" s="7" customFormat="1" ht="16.5" x14ac:dyDescent="0.3">
      <c r="A52" s="11" t="s">
        <v>15</v>
      </c>
      <c r="B52" s="21">
        <f>B19/B18*100</f>
        <v>37.848027842227381</v>
      </c>
      <c r="C52" s="21">
        <f t="shared" ref="C52:G52" si="6">C19/C18*100</f>
        <v>245.30075187969928</v>
      </c>
      <c r="D52" s="21">
        <f t="shared" si="6"/>
        <v>239.61038961038966</v>
      </c>
      <c r="E52" s="21">
        <f t="shared" si="6"/>
        <v>247.61904761904762</v>
      </c>
      <c r="F52" s="21">
        <f t="shared" si="6"/>
        <v>0</v>
      </c>
      <c r="G52" s="21">
        <f t="shared" si="6"/>
        <v>0</v>
      </c>
    </row>
    <row r="53" spans="1:7" s="7" customFormat="1" ht="16.5" x14ac:dyDescent="0.3">
      <c r="A53" s="11" t="s">
        <v>16</v>
      </c>
      <c r="B53" s="21">
        <f>B26/B25*100</f>
        <v>55.91926790999716</v>
      </c>
      <c r="C53" s="21">
        <f t="shared" ref="C53:G53" si="7">C26/C25*100</f>
        <v>61.682034336264955</v>
      </c>
      <c r="D53" s="21">
        <f t="shared" si="7"/>
        <v>64.337545308151874</v>
      </c>
      <c r="E53" s="21">
        <f t="shared" si="7"/>
        <v>36.022840909090917</v>
      </c>
      <c r="F53" s="21">
        <f t="shared" si="7"/>
        <v>0</v>
      </c>
      <c r="G53" s="21">
        <f t="shared" si="7"/>
        <v>0</v>
      </c>
    </row>
    <row r="54" spans="1:7" s="7" customFormat="1" ht="16.5" x14ac:dyDescent="0.3">
      <c r="A54" s="11" t="s">
        <v>17</v>
      </c>
      <c r="B54" s="21">
        <f t="shared" ref="B54" si="8">AVERAGE(B52:B53)</f>
        <v>46.883647876112271</v>
      </c>
      <c r="C54" s="21">
        <f t="shared" ref="C54:G54" si="9">AVERAGE(C52:C53)</f>
        <v>153.49139310798211</v>
      </c>
      <c r="D54" s="21">
        <f t="shared" si="9"/>
        <v>151.97396745927077</v>
      </c>
      <c r="E54" s="21">
        <f t="shared" si="9"/>
        <v>141.82094426406928</v>
      </c>
      <c r="F54" s="21">
        <f t="shared" si="9"/>
        <v>0</v>
      </c>
      <c r="G54" s="21">
        <f t="shared" si="9"/>
        <v>0</v>
      </c>
    </row>
    <row r="55" spans="1:7" s="7" customFormat="1" ht="16.5" x14ac:dyDescent="0.3">
      <c r="A55" s="11"/>
      <c r="B55" s="21"/>
      <c r="C55" s="21"/>
      <c r="D55" s="21"/>
      <c r="E55" s="21"/>
      <c r="F55" s="21"/>
      <c r="G55" s="21"/>
    </row>
    <row r="56" spans="1:7" s="7" customFormat="1" ht="17.25" x14ac:dyDescent="0.35">
      <c r="A56" s="12" t="s">
        <v>18</v>
      </c>
      <c r="B56" s="21"/>
      <c r="C56" s="21"/>
      <c r="D56" s="21"/>
      <c r="E56" s="21"/>
      <c r="F56" s="21"/>
      <c r="G56" s="21"/>
    </row>
    <row r="57" spans="1:7" s="7" customFormat="1" ht="16.5" x14ac:dyDescent="0.3">
      <c r="A57" s="11" t="s">
        <v>19</v>
      </c>
      <c r="B57" s="21">
        <f>(B19/B21)*100</f>
        <v>19.154557463672393</v>
      </c>
      <c r="C57" s="21">
        <f t="shared" ref="C57:G57" si="10">(C19/C21)*100</f>
        <v>122.88135593220339</v>
      </c>
      <c r="D57" s="21">
        <f t="shared" si="10"/>
        <v>120.58823529411764</v>
      </c>
      <c r="E57" s="21">
        <f t="shared" si="10"/>
        <v>123.80952380952381</v>
      </c>
      <c r="F57" s="21">
        <f t="shared" si="10"/>
        <v>0</v>
      </c>
      <c r="G57" s="21">
        <f t="shared" si="10"/>
        <v>0</v>
      </c>
    </row>
    <row r="58" spans="1:7" s="7" customFormat="1" ht="16.5" x14ac:dyDescent="0.3">
      <c r="A58" s="11" t="s">
        <v>20</v>
      </c>
      <c r="B58" s="21">
        <f>B26/B27*100</f>
        <v>32.255789755815741</v>
      </c>
      <c r="C58" s="21">
        <f t="shared" ref="C58:G58" si="11">C26/C27*100</f>
        <v>37.23638355773636</v>
      </c>
      <c r="D58" s="21">
        <f t="shared" si="11"/>
        <v>39.235802804218885</v>
      </c>
      <c r="E58" s="21">
        <f t="shared" si="11"/>
        <v>19.812562500000002</v>
      </c>
      <c r="F58" s="21">
        <f t="shared" si="11"/>
        <v>0</v>
      </c>
      <c r="G58" s="21">
        <f t="shared" si="11"/>
        <v>0</v>
      </c>
    </row>
    <row r="59" spans="1:7" s="7" customFormat="1" ht="16.5" x14ac:dyDescent="0.3">
      <c r="A59" s="11" t="s">
        <v>21</v>
      </c>
      <c r="B59" s="21">
        <f t="shared" ref="B59" si="12">(B57+B58)/2</f>
        <v>25.705173609744065</v>
      </c>
      <c r="C59" s="21">
        <f t="shared" ref="C59:G59" si="13">(C57+C58)/2</f>
        <v>80.058869744969883</v>
      </c>
      <c r="D59" s="21">
        <f t="shared" si="13"/>
        <v>79.912019049168265</v>
      </c>
      <c r="E59" s="21">
        <f t="shared" si="13"/>
        <v>71.811043154761904</v>
      </c>
      <c r="F59" s="21">
        <f t="shared" si="13"/>
        <v>0</v>
      </c>
      <c r="G59" s="21">
        <f t="shared" si="13"/>
        <v>0</v>
      </c>
    </row>
    <row r="60" spans="1:7" s="7" customFormat="1" ht="16.5" x14ac:dyDescent="0.3">
      <c r="A60" s="11"/>
      <c r="B60" s="21"/>
      <c r="C60" s="21"/>
      <c r="D60" s="21"/>
      <c r="E60" s="21"/>
      <c r="F60" s="21"/>
      <c r="G60" s="21"/>
    </row>
    <row r="61" spans="1:7" s="7" customFormat="1" ht="17.25" x14ac:dyDescent="0.35">
      <c r="A61" s="12" t="s">
        <v>32</v>
      </c>
      <c r="B61" s="21"/>
      <c r="C61" s="21"/>
      <c r="D61" s="21"/>
      <c r="E61" s="21"/>
      <c r="F61" s="21"/>
      <c r="G61" s="21"/>
    </row>
    <row r="62" spans="1:7" s="7" customFormat="1" ht="16.5" x14ac:dyDescent="0.3">
      <c r="A62" s="11" t="s">
        <v>22</v>
      </c>
      <c r="B62" s="21">
        <f t="shared" ref="B62:C62" si="14">B28/B26*100</f>
        <v>100</v>
      </c>
      <c r="C62" s="21">
        <f t="shared" si="14"/>
        <v>100</v>
      </c>
      <c r="D62" s="21"/>
      <c r="E62" s="21"/>
      <c r="F62" s="21" t="s">
        <v>74</v>
      </c>
      <c r="G62" s="21"/>
    </row>
    <row r="63" spans="1:7" s="7" customFormat="1" ht="16.5" x14ac:dyDescent="0.3">
      <c r="A63" s="11"/>
      <c r="B63" s="21"/>
      <c r="C63" s="21"/>
      <c r="D63" s="21"/>
      <c r="E63" s="21"/>
      <c r="F63" s="21"/>
      <c r="G63" s="21"/>
    </row>
    <row r="64" spans="1:7" s="7" customFormat="1" ht="17.25" x14ac:dyDescent="0.35">
      <c r="A64" s="12" t="s">
        <v>23</v>
      </c>
      <c r="B64" s="21"/>
      <c r="C64" s="21"/>
      <c r="D64" s="21"/>
      <c r="E64" s="21"/>
      <c r="F64" s="21"/>
      <c r="G64" s="21"/>
    </row>
    <row r="65" spans="1:7" s="7" customFormat="1" ht="16.5" x14ac:dyDescent="0.3">
      <c r="A65" s="11" t="s">
        <v>24</v>
      </c>
      <c r="B65" s="21">
        <f>((B19/B16)-1)*100</f>
        <v>-55.882352941176471</v>
      </c>
      <c r="C65" s="21">
        <f t="shared" ref="C65:G65" si="15">((C19/C16)-1)*100</f>
        <v>-42.76315789473685</v>
      </c>
      <c r="D65" s="21">
        <f t="shared" si="15"/>
        <v>5.1282051282051322</v>
      </c>
      <c r="E65" s="21">
        <f t="shared" si="15"/>
        <v>-51.477449455676513</v>
      </c>
      <c r="F65" s="21">
        <f t="shared" si="15"/>
        <v>-100</v>
      </c>
      <c r="G65" s="21">
        <f t="shared" si="15"/>
        <v>-100</v>
      </c>
    </row>
    <row r="66" spans="1:7" s="7" customFormat="1" ht="16.5" x14ac:dyDescent="0.3">
      <c r="A66" s="11" t="s">
        <v>25</v>
      </c>
      <c r="B66" s="21">
        <f>((B41/B40)-1)*100</f>
        <v>-0.72028878865173507</v>
      </c>
      <c r="C66" s="21">
        <f t="shared" ref="C66:E66" si="16">((C41/C40)-1)*100</f>
        <v>-0.72028878865173507</v>
      </c>
      <c r="D66" s="21">
        <f t="shared" si="16"/>
        <v>6.1036810068973324</v>
      </c>
      <c r="E66" s="21">
        <f t="shared" si="16"/>
        <v>-52.94601468370486</v>
      </c>
      <c r="F66" s="21" t="s">
        <v>74</v>
      </c>
      <c r="G66" s="21" t="s">
        <v>74</v>
      </c>
    </row>
    <row r="67" spans="1:7" s="7" customFormat="1" ht="16.5" x14ac:dyDescent="0.3">
      <c r="A67" s="11" t="s">
        <v>26</v>
      </c>
      <c r="B67" s="21">
        <f t="shared" ref="B67" si="17">((B43/B42)-1)*100</f>
        <v>125.03401207905607</v>
      </c>
      <c r="C67" s="21">
        <f t="shared" ref="C67:E67" si="18">((C43/C42)-1)*100</f>
        <v>73.454208093390065</v>
      </c>
      <c r="D67" s="21">
        <f t="shared" si="18"/>
        <v>0.92789168948770318</v>
      </c>
      <c r="E67" s="21">
        <f t="shared" si="18"/>
        <v>-3.0265623128917674</v>
      </c>
      <c r="F67" s="21" t="s">
        <v>74</v>
      </c>
      <c r="G67" s="21" t="s">
        <v>74</v>
      </c>
    </row>
    <row r="68" spans="1:7" s="7" customFormat="1" ht="16.5" x14ac:dyDescent="0.3">
      <c r="A68" s="11"/>
      <c r="B68" s="21"/>
      <c r="C68" s="21"/>
      <c r="D68" s="21"/>
      <c r="E68" s="21"/>
      <c r="F68" s="21"/>
      <c r="G68" s="21"/>
    </row>
    <row r="69" spans="1:7" s="7" customFormat="1" ht="17.25" x14ac:dyDescent="0.35">
      <c r="A69" s="12" t="s">
        <v>27</v>
      </c>
      <c r="B69" s="21"/>
      <c r="C69" s="21"/>
      <c r="D69" s="21"/>
      <c r="E69" s="21"/>
      <c r="F69" s="21"/>
      <c r="G69" s="21"/>
    </row>
    <row r="70" spans="1:7" s="7" customFormat="1" ht="16.5" x14ac:dyDescent="0.3">
      <c r="A70" s="11" t="s">
        <v>37</v>
      </c>
      <c r="B70" s="21">
        <f t="shared" ref="B70" si="19">B25/B18</f>
        <v>45026.461426914153</v>
      </c>
      <c r="C70" s="21">
        <f t="shared" ref="C70:G70" si="20">C25/C18</f>
        <v>264561.24812030076</v>
      </c>
      <c r="D70" s="21">
        <f t="shared" si="20"/>
        <v>828224.57142857148</v>
      </c>
      <c r="E70" s="21">
        <f t="shared" si="20"/>
        <v>34920.634920634911</v>
      </c>
      <c r="F70" s="21">
        <f t="shared" si="20"/>
        <v>4974.1615226337444</v>
      </c>
      <c r="G70" s="21">
        <f t="shared" si="20"/>
        <v>4974.1615226337444</v>
      </c>
    </row>
    <row r="71" spans="1:7" s="7" customFormat="1" ht="16.5" x14ac:dyDescent="0.3">
      <c r="A71" s="11" t="s">
        <v>38</v>
      </c>
      <c r="B71" s="21">
        <f t="shared" ref="B71" si="21">B26/B19</f>
        <v>66525.177218390803</v>
      </c>
      <c r="C71" s="21">
        <f t="shared" ref="C71:E71" si="22">C26/C19</f>
        <v>66525.177218390803</v>
      </c>
      <c r="D71" s="21">
        <f t="shared" si="22"/>
        <v>222385.74869918698</v>
      </c>
      <c r="E71" s="21">
        <f t="shared" si="22"/>
        <v>5080.1442307692305</v>
      </c>
      <c r="F71" s="21" t="s">
        <v>74</v>
      </c>
      <c r="G71" s="21" t="s">
        <v>74</v>
      </c>
    </row>
    <row r="72" spans="1:7" s="7" customFormat="1" ht="16.5" x14ac:dyDescent="0.3">
      <c r="A72" s="11" t="s">
        <v>28</v>
      </c>
      <c r="B72" s="21">
        <f>(B71/B70)*B54</f>
        <v>69.269111645950503</v>
      </c>
      <c r="C72" s="21">
        <f t="shared" ref="C72:E72" si="23">(C71/C70)*C54</f>
        <v>38.596136813517958</v>
      </c>
      <c r="D72" s="21">
        <f t="shared" si="23"/>
        <v>40.806377523816984</v>
      </c>
      <c r="E72" s="21">
        <f t="shared" si="23"/>
        <v>20.631665301698842</v>
      </c>
      <c r="F72" s="21" t="s">
        <v>74</v>
      </c>
      <c r="G72" s="21" t="s">
        <v>74</v>
      </c>
    </row>
    <row r="73" spans="1:7" s="7" customFormat="1" ht="16.5" x14ac:dyDescent="0.3">
      <c r="A73" s="11" t="s">
        <v>35</v>
      </c>
      <c r="B73" s="21">
        <f>B25/(B18*6)</f>
        <v>7504.4102378190255</v>
      </c>
      <c r="C73" s="21">
        <f t="shared" ref="C73:E73" si="24">C25/(C18*6)</f>
        <v>44093.541353383458</v>
      </c>
      <c r="D73" s="21">
        <f t="shared" si="24"/>
        <v>138037.42857142858</v>
      </c>
      <c r="E73" s="21">
        <f t="shared" si="24"/>
        <v>5820.1058201058186</v>
      </c>
      <c r="F73" s="21">
        <f>F25/(F18*3)</f>
        <v>1658.053840877915</v>
      </c>
      <c r="G73" s="21">
        <f>G25/(G18*3)</f>
        <v>1658.053840877915</v>
      </c>
    </row>
    <row r="74" spans="1:7" s="7" customFormat="1" ht="16.5" x14ac:dyDescent="0.3">
      <c r="A74" s="11" t="s">
        <v>36</v>
      </c>
      <c r="B74" s="21">
        <f>B26/(B19*6)</f>
        <v>11087.529536398468</v>
      </c>
      <c r="C74" s="21">
        <f t="shared" ref="C74:E74" si="25">C26/(C19*6)</f>
        <v>11087.529536398468</v>
      </c>
      <c r="D74" s="21">
        <f t="shared" si="25"/>
        <v>37064.291449864497</v>
      </c>
      <c r="E74" s="21">
        <f t="shared" si="25"/>
        <v>846.69070512820508</v>
      </c>
      <c r="F74" s="21" t="s">
        <v>74</v>
      </c>
      <c r="G74" s="21" t="s">
        <v>74</v>
      </c>
    </row>
    <row r="75" spans="1:7" s="7" customFormat="1" ht="16.5" x14ac:dyDescent="0.3">
      <c r="A75" s="11"/>
      <c r="B75" s="21"/>
      <c r="C75" s="21"/>
      <c r="D75" s="21"/>
      <c r="E75" s="21"/>
      <c r="F75" s="21"/>
      <c r="G75" s="21"/>
    </row>
    <row r="76" spans="1:7" s="7" customFormat="1" ht="17.25" x14ac:dyDescent="0.35">
      <c r="A76" s="12" t="s">
        <v>29</v>
      </c>
      <c r="B76" s="21"/>
      <c r="C76" s="21"/>
      <c r="D76" s="21"/>
      <c r="E76" s="21"/>
      <c r="F76" s="21"/>
      <c r="G76" s="21"/>
    </row>
    <row r="77" spans="1:7" s="7" customFormat="1" ht="16.5" x14ac:dyDescent="0.3">
      <c r="A77" s="11" t="s">
        <v>30</v>
      </c>
      <c r="B77" s="21">
        <f>(B32/B31)*100</f>
        <v>100</v>
      </c>
      <c r="C77" s="21">
        <f t="shared" ref="C77" si="26">(C32/C31)*100</f>
        <v>101.0657452261861</v>
      </c>
      <c r="D77" s="21"/>
      <c r="E77" s="21"/>
      <c r="F77" s="21">
        <f t="shared" ref="F77" si="27">(F32/F31)*100</f>
        <v>89.658492394338225</v>
      </c>
      <c r="G77" s="21"/>
    </row>
    <row r="78" spans="1:7" s="7" customFormat="1" ht="16.5" x14ac:dyDescent="0.3">
      <c r="A78" s="11" t="s">
        <v>31</v>
      </c>
      <c r="B78" s="21">
        <f>(B26/B32)*100</f>
        <v>55.91926790999716</v>
      </c>
      <c r="C78" s="21">
        <f t="shared" ref="C78" si="28">(C26/C32)*100</f>
        <v>61.03159304690228</v>
      </c>
      <c r="D78" s="21"/>
      <c r="E78" s="21"/>
      <c r="F78" s="21">
        <f t="shared" ref="F78" si="29">(F26/F32)*100</f>
        <v>0</v>
      </c>
      <c r="G78" s="21"/>
    </row>
    <row r="79" spans="1:7" ht="17.25" thickBot="1" x14ac:dyDescent="0.35">
      <c r="A79" s="22"/>
      <c r="B79" s="22"/>
      <c r="C79" s="22"/>
      <c r="D79" s="22"/>
      <c r="E79" s="22"/>
      <c r="F79" s="22"/>
      <c r="G79" s="22"/>
    </row>
    <row r="80" spans="1:7" s="7" customFormat="1" ht="16.5" customHeight="1" thickTop="1" x14ac:dyDescent="0.25">
      <c r="A80" s="39" t="s">
        <v>127</v>
      </c>
      <c r="B80" s="39"/>
      <c r="C80" s="39"/>
      <c r="D80" s="39"/>
      <c r="E80" s="39"/>
      <c r="F80" s="39"/>
      <c r="G80" s="39"/>
    </row>
    <row r="81" spans="1:7" ht="50.25" customHeight="1" x14ac:dyDescent="0.25">
      <c r="A81" s="49" t="s">
        <v>128</v>
      </c>
      <c r="B81" s="49"/>
      <c r="C81" s="49"/>
      <c r="D81" s="49"/>
      <c r="E81" s="49"/>
      <c r="F81" s="49"/>
      <c r="G81" s="49"/>
    </row>
    <row r="82" spans="1:7" x14ac:dyDescent="0.25">
      <c r="A82" s="8"/>
    </row>
    <row r="83" spans="1:7" x14ac:dyDescent="0.25">
      <c r="A83" s="8"/>
      <c r="B83" s="5"/>
      <c r="C83" s="5"/>
      <c r="D83" s="5"/>
    </row>
    <row r="84" spans="1:7" x14ac:dyDescent="0.25">
      <c r="A84" s="8"/>
    </row>
    <row r="85" spans="1:7" x14ac:dyDescent="0.25">
      <c r="A85" s="8"/>
    </row>
    <row r="86" spans="1:7" x14ac:dyDescent="0.25">
      <c r="A86" s="7"/>
    </row>
    <row r="87" spans="1:7" x14ac:dyDescent="0.25">
      <c r="A87" s="7"/>
    </row>
    <row r="88" spans="1:7" x14ac:dyDescent="0.25">
      <c r="A88" s="7"/>
    </row>
    <row r="89" spans="1:7" x14ac:dyDescent="0.25">
      <c r="A89" s="7"/>
    </row>
    <row r="92" spans="1:7" x14ac:dyDescent="0.25">
      <c r="A92" s="3"/>
    </row>
  </sheetData>
  <mergeCells count="11">
    <mergeCell ref="A81:G81"/>
    <mergeCell ref="F10:F11"/>
    <mergeCell ref="G10:G11"/>
    <mergeCell ref="D10:D11"/>
    <mergeCell ref="F9:G9"/>
    <mergeCell ref="A80:G80"/>
    <mergeCell ref="A9:A11"/>
    <mergeCell ref="B9:B11"/>
    <mergeCell ref="C9:E9"/>
    <mergeCell ref="C10:C11"/>
    <mergeCell ref="E10:E11"/>
  </mergeCells>
  <pageMargins left="0.7" right="0.7" top="0.75" bottom="0.75" header="0.3" footer="0.3"/>
  <pageSetup orientation="portrait" horizontalDpi="300" verticalDpi="300" r:id="rId1"/>
  <ignoredErrors>
    <ignoredError sqref="F55:G55 F75:G75"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94"/>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1" customWidth="1"/>
    <col min="2" max="7" width="19.5703125" style="1" customWidth="1"/>
    <col min="8" max="16384" width="11.42578125" style="1"/>
  </cols>
  <sheetData>
    <row r="7" spans="1:7" ht="25.5" customHeight="1" x14ac:dyDescent="0.25"/>
    <row r="8" spans="1:7" ht="25.5" customHeight="1" x14ac:dyDescent="0.25"/>
    <row r="9" spans="1:7" s="4" customFormat="1" ht="17.25"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2</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11"/>
      <c r="C14" s="11"/>
      <c r="D14" s="11"/>
      <c r="E14" s="11"/>
      <c r="F14" s="11"/>
      <c r="G14" s="11"/>
    </row>
    <row r="15" spans="1:7" ht="17.25" x14ac:dyDescent="0.35">
      <c r="A15" s="12" t="s">
        <v>41</v>
      </c>
      <c r="B15" s="11"/>
      <c r="C15" s="11"/>
      <c r="D15" s="11"/>
      <c r="E15" s="11"/>
      <c r="F15" s="11"/>
      <c r="G15" s="11"/>
    </row>
    <row r="16" spans="1:7" s="7" customFormat="1" ht="16.5" x14ac:dyDescent="0.3">
      <c r="A16" s="13" t="s">
        <v>62</v>
      </c>
      <c r="B16" s="14">
        <f t="shared" ref="B16:B17" si="0">C16+F16</f>
        <v>1814</v>
      </c>
      <c r="C16" s="14">
        <f t="shared" ref="C16:C17" si="1">D16+E16</f>
        <v>293</v>
      </c>
      <c r="D16" s="14">
        <v>50</v>
      </c>
      <c r="E16" s="14">
        <v>243</v>
      </c>
      <c r="F16" s="14">
        <f t="shared" ref="F16:F21" si="2">SUM(G16:G16)</f>
        <v>1521</v>
      </c>
      <c r="G16" s="14">
        <v>1521</v>
      </c>
    </row>
    <row r="17" spans="1:9" s="7" customFormat="1" ht="16.5" x14ac:dyDescent="0.3">
      <c r="A17" s="15" t="s">
        <v>42</v>
      </c>
      <c r="B17" s="14">
        <f t="shared" si="0"/>
        <v>1802</v>
      </c>
      <c r="C17" s="14">
        <f t="shared" si="1"/>
        <v>281</v>
      </c>
      <c r="D17" s="14">
        <v>38</v>
      </c>
      <c r="E17" s="14">
        <v>243</v>
      </c>
      <c r="F17" s="14">
        <f t="shared" si="2"/>
        <v>1521</v>
      </c>
      <c r="G17" s="14">
        <v>1521</v>
      </c>
    </row>
    <row r="18" spans="1:9" s="7" customFormat="1" ht="15.75" customHeight="1" x14ac:dyDescent="0.3">
      <c r="A18" s="13" t="s">
        <v>98</v>
      </c>
      <c r="B18" s="14">
        <f t="shared" ref="B18" si="3">C18+F18</f>
        <v>798.33333333333337</v>
      </c>
      <c r="C18" s="14">
        <f t="shared" ref="C18:C21" si="4">D18+E18</f>
        <v>88.333333333333329</v>
      </c>
      <c r="D18" s="14">
        <v>25.333333333333332</v>
      </c>
      <c r="E18" s="14">
        <v>63</v>
      </c>
      <c r="F18" s="14">
        <f t="shared" si="2"/>
        <v>710</v>
      </c>
      <c r="G18" s="14">
        <v>710</v>
      </c>
    </row>
    <row r="19" spans="1:9" s="7" customFormat="1" ht="16.5" x14ac:dyDescent="0.3">
      <c r="A19" s="13" t="s">
        <v>99</v>
      </c>
      <c r="B19" s="14">
        <f>C19+F19</f>
        <v>251</v>
      </c>
      <c r="C19" s="14">
        <f t="shared" si="4"/>
        <v>251</v>
      </c>
      <c r="D19" s="14">
        <v>44</v>
      </c>
      <c r="E19" s="14">
        <v>207</v>
      </c>
      <c r="F19" s="14">
        <f t="shared" si="2"/>
        <v>0</v>
      </c>
      <c r="G19" s="14">
        <v>0</v>
      </c>
    </row>
    <row r="20" spans="1:9" s="7" customFormat="1" ht="16.5" x14ac:dyDescent="0.3">
      <c r="A20" s="15" t="s">
        <v>42</v>
      </c>
      <c r="B20" s="14">
        <f>+C20+F20</f>
        <v>227</v>
      </c>
      <c r="C20" s="14">
        <f t="shared" si="4"/>
        <v>227</v>
      </c>
      <c r="D20" s="14">
        <v>20</v>
      </c>
      <c r="E20" s="14">
        <v>207</v>
      </c>
      <c r="F20" s="14">
        <f t="shared" si="2"/>
        <v>0</v>
      </c>
      <c r="G20" s="14">
        <v>0</v>
      </c>
    </row>
    <row r="21" spans="1:9" s="7" customFormat="1" ht="16.5" x14ac:dyDescent="0.3">
      <c r="A21" s="13" t="s">
        <v>81</v>
      </c>
      <c r="B21" s="14">
        <f>+C21+F21</f>
        <v>2036</v>
      </c>
      <c r="C21" s="14">
        <f t="shared" si="4"/>
        <v>354</v>
      </c>
      <c r="D21" s="14">
        <v>102</v>
      </c>
      <c r="E21" s="14">
        <v>252</v>
      </c>
      <c r="F21" s="14">
        <f t="shared" si="2"/>
        <v>1682</v>
      </c>
      <c r="G21" s="14">
        <v>1682</v>
      </c>
    </row>
    <row r="22" spans="1:9" s="7" customFormat="1" ht="16.5" x14ac:dyDescent="0.3">
      <c r="A22" s="11"/>
      <c r="B22" s="14"/>
      <c r="C22" s="14"/>
      <c r="D22" s="14"/>
      <c r="E22" s="14"/>
      <c r="F22" s="14"/>
      <c r="G22" s="14"/>
    </row>
    <row r="23" spans="1:9" s="7" customFormat="1" ht="17.25" x14ac:dyDescent="0.35">
      <c r="A23" s="17" t="s">
        <v>5</v>
      </c>
      <c r="B23" s="14"/>
      <c r="C23" s="14"/>
      <c r="D23" s="14"/>
      <c r="E23" s="14"/>
      <c r="F23" s="14"/>
      <c r="G23" s="14"/>
    </row>
    <row r="24" spans="1:9" s="7" customFormat="1" ht="16.5" x14ac:dyDescent="0.3">
      <c r="A24" s="13" t="s">
        <v>62</v>
      </c>
      <c r="B24" s="14">
        <f>C24+F24</f>
        <v>23321410.550000001</v>
      </c>
      <c r="C24" s="14">
        <f>D24+E24</f>
        <v>16863205.550000001</v>
      </c>
      <c r="D24" s="14">
        <v>15137160.550000001</v>
      </c>
      <c r="E24" s="14">
        <v>1726045</v>
      </c>
      <c r="F24" s="14">
        <f>SUM(G24:G24)</f>
        <v>6458205</v>
      </c>
      <c r="G24" s="14">
        <v>6458205</v>
      </c>
    </row>
    <row r="25" spans="1:9" s="7" customFormat="1" ht="16.5" x14ac:dyDescent="0.3">
      <c r="A25" s="13" t="s">
        <v>98</v>
      </c>
      <c r="B25" s="14">
        <f>C25+F25</f>
        <v>23955115</v>
      </c>
      <c r="C25" s="14">
        <f>D25+E25</f>
        <v>18200000</v>
      </c>
      <c r="D25" s="14">
        <v>15800000</v>
      </c>
      <c r="E25" s="14">
        <v>2399999.9999999995</v>
      </c>
      <c r="F25" s="14">
        <f>SUM(G25:G25)</f>
        <v>5755115</v>
      </c>
      <c r="G25" s="14">
        <v>5755115</v>
      </c>
    </row>
    <row r="26" spans="1:9" s="7" customFormat="1" ht="16.5" x14ac:dyDescent="0.3">
      <c r="A26" s="13" t="s">
        <v>99</v>
      </c>
      <c r="B26" s="14">
        <f>C26+F26</f>
        <v>13758933.23</v>
      </c>
      <c r="C26" s="14">
        <f>D26+E26</f>
        <v>11319489.23</v>
      </c>
      <c r="D26" s="14">
        <v>10114919.23</v>
      </c>
      <c r="E26" s="14">
        <v>1204570</v>
      </c>
      <c r="F26" s="14">
        <f>SUM(G26:G26)</f>
        <v>2439444</v>
      </c>
      <c r="G26" s="14">
        <v>2439444</v>
      </c>
      <c r="I26" s="6"/>
    </row>
    <row r="27" spans="1:9" s="7" customFormat="1" ht="16.5" x14ac:dyDescent="0.3">
      <c r="A27" s="13" t="s">
        <v>81</v>
      </c>
      <c r="B27" s="14">
        <f>C27+F27</f>
        <v>88305528</v>
      </c>
      <c r="C27" s="14">
        <f>D27+E27</f>
        <v>77715528</v>
      </c>
      <c r="D27" s="14">
        <v>69715528</v>
      </c>
      <c r="E27" s="14">
        <v>7999999.9999999991</v>
      </c>
      <c r="F27" s="14">
        <f>SUM(G27:G27)</f>
        <v>10590000</v>
      </c>
      <c r="G27" s="14">
        <v>10590000</v>
      </c>
    </row>
    <row r="28" spans="1:9" s="7" customFormat="1" ht="16.5" x14ac:dyDescent="0.3">
      <c r="A28" s="13" t="s">
        <v>100</v>
      </c>
      <c r="B28" s="14">
        <f>+C28+F28</f>
        <v>13758933.23</v>
      </c>
      <c r="C28" s="14">
        <f>+D28+E28</f>
        <v>11319489.23</v>
      </c>
      <c r="D28" s="14">
        <f>D26</f>
        <v>10114919.23</v>
      </c>
      <c r="E28" s="14">
        <f>+E26</f>
        <v>1204570</v>
      </c>
      <c r="F28" s="14">
        <f>+SUM(G28)</f>
        <v>2439444</v>
      </c>
      <c r="G28" s="14">
        <f>G26</f>
        <v>2439444</v>
      </c>
    </row>
    <row r="29" spans="1:9" s="7" customFormat="1" ht="16.5" x14ac:dyDescent="0.3">
      <c r="A29" s="11"/>
      <c r="B29" s="14"/>
      <c r="C29" s="14"/>
      <c r="D29" s="14"/>
      <c r="E29" s="14"/>
      <c r="F29" s="14"/>
      <c r="G29" s="14"/>
    </row>
    <row r="30" spans="1:9" s="7" customFormat="1" ht="17.25" x14ac:dyDescent="0.35">
      <c r="A30" s="17" t="s">
        <v>6</v>
      </c>
      <c r="B30" s="14"/>
      <c r="C30" s="14"/>
      <c r="D30" s="14"/>
      <c r="E30" s="14"/>
      <c r="F30" s="14"/>
      <c r="G30" s="14"/>
    </row>
    <row r="31" spans="1:9" s="7" customFormat="1" ht="16.5" x14ac:dyDescent="0.3">
      <c r="A31" s="13" t="s">
        <v>98</v>
      </c>
      <c r="B31" s="14">
        <f>B25</f>
        <v>23955115</v>
      </c>
      <c r="C31" s="14">
        <f>C25</f>
        <v>18200000</v>
      </c>
      <c r="D31" s="14"/>
      <c r="E31" s="14"/>
      <c r="F31" s="14">
        <f>F25</f>
        <v>5755115</v>
      </c>
      <c r="G31" s="14"/>
    </row>
    <row r="32" spans="1:9" s="7" customFormat="1" ht="16.5" x14ac:dyDescent="0.3">
      <c r="A32" s="13" t="s">
        <v>99</v>
      </c>
      <c r="B32" s="14">
        <f>+C32+F32</f>
        <v>25365115</v>
      </c>
      <c r="C32" s="14">
        <v>18200000</v>
      </c>
      <c r="D32" s="14"/>
      <c r="E32" s="14"/>
      <c r="F32" s="14">
        <v>7165115</v>
      </c>
      <c r="G32" s="14"/>
    </row>
    <row r="33" spans="1:9" ht="16.5" x14ac:dyDescent="0.3">
      <c r="A33" s="11"/>
      <c r="B33" s="18"/>
      <c r="C33" s="18"/>
      <c r="D33" s="18"/>
      <c r="E33" s="18"/>
      <c r="F33" s="18"/>
      <c r="G33" s="18"/>
    </row>
    <row r="34" spans="1:9" ht="17.25" x14ac:dyDescent="0.35">
      <c r="A34" s="12" t="s">
        <v>7</v>
      </c>
      <c r="B34" s="18"/>
      <c r="C34" s="18"/>
      <c r="D34" s="18"/>
      <c r="E34" s="18"/>
      <c r="F34" s="18"/>
      <c r="G34" s="18"/>
    </row>
    <row r="35" spans="1:9" ht="16.5" x14ac:dyDescent="0.3">
      <c r="A35" s="13" t="s">
        <v>63</v>
      </c>
      <c r="B35" s="19">
        <v>1.060947463</v>
      </c>
      <c r="C35" s="19">
        <v>1.060947463</v>
      </c>
      <c r="D35" s="19">
        <v>1.060947463</v>
      </c>
      <c r="E35" s="19">
        <v>1.060947463</v>
      </c>
      <c r="F35" s="19">
        <v>1.060947463</v>
      </c>
      <c r="G35" s="19">
        <v>1.060947463</v>
      </c>
      <c r="H35" s="2"/>
      <c r="I35" s="2"/>
    </row>
    <row r="36" spans="1:9" ht="16.5" x14ac:dyDescent="0.3">
      <c r="A36" s="13" t="s">
        <v>101</v>
      </c>
      <c r="B36" s="19">
        <v>1.0641</v>
      </c>
      <c r="C36" s="19">
        <v>1.0641</v>
      </c>
      <c r="D36" s="19">
        <v>1.0641</v>
      </c>
      <c r="E36" s="19">
        <v>1.0641</v>
      </c>
      <c r="F36" s="19">
        <v>1.0641</v>
      </c>
      <c r="G36" s="19">
        <v>1.0641</v>
      </c>
    </row>
    <row r="37" spans="1:9" s="7" customFormat="1" ht="16.5" x14ac:dyDescent="0.3">
      <c r="A37" s="13" t="s">
        <v>8</v>
      </c>
      <c r="B37" s="14" t="s">
        <v>47</v>
      </c>
      <c r="C37" s="14" t="s">
        <v>47</v>
      </c>
      <c r="D37" s="14" t="s">
        <v>47</v>
      </c>
      <c r="E37" s="14" t="s">
        <v>47</v>
      </c>
      <c r="F37" s="14" t="s">
        <v>47</v>
      </c>
      <c r="G37" s="14" t="s">
        <v>47</v>
      </c>
    </row>
    <row r="38" spans="1:9" ht="16.5" x14ac:dyDescent="0.3">
      <c r="A38" s="11"/>
      <c r="B38" s="16"/>
      <c r="C38" s="16"/>
      <c r="D38" s="16"/>
      <c r="E38" s="16"/>
      <c r="F38" s="16"/>
      <c r="G38" s="16"/>
    </row>
    <row r="39" spans="1:9" ht="17.25" x14ac:dyDescent="0.35">
      <c r="A39" s="12" t="s">
        <v>9</v>
      </c>
      <c r="B39" s="16"/>
      <c r="C39" s="16"/>
      <c r="D39" s="16"/>
      <c r="E39" s="16"/>
      <c r="F39" s="16"/>
      <c r="G39" s="16"/>
    </row>
    <row r="40" spans="1:9" s="7" customFormat="1" ht="16.5" x14ac:dyDescent="0.3">
      <c r="A40" s="11" t="s">
        <v>64</v>
      </c>
      <c r="B40" s="14">
        <f>B24/B35</f>
        <v>21981682.753691643</v>
      </c>
      <c r="C40" s="14">
        <f t="shared" ref="C40:G40" si="5">C24/C35</f>
        <v>15894477.472349638</v>
      </c>
      <c r="D40" s="14">
        <f>D24/D35</f>
        <v>14267587.300880328</v>
      </c>
      <c r="E40" s="14">
        <f t="shared" si="5"/>
        <v>1626890.1714693105</v>
      </c>
      <c r="F40" s="14">
        <f t="shared" si="5"/>
        <v>6087205.2813420035</v>
      </c>
      <c r="G40" s="14">
        <f t="shared" si="5"/>
        <v>6087205.2813420035</v>
      </c>
    </row>
    <row r="41" spans="1:9" s="7" customFormat="1" ht="16.5" x14ac:dyDescent="0.3">
      <c r="A41" s="11" t="s">
        <v>102</v>
      </c>
      <c r="B41" s="14">
        <f t="shared" ref="B41:F41" si="6">B26/B36</f>
        <v>12930112.987501174</v>
      </c>
      <c r="C41" s="14">
        <f t="shared" si="6"/>
        <v>10637617.921248004</v>
      </c>
      <c r="D41" s="14">
        <f t="shared" si="6"/>
        <v>9505609.6513485573</v>
      </c>
      <c r="E41" s="14">
        <f>E26/E36</f>
        <v>1132008.2698994456</v>
      </c>
      <c r="F41" s="14">
        <f t="shared" si="6"/>
        <v>2292495.0662531718</v>
      </c>
      <c r="G41" s="14">
        <f>G26/G36</f>
        <v>2292495.0662531718</v>
      </c>
    </row>
    <row r="42" spans="1:9" s="7" customFormat="1" ht="16.5" x14ac:dyDescent="0.3">
      <c r="A42" s="11" t="s">
        <v>65</v>
      </c>
      <c r="B42" s="14">
        <f t="shared" ref="B42:G42" si="7">B40/B16</f>
        <v>12117.796446357024</v>
      </c>
      <c r="C42" s="14">
        <f t="shared" si="7"/>
        <v>54247.363386858837</v>
      </c>
      <c r="D42" s="14">
        <f t="shared" si="7"/>
        <v>285351.74601760658</v>
      </c>
      <c r="E42" s="14">
        <f t="shared" si="7"/>
        <v>6695.0212817667098</v>
      </c>
      <c r="F42" s="14">
        <f t="shared" si="7"/>
        <v>4002.1073513096671</v>
      </c>
      <c r="G42" s="14">
        <f t="shared" si="7"/>
        <v>4002.1073513096671</v>
      </c>
    </row>
    <row r="43" spans="1:9" s="7" customFormat="1" ht="16.5" x14ac:dyDescent="0.3">
      <c r="A43" s="11" t="s">
        <v>103</v>
      </c>
      <c r="B43" s="14">
        <f t="shared" ref="B43:E43" si="8">B41/B19</f>
        <v>51514.394372514638</v>
      </c>
      <c r="C43" s="14">
        <f t="shared" si="8"/>
        <v>42380.947893418343</v>
      </c>
      <c r="D43" s="14">
        <f t="shared" si="8"/>
        <v>216036.58298519449</v>
      </c>
      <c r="E43" s="14">
        <f t="shared" si="8"/>
        <v>5468.6389850214764</v>
      </c>
      <c r="F43" s="14" t="s">
        <v>74</v>
      </c>
      <c r="G43" s="14" t="s">
        <v>74</v>
      </c>
    </row>
    <row r="44" spans="1:9" s="7" customFormat="1" ht="16.5" x14ac:dyDescent="0.3">
      <c r="A44" s="11"/>
      <c r="B44" s="20"/>
      <c r="C44" s="20"/>
      <c r="D44" s="20"/>
      <c r="E44" s="20"/>
      <c r="F44" s="20"/>
      <c r="G44" s="20"/>
    </row>
    <row r="45" spans="1:9" s="7" customFormat="1" ht="17.25" x14ac:dyDescent="0.35">
      <c r="A45" s="12" t="s">
        <v>10</v>
      </c>
      <c r="B45" s="20"/>
      <c r="C45" s="20"/>
      <c r="D45" s="20"/>
      <c r="E45" s="20"/>
      <c r="F45" s="20"/>
      <c r="G45" s="20"/>
    </row>
    <row r="46" spans="1:9" s="7" customFormat="1" ht="16.5" x14ac:dyDescent="0.3">
      <c r="A46" s="11"/>
      <c r="B46" s="20"/>
      <c r="C46" s="20"/>
      <c r="D46" s="20"/>
      <c r="E46" s="20"/>
      <c r="F46" s="20"/>
      <c r="G46" s="20"/>
    </row>
    <row r="47" spans="1:9" s="7" customFormat="1" ht="17.25" x14ac:dyDescent="0.35">
      <c r="A47" s="12" t="s">
        <v>11</v>
      </c>
      <c r="B47" s="20"/>
      <c r="C47" s="20"/>
      <c r="D47" s="20"/>
      <c r="E47" s="20"/>
      <c r="F47" s="20"/>
      <c r="G47" s="20"/>
    </row>
    <row r="48" spans="1:9" s="7" customFormat="1" ht="16.5" x14ac:dyDescent="0.3">
      <c r="A48" s="11" t="s">
        <v>12</v>
      </c>
      <c r="B48" s="21" t="s">
        <v>44</v>
      </c>
      <c r="C48" s="21" t="s">
        <v>44</v>
      </c>
      <c r="D48" s="21" t="s">
        <v>44</v>
      </c>
      <c r="E48" s="21" t="s">
        <v>44</v>
      </c>
      <c r="F48" s="21" t="s">
        <v>44</v>
      </c>
      <c r="G48" s="21" t="s">
        <v>44</v>
      </c>
      <c r="H48" s="10"/>
    </row>
    <row r="49" spans="1:8" s="7" customFormat="1" ht="16.5" x14ac:dyDescent="0.3">
      <c r="A49" s="11" t="s">
        <v>13</v>
      </c>
      <c r="B49" s="21" t="s">
        <v>44</v>
      </c>
      <c r="C49" s="21" t="s">
        <v>44</v>
      </c>
      <c r="D49" s="21" t="s">
        <v>44</v>
      </c>
      <c r="E49" s="21" t="s">
        <v>44</v>
      </c>
      <c r="F49" s="21" t="s">
        <v>44</v>
      </c>
      <c r="G49" s="21" t="s">
        <v>44</v>
      </c>
      <c r="H49" s="10"/>
    </row>
    <row r="50" spans="1:8" s="7" customFormat="1" ht="16.5" x14ac:dyDescent="0.3">
      <c r="A50" s="11"/>
      <c r="B50" s="21"/>
      <c r="C50" s="21"/>
      <c r="D50" s="21"/>
      <c r="E50" s="21"/>
      <c r="F50" s="21"/>
      <c r="G50" s="21"/>
    </row>
    <row r="51" spans="1:8" s="7" customFormat="1" ht="17.25" x14ac:dyDescent="0.35">
      <c r="A51" s="12" t="s">
        <v>14</v>
      </c>
      <c r="B51" s="21"/>
      <c r="C51" s="21"/>
      <c r="D51" s="21"/>
      <c r="E51" s="21"/>
      <c r="F51" s="21"/>
      <c r="G51" s="21"/>
    </row>
    <row r="52" spans="1:8" s="7" customFormat="1" ht="16.5" x14ac:dyDescent="0.3">
      <c r="A52" s="11" t="s">
        <v>15</v>
      </c>
      <c r="B52" s="21">
        <f>B19/B18*100</f>
        <v>31.440501043841333</v>
      </c>
      <c r="C52" s="21">
        <f t="shared" ref="C52:E52" si="9">C19/C18*100</f>
        <v>284.15094339622641</v>
      </c>
      <c r="D52" s="21">
        <f t="shared" si="9"/>
        <v>173.68421052631581</v>
      </c>
      <c r="E52" s="21">
        <f t="shared" si="9"/>
        <v>328.57142857142856</v>
      </c>
      <c r="F52" s="21">
        <f>F19/F18*100</f>
        <v>0</v>
      </c>
      <c r="G52" s="21">
        <f>G19/G18*100</f>
        <v>0</v>
      </c>
    </row>
    <row r="53" spans="1:8" s="7" customFormat="1" ht="16.5" x14ac:dyDescent="0.3">
      <c r="A53" s="11" t="s">
        <v>16</v>
      </c>
      <c r="B53" s="21">
        <f>B26/B25*100</f>
        <v>57.436306317043353</v>
      </c>
      <c r="C53" s="21">
        <f t="shared" ref="C53:F53" si="10">C26/C25*100</f>
        <v>62.194995769230779</v>
      </c>
      <c r="D53" s="21">
        <f t="shared" si="10"/>
        <v>64.018476139240505</v>
      </c>
      <c r="E53" s="21">
        <f>E26/E25*100</f>
        <v>50.190416666666678</v>
      </c>
      <c r="F53" s="21">
        <f t="shared" si="10"/>
        <v>42.387406680839568</v>
      </c>
      <c r="G53" s="21">
        <f>G26/G25*100</f>
        <v>42.387406680839568</v>
      </c>
    </row>
    <row r="54" spans="1:8" s="7" customFormat="1" ht="16.5" x14ac:dyDescent="0.3">
      <c r="A54" s="11" t="s">
        <v>17</v>
      </c>
      <c r="B54" s="21">
        <f t="shared" ref="B54:G54" si="11">AVERAGE(B52:B53)</f>
        <v>44.438403680442342</v>
      </c>
      <c r="C54" s="21">
        <f t="shared" si="11"/>
        <v>173.1729695827286</v>
      </c>
      <c r="D54" s="21">
        <f t="shared" si="11"/>
        <v>118.85134333277816</v>
      </c>
      <c r="E54" s="21">
        <f t="shared" si="11"/>
        <v>189.38092261904762</v>
      </c>
      <c r="F54" s="21">
        <f t="shared" si="11"/>
        <v>21.193703340419784</v>
      </c>
      <c r="G54" s="21">
        <f t="shared" si="11"/>
        <v>21.193703340419784</v>
      </c>
    </row>
    <row r="55" spans="1:8" s="7" customFormat="1" ht="16.5" x14ac:dyDescent="0.3">
      <c r="A55" s="11"/>
      <c r="B55" s="21"/>
      <c r="C55" s="21"/>
      <c r="D55" s="21"/>
      <c r="E55" s="21"/>
      <c r="F55" s="21"/>
      <c r="G55" s="21"/>
    </row>
    <row r="56" spans="1:8" s="7" customFormat="1" ht="17.25" x14ac:dyDescent="0.35">
      <c r="A56" s="12" t="s">
        <v>18</v>
      </c>
      <c r="B56" s="21"/>
      <c r="C56" s="21"/>
      <c r="D56" s="21"/>
      <c r="E56" s="21"/>
      <c r="F56" s="21"/>
      <c r="G56" s="21"/>
    </row>
    <row r="57" spans="1:8" s="7" customFormat="1" ht="16.5" x14ac:dyDescent="0.3">
      <c r="A57" s="11" t="s">
        <v>19</v>
      </c>
      <c r="B57" s="21">
        <f>(B19/B21)*100</f>
        <v>12.328094302554026</v>
      </c>
      <c r="C57" s="21">
        <f t="shared" ref="C57:E57" si="12">(C19/C21)*100</f>
        <v>70.903954802259889</v>
      </c>
      <c r="D57" s="21">
        <f t="shared" si="12"/>
        <v>43.137254901960787</v>
      </c>
      <c r="E57" s="21">
        <f t="shared" si="12"/>
        <v>82.142857142857139</v>
      </c>
      <c r="F57" s="21">
        <f>(F19/F21)*100</f>
        <v>0</v>
      </c>
      <c r="G57" s="21">
        <f>(G19/G21)*100</f>
        <v>0</v>
      </c>
    </row>
    <row r="58" spans="1:8" s="7" customFormat="1" ht="16.5" x14ac:dyDescent="0.3">
      <c r="A58" s="11" t="s">
        <v>20</v>
      </c>
      <c r="B58" s="21">
        <f>B26/B27*100</f>
        <v>15.581055389873214</v>
      </c>
      <c r="C58" s="21">
        <f t="shared" ref="C58:F58" si="13">C26/C27*100</f>
        <v>14.565286399392411</v>
      </c>
      <c r="D58" s="21">
        <f t="shared" si="13"/>
        <v>14.508846909973915</v>
      </c>
      <c r="E58" s="21">
        <f>E26/E27*100</f>
        <v>15.057125000000001</v>
      </c>
      <c r="F58" s="21">
        <f t="shared" si="13"/>
        <v>23.035354107648725</v>
      </c>
      <c r="G58" s="21">
        <f>G26/G27*100</f>
        <v>23.035354107648725</v>
      </c>
    </row>
    <row r="59" spans="1:8" s="7" customFormat="1" ht="16.5" x14ac:dyDescent="0.3">
      <c r="A59" s="11" t="s">
        <v>21</v>
      </c>
      <c r="B59" s="21">
        <f t="shared" ref="B59:G59" si="14">(B57+B58)/2</f>
        <v>13.954574846213621</v>
      </c>
      <c r="C59" s="21">
        <f t="shared" si="14"/>
        <v>42.734620600826148</v>
      </c>
      <c r="D59" s="21">
        <f t="shared" si="14"/>
        <v>28.823050905967349</v>
      </c>
      <c r="E59" s="21">
        <f t="shared" si="14"/>
        <v>48.599991071428569</v>
      </c>
      <c r="F59" s="21">
        <f t="shared" si="14"/>
        <v>11.517677053824363</v>
      </c>
      <c r="G59" s="21">
        <f t="shared" si="14"/>
        <v>11.517677053824363</v>
      </c>
    </row>
    <row r="60" spans="1:8" s="7" customFormat="1" ht="16.5" x14ac:dyDescent="0.3">
      <c r="A60" s="11"/>
      <c r="B60" s="21"/>
      <c r="C60" s="21"/>
      <c r="D60" s="21"/>
      <c r="E60" s="21"/>
      <c r="F60" s="21"/>
      <c r="G60" s="21"/>
    </row>
    <row r="61" spans="1:8" s="7" customFormat="1" ht="17.25" x14ac:dyDescent="0.35">
      <c r="A61" s="12" t="s">
        <v>32</v>
      </c>
      <c r="B61" s="21"/>
      <c r="C61" s="21"/>
      <c r="D61" s="21"/>
      <c r="E61" s="21"/>
      <c r="F61" s="21"/>
      <c r="G61" s="21"/>
    </row>
    <row r="62" spans="1:8" s="7" customFormat="1" ht="16.5" x14ac:dyDescent="0.3">
      <c r="A62" s="11" t="s">
        <v>22</v>
      </c>
      <c r="B62" s="21">
        <f t="shared" ref="B62:F62" si="15">B28/B26*100</f>
        <v>100</v>
      </c>
      <c r="C62" s="21">
        <f t="shared" si="15"/>
        <v>100</v>
      </c>
      <c r="D62" s="21"/>
      <c r="E62" s="21"/>
      <c r="F62" s="21">
        <f t="shared" si="15"/>
        <v>100</v>
      </c>
      <c r="G62" s="21"/>
    </row>
    <row r="63" spans="1:8" s="7" customFormat="1" ht="16.5" x14ac:dyDescent="0.3">
      <c r="A63" s="11"/>
      <c r="B63" s="21"/>
      <c r="C63" s="21"/>
      <c r="D63" s="21"/>
      <c r="E63" s="21"/>
      <c r="F63" s="21"/>
      <c r="G63" s="21"/>
    </row>
    <row r="64" spans="1:8" s="7" customFormat="1" ht="17.25" x14ac:dyDescent="0.35">
      <c r="A64" s="12" t="s">
        <v>23</v>
      </c>
      <c r="B64" s="21"/>
      <c r="C64" s="21"/>
      <c r="D64" s="21"/>
      <c r="E64" s="21"/>
      <c r="F64" s="21"/>
      <c r="G64" s="21"/>
    </row>
    <row r="65" spans="1:7" s="7" customFormat="1" ht="16.5" x14ac:dyDescent="0.3">
      <c r="A65" s="11" t="s">
        <v>24</v>
      </c>
      <c r="B65" s="21">
        <f>((B19/B16)-1)*100</f>
        <v>-86.163175303197349</v>
      </c>
      <c r="C65" s="21">
        <f t="shared" ref="C65:E65" si="16">((C19/C16)-1)*100</f>
        <v>-14.334470989761094</v>
      </c>
      <c r="D65" s="21">
        <f t="shared" si="16"/>
        <v>-12</v>
      </c>
      <c r="E65" s="21">
        <f t="shared" si="16"/>
        <v>-14.814814814814813</v>
      </c>
      <c r="F65" s="21">
        <f>((F19/F16)-1)*100</f>
        <v>-100</v>
      </c>
      <c r="G65" s="21">
        <f>((G19/G16)-1)*100</f>
        <v>-100</v>
      </c>
    </row>
    <row r="66" spans="1:7" s="7" customFormat="1" ht="16.5" x14ac:dyDescent="0.3">
      <c r="A66" s="11" t="s">
        <v>25</v>
      </c>
      <c r="B66" s="21">
        <f>((B41/B40)-1)*100</f>
        <v>-41.177783646569701</v>
      </c>
      <c r="C66" s="21">
        <f>((C41/C40)-1)*100</f>
        <v>-33.073497132866279</v>
      </c>
      <c r="D66" s="21">
        <f t="shared" ref="D66:G66" si="17">((D41/D40)-1)*100</f>
        <v>-33.37619423038646</v>
      </c>
      <c r="E66" s="21">
        <f t="shared" si="17"/>
        <v>-30.418888149217661</v>
      </c>
      <c r="F66" s="21">
        <f t="shared" si="17"/>
        <v>-62.33912016603189</v>
      </c>
      <c r="G66" s="21">
        <f t="shared" si="17"/>
        <v>-62.33912016603189</v>
      </c>
    </row>
    <row r="67" spans="1:7" s="7" customFormat="1" ht="16.5" x14ac:dyDescent="0.3">
      <c r="A67" s="11" t="s">
        <v>26</v>
      </c>
      <c r="B67" s="21">
        <f t="shared" ref="B67:E67" si="18">((B43/B42)-1)*100</f>
        <v>325.11354766981111</v>
      </c>
      <c r="C67" s="21">
        <f t="shared" si="18"/>
        <v>-21.874640079401676</v>
      </c>
      <c r="D67" s="21">
        <f t="shared" si="18"/>
        <v>-24.291129807257338</v>
      </c>
      <c r="E67" s="21">
        <f t="shared" si="18"/>
        <v>-18.31782521864681</v>
      </c>
      <c r="F67" s="21" t="s">
        <v>74</v>
      </c>
      <c r="G67" s="21" t="s">
        <v>74</v>
      </c>
    </row>
    <row r="68" spans="1:7" s="7" customFormat="1" ht="16.5" x14ac:dyDescent="0.3">
      <c r="A68" s="11"/>
      <c r="B68" s="21"/>
      <c r="C68" s="21"/>
      <c r="D68" s="21"/>
      <c r="E68" s="21"/>
      <c r="F68" s="21"/>
      <c r="G68" s="21"/>
    </row>
    <row r="69" spans="1:7" s="7" customFormat="1" ht="17.25" x14ac:dyDescent="0.35">
      <c r="A69" s="12" t="s">
        <v>27</v>
      </c>
      <c r="B69" s="21"/>
      <c r="C69" s="21"/>
      <c r="D69" s="21"/>
      <c r="E69" s="21"/>
      <c r="F69" s="21"/>
      <c r="G69" s="21"/>
    </row>
    <row r="70" spans="1:7" s="7" customFormat="1" ht="16.5" x14ac:dyDescent="0.3">
      <c r="A70" s="11" t="s">
        <v>33</v>
      </c>
      <c r="B70" s="21">
        <f t="shared" ref="B70:G70" si="19">B25/B18</f>
        <v>30006.407098121083</v>
      </c>
      <c r="C70" s="21">
        <f t="shared" si="19"/>
        <v>206037.73584905663</v>
      </c>
      <c r="D70" s="21">
        <f t="shared" si="19"/>
        <v>623684.21052631584</v>
      </c>
      <c r="E70" s="21">
        <f t="shared" si="19"/>
        <v>38095.238095238084</v>
      </c>
      <c r="F70" s="21">
        <f t="shared" si="19"/>
        <v>8105.7957746478869</v>
      </c>
      <c r="G70" s="21">
        <f t="shared" si="19"/>
        <v>8105.7957746478869</v>
      </c>
    </row>
    <row r="71" spans="1:7" s="7" customFormat="1" ht="16.5" x14ac:dyDescent="0.3">
      <c r="A71" s="11" t="s">
        <v>34</v>
      </c>
      <c r="B71" s="21">
        <f t="shared" ref="B71:D71" si="20">B26/B19</f>
        <v>54816.467051792832</v>
      </c>
      <c r="C71" s="21">
        <f t="shared" si="20"/>
        <v>45097.566653386457</v>
      </c>
      <c r="D71" s="21">
        <f t="shared" si="20"/>
        <v>229884.52795454545</v>
      </c>
      <c r="E71" s="21">
        <f>E26/E19</f>
        <v>5819.1787439613527</v>
      </c>
      <c r="F71" s="21" t="s">
        <v>74</v>
      </c>
      <c r="G71" s="21" t="s">
        <v>74</v>
      </c>
    </row>
    <row r="72" spans="1:7" s="7" customFormat="1" ht="16.5" x14ac:dyDescent="0.3">
      <c r="A72" s="11" t="s">
        <v>28</v>
      </c>
      <c r="B72" s="21">
        <f>(B71/B70)*B54</f>
        <v>81.18120517453653</v>
      </c>
      <c r="C72" s="21">
        <f t="shared" ref="C72:E72" si="21">(C71/C70)*C54</f>
        <v>37.904122301379516</v>
      </c>
      <c r="D72" s="21">
        <f t="shared" si="21"/>
        <v>43.807562381229289</v>
      </c>
      <c r="E72" s="21">
        <f t="shared" si="21"/>
        <v>28.928587784684492</v>
      </c>
      <c r="F72" s="21" t="s">
        <v>74</v>
      </c>
      <c r="G72" s="21" t="s">
        <v>74</v>
      </c>
    </row>
    <row r="73" spans="1:7" s="7" customFormat="1" ht="16.5" x14ac:dyDescent="0.3">
      <c r="A73" s="11" t="s">
        <v>35</v>
      </c>
      <c r="B73" s="21">
        <f>B25/(B18*3)</f>
        <v>10002.135699373695</v>
      </c>
      <c r="C73" s="21">
        <f t="shared" ref="C73:G73" si="22">C25/(C18*3)</f>
        <v>68679.24528301887</v>
      </c>
      <c r="D73" s="21">
        <f t="shared" si="22"/>
        <v>207894.73684210525</v>
      </c>
      <c r="E73" s="21">
        <f t="shared" si="22"/>
        <v>12698.412698412696</v>
      </c>
      <c r="F73" s="21">
        <f t="shared" si="22"/>
        <v>2701.9319248826291</v>
      </c>
      <c r="G73" s="21">
        <f t="shared" si="22"/>
        <v>2701.9319248826291</v>
      </c>
    </row>
    <row r="74" spans="1:7" s="7" customFormat="1" ht="16.5" x14ac:dyDescent="0.3">
      <c r="A74" s="11" t="s">
        <v>36</v>
      </c>
      <c r="B74" s="21">
        <f>B26/(B19*3)</f>
        <v>18272.155683930945</v>
      </c>
      <c r="C74" s="21">
        <f t="shared" ref="C74:D74" si="23">C26/(C19*3)</f>
        <v>15032.522217795486</v>
      </c>
      <c r="D74" s="21">
        <f t="shared" si="23"/>
        <v>76628.175984848494</v>
      </c>
      <c r="E74" s="21">
        <f>E26/(E19*3)</f>
        <v>1939.7262479871176</v>
      </c>
      <c r="F74" s="21" t="s">
        <v>74</v>
      </c>
      <c r="G74" s="21" t="s">
        <v>74</v>
      </c>
    </row>
    <row r="75" spans="1:7" s="7" customFormat="1" ht="16.5" x14ac:dyDescent="0.3">
      <c r="A75" s="11"/>
      <c r="B75" s="21"/>
      <c r="C75" s="21"/>
      <c r="D75" s="21"/>
      <c r="E75" s="21"/>
      <c r="F75" s="21"/>
      <c r="G75" s="21"/>
    </row>
    <row r="76" spans="1:7" s="7" customFormat="1" ht="17.25" x14ac:dyDescent="0.35">
      <c r="A76" s="12" t="s">
        <v>29</v>
      </c>
      <c r="B76" s="21"/>
      <c r="C76" s="21"/>
      <c r="D76" s="21"/>
      <c r="E76" s="21"/>
      <c r="F76" s="21"/>
      <c r="G76" s="21"/>
    </row>
    <row r="77" spans="1:7" s="7" customFormat="1" ht="16.5" x14ac:dyDescent="0.3">
      <c r="A77" s="11" t="s">
        <v>30</v>
      </c>
      <c r="B77" s="21">
        <f>(B32/B31)*100</f>
        <v>105.88600806132635</v>
      </c>
      <c r="C77" s="21">
        <f t="shared" ref="C77:F77" si="24">(C32/C31)*100</f>
        <v>100</v>
      </c>
      <c r="D77" s="21"/>
      <c r="E77" s="21"/>
      <c r="F77" s="21">
        <f t="shared" si="24"/>
        <v>124.49994483168452</v>
      </c>
      <c r="G77" s="21"/>
    </row>
    <row r="78" spans="1:7" s="7" customFormat="1" ht="16.5" x14ac:dyDescent="0.3">
      <c r="A78" s="11" t="s">
        <v>31</v>
      </c>
      <c r="B78" s="21">
        <f>(B26/B32)*100</f>
        <v>54.243527892540598</v>
      </c>
      <c r="C78" s="21">
        <f t="shared" ref="C78:F78" si="25">(C26/C32)*100</f>
        <v>62.194995769230779</v>
      </c>
      <c r="D78" s="21"/>
      <c r="E78" s="21"/>
      <c r="F78" s="21">
        <f t="shared" si="25"/>
        <v>34.046124870291685</v>
      </c>
      <c r="G78" s="21"/>
    </row>
    <row r="79" spans="1:7" ht="17.25" thickBot="1" x14ac:dyDescent="0.35">
      <c r="A79" s="22"/>
      <c r="B79" s="27"/>
      <c r="C79" s="27"/>
      <c r="D79" s="27"/>
      <c r="E79" s="27"/>
      <c r="F79" s="27"/>
      <c r="G79" s="27"/>
    </row>
    <row r="80" spans="1:7" s="7" customFormat="1" ht="16.5" customHeight="1" thickTop="1" x14ac:dyDescent="0.25">
      <c r="A80" s="39" t="s">
        <v>127</v>
      </c>
      <c r="B80" s="39"/>
      <c r="C80" s="39"/>
      <c r="D80" s="39"/>
      <c r="E80" s="39"/>
      <c r="F80" s="39"/>
      <c r="G80" s="39"/>
    </row>
    <row r="81" spans="1:7" ht="16.5" x14ac:dyDescent="0.3">
      <c r="A81" s="23"/>
      <c r="B81" s="11"/>
      <c r="C81" s="11"/>
      <c r="D81" s="11"/>
      <c r="E81" s="11"/>
      <c r="F81" s="11"/>
      <c r="G81" s="11"/>
    </row>
    <row r="82" spans="1:7" ht="16.5" x14ac:dyDescent="0.3">
      <c r="A82" s="23"/>
      <c r="B82" s="11"/>
      <c r="C82" s="11"/>
      <c r="D82" s="11"/>
      <c r="E82" s="11"/>
      <c r="F82" s="11"/>
      <c r="G82" s="11"/>
    </row>
    <row r="83" spans="1:7" ht="16.5" x14ac:dyDescent="0.3">
      <c r="A83" s="23"/>
      <c r="B83" s="24"/>
      <c r="C83" s="24"/>
      <c r="D83" s="24"/>
      <c r="E83" s="11"/>
      <c r="F83" s="11"/>
      <c r="G83" s="11"/>
    </row>
    <row r="84" spans="1:7" ht="16.5" x14ac:dyDescent="0.3">
      <c r="A84" s="23"/>
      <c r="B84" s="11"/>
      <c r="C84" s="11"/>
      <c r="D84" s="11"/>
      <c r="E84" s="11"/>
      <c r="F84" s="11"/>
      <c r="G84" s="11"/>
    </row>
    <row r="85" spans="1:7" ht="16.5" x14ac:dyDescent="0.3">
      <c r="A85" s="23"/>
      <c r="B85" s="11"/>
      <c r="C85" s="11"/>
      <c r="D85" s="11"/>
      <c r="E85" s="11"/>
      <c r="F85" s="11"/>
      <c r="G85" s="11"/>
    </row>
    <row r="86" spans="1:7" ht="16.5" x14ac:dyDescent="0.3">
      <c r="A86" s="11"/>
      <c r="B86" s="11"/>
      <c r="C86" s="11"/>
      <c r="D86" s="11"/>
      <c r="E86" s="11"/>
      <c r="F86" s="11"/>
      <c r="G86" s="11"/>
    </row>
    <row r="87" spans="1:7" x14ac:dyDescent="0.25">
      <c r="A87" s="7"/>
    </row>
    <row r="88" spans="1:7" x14ac:dyDescent="0.25">
      <c r="A88" s="7"/>
    </row>
    <row r="89" spans="1:7" x14ac:dyDescent="0.25">
      <c r="A89" s="7"/>
    </row>
    <row r="94" spans="1:7" x14ac:dyDescent="0.25">
      <c r="A94" s="3"/>
    </row>
  </sheetData>
  <mergeCells count="10">
    <mergeCell ref="F10:F11"/>
    <mergeCell ref="G10:G11"/>
    <mergeCell ref="D10:D11"/>
    <mergeCell ref="F9:G9"/>
    <mergeCell ref="A80:G80"/>
    <mergeCell ref="A9:A11"/>
    <mergeCell ref="B9:B11"/>
    <mergeCell ref="C9:E9"/>
    <mergeCell ref="C10:C11"/>
    <mergeCell ref="E10:E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93"/>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1" customWidth="1"/>
    <col min="2" max="7" width="19.5703125" style="1" customWidth="1"/>
    <col min="8" max="16384" width="11.42578125" style="1"/>
  </cols>
  <sheetData>
    <row r="7" spans="1:7" ht="25.5" customHeight="1" x14ac:dyDescent="0.25"/>
    <row r="8" spans="1:7" ht="25.5" customHeight="1" x14ac:dyDescent="0.25"/>
    <row r="9" spans="1:7" s="4" customFormat="1" ht="17.25"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2</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28"/>
      <c r="C14" s="28"/>
      <c r="D14" s="28"/>
      <c r="E14" s="28"/>
      <c r="F14" s="28"/>
      <c r="G14" s="28"/>
    </row>
    <row r="15" spans="1:7" ht="17.25" x14ac:dyDescent="0.35">
      <c r="A15" s="12" t="s">
        <v>41</v>
      </c>
      <c r="B15" s="28"/>
      <c r="C15" s="28"/>
      <c r="D15" s="28"/>
      <c r="E15" s="28"/>
      <c r="F15" s="28"/>
      <c r="G15" s="28"/>
    </row>
    <row r="16" spans="1:7" s="7" customFormat="1" ht="16.5" x14ac:dyDescent="0.3">
      <c r="A16" s="13" t="s">
        <v>66</v>
      </c>
      <c r="B16" s="14">
        <f>C16+F16</f>
        <v>2800</v>
      </c>
      <c r="C16" s="14">
        <f>D16+E16</f>
        <v>1053</v>
      </c>
      <c r="D16" s="14">
        <f>+'I Trimestre'!D16+'II Trimestre'!D16+'III Trimestre'!D16</f>
        <v>167</v>
      </c>
      <c r="E16" s="14">
        <f>+'I Trimestre'!E16+'II Trimestre'!E16+'III Trimestre'!E16</f>
        <v>886</v>
      </c>
      <c r="F16" s="25">
        <f>SUM(G16:G16)</f>
        <v>1747</v>
      </c>
      <c r="G16" s="25">
        <f>+'I Trimestre'!G16+'II Trimestre'!G16+'III Trimestre'!G16</f>
        <v>1747</v>
      </c>
    </row>
    <row r="17" spans="1:9" s="7" customFormat="1" ht="16.5" x14ac:dyDescent="0.3">
      <c r="A17" s="15" t="s">
        <v>42</v>
      </c>
      <c r="B17" s="14">
        <f>C17+F17</f>
        <v>2736</v>
      </c>
      <c r="C17" s="14">
        <f>D17+E17</f>
        <v>989</v>
      </c>
      <c r="D17" s="14">
        <f>+'I Trimestre'!D17+'II Trimestre'!D17+'III Trimestre'!D17</f>
        <v>103</v>
      </c>
      <c r="E17" s="14">
        <f>+'I Trimestre'!E17+'II Trimestre'!E17+'III Trimestre'!E17</f>
        <v>886</v>
      </c>
      <c r="F17" s="25">
        <f>SUM(G17:G17)</f>
        <v>1747</v>
      </c>
      <c r="G17" s="25">
        <f>+'I Trimestre'!G17+'II Trimestre'!G17+'III Trimestre'!G17</f>
        <v>1747</v>
      </c>
    </row>
    <row r="18" spans="1:9" s="7" customFormat="1" ht="16.5" x14ac:dyDescent="0.3">
      <c r="A18" s="13" t="s">
        <v>104</v>
      </c>
      <c r="B18" s="14">
        <f>C18+F18</f>
        <v>1947.6666666666665</v>
      </c>
      <c r="C18" s="14">
        <f>D18+E18</f>
        <v>265.66666666666663</v>
      </c>
      <c r="D18" s="14">
        <f>+'I Trimestre'!D18+'II Trimestre'!D18+'III Trimestre'!D18</f>
        <v>76.666666666666657</v>
      </c>
      <c r="E18" s="14">
        <f>+'I Trimestre'!E18+'II Trimestre'!E18+'III Trimestre'!E18</f>
        <v>189</v>
      </c>
      <c r="F18" s="25">
        <f>SUM(G18:G18)</f>
        <v>1682</v>
      </c>
      <c r="G18" s="14">
        <f>+'I Trimestre'!G18+'II Trimestre'!G18+'III Trimestre'!G18</f>
        <v>1682</v>
      </c>
    </row>
    <row r="19" spans="1:9" s="7" customFormat="1" ht="16.5" x14ac:dyDescent="0.3">
      <c r="A19" s="13" t="s">
        <v>105</v>
      </c>
      <c r="B19" s="14">
        <f>C19+F19</f>
        <v>686</v>
      </c>
      <c r="C19" s="14">
        <f>D19+E19</f>
        <v>686</v>
      </c>
      <c r="D19" s="14">
        <f>(+'I Trimestre'!D19+'II Trimestre'!D19+'III Trimestre'!D19)</f>
        <v>167</v>
      </c>
      <c r="E19" s="14">
        <f>+'I Trimestre'!E19+'II Trimestre'!E19+'III Trimestre'!E19</f>
        <v>519</v>
      </c>
      <c r="F19" s="25">
        <f>SUM(G19:G19)</f>
        <v>0</v>
      </c>
      <c r="G19" s="14">
        <f>+'I Trimestre'!G19+'II Trimestre'!G19+'III Trimestre'!G19</f>
        <v>0</v>
      </c>
    </row>
    <row r="20" spans="1:9" s="7" customFormat="1" ht="16.5" x14ac:dyDescent="0.3">
      <c r="A20" s="15" t="s">
        <v>42</v>
      </c>
      <c r="B20" s="14">
        <f>C20+F20</f>
        <v>614</v>
      </c>
      <c r="C20" s="14">
        <f>D20+E20</f>
        <v>614</v>
      </c>
      <c r="D20" s="14">
        <f>(+'I Trimestre'!D20+'II Trimestre'!D20+'III Trimestre'!D20)</f>
        <v>95</v>
      </c>
      <c r="E20" s="14">
        <f>+'I Trimestre'!E20+'II Trimestre'!E20+'III Trimestre'!E20</f>
        <v>519</v>
      </c>
      <c r="F20" s="25">
        <f>SUM(G20:G20)</f>
        <v>0</v>
      </c>
      <c r="G20" s="14">
        <f>+'I Trimestre'!G20+'II Trimestre'!G20+'III Trimestre'!G20</f>
        <v>0</v>
      </c>
    </row>
    <row r="21" spans="1:9" s="7" customFormat="1" ht="16.5" x14ac:dyDescent="0.3">
      <c r="A21" s="13" t="s">
        <v>81</v>
      </c>
      <c r="B21" s="14">
        <f>+'III Trimestre'!B21</f>
        <v>2036</v>
      </c>
      <c r="C21" s="14">
        <f>+'III Trimestre'!C21</f>
        <v>354</v>
      </c>
      <c r="D21" s="14">
        <f>+'III Trimestre'!D21</f>
        <v>102</v>
      </c>
      <c r="E21" s="14">
        <f>+'III Trimestre'!E21</f>
        <v>252</v>
      </c>
      <c r="F21" s="25">
        <f>+'III Trimestre'!F21</f>
        <v>1682</v>
      </c>
      <c r="G21" s="14">
        <f>+'III Trimestre'!G21</f>
        <v>1682</v>
      </c>
    </row>
    <row r="22" spans="1:9" s="7" customFormat="1" ht="16.5" x14ac:dyDescent="0.3">
      <c r="A22" s="11"/>
      <c r="B22" s="14"/>
      <c r="C22" s="14"/>
      <c r="D22" s="14"/>
      <c r="E22" s="14"/>
      <c r="F22" s="14"/>
      <c r="G22" s="14"/>
    </row>
    <row r="23" spans="1:9" s="7" customFormat="1" ht="17.25" x14ac:dyDescent="0.35">
      <c r="A23" s="17" t="s">
        <v>5</v>
      </c>
      <c r="B23" s="14"/>
      <c r="C23" s="14"/>
      <c r="D23" s="14"/>
      <c r="E23" s="14"/>
      <c r="F23" s="14"/>
      <c r="G23" s="14"/>
    </row>
    <row r="24" spans="1:9" s="7" customFormat="1" ht="16.5" x14ac:dyDescent="0.3">
      <c r="A24" s="13" t="s">
        <v>66</v>
      </c>
      <c r="B24" s="14">
        <f>C24+F24</f>
        <v>52378419.899999999</v>
      </c>
      <c r="C24" s="14">
        <f>D24+E24</f>
        <v>45920214.899999999</v>
      </c>
      <c r="D24" s="14">
        <f>+'I Trimestre'!D24+'II Trimestre'!D24+'III Trimestre'!D24</f>
        <v>40836249.899999999</v>
      </c>
      <c r="E24" s="14">
        <f>+'I Trimestre'!E24+'II Trimestre'!E24+'III Trimestre'!E24</f>
        <v>5083965</v>
      </c>
      <c r="F24" s="14">
        <f>SUM(G24:G24)</f>
        <v>6458205</v>
      </c>
      <c r="G24" s="14">
        <f>+'I Trimestre'!G24+'II Trimestre'!G24+'III Trimestre'!G24</f>
        <v>6458205</v>
      </c>
    </row>
    <row r="25" spans="1:9" s="7" customFormat="1" ht="16.5" x14ac:dyDescent="0.3">
      <c r="A25" s="13" t="s">
        <v>104</v>
      </c>
      <c r="B25" s="14">
        <f t="shared" ref="B25:B26" si="0">C25+F25</f>
        <v>75705528</v>
      </c>
      <c r="C25" s="14">
        <f t="shared" ref="C25:C26" si="1">D25+E25</f>
        <v>65115528</v>
      </c>
      <c r="D25" s="14">
        <f>'I Trimestre'!D25+'II Trimestre'!D25+'III Trimestre'!D25</f>
        <v>58315528</v>
      </c>
      <c r="E25" s="14">
        <f>'I Trimestre'!E25+'II Trimestre'!E25+'III Trimestre'!E25</f>
        <v>6799999.9999999981</v>
      </c>
      <c r="F25" s="14">
        <f>SUM(G25:G25)</f>
        <v>10590000</v>
      </c>
      <c r="G25" s="14">
        <f>'I Trimestre'!G25+'II Trimestre'!G25+'III Trimestre'!G25</f>
        <v>10590000</v>
      </c>
    </row>
    <row r="26" spans="1:9" s="7" customFormat="1" ht="16.5" x14ac:dyDescent="0.3">
      <c r="A26" s="13" t="s">
        <v>105</v>
      </c>
      <c r="B26" s="14">
        <f t="shared" si="0"/>
        <v>42697385.32</v>
      </c>
      <c r="C26" s="14">
        <f t="shared" si="1"/>
        <v>40257941.32</v>
      </c>
      <c r="D26" s="14">
        <f>+'I Trimestre'!D26+'II Trimestre'!D26+'III Trimestre'!D26</f>
        <v>37468366.32</v>
      </c>
      <c r="E26" s="14">
        <f>+'I Trimestre'!E26+'II Trimestre'!E26+'III Trimestre'!E26</f>
        <v>2789575</v>
      </c>
      <c r="F26" s="14">
        <f>SUM(G26:G26)</f>
        <v>2439444</v>
      </c>
      <c r="G26" s="14">
        <f>+'I Trimestre'!G26+'II Trimestre'!G26+'III Trimestre'!G26</f>
        <v>2439444</v>
      </c>
      <c r="I26" s="6"/>
    </row>
    <row r="27" spans="1:9" s="7" customFormat="1" ht="16.5" x14ac:dyDescent="0.3">
      <c r="A27" s="13" t="s">
        <v>81</v>
      </c>
      <c r="B27" s="14">
        <f>+'III Trimestre'!B27</f>
        <v>88305528</v>
      </c>
      <c r="C27" s="14">
        <f>+'III Trimestre'!C27</f>
        <v>77715528</v>
      </c>
      <c r="D27" s="14">
        <f>+'III Trimestre'!D27</f>
        <v>69715528</v>
      </c>
      <c r="E27" s="14">
        <f>+'III Trimestre'!E27</f>
        <v>7999999.9999999991</v>
      </c>
      <c r="F27" s="14">
        <f>+'III Trimestre'!F27</f>
        <v>10590000</v>
      </c>
      <c r="G27" s="14">
        <f>+'III Trimestre'!G27</f>
        <v>10590000</v>
      </c>
    </row>
    <row r="28" spans="1:9" s="7" customFormat="1" ht="16.5" x14ac:dyDescent="0.3">
      <c r="A28" s="13" t="s">
        <v>106</v>
      </c>
      <c r="B28" s="14">
        <f>+C28+F28</f>
        <v>42697385.32</v>
      </c>
      <c r="C28" s="14">
        <f>+D28+E28</f>
        <v>40257941.32</v>
      </c>
      <c r="D28" s="14">
        <f>D26</f>
        <v>37468366.32</v>
      </c>
      <c r="E28" s="14">
        <f>+E26</f>
        <v>2789575</v>
      </c>
      <c r="F28" s="14">
        <f>+SUM(G28)</f>
        <v>2439444</v>
      </c>
      <c r="G28" s="14">
        <f>G26</f>
        <v>2439444</v>
      </c>
    </row>
    <row r="29" spans="1:9" s="7" customFormat="1" ht="16.5" x14ac:dyDescent="0.3">
      <c r="A29" s="11"/>
      <c r="B29" s="14"/>
      <c r="C29" s="14"/>
      <c r="D29" s="14"/>
      <c r="E29" s="14"/>
      <c r="F29" s="14"/>
      <c r="G29" s="14"/>
    </row>
    <row r="30" spans="1:9" s="7" customFormat="1" ht="17.25" x14ac:dyDescent="0.35">
      <c r="A30" s="17" t="s">
        <v>6</v>
      </c>
      <c r="B30" s="14"/>
      <c r="C30" s="14"/>
      <c r="D30" s="14"/>
      <c r="E30" s="14"/>
      <c r="F30" s="14"/>
      <c r="G30" s="14"/>
    </row>
    <row r="31" spans="1:9" s="7" customFormat="1" ht="16.5" x14ac:dyDescent="0.3">
      <c r="A31" s="13" t="s">
        <v>104</v>
      </c>
      <c r="B31" s="14">
        <f>+B25</f>
        <v>75705528</v>
      </c>
      <c r="C31" s="14">
        <f>+C25</f>
        <v>65115528</v>
      </c>
      <c r="D31" s="14"/>
      <c r="E31" s="14"/>
      <c r="F31" s="14">
        <f>F25</f>
        <v>10590000</v>
      </c>
      <c r="G31" s="14"/>
    </row>
    <row r="32" spans="1:9" s="7" customFormat="1" ht="16.5" x14ac:dyDescent="0.3">
      <c r="A32" s="13" t="s">
        <v>105</v>
      </c>
      <c r="B32" s="14">
        <f>'I Trimestre'!B32+'II Trimestre'!B32+'III Trimestre'!B32</f>
        <v>77115528</v>
      </c>
      <c r="C32" s="14">
        <f>+'I Trimestre'!C32+'II Trimestre'!C32+'III Trimestre'!C32</f>
        <v>65615528</v>
      </c>
      <c r="D32" s="14"/>
      <c r="E32" s="14"/>
      <c r="F32" s="14">
        <f>+'I Trimestre'!F32+'II Trimestre'!F32+'III Trimestre'!F32</f>
        <v>11500000</v>
      </c>
      <c r="G32" s="14"/>
    </row>
    <row r="33" spans="1:9" ht="16.5" x14ac:dyDescent="0.3">
      <c r="A33" s="11"/>
      <c r="B33" s="18"/>
      <c r="C33" s="18"/>
      <c r="D33" s="18"/>
      <c r="E33" s="18"/>
      <c r="F33" s="18"/>
      <c r="G33" s="18"/>
    </row>
    <row r="34" spans="1:9" ht="17.25" x14ac:dyDescent="0.35">
      <c r="A34" s="12" t="s">
        <v>7</v>
      </c>
      <c r="B34" s="18"/>
      <c r="C34" s="18"/>
      <c r="D34" s="18"/>
      <c r="E34" s="18"/>
      <c r="F34" s="18"/>
      <c r="G34" s="18"/>
    </row>
    <row r="35" spans="1:9" ht="16.5" x14ac:dyDescent="0.3">
      <c r="A35" s="13" t="s">
        <v>67</v>
      </c>
      <c r="B35" s="19">
        <v>1.060947463</v>
      </c>
      <c r="C35" s="19">
        <v>1.060947463</v>
      </c>
      <c r="D35" s="19">
        <v>1.060947463</v>
      </c>
      <c r="E35" s="19">
        <v>1.060947463</v>
      </c>
      <c r="F35" s="19">
        <v>1.060947463</v>
      </c>
      <c r="G35" s="19">
        <v>1.060947463</v>
      </c>
      <c r="H35" s="2"/>
      <c r="I35" s="2"/>
    </row>
    <row r="36" spans="1:9" ht="16.5" x14ac:dyDescent="0.3">
      <c r="A36" s="13" t="s">
        <v>107</v>
      </c>
      <c r="B36" s="19">
        <v>1.0641</v>
      </c>
      <c r="C36" s="19">
        <v>1.0641</v>
      </c>
      <c r="D36" s="19">
        <v>1.0641</v>
      </c>
      <c r="E36" s="19">
        <v>1.0641</v>
      </c>
      <c r="F36" s="19">
        <v>1.0641</v>
      </c>
      <c r="G36" s="19">
        <v>1.0641</v>
      </c>
      <c r="H36" s="2"/>
      <c r="I36" s="2"/>
    </row>
    <row r="37" spans="1:9" s="7" customFormat="1" ht="16.5" x14ac:dyDescent="0.3">
      <c r="A37" s="13" t="s">
        <v>8</v>
      </c>
      <c r="B37" s="14" t="s">
        <v>47</v>
      </c>
      <c r="C37" s="14" t="s">
        <v>47</v>
      </c>
      <c r="D37" s="14" t="s">
        <v>47</v>
      </c>
      <c r="E37" s="14" t="s">
        <v>47</v>
      </c>
      <c r="F37" s="14" t="s">
        <v>47</v>
      </c>
      <c r="G37" s="14" t="s">
        <v>47</v>
      </c>
    </row>
    <row r="38" spans="1:9" ht="16.5" x14ac:dyDescent="0.3">
      <c r="A38" s="11"/>
      <c r="B38" s="16"/>
      <c r="C38" s="16"/>
      <c r="D38" s="16"/>
      <c r="E38" s="16"/>
      <c r="F38" s="16"/>
      <c r="G38" s="16"/>
    </row>
    <row r="39" spans="1:9" ht="17.25" x14ac:dyDescent="0.35">
      <c r="A39" s="12" t="s">
        <v>9</v>
      </c>
      <c r="B39" s="16"/>
      <c r="C39" s="16"/>
      <c r="D39" s="16"/>
      <c r="E39" s="16"/>
      <c r="F39" s="16"/>
      <c r="G39" s="16"/>
    </row>
    <row r="40" spans="1:9" s="7" customFormat="1" ht="16.5" x14ac:dyDescent="0.3">
      <c r="A40" s="11" t="s">
        <v>68</v>
      </c>
      <c r="B40" s="14">
        <f>B24/B35</f>
        <v>49369475.611819245</v>
      </c>
      <c r="C40" s="14">
        <f t="shared" ref="C40:G40" si="2">C24/C35</f>
        <v>43282270.330477238</v>
      </c>
      <c r="D40" s="14">
        <f>D24/D35</f>
        <v>38490360.101836637</v>
      </c>
      <c r="E40" s="14">
        <f t="shared" si="2"/>
        <v>4791910.2286406057</v>
      </c>
      <c r="F40" s="14">
        <f t="shared" si="2"/>
        <v>6087205.2813420035</v>
      </c>
      <c r="G40" s="14">
        <f t="shared" si="2"/>
        <v>6087205.2813420035</v>
      </c>
    </row>
    <row r="41" spans="1:9" s="7" customFormat="1" ht="16.5" x14ac:dyDescent="0.3">
      <c r="A41" s="11" t="s">
        <v>108</v>
      </c>
      <c r="B41" s="14">
        <f t="shared" ref="B41:F41" si="3">B26/B36</f>
        <v>40125350.361808099</v>
      </c>
      <c r="C41" s="14">
        <f t="shared" si="3"/>
        <v>37832855.295554928</v>
      </c>
      <c r="D41" s="14">
        <f t="shared" si="3"/>
        <v>35211320.665350996</v>
      </c>
      <c r="E41" s="14">
        <f t="shared" si="3"/>
        <v>2621534.6302039279</v>
      </c>
      <c r="F41" s="14">
        <f t="shared" si="3"/>
        <v>2292495.0662531718</v>
      </c>
      <c r="G41" s="14">
        <f>G26/G36</f>
        <v>2292495.0662531718</v>
      </c>
    </row>
    <row r="42" spans="1:9" s="7" customFormat="1" ht="16.5" x14ac:dyDescent="0.3">
      <c r="A42" s="11" t="s">
        <v>69</v>
      </c>
      <c r="B42" s="14">
        <f t="shared" ref="B42:G42" si="4">B40/B16</f>
        <v>17631.955575649732</v>
      </c>
      <c r="C42" s="14">
        <f t="shared" si="4"/>
        <v>41103.770494280376</v>
      </c>
      <c r="D42" s="14">
        <f t="shared" si="4"/>
        <v>230481.19821459064</v>
      </c>
      <c r="E42" s="14">
        <f t="shared" si="4"/>
        <v>5408.4765560277719</v>
      </c>
      <c r="F42" s="14">
        <f t="shared" si="4"/>
        <v>3484.3762343113931</v>
      </c>
      <c r="G42" s="14">
        <f t="shared" si="4"/>
        <v>3484.3762343113931</v>
      </c>
    </row>
    <row r="43" spans="1:9" s="7" customFormat="1" ht="16.5" x14ac:dyDescent="0.3">
      <c r="A43" s="11" t="s">
        <v>109</v>
      </c>
      <c r="B43" s="14">
        <f t="shared" ref="B43:E43" si="5">B41/B19</f>
        <v>58491.764375813553</v>
      </c>
      <c r="C43" s="14">
        <f t="shared" si="5"/>
        <v>55149.934833170453</v>
      </c>
      <c r="D43" s="14">
        <f t="shared" si="5"/>
        <v>210846.23152904789</v>
      </c>
      <c r="E43" s="14">
        <f t="shared" si="5"/>
        <v>5051.1264551135409</v>
      </c>
      <c r="F43" s="14" t="s">
        <v>74</v>
      </c>
      <c r="G43" s="14" t="s">
        <v>74</v>
      </c>
    </row>
    <row r="44" spans="1:9" s="7" customFormat="1" ht="16.5" x14ac:dyDescent="0.3">
      <c r="A44" s="11"/>
      <c r="B44" s="20"/>
      <c r="C44" s="20"/>
      <c r="D44" s="20"/>
      <c r="E44" s="20"/>
      <c r="F44" s="20"/>
      <c r="G44" s="20"/>
    </row>
    <row r="45" spans="1:9" s="7" customFormat="1" ht="17.25" x14ac:dyDescent="0.35">
      <c r="A45" s="12" t="s">
        <v>10</v>
      </c>
      <c r="B45" s="20"/>
      <c r="C45" s="20"/>
      <c r="D45" s="20"/>
      <c r="E45" s="20"/>
      <c r="F45" s="20"/>
      <c r="G45" s="20"/>
    </row>
    <row r="46" spans="1:9" s="7" customFormat="1" ht="16.5" x14ac:dyDescent="0.3">
      <c r="A46" s="11"/>
      <c r="B46" s="20"/>
      <c r="C46" s="20"/>
      <c r="D46" s="20"/>
      <c r="E46" s="20"/>
      <c r="F46" s="20"/>
      <c r="G46" s="20"/>
    </row>
    <row r="47" spans="1:9" s="7" customFormat="1" ht="17.25" x14ac:dyDescent="0.35">
      <c r="A47" s="12" t="s">
        <v>11</v>
      </c>
      <c r="B47" s="20"/>
      <c r="C47" s="20"/>
      <c r="D47" s="20"/>
      <c r="E47" s="20"/>
      <c r="F47" s="20"/>
      <c r="G47" s="20"/>
    </row>
    <row r="48" spans="1:9" s="7" customFormat="1" ht="16.5" x14ac:dyDescent="0.3">
      <c r="A48" s="11" t="s">
        <v>12</v>
      </c>
      <c r="B48" s="21" t="s">
        <v>44</v>
      </c>
      <c r="C48" s="21" t="s">
        <v>44</v>
      </c>
      <c r="D48" s="21" t="s">
        <v>44</v>
      </c>
      <c r="E48" s="21" t="s">
        <v>44</v>
      </c>
      <c r="F48" s="21" t="s">
        <v>44</v>
      </c>
      <c r="G48" s="21" t="s">
        <v>44</v>
      </c>
    </row>
    <row r="49" spans="1:7" s="7" customFormat="1" ht="16.5" x14ac:dyDescent="0.3">
      <c r="A49" s="11" t="s">
        <v>13</v>
      </c>
      <c r="B49" s="21" t="s">
        <v>44</v>
      </c>
      <c r="C49" s="21" t="s">
        <v>44</v>
      </c>
      <c r="D49" s="21" t="s">
        <v>44</v>
      </c>
      <c r="E49" s="21" t="s">
        <v>44</v>
      </c>
      <c r="F49" s="21" t="s">
        <v>44</v>
      </c>
      <c r="G49" s="21" t="s">
        <v>44</v>
      </c>
    </row>
    <row r="50" spans="1:7" s="7" customFormat="1" ht="16.5" x14ac:dyDescent="0.3">
      <c r="A50" s="11"/>
      <c r="B50" s="21"/>
      <c r="C50" s="21"/>
      <c r="D50" s="21"/>
      <c r="E50" s="21"/>
      <c r="F50" s="21"/>
      <c r="G50" s="21"/>
    </row>
    <row r="51" spans="1:7" s="7" customFormat="1" ht="17.25" x14ac:dyDescent="0.35">
      <c r="A51" s="12" t="s">
        <v>14</v>
      </c>
      <c r="B51" s="21"/>
      <c r="C51" s="21"/>
      <c r="D51" s="21"/>
      <c r="E51" s="21"/>
      <c r="F51" s="21"/>
      <c r="G51" s="21"/>
    </row>
    <row r="52" spans="1:7" s="7" customFormat="1" ht="16.5" x14ac:dyDescent="0.3">
      <c r="A52" s="11" t="s">
        <v>15</v>
      </c>
      <c r="B52" s="21">
        <f>B19/B18*100</f>
        <v>35.221632722916311</v>
      </c>
      <c r="C52" s="21">
        <f t="shared" ref="C52:G52" si="6">C19/C18*100</f>
        <v>258.21831869510669</v>
      </c>
      <c r="D52" s="21">
        <f t="shared" si="6"/>
        <v>217.82608695652175</v>
      </c>
      <c r="E52" s="21">
        <f t="shared" si="6"/>
        <v>274.60317460317458</v>
      </c>
      <c r="F52" s="21">
        <f t="shared" si="6"/>
        <v>0</v>
      </c>
      <c r="G52" s="21">
        <f t="shared" si="6"/>
        <v>0</v>
      </c>
    </row>
    <row r="53" spans="1:7" s="7" customFormat="1" ht="16.5" x14ac:dyDescent="0.3">
      <c r="A53" s="11" t="s">
        <v>16</v>
      </c>
      <c r="B53" s="21">
        <f>B26/B25*100</f>
        <v>56.399296653739739</v>
      </c>
      <c r="C53" s="21">
        <f t="shared" ref="C53:F53" si="7">C26/C25*100</f>
        <v>61.825408710499893</v>
      </c>
      <c r="D53" s="21">
        <f t="shared" si="7"/>
        <v>64.251096757625163</v>
      </c>
      <c r="E53" s="21">
        <f t="shared" si="7"/>
        <v>41.023161764705897</v>
      </c>
      <c r="F53" s="21">
        <f t="shared" si="7"/>
        <v>23.035354107648725</v>
      </c>
      <c r="G53" s="21">
        <f>G26/G25*100</f>
        <v>23.035354107648725</v>
      </c>
    </row>
    <row r="54" spans="1:7" s="7" customFormat="1" ht="16.5" x14ac:dyDescent="0.3">
      <c r="A54" s="11" t="s">
        <v>17</v>
      </c>
      <c r="B54" s="21">
        <f t="shared" ref="B54:G54" si="8">AVERAGE(B52:B53)</f>
        <v>45.810464688328025</v>
      </c>
      <c r="C54" s="21">
        <f t="shared" si="8"/>
        <v>160.0218637028033</v>
      </c>
      <c r="D54" s="21">
        <f t="shared" si="8"/>
        <v>141.03859185707347</v>
      </c>
      <c r="E54" s="21">
        <f t="shared" si="8"/>
        <v>157.81316818394023</v>
      </c>
      <c r="F54" s="21">
        <f t="shared" si="8"/>
        <v>11.517677053824363</v>
      </c>
      <c r="G54" s="21">
        <f t="shared" si="8"/>
        <v>11.517677053824363</v>
      </c>
    </row>
    <row r="55" spans="1:7" s="7" customFormat="1" ht="16.5" x14ac:dyDescent="0.3">
      <c r="A55" s="11"/>
      <c r="B55" s="21"/>
      <c r="C55" s="21"/>
      <c r="D55" s="21"/>
      <c r="E55" s="21"/>
      <c r="F55" s="21"/>
      <c r="G55" s="21"/>
    </row>
    <row r="56" spans="1:7" s="7" customFormat="1" ht="17.25" x14ac:dyDescent="0.35">
      <c r="A56" s="12" t="s">
        <v>18</v>
      </c>
      <c r="B56" s="21"/>
      <c r="C56" s="21"/>
      <c r="D56" s="21"/>
      <c r="E56" s="21"/>
      <c r="F56" s="21"/>
      <c r="G56" s="21"/>
    </row>
    <row r="57" spans="1:7" s="7" customFormat="1" ht="16.5" x14ac:dyDescent="0.3">
      <c r="A57" s="11" t="s">
        <v>19</v>
      </c>
      <c r="B57" s="21">
        <f>(B19/B21)*100</f>
        <v>33.693516699410608</v>
      </c>
      <c r="C57" s="21">
        <f t="shared" ref="C57:G57" si="9">(C19/C21)*100</f>
        <v>193.78531073446328</v>
      </c>
      <c r="D57" s="21">
        <f t="shared" si="9"/>
        <v>163.72549019607843</v>
      </c>
      <c r="E57" s="21">
        <f t="shared" si="9"/>
        <v>205.95238095238093</v>
      </c>
      <c r="F57" s="21">
        <f t="shared" si="9"/>
        <v>0</v>
      </c>
      <c r="G57" s="21">
        <f t="shared" si="9"/>
        <v>0</v>
      </c>
    </row>
    <row r="58" spans="1:7" s="7" customFormat="1" ht="16.5" x14ac:dyDescent="0.3">
      <c r="A58" s="11" t="s">
        <v>20</v>
      </c>
      <c r="B58" s="21">
        <f>B26/B27*100</f>
        <v>48.351882704330812</v>
      </c>
      <c r="C58" s="21">
        <f t="shared" ref="C58:F58" si="10">C26/C27*100</f>
        <v>51.801669957128773</v>
      </c>
      <c r="D58" s="21">
        <f t="shared" si="10"/>
        <v>53.744649714192796</v>
      </c>
      <c r="E58" s="21">
        <f t="shared" si="10"/>
        <v>34.869687500000005</v>
      </c>
      <c r="F58" s="21">
        <f t="shared" si="10"/>
        <v>23.035354107648725</v>
      </c>
      <c r="G58" s="21">
        <f>G26/G27*100</f>
        <v>23.035354107648725</v>
      </c>
    </row>
    <row r="59" spans="1:7" s="7" customFormat="1" ht="16.5" x14ac:dyDescent="0.3">
      <c r="A59" s="11" t="s">
        <v>21</v>
      </c>
      <c r="B59" s="21">
        <f t="shared" ref="B59:G59" si="11">(B57+B58)/2</f>
        <v>41.022699701870707</v>
      </c>
      <c r="C59" s="21">
        <f t="shared" si="11"/>
        <v>122.79349034579603</v>
      </c>
      <c r="D59" s="21">
        <f t="shared" si="11"/>
        <v>108.73506995513561</v>
      </c>
      <c r="E59" s="21">
        <f t="shared" si="11"/>
        <v>120.41103422619047</v>
      </c>
      <c r="F59" s="21">
        <f t="shared" si="11"/>
        <v>11.517677053824363</v>
      </c>
      <c r="G59" s="21">
        <f t="shared" si="11"/>
        <v>11.517677053824363</v>
      </c>
    </row>
    <row r="60" spans="1:7" s="7" customFormat="1" ht="16.5" x14ac:dyDescent="0.3">
      <c r="A60" s="11"/>
      <c r="B60" s="21"/>
      <c r="C60" s="21"/>
      <c r="D60" s="21"/>
      <c r="E60" s="21"/>
      <c r="F60" s="21"/>
      <c r="G60" s="21"/>
    </row>
    <row r="61" spans="1:7" s="7" customFormat="1" ht="17.25" x14ac:dyDescent="0.35">
      <c r="A61" s="12" t="s">
        <v>32</v>
      </c>
      <c r="B61" s="21"/>
      <c r="C61" s="21"/>
      <c r="D61" s="21"/>
      <c r="E61" s="21"/>
      <c r="F61" s="21"/>
      <c r="G61" s="21"/>
    </row>
    <row r="62" spans="1:7" s="7" customFormat="1" ht="16.5" x14ac:dyDescent="0.3">
      <c r="A62" s="11" t="s">
        <v>22</v>
      </c>
      <c r="B62" s="21">
        <f t="shared" ref="B62:F62" si="12">B28/B26*100</f>
        <v>100</v>
      </c>
      <c r="C62" s="21">
        <f t="shared" si="12"/>
        <v>100</v>
      </c>
      <c r="D62" s="21"/>
      <c r="E62" s="21"/>
      <c r="F62" s="21">
        <f t="shared" si="12"/>
        <v>100</v>
      </c>
      <c r="G62" s="21"/>
    </row>
    <row r="63" spans="1:7" s="7" customFormat="1" ht="16.5" x14ac:dyDescent="0.3">
      <c r="A63" s="11"/>
      <c r="B63" s="21"/>
      <c r="C63" s="21"/>
      <c r="D63" s="21"/>
      <c r="E63" s="21"/>
      <c r="F63" s="21"/>
      <c r="G63" s="21"/>
    </row>
    <row r="64" spans="1:7" s="7" customFormat="1" ht="17.25" x14ac:dyDescent="0.35">
      <c r="A64" s="12" t="s">
        <v>23</v>
      </c>
      <c r="B64" s="21"/>
      <c r="C64" s="21"/>
      <c r="D64" s="21"/>
      <c r="E64" s="21"/>
      <c r="F64" s="21"/>
      <c r="G64" s="21"/>
    </row>
    <row r="65" spans="1:7" s="7" customFormat="1" ht="16.5" x14ac:dyDescent="0.3">
      <c r="A65" s="11" t="s">
        <v>24</v>
      </c>
      <c r="B65" s="21">
        <f>((B19/B16)-1)*100</f>
        <v>-75.5</v>
      </c>
      <c r="C65" s="21">
        <f t="shared" ref="C65:G65" si="13">((C19/C16)-1)*100</f>
        <v>-34.852801519468187</v>
      </c>
      <c r="D65" s="21">
        <f t="shared" si="13"/>
        <v>0</v>
      </c>
      <c r="E65" s="21">
        <f t="shared" si="13"/>
        <v>-41.422121896162537</v>
      </c>
      <c r="F65" s="21">
        <f t="shared" si="13"/>
        <v>-100</v>
      </c>
      <c r="G65" s="21">
        <f t="shared" si="13"/>
        <v>-100</v>
      </c>
    </row>
    <row r="66" spans="1:7" s="7" customFormat="1" ht="16.5" x14ac:dyDescent="0.3">
      <c r="A66" s="11" t="s">
        <v>25</v>
      </c>
      <c r="B66" s="21">
        <f>((B41/B40)-1)*100</f>
        <v>-18.724373989093102</v>
      </c>
      <c r="C66" s="21">
        <f>((C41/C40)-1)*100</f>
        <v>-12.590409406239257</v>
      </c>
      <c r="D66" s="21">
        <f t="shared" ref="D66:G66" si="14">((D41/D40)-1)*100</f>
        <v>-8.5191186255728866</v>
      </c>
      <c r="E66" s="21">
        <f t="shared" si="14"/>
        <v>-45.292492865676692</v>
      </c>
      <c r="F66" s="21">
        <f t="shared" si="14"/>
        <v>-62.33912016603189</v>
      </c>
      <c r="G66" s="21">
        <f t="shared" si="14"/>
        <v>-62.33912016603189</v>
      </c>
    </row>
    <row r="67" spans="1:7" s="7" customFormat="1" ht="16.5" x14ac:dyDescent="0.3">
      <c r="A67" s="11" t="s">
        <v>26</v>
      </c>
      <c r="B67" s="21">
        <f t="shared" ref="B67:E67" si="15">((B43/B42)-1)*100</f>
        <v>231.73724902410973</v>
      </c>
      <c r="C67" s="21">
        <f t="shared" si="15"/>
        <v>34.172447369140045</v>
      </c>
      <c r="D67" s="21">
        <f t="shared" si="15"/>
        <v>-8.5191186255728866</v>
      </c>
      <c r="E67" s="21">
        <f t="shared" si="15"/>
        <v>-6.6072228882264934</v>
      </c>
      <c r="F67" s="21" t="s">
        <v>74</v>
      </c>
      <c r="G67" s="21" t="s">
        <v>74</v>
      </c>
    </row>
    <row r="68" spans="1:7" s="7" customFormat="1" ht="16.5" x14ac:dyDescent="0.3">
      <c r="A68" s="11"/>
      <c r="B68" s="21"/>
      <c r="C68" s="21"/>
      <c r="D68" s="21"/>
      <c r="E68" s="21"/>
      <c r="F68" s="21"/>
      <c r="G68" s="21"/>
    </row>
    <row r="69" spans="1:7" s="7" customFormat="1" ht="17.25" x14ac:dyDescent="0.35">
      <c r="A69" s="12" t="s">
        <v>27</v>
      </c>
      <c r="B69" s="21"/>
      <c r="C69" s="21"/>
      <c r="D69" s="21"/>
      <c r="E69" s="21"/>
      <c r="F69" s="21"/>
      <c r="G69" s="21"/>
    </row>
    <row r="70" spans="1:7" s="7" customFormat="1" ht="16.5" x14ac:dyDescent="0.3">
      <c r="A70" s="11" t="s">
        <v>75</v>
      </c>
      <c r="B70" s="21">
        <f t="shared" ref="B70:G70" si="16">B25/B18</f>
        <v>38869.858634263226</v>
      </c>
      <c r="C70" s="21">
        <f t="shared" si="16"/>
        <v>245102.36386449187</v>
      </c>
      <c r="D70" s="21">
        <f t="shared" si="16"/>
        <v>760637.32173913054</v>
      </c>
      <c r="E70" s="21">
        <f t="shared" si="16"/>
        <v>35978.835978835967</v>
      </c>
      <c r="F70" s="21">
        <f t="shared" si="16"/>
        <v>6296.0760998810938</v>
      </c>
      <c r="G70" s="21">
        <f t="shared" si="16"/>
        <v>6296.0760998810938</v>
      </c>
    </row>
    <row r="71" spans="1:7" s="7" customFormat="1" ht="16.5" x14ac:dyDescent="0.3">
      <c r="A71" s="11" t="s">
        <v>76</v>
      </c>
      <c r="B71" s="21">
        <f t="shared" ref="B71:E71" si="17">B26/B19</f>
        <v>62241.086472303206</v>
      </c>
      <c r="C71" s="21">
        <f t="shared" si="17"/>
        <v>58685.045655976675</v>
      </c>
      <c r="D71" s="21">
        <f t="shared" si="17"/>
        <v>224361.47497005988</v>
      </c>
      <c r="E71" s="21">
        <f t="shared" si="17"/>
        <v>5374.9036608863198</v>
      </c>
      <c r="F71" s="21" t="s">
        <v>74</v>
      </c>
      <c r="G71" s="21" t="s">
        <v>74</v>
      </c>
    </row>
    <row r="72" spans="1:7" s="7" customFormat="1" ht="16.5" x14ac:dyDescent="0.3">
      <c r="A72" s="11" t="s">
        <v>28</v>
      </c>
      <c r="B72" s="21">
        <f>(B71/B70)*B54</f>
        <v>73.354861432123741</v>
      </c>
      <c r="C72" s="21">
        <f t="shared" ref="C72:E72" si="18">(C71/C70)*C54</f>
        <v>38.314156702892383</v>
      </c>
      <c r="D72" s="21">
        <f t="shared" si="18"/>
        <v>41.601464446160627</v>
      </c>
      <c r="E72" s="21">
        <f t="shared" si="18"/>
        <v>23.575820404720382</v>
      </c>
      <c r="F72" s="21" t="s">
        <v>74</v>
      </c>
      <c r="G72" s="21" t="s">
        <v>74</v>
      </c>
    </row>
    <row r="73" spans="1:7" s="7" customFormat="1" ht="16.5" x14ac:dyDescent="0.3">
      <c r="A73" s="11" t="s">
        <v>35</v>
      </c>
      <c r="B73" s="21">
        <f>B25/(B18*9)</f>
        <v>4318.8731815848023</v>
      </c>
      <c r="C73" s="21">
        <f t="shared" ref="C73:E73" si="19">C25/(C18*9)</f>
        <v>27233.595984943542</v>
      </c>
      <c r="D73" s="21">
        <f t="shared" si="19"/>
        <v>84515.257971014507</v>
      </c>
      <c r="E73" s="21">
        <f t="shared" si="19"/>
        <v>3997.6484420928855</v>
      </c>
      <c r="F73" s="21">
        <f>F25/(F18*6)</f>
        <v>1049.346016646849</v>
      </c>
      <c r="G73" s="21">
        <f>G25/(G18*6)</f>
        <v>1049.346016646849</v>
      </c>
    </row>
    <row r="74" spans="1:7" s="7" customFormat="1" ht="16.5" x14ac:dyDescent="0.3">
      <c r="A74" s="11" t="s">
        <v>36</v>
      </c>
      <c r="B74" s="21">
        <f>B26/(B19*9)</f>
        <v>6915.6762747003568</v>
      </c>
      <c r="C74" s="21">
        <f t="shared" ref="C74:E74" si="20">C26/(C19*9)</f>
        <v>6520.5606284418527</v>
      </c>
      <c r="D74" s="21">
        <f t="shared" si="20"/>
        <v>24929.052774451098</v>
      </c>
      <c r="E74" s="21">
        <f t="shared" si="20"/>
        <v>597.21151787625774</v>
      </c>
      <c r="F74" s="21" t="s">
        <v>74</v>
      </c>
      <c r="G74" s="21" t="s">
        <v>74</v>
      </c>
    </row>
    <row r="75" spans="1:7" s="7" customFormat="1" ht="16.5" x14ac:dyDescent="0.3">
      <c r="A75" s="11"/>
      <c r="B75" s="21"/>
      <c r="C75" s="21"/>
      <c r="D75" s="21"/>
      <c r="E75" s="21"/>
      <c r="F75" s="21"/>
      <c r="G75" s="21"/>
    </row>
    <row r="76" spans="1:7" s="7" customFormat="1" ht="17.25" x14ac:dyDescent="0.35">
      <c r="A76" s="12" t="s">
        <v>29</v>
      </c>
      <c r="B76" s="21"/>
      <c r="C76" s="21"/>
      <c r="D76" s="21"/>
      <c r="E76" s="21"/>
      <c r="F76" s="21"/>
      <c r="G76" s="21"/>
    </row>
    <row r="77" spans="1:7" s="7" customFormat="1" ht="16.5" x14ac:dyDescent="0.3">
      <c r="A77" s="11" t="s">
        <v>30</v>
      </c>
      <c r="B77" s="21">
        <f>(B32/B31)*100</f>
        <v>101.86247958009089</v>
      </c>
      <c r="C77" s="21">
        <f t="shared" ref="C77:F77" si="21">(C32/C31)*100</f>
        <v>100.76786599964298</v>
      </c>
      <c r="D77" s="21"/>
      <c r="E77" s="21"/>
      <c r="F77" s="21">
        <f t="shared" si="21"/>
        <v>108.59301227573181</v>
      </c>
      <c r="G77" s="21"/>
    </row>
    <row r="78" spans="1:7" s="7" customFormat="1" ht="16.5" x14ac:dyDescent="0.3">
      <c r="A78" s="11" t="s">
        <v>31</v>
      </c>
      <c r="B78" s="21">
        <f>(B26/B32)*100</f>
        <v>55.368077516113225</v>
      </c>
      <c r="C78" s="21">
        <f t="shared" ref="C78:F78" si="22">(C26/C32)*100</f>
        <v>61.354289978433151</v>
      </c>
      <c r="D78" s="21"/>
      <c r="E78" s="21"/>
      <c r="F78" s="21">
        <f t="shared" si="22"/>
        <v>21.212556521739131</v>
      </c>
      <c r="G78" s="21"/>
    </row>
    <row r="79" spans="1:7" ht="17.25" thickBot="1" x14ac:dyDescent="0.35">
      <c r="A79" s="22"/>
      <c r="B79" s="26"/>
      <c r="C79" s="26"/>
      <c r="D79" s="26"/>
      <c r="E79" s="26"/>
      <c r="F79" s="26"/>
      <c r="G79" s="26"/>
    </row>
    <row r="80" spans="1:7" s="7" customFormat="1" ht="16.5" customHeight="1" thickTop="1" x14ac:dyDescent="0.25">
      <c r="A80" s="39" t="s">
        <v>127</v>
      </c>
      <c r="B80" s="39"/>
      <c r="C80" s="39"/>
      <c r="D80" s="39"/>
      <c r="E80" s="39"/>
      <c r="F80" s="39"/>
      <c r="G80" s="39"/>
    </row>
    <row r="81" spans="1:7" ht="59.25" customHeight="1" x14ac:dyDescent="0.25">
      <c r="A81" s="49" t="s">
        <v>129</v>
      </c>
      <c r="B81" s="49"/>
      <c r="C81" s="49"/>
      <c r="D81" s="49"/>
      <c r="E81" s="49"/>
      <c r="F81" s="49"/>
      <c r="G81" s="49"/>
    </row>
    <row r="82" spans="1:7" ht="16.5" x14ac:dyDescent="0.3">
      <c r="A82" s="23"/>
      <c r="B82" s="11"/>
      <c r="C82" s="11"/>
      <c r="D82" s="11"/>
      <c r="E82" s="11"/>
      <c r="F82" s="11"/>
      <c r="G82" s="11"/>
    </row>
    <row r="83" spans="1:7" ht="16.5" x14ac:dyDescent="0.3">
      <c r="A83" s="23"/>
      <c r="B83" s="24"/>
      <c r="C83" s="24"/>
      <c r="D83" s="24"/>
      <c r="E83" s="11"/>
      <c r="F83" s="11"/>
      <c r="G83" s="11"/>
    </row>
    <row r="84" spans="1:7" ht="16.5" x14ac:dyDescent="0.3">
      <c r="A84" s="23"/>
      <c r="B84" s="11"/>
      <c r="C84" s="11"/>
      <c r="D84" s="11"/>
      <c r="E84" s="11"/>
      <c r="F84" s="11"/>
      <c r="G84" s="11"/>
    </row>
    <row r="85" spans="1:7" ht="16.5" x14ac:dyDescent="0.3">
      <c r="A85" s="23"/>
      <c r="B85" s="11"/>
      <c r="C85" s="11"/>
      <c r="D85" s="11"/>
      <c r="E85" s="11"/>
      <c r="F85" s="11"/>
      <c r="G85" s="11"/>
    </row>
    <row r="86" spans="1:7" ht="16.5" x14ac:dyDescent="0.3">
      <c r="A86" s="11"/>
      <c r="B86" s="11"/>
      <c r="C86" s="11"/>
      <c r="D86" s="11"/>
      <c r="E86" s="11"/>
      <c r="F86" s="11"/>
      <c r="G86" s="11"/>
    </row>
    <row r="87" spans="1:7" ht="16.5" x14ac:dyDescent="0.3">
      <c r="A87" s="11"/>
      <c r="B87" s="11"/>
      <c r="C87" s="11"/>
      <c r="D87" s="11"/>
      <c r="E87" s="11"/>
      <c r="F87" s="11"/>
      <c r="G87" s="11"/>
    </row>
    <row r="88" spans="1:7" x14ac:dyDescent="0.25">
      <c r="A88" s="7"/>
    </row>
    <row r="89" spans="1:7" x14ac:dyDescent="0.25">
      <c r="A89" s="7"/>
    </row>
    <row r="93" spans="1:7" x14ac:dyDescent="0.25">
      <c r="A93" s="3"/>
    </row>
  </sheetData>
  <mergeCells count="11">
    <mergeCell ref="A81:G81"/>
    <mergeCell ref="F10:F11"/>
    <mergeCell ref="G10:G11"/>
    <mergeCell ref="D10:D11"/>
    <mergeCell ref="F9:G9"/>
    <mergeCell ref="A80:G80"/>
    <mergeCell ref="A9:A11"/>
    <mergeCell ref="B9:B11"/>
    <mergeCell ref="C9:E9"/>
    <mergeCell ref="C10:C11"/>
    <mergeCell ref="E10:E11"/>
  </mergeCells>
  <pageMargins left="0.7" right="0.7" top="0.75" bottom="0.75" header="0.3" footer="0.3"/>
  <ignoredErrors>
    <ignoredError sqref="F70 B70:B78 F75:F76" evalError="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93"/>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7" customWidth="1"/>
    <col min="2" max="7" width="19.5703125" style="7" customWidth="1"/>
    <col min="8" max="16384" width="11.42578125" style="7"/>
  </cols>
  <sheetData>
    <row r="7" spans="1:7" ht="25.5" customHeight="1" x14ac:dyDescent="0.25"/>
    <row r="8" spans="1:7" ht="25.5" customHeight="1" x14ac:dyDescent="0.25"/>
    <row r="9" spans="1:7" s="4" customFormat="1" ht="15" customHeight="1" x14ac:dyDescent="0.25">
      <c r="A9" s="40" t="s">
        <v>0</v>
      </c>
      <c r="B9" s="43" t="s">
        <v>1</v>
      </c>
      <c r="C9" s="36" t="s">
        <v>77</v>
      </c>
      <c r="D9" s="37"/>
      <c r="E9" s="38"/>
      <c r="F9" s="35" t="s">
        <v>78</v>
      </c>
      <c r="G9" s="35"/>
    </row>
    <row r="10" spans="1:7" s="4" customFormat="1" x14ac:dyDescent="0.25">
      <c r="A10" s="41"/>
      <c r="B10" s="44"/>
      <c r="C10" s="43" t="s">
        <v>2</v>
      </c>
      <c r="D10" s="33" t="s">
        <v>3</v>
      </c>
      <c r="E10" s="46" t="s">
        <v>48</v>
      </c>
      <c r="F10" s="47" t="s">
        <v>2</v>
      </c>
      <c r="G10" s="33" t="s">
        <v>49</v>
      </c>
    </row>
    <row r="11" spans="1:7" s="4" customFormat="1" ht="15.75" thickBot="1" x14ac:dyDescent="0.3">
      <c r="A11" s="42"/>
      <c r="B11" s="45"/>
      <c r="C11" s="45"/>
      <c r="D11" s="34"/>
      <c r="E11" s="34"/>
      <c r="F11" s="48"/>
      <c r="G11" s="34"/>
    </row>
    <row r="12" spans="1:7" ht="17.25" thickTop="1" x14ac:dyDescent="0.3">
      <c r="A12" s="11"/>
      <c r="B12" s="11"/>
      <c r="C12" s="11"/>
      <c r="D12" s="11"/>
      <c r="E12" s="11"/>
      <c r="F12" s="11"/>
      <c r="G12" s="11"/>
    </row>
    <row r="13" spans="1:7" ht="17.25" x14ac:dyDescent="0.35">
      <c r="A13" s="12" t="s">
        <v>4</v>
      </c>
      <c r="B13" s="11"/>
      <c r="C13" s="11"/>
      <c r="D13" s="11"/>
      <c r="E13" s="11"/>
      <c r="F13" s="11"/>
      <c r="G13" s="11"/>
    </row>
    <row r="14" spans="1:7" ht="16.5" x14ac:dyDescent="0.3">
      <c r="A14" s="11"/>
      <c r="B14" s="11"/>
      <c r="C14" s="11"/>
      <c r="D14" s="11"/>
      <c r="E14" s="11"/>
      <c r="F14" s="11"/>
      <c r="G14" s="11"/>
    </row>
    <row r="15" spans="1:7" ht="17.25" x14ac:dyDescent="0.35">
      <c r="A15" s="12" t="s">
        <v>41</v>
      </c>
      <c r="B15" s="11"/>
      <c r="C15" s="11"/>
      <c r="D15" s="11"/>
      <c r="E15" s="11"/>
      <c r="F15" s="11"/>
      <c r="G15" s="11"/>
    </row>
    <row r="16" spans="1:7" ht="16.5" x14ac:dyDescent="0.3">
      <c r="A16" s="13" t="s">
        <v>70</v>
      </c>
      <c r="B16" s="14">
        <f t="shared" ref="B16:B21" si="0">C16+F16</f>
        <v>403</v>
      </c>
      <c r="C16" s="14">
        <f t="shared" ref="C16:C21" si="1">D16+E16</f>
        <v>303</v>
      </c>
      <c r="D16" s="14">
        <v>70</v>
      </c>
      <c r="E16" s="14">
        <v>233</v>
      </c>
      <c r="F16" s="25">
        <f t="shared" ref="F16:F21" si="2">SUM(G16:G16)</f>
        <v>100</v>
      </c>
      <c r="G16" s="32">
        <v>100</v>
      </c>
    </row>
    <row r="17" spans="1:9" ht="16.5" x14ac:dyDescent="0.3">
      <c r="A17" s="15" t="s">
        <v>42</v>
      </c>
      <c r="B17" s="14">
        <f t="shared" si="0"/>
        <v>365</v>
      </c>
      <c r="C17" s="14">
        <f t="shared" si="1"/>
        <v>265</v>
      </c>
      <c r="D17" s="14">
        <v>32</v>
      </c>
      <c r="E17" s="14">
        <v>233</v>
      </c>
      <c r="F17" s="25">
        <f t="shared" si="2"/>
        <v>100</v>
      </c>
      <c r="G17" s="32">
        <v>100</v>
      </c>
    </row>
    <row r="18" spans="1:9" ht="16.5" x14ac:dyDescent="0.3">
      <c r="A18" s="13" t="s">
        <v>110</v>
      </c>
      <c r="B18" s="14">
        <f t="shared" si="0"/>
        <v>88</v>
      </c>
      <c r="C18" s="14">
        <f t="shared" si="1"/>
        <v>88</v>
      </c>
      <c r="D18" s="14">
        <v>25</v>
      </c>
      <c r="E18" s="14">
        <v>63</v>
      </c>
      <c r="F18" s="14">
        <f t="shared" si="2"/>
        <v>0</v>
      </c>
      <c r="G18" s="14">
        <v>0</v>
      </c>
    </row>
    <row r="19" spans="1:9" ht="16.5" x14ac:dyDescent="0.3">
      <c r="A19" s="13" t="s">
        <v>111</v>
      </c>
      <c r="B19" s="14">
        <f t="shared" si="0"/>
        <v>259</v>
      </c>
      <c r="C19" s="14">
        <f t="shared" si="1"/>
        <v>259</v>
      </c>
      <c r="D19" s="14">
        <v>61</v>
      </c>
      <c r="E19" s="14">
        <v>198</v>
      </c>
      <c r="F19" s="14">
        <f t="shared" si="2"/>
        <v>0</v>
      </c>
      <c r="G19" s="14">
        <v>0</v>
      </c>
    </row>
    <row r="20" spans="1:9" ht="16.5" x14ac:dyDescent="0.3">
      <c r="A20" s="15" t="s">
        <v>42</v>
      </c>
      <c r="B20" s="14">
        <f t="shared" si="0"/>
        <v>227</v>
      </c>
      <c r="C20" s="14">
        <f t="shared" si="1"/>
        <v>227</v>
      </c>
      <c r="D20" s="14">
        <v>29</v>
      </c>
      <c r="E20" s="14">
        <v>198</v>
      </c>
      <c r="F20" s="14">
        <f t="shared" si="2"/>
        <v>0</v>
      </c>
      <c r="G20" s="14">
        <v>0</v>
      </c>
    </row>
    <row r="21" spans="1:9" ht="16.5" x14ac:dyDescent="0.3">
      <c r="A21" s="13" t="s">
        <v>81</v>
      </c>
      <c r="B21" s="14">
        <f t="shared" si="0"/>
        <v>2036</v>
      </c>
      <c r="C21" s="14">
        <f t="shared" si="1"/>
        <v>354</v>
      </c>
      <c r="D21" s="14">
        <v>102</v>
      </c>
      <c r="E21" s="14">
        <v>252</v>
      </c>
      <c r="F21" s="14">
        <f t="shared" si="2"/>
        <v>1682</v>
      </c>
      <c r="G21" s="14">
        <v>1682</v>
      </c>
    </row>
    <row r="22" spans="1:9" ht="16.5" x14ac:dyDescent="0.3">
      <c r="A22" s="11"/>
      <c r="B22" s="14"/>
      <c r="C22" s="14"/>
      <c r="D22" s="14"/>
      <c r="E22" s="14"/>
      <c r="F22" s="14"/>
      <c r="G22" s="14"/>
    </row>
    <row r="23" spans="1:9" ht="17.25" x14ac:dyDescent="0.35">
      <c r="A23" s="17" t="s">
        <v>5</v>
      </c>
      <c r="B23" s="14"/>
      <c r="C23" s="14"/>
      <c r="D23" s="14"/>
      <c r="E23" s="14"/>
      <c r="F23" s="14"/>
      <c r="G23" s="14"/>
    </row>
    <row r="24" spans="1:9" ht="16.5" x14ac:dyDescent="0.3">
      <c r="A24" s="13" t="s">
        <v>70</v>
      </c>
      <c r="B24" s="14">
        <f>C24+F24</f>
        <v>26598080.100000001</v>
      </c>
      <c r="C24" s="14">
        <f>D24+E24</f>
        <v>21056285.100000001</v>
      </c>
      <c r="D24" s="14">
        <v>19110690.100000001</v>
      </c>
      <c r="E24" s="14">
        <v>1945595</v>
      </c>
      <c r="F24" s="14">
        <f>SUM(G24:G24)</f>
        <v>5541795</v>
      </c>
      <c r="G24" s="14">
        <v>5541795</v>
      </c>
    </row>
    <row r="25" spans="1:9" ht="16.5" x14ac:dyDescent="0.3">
      <c r="A25" s="13" t="s">
        <v>110</v>
      </c>
      <c r="B25" s="14">
        <f>C25+F25</f>
        <v>12600000</v>
      </c>
      <c r="C25" s="14">
        <f>D25+E25</f>
        <v>12600000</v>
      </c>
      <c r="D25" s="14">
        <v>11400000</v>
      </c>
      <c r="E25" s="14">
        <v>1200000</v>
      </c>
      <c r="F25" s="14">
        <f>SUM(G25:G25)</f>
        <v>0</v>
      </c>
      <c r="G25" s="14">
        <v>0</v>
      </c>
    </row>
    <row r="26" spans="1:9" ht="16.5" x14ac:dyDescent="0.3">
      <c r="A26" s="13" t="s">
        <v>111</v>
      </c>
      <c r="B26" s="14">
        <f>C26+F26</f>
        <v>18651714.169999998</v>
      </c>
      <c r="C26" s="14">
        <f>D26+E26</f>
        <v>18651714.169999998</v>
      </c>
      <c r="D26" s="14">
        <v>16511834.169999998</v>
      </c>
      <c r="E26" s="14">
        <v>2139880</v>
      </c>
      <c r="F26" s="14">
        <f>SUM(G26:G26)</f>
        <v>0</v>
      </c>
      <c r="G26" s="14">
        <v>0</v>
      </c>
      <c r="I26" s="6"/>
    </row>
    <row r="27" spans="1:9" ht="16.5" x14ac:dyDescent="0.3">
      <c r="A27" s="13" t="s">
        <v>81</v>
      </c>
      <c r="B27" s="14">
        <f>C27+F27</f>
        <v>88305528</v>
      </c>
      <c r="C27" s="14">
        <f>D27+E27</f>
        <v>77715528</v>
      </c>
      <c r="D27" s="14">
        <v>69715528</v>
      </c>
      <c r="E27" s="14">
        <v>8000000</v>
      </c>
      <c r="F27" s="14">
        <f>SUM(G27:G27)</f>
        <v>10590000</v>
      </c>
      <c r="G27" s="14">
        <v>10590000</v>
      </c>
    </row>
    <row r="28" spans="1:9" ht="16.5" x14ac:dyDescent="0.3">
      <c r="A28" s="13" t="s">
        <v>112</v>
      </c>
      <c r="B28" s="14">
        <f>+C28+F28</f>
        <v>18651714.169999998</v>
      </c>
      <c r="C28" s="14">
        <f>+D28+E28</f>
        <v>18651714.169999998</v>
      </c>
      <c r="D28" s="14">
        <f>+D26</f>
        <v>16511834.169999998</v>
      </c>
      <c r="E28" s="14">
        <f>+E26</f>
        <v>2139880</v>
      </c>
      <c r="F28" s="14">
        <f>+SUM(G28)</f>
        <v>0</v>
      </c>
      <c r="G28" s="14">
        <f>+G26</f>
        <v>0</v>
      </c>
    </row>
    <row r="29" spans="1:9" ht="17.25" x14ac:dyDescent="0.35">
      <c r="A29" s="12"/>
      <c r="B29" s="14"/>
      <c r="C29" s="14"/>
      <c r="D29" s="14"/>
      <c r="E29" s="14"/>
      <c r="F29" s="14"/>
      <c r="G29" s="14"/>
    </row>
    <row r="30" spans="1:9" ht="17.25" x14ac:dyDescent="0.35">
      <c r="A30" s="17" t="s">
        <v>6</v>
      </c>
      <c r="B30" s="14"/>
      <c r="C30" s="14"/>
      <c r="D30" s="14"/>
      <c r="E30" s="14"/>
      <c r="F30" s="14"/>
      <c r="G30" s="14"/>
    </row>
    <row r="31" spans="1:9" ht="16.5" x14ac:dyDescent="0.3">
      <c r="A31" s="13" t="s">
        <v>110</v>
      </c>
      <c r="B31" s="14">
        <f>B25</f>
        <v>12600000</v>
      </c>
      <c r="C31" s="14">
        <f>C25</f>
        <v>12600000</v>
      </c>
      <c r="D31" s="14"/>
      <c r="E31" s="14"/>
      <c r="F31" s="14">
        <f>F25</f>
        <v>0</v>
      </c>
      <c r="G31" s="14"/>
    </row>
    <row r="32" spans="1:9" ht="16.5" x14ac:dyDescent="0.3">
      <c r="A32" s="13" t="s">
        <v>111</v>
      </c>
      <c r="B32" s="14">
        <f>+C32+F32</f>
        <v>11190000</v>
      </c>
      <c r="C32" s="14">
        <v>11190000</v>
      </c>
      <c r="D32" s="14"/>
      <c r="E32" s="14"/>
      <c r="F32" s="14">
        <v>0</v>
      </c>
      <c r="G32" s="14"/>
    </row>
    <row r="33" spans="1:7" ht="16.5" x14ac:dyDescent="0.3">
      <c r="A33" s="11"/>
      <c r="B33" s="20"/>
      <c r="C33" s="20"/>
      <c r="D33" s="20"/>
      <c r="E33" s="20"/>
      <c r="F33" s="20"/>
      <c r="G33" s="20"/>
    </row>
    <row r="34" spans="1:7" ht="17.25" x14ac:dyDescent="0.35">
      <c r="A34" s="12" t="s">
        <v>7</v>
      </c>
      <c r="B34" s="20"/>
      <c r="C34" s="20"/>
      <c r="D34" s="20"/>
      <c r="E34" s="20"/>
      <c r="F34" s="20"/>
      <c r="G34" s="20"/>
    </row>
    <row r="35" spans="1:7" ht="16.5" x14ac:dyDescent="0.3">
      <c r="A35" s="13" t="s">
        <v>71</v>
      </c>
      <c r="B35" s="19">
        <v>1.0610999999999999</v>
      </c>
      <c r="C35" s="19">
        <v>1.0610999999999999</v>
      </c>
      <c r="D35" s="19">
        <v>1.0610999999999999</v>
      </c>
      <c r="E35" s="19">
        <v>1.0610999999999999</v>
      </c>
      <c r="F35" s="19">
        <v>1.0610999999999999</v>
      </c>
      <c r="G35" s="19">
        <v>1.0610999999999999</v>
      </c>
    </row>
    <row r="36" spans="1:7" ht="16.5" x14ac:dyDescent="0.3">
      <c r="A36" s="13" t="s">
        <v>113</v>
      </c>
      <c r="B36" s="19">
        <v>1.0706</v>
      </c>
      <c r="C36" s="19">
        <v>1.0706</v>
      </c>
      <c r="D36" s="19">
        <v>1.0706</v>
      </c>
      <c r="E36" s="19">
        <v>1.0706</v>
      </c>
      <c r="F36" s="19">
        <v>1.0706</v>
      </c>
      <c r="G36" s="19">
        <v>1.0706</v>
      </c>
    </row>
    <row r="37" spans="1:7" ht="16.5" x14ac:dyDescent="0.3">
      <c r="A37" s="13" t="s">
        <v>8</v>
      </c>
      <c r="B37" s="14" t="s">
        <v>47</v>
      </c>
      <c r="C37" s="14" t="s">
        <v>47</v>
      </c>
      <c r="D37" s="14" t="s">
        <v>47</v>
      </c>
      <c r="E37" s="14" t="s">
        <v>47</v>
      </c>
      <c r="F37" s="14" t="s">
        <v>47</v>
      </c>
      <c r="G37" s="14" t="s">
        <v>47</v>
      </c>
    </row>
    <row r="38" spans="1:7" ht="16.5" x14ac:dyDescent="0.3">
      <c r="A38" s="11"/>
      <c r="B38" s="14"/>
      <c r="C38" s="14"/>
      <c r="D38" s="14"/>
      <c r="E38" s="14"/>
      <c r="F38" s="14"/>
      <c r="G38" s="14"/>
    </row>
    <row r="39" spans="1:7" ht="17.25" x14ac:dyDescent="0.35">
      <c r="A39" s="12" t="s">
        <v>9</v>
      </c>
      <c r="B39" s="14"/>
      <c r="C39" s="14"/>
      <c r="D39" s="14"/>
      <c r="E39" s="14"/>
      <c r="F39" s="14"/>
      <c r="G39" s="14"/>
    </row>
    <row r="40" spans="1:7" ht="16.5" x14ac:dyDescent="0.3">
      <c r="A40" s="11" t="s">
        <v>72</v>
      </c>
      <c r="B40" s="14">
        <f>B24/B35</f>
        <v>25066515.973989259</v>
      </c>
      <c r="C40" s="14">
        <f t="shared" ref="C40:G40" si="3">C24/C35</f>
        <v>19843827.254735656</v>
      </c>
      <c r="D40" s="14">
        <f t="shared" si="3"/>
        <v>18010263.028932244</v>
      </c>
      <c r="E40" s="14">
        <f t="shared" si="3"/>
        <v>1833564.2258034116</v>
      </c>
      <c r="F40" s="14">
        <f t="shared" si="3"/>
        <v>5222688.7192536052</v>
      </c>
      <c r="G40" s="14">
        <f t="shared" si="3"/>
        <v>5222688.7192536052</v>
      </c>
    </row>
    <row r="41" spans="1:7" ht="16.5" x14ac:dyDescent="0.3">
      <c r="A41" s="11" t="s">
        <v>114</v>
      </c>
      <c r="B41" s="14">
        <f t="shared" ref="B41" si="4">B26/B36</f>
        <v>17421739.370446477</v>
      </c>
      <c r="C41" s="14">
        <f t="shared" ref="C41:G41" si="5">C26/C36</f>
        <v>17421739.370446477</v>
      </c>
      <c r="D41" s="14">
        <f t="shared" si="5"/>
        <v>15422972.323930504</v>
      </c>
      <c r="E41" s="14">
        <f t="shared" si="5"/>
        <v>1998767.0465159724</v>
      </c>
      <c r="F41" s="14">
        <f t="shared" si="5"/>
        <v>0</v>
      </c>
      <c r="G41" s="14">
        <f t="shared" si="5"/>
        <v>0</v>
      </c>
    </row>
    <row r="42" spans="1:7" ht="16.5" x14ac:dyDescent="0.3">
      <c r="A42" s="11" t="s">
        <v>73</v>
      </c>
      <c r="B42" s="14">
        <f t="shared" ref="B42" si="6">B40/B16</f>
        <v>62199.791498732651</v>
      </c>
      <c r="C42" s="14">
        <f t="shared" ref="C42:G42" si="7">C40/C16</f>
        <v>65491.179058533518</v>
      </c>
      <c r="D42" s="14">
        <f t="shared" si="7"/>
        <v>257289.4718418892</v>
      </c>
      <c r="E42" s="14">
        <f t="shared" si="7"/>
        <v>7869.3743596712939</v>
      </c>
      <c r="F42" s="14">
        <f t="shared" si="7"/>
        <v>52226.887192536051</v>
      </c>
      <c r="G42" s="14">
        <f t="shared" si="7"/>
        <v>52226.887192536051</v>
      </c>
    </row>
    <row r="43" spans="1:7" ht="16.5" x14ac:dyDescent="0.3">
      <c r="A43" s="11" t="s">
        <v>115</v>
      </c>
      <c r="B43" s="14">
        <f t="shared" ref="B43" si="8">B41/B19</f>
        <v>67265.40297469683</v>
      </c>
      <c r="C43" s="14">
        <f t="shared" ref="C43:E43" si="9">C41/C19</f>
        <v>67265.40297469683</v>
      </c>
      <c r="D43" s="14">
        <f t="shared" si="9"/>
        <v>252835.61186771319</v>
      </c>
      <c r="E43" s="14">
        <f t="shared" si="9"/>
        <v>10094.783063211982</v>
      </c>
      <c r="F43" s="14" t="s">
        <v>74</v>
      </c>
      <c r="G43" s="14" t="s">
        <v>74</v>
      </c>
    </row>
    <row r="44" spans="1:7" ht="16.5" x14ac:dyDescent="0.3">
      <c r="A44" s="11"/>
      <c r="B44" s="20"/>
      <c r="C44" s="20"/>
      <c r="D44" s="20"/>
      <c r="E44" s="20"/>
      <c r="F44" s="20"/>
      <c r="G44" s="20"/>
    </row>
    <row r="45" spans="1:7" ht="17.25" x14ac:dyDescent="0.35">
      <c r="A45" s="12" t="s">
        <v>10</v>
      </c>
      <c r="B45" s="20"/>
      <c r="C45" s="20"/>
      <c r="D45" s="20"/>
      <c r="E45" s="20"/>
      <c r="F45" s="20"/>
      <c r="G45" s="20"/>
    </row>
    <row r="46" spans="1:7" ht="16.5" x14ac:dyDescent="0.3">
      <c r="A46" s="11"/>
      <c r="B46" s="20"/>
      <c r="C46" s="20"/>
      <c r="D46" s="20"/>
      <c r="E46" s="20"/>
      <c r="F46" s="20"/>
      <c r="G46" s="20"/>
    </row>
    <row r="47" spans="1:7" ht="17.25" x14ac:dyDescent="0.35">
      <c r="A47" s="12" t="s">
        <v>11</v>
      </c>
      <c r="B47" s="20"/>
      <c r="C47" s="20"/>
      <c r="D47" s="20"/>
      <c r="E47" s="20"/>
      <c r="F47" s="20"/>
      <c r="G47" s="20"/>
    </row>
    <row r="48" spans="1:7" ht="16.5" x14ac:dyDescent="0.3">
      <c r="A48" s="11" t="s">
        <v>12</v>
      </c>
      <c r="B48" s="21" t="s">
        <v>44</v>
      </c>
      <c r="C48" s="21" t="s">
        <v>44</v>
      </c>
      <c r="D48" s="21" t="s">
        <v>44</v>
      </c>
      <c r="E48" s="21" t="s">
        <v>44</v>
      </c>
      <c r="F48" s="21" t="s">
        <v>44</v>
      </c>
      <c r="G48" s="21" t="s">
        <v>44</v>
      </c>
    </row>
    <row r="49" spans="1:7" ht="16.5" x14ac:dyDescent="0.3">
      <c r="A49" s="11" t="s">
        <v>13</v>
      </c>
      <c r="B49" s="21" t="s">
        <v>44</v>
      </c>
      <c r="C49" s="21" t="s">
        <v>44</v>
      </c>
      <c r="D49" s="21" t="s">
        <v>44</v>
      </c>
      <c r="E49" s="21" t="s">
        <v>44</v>
      </c>
      <c r="F49" s="21" t="s">
        <v>44</v>
      </c>
      <c r="G49" s="21" t="s">
        <v>44</v>
      </c>
    </row>
    <row r="50" spans="1:7" ht="16.5" x14ac:dyDescent="0.3">
      <c r="A50" s="11"/>
      <c r="B50" s="21"/>
      <c r="C50" s="21"/>
      <c r="D50" s="21"/>
      <c r="E50" s="21"/>
      <c r="F50" s="21"/>
      <c r="G50" s="21"/>
    </row>
    <row r="51" spans="1:7" ht="17.25" x14ac:dyDescent="0.35">
      <c r="A51" s="12" t="s">
        <v>14</v>
      </c>
      <c r="B51" s="21"/>
      <c r="C51" s="21"/>
      <c r="D51" s="21"/>
      <c r="E51" s="21"/>
      <c r="F51" s="21"/>
      <c r="G51" s="21"/>
    </row>
    <row r="52" spans="1:7" ht="16.5" x14ac:dyDescent="0.3">
      <c r="A52" s="11" t="s">
        <v>15</v>
      </c>
      <c r="B52" s="21">
        <f>B19/B18*100</f>
        <v>294.31818181818181</v>
      </c>
      <c r="C52" s="21">
        <f t="shared" ref="C52:E52" si="10">C19/C18*100</f>
        <v>294.31818181818181</v>
      </c>
      <c r="D52" s="21">
        <f t="shared" si="10"/>
        <v>244</v>
      </c>
      <c r="E52" s="21">
        <f t="shared" si="10"/>
        <v>314.28571428571428</v>
      </c>
      <c r="F52" s="21" t="s">
        <v>74</v>
      </c>
      <c r="G52" s="21" t="s">
        <v>74</v>
      </c>
    </row>
    <row r="53" spans="1:7" ht="16.5" x14ac:dyDescent="0.3">
      <c r="A53" s="11" t="s">
        <v>16</v>
      </c>
      <c r="B53" s="21">
        <f>B26/B25*100</f>
        <v>148.02947753968252</v>
      </c>
      <c r="C53" s="21">
        <f t="shared" ref="C53:E53" si="11">C26/C25*100</f>
        <v>148.02947753968252</v>
      </c>
      <c r="D53" s="21">
        <f t="shared" si="11"/>
        <v>144.84065061403507</v>
      </c>
      <c r="E53" s="21">
        <f t="shared" si="11"/>
        <v>178.32333333333332</v>
      </c>
      <c r="F53" s="21" t="s">
        <v>74</v>
      </c>
      <c r="G53" s="21" t="s">
        <v>74</v>
      </c>
    </row>
    <row r="54" spans="1:7" ht="16.5" x14ac:dyDescent="0.3">
      <c r="A54" s="11" t="s">
        <v>17</v>
      </c>
      <c r="B54" s="21">
        <f t="shared" ref="B54" si="12">AVERAGE(B52:B53)</f>
        <v>221.17382967893218</v>
      </c>
      <c r="C54" s="21">
        <f t="shared" ref="C54:E54" si="13">AVERAGE(C52:C53)</f>
        <v>221.17382967893218</v>
      </c>
      <c r="D54" s="21">
        <f t="shared" si="13"/>
        <v>194.42032530701755</v>
      </c>
      <c r="E54" s="21">
        <f t="shared" si="13"/>
        <v>246.3045238095238</v>
      </c>
      <c r="F54" s="21" t="s">
        <v>74</v>
      </c>
      <c r="G54" s="21" t="s">
        <v>74</v>
      </c>
    </row>
    <row r="55" spans="1:7" ht="16.5" x14ac:dyDescent="0.3">
      <c r="A55" s="11"/>
      <c r="B55" s="21"/>
      <c r="C55" s="21"/>
      <c r="D55" s="21"/>
      <c r="E55" s="21"/>
      <c r="F55" s="21"/>
      <c r="G55" s="21"/>
    </row>
    <row r="56" spans="1:7" ht="17.25" x14ac:dyDescent="0.35">
      <c r="A56" s="12" t="s">
        <v>18</v>
      </c>
      <c r="B56" s="21"/>
      <c r="C56" s="21"/>
      <c r="D56" s="21"/>
      <c r="E56" s="21"/>
      <c r="F56" s="21"/>
      <c r="G56" s="21"/>
    </row>
    <row r="57" spans="1:7" ht="16.5" x14ac:dyDescent="0.3">
      <c r="A57" s="11" t="s">
        <v>19</v>
      </c>
      <c r="B57" s="21">
        <f>(B19/B21)*100</f>
        <v>12.721021611001964</v>
      </c>
      <c r="C57" s="21">
        <f t="shared" ref="C57:G57" si="14">(C19/C21)*100</f>
        <v>73.163841807909606</v>
      </c>
      <c r="D57" s="21">
        <f t="shared" si="14"/>
        <v>59.803921568627452</v>
      </c>
      <c r="E57" s="21">
        <f t="shared" si="14"/>
        <v>78.571428571428569</v>
      </c>
      <c r="F57" s="21">
        <f t="shared" si="14"/>
        <v>0</v>
      </c>
      <c r="G57" s="21">
        <f t="shared" si="14"/>
        <v>0</v>
      </c>
    </row>
    <row r="58" spans="1:7" ht="16.5" x14ac:dyDescent="0.3">
      <c r="A58" s="11" t="s">
        <v>20</v>
      </c>
      <c r="B58" s="21">
        <f>B26/B27*100</f>
        <v>21.121796780378233</v>
      </c>
      <c r="C58" s="21">
        <f t="shared" ref="C58:F58" si="15">C26/C27*100</f>
        <v>23.99998385136108</v>
      </c>
      <c r="D58" s="21">
        <f t="shared" si="15"/>
        <v>23.684585979180991</v>
      </c>
      <c r="E58" s="21">
        <f t="shared" si="15"/>
        <v>26.748499999999996</v>
      </c>
      <c r="F58" s="21">
        <f t="shared" si="15"/>
        <v>0</v>
      </c>
      <c r="G58" s="21">
        <f>G26/G27*100</f>
        <v>0</v>
      </c>
    </row>
    <row r="59" spans="1:7" ht="16.5" x14ac:dyDescent="0.3">
      <c r="A59" s="11" t="s">
        <v>21</v>
      </c>
      <c r="B59" s="21">
        <f t="shared" ref="B59:G59" si="16">(B57+B58)/2</f>
        <v>16.921409195690099</v>
      </c>
      <c r="C59" s="21">
        <f t="shared" si="16"/>
        <v>48.581912829635343</v>
      </c>
      <c r="D59" s="21">
        <f t="shared" si="16"/>
        <v>41.744253773904219</v>
      </c>
      <c r="E59" s="21">
        <f t="shared" si="16"/>
        <v>52.659964285714281</v>
      </c>
      <c r="F59" s="21">
        <f t="shared" si="16"/>
        <v>0</v>
      </c>
      <c r="G59" s="21">
        <f t="shared" si="16"/>
        <v>0</v>
      </c>
    </row>
    <row r="60" spans="1:7" ht="16.5" x14ac:dyDescent="0.3">
      <c r="A60" s="11"/>
      <c r="B60" s="21"/>
      <c r="C60" s="21"/>
      <c r="D60" s="21"/>
      <c r="E60" s="21"/>
      <c r="F60" s="21"/>
      <c r="G60" s="21"/>
    </row>
    <row r="61" spans="1:7" ht="17.25" x14ac:dyDescent="0.35">
      <c r="A61" s="12" t="s">
        <v>32</v>
      </c>
      <c r="B61" s="21"/>
      <c r="C61" s="21"/>
      <c r="D61" s="21"/>
      <c r="E61" s="21"/>
      <c r="F61" s="21"/>
      <c r="G61" s="21"/>
    </row>
    <row r="62" spans="1:7" ht="16.5" x14ac:dyDescent="0.3">
      <c r="A62" s="11" t="s">
        <v>22</v>
      </c>
      <c r="B62" s="21">
        <f t="shared" ref="B62:C62" si="17">B28/B26*100</f>
        <v>100</v>
      </c>
      <c r="C62" s="21">
        <f t="shared" si="17"/>
        <v>100</v>
      </c>
      <c r="D62" s="21"/>
      <c r="E62" s="21"/>
      <c r="F62" s="21" t="s">
        <v>74</v>
      </c>
      <c r="G62" s="21"/>
    </row>
    <row r="63" spans="1:7" ht="16.5" x14ac:dyDescent="0.3">
      <c r="A63" s="11"/>
      <c r="B63" s="21"/>
      <c r="C63" s="21"/>
      <c r="D63" s="21"/>
      <c r="E63" s="21"/>
      <c r="F63" s="21"/>
      <c r="G63" s="21"/>
    </row>
    <row r="64" spans="1:7" ht="17.25" x14ac:dyDescent="0.35">
      <c r="A64" s="12" t="s">
        <v>23</v>
      </c>
      <c r="B64" s="21"/>
      <c r="C64" s="21"/>
      <c r="D64" s="21"/>
      <c r="E64" s="21"/>
      <c r="F64" s="21"/>
      <c r="G64" s="21"/>
    </row>
    <row r="65" spans="1:7" ht="16.5" x14ac:dyDescent="0.3">
      <c r="A65" s="11" t="s">
        <v>24</v>
      </c>
      <c r="B65" s="21">
        <f>((B19/B16)-1)*100</f>
        <v>-35.732009925558316</v>
      </c>
      <c r="C65" s="21">
        <f t="shared" ref="C65:G65" si="18">((C19/C16)-1)*100</f>
        <v>-14.52145214521452</v>
      </c>
      <c r="D65" s="21">
        <f t="shared" si="18"/>
        <v>-12.857142857142856</v>
      </c>
      <c r="E65" s="21">
        <f t="shared" si="18"/>
        <v>-15.021459227467815</v>
      </c>
      <c r="F65" s="21">
        <f t="shared" si="18"/>
        <v>-100</v>
      </c>
      <c r="G65" s="21">
        <f t="shared" si="18"/>
        <v>-100</v>
      </c>
    </row>
    <row r="66" spans="1:7" ht="16.5" x14ac:dyDescent="0.3">
      <c r="A66" s="11" t="s">
        <v>25</v>
      </c>
      <c r="B66" s="21">
        <f>((B41/B40)-1)*100</f>
        <v>-30.497962347362229</v>
      </c>
      <c r="C66" s="21">
        <f>((C41/C40)-1)*100</f>
        <v>-12.205749693326705</v>
      </c>
      <c r="D66" s="21">
        <f t="shared" ref="D66:G66" si="19">((D41/D40)-1)*100</f>
        <v>-14.365646414188603</v>
      </c>
      <c r="E66" s="21">
        <f t="shared" si="19"/>
        <v>9.0099282254579407</v>
      </c>
      <c r="F66" s="21">
        <f t="shared" si="19"/>
        <v>-100</v>
      </c>
      <c r="G66" s="21">
        <f t="shared" si="19"/>
        <v>-100</v>
      </c>
    </row>
    <row r="67" spans="1:7" ht="16.5" x14ac:dyDescent="0.3">
      <c r="A67" s="11" t="s">
        <v>26</v>
      </c>
      <c r="B67" s="21">
        <f>((B43/B42)-1)*100</f>
        <v>8.1440971969614964</v>
      </c>
      <c r="C67" s="21">
        <f t="shared" ref="C67:E67" si="20">((C43/C42)-1)*100</f>
        <v>2.709103640625532</v>
      </c>
      <c r="D67" s="21">
        <f t="shared" si="20"/>
        <v>-1.7310696556262606</v>
      </c>
      <c r="E67" s="21">
        <f t="shared" si="20"/>
        <v>28.279359982483342</v>
      </c>
      <c r="F67" s="21" t="s">
        <v>74</v>
      </c>
      <c r="G67" s="21" t="s">
        <v>74</v>
      </c>
    </row>
    <row r="68" spans="1:7" ht="16.5" x14ac:dyDescent="0.3">
      <c r="A68" s="11"/>
      <c r="B68" s="21"/>
      <c r="C68" s="21"/>
      <c r="D68" s="21"/>
      <c r="E68" s="21"/>
      <c r="F68" s="21"/>
      <c r="G68" s="21"/>
    </row>
    <row r="69" spans="1:7" ht="17.25" x14ac:dyDescent="0.35">
      <c r="A69" s="12" t="s">
        <v>27</v>
      </c>
      <c r="B69" s="21"/>
      <c r="C69" s="21"/>
      <c r="D69" s="21"/>
      <c r="E69" s="21"/>
      <c r="F69" s="21"/>
      <c r="G69" s="21"/>
    </row>
    <row r="70" spans="1:7" ht="16.5" x14ac:dyDescent="0.3">
      <c r="A70" s="11" t="s">
        <v>33</v>
      </c>
      <c r="B70" s="21">
        <f t="shared" ref="B70:E70" si="21">B25/B18</f>
        <v>143181.81818181818</v>
      </c>
      <c r="C70" s="21">
        <f t="shared" si="21"/>
        <v>143181.81818181818</v>
      </c>
      <c r="D70" s="21">
        <f t="shared" si="21"/>
        <v>456000</v>
      </c>
      <c r="E70" s="21">
        <f t="shared" si="21"/>
        <v>19047.619047619046</v>
      </c>
      <c r="F70" s="21" t="s">
        <v>74</v>
      </c>
      <c r="G70" s="21" t="s">
        <v>74</v>
      </c>
    </row>
    <row r="71" spans="1:7" ht="16.5" x14ac:dyDescent="0.3">
      <c r="A71" s="11" t="s">
        <v>34</v>
      </c>
      <c r="B71" s="21">
        <f t="shared" ref="B71:E71" si="22">B26/B19</f>
        <v>72014.340424710419</v>
      </c>
      <c r="C71" s="21">
        <f t="shared" si="22"/>
        <v>72014.340424710419</v>
      </c>
      <c r="D71" s="21">
        <f t="shared" si="22"/>
        <v>270685.80606557376</v>
      </c>
      <c r="E71" s="21">
        <f t="shared" si="22"/>
        <v>10807.474747474747</v>
      </c>
      <c r="F71" s="21" t="s">
        <v>74</v>
      </c>
      <c r="G71" s="21" t="s">
        <v>74</v>
      </c>
    </row>
    <row r="72" spans="1:7" ht="16.5" x14ac:dyDescent="0.3">
      <c r="A72" s="11" t="s">
        <v>28</v>
      </c>
      <c r="B72" s="21">
        <f>(B71/B70)*B54</f>
        <v>111.24099180881967</v>
      </c>
      <c r="C72" s="21">
        <f t="shared" ref="C72:E72" si="23">(C71/C70)*C54</f>
        <v>111.24099180881967</v>
      </c>
      <c r="D72" s="21">
        <f t="shared" si="23"/>
        <v>115.40969840188841</v>
      </c>
      <c r="E72" s="21">
        <f t="shared" si="23"/>
        <v>139.75132086616162</v>
      </c>
      <c r="F72" s="21" t="s">
        <v>74</v>
      </c>
      <c r="G72" s="21" t="s">
        <v>74</v>
      </c>
    </row>
    <row r="73" spans="1:7" ht="16.5" x14ac:dyDescent="0.3">
      <c r="A73" s="11" t="s">
        <v>35</v>
      </c>
      <c r="B73" s="21">
        <f>B25/(B18*3)</f>
        <v>47727.272727272728</v>
      </c>
      <c r="C73" s="21">
        <f t="shared" ref="C73:E73" si="24">C25/(C18*3)</f>
        <v>47727.272727272728</v>
      </c>
      <c r="D73" s="21">
        <f t="shared" si="24"/>
        <v>152000</v>
      </c>
      <c r="E73" s="21">
        <f t="shared" si="24"/>
        <v>6349.2063492063489</v>
      </c>
      <c r="F73" s="21" t="s">
        <v>74</v>
      </c>
      <c r="G73" s="21" t="s">
        <v>74</v>
      </c>
    </row>
    <row r="74" spans="1:7" ht="16.5" x14ac:dyDescent="0.3">
      <c r="A74" s="11" t="s">
        <v>36</v>
      </c>
      <c r="B74" s="21">
        <f>B26/(B19*3)</f>
        <v>24004.78014157014</v>
      </c>
      <c r="C74" s="21">
        <f t="shared" ref="C74:E74" si="25">C26/(C19*3)</f>
        <v>24004.78014157014</v>
      </c>
      <c r="D74" s="21">
        <f t="shared" si="25"/>
        <v>90228.602021857907</v>
      </c>
      <c r="E74" s="21">
        <f t="shared" si="25"/>
        <v>3602.4915824915824</v>
      </c>
      <c r="F74" s="21" t="s">
        <v>74</v>
      </c>
      <c r="G74" s="21" t="s">
        <v>74</v>
      </c>
    </row>
    <row r="75" spans="1:7" ht="16.5" x14ac:dyDescent="0.3">
      <c r="A75" s="11"/>
      <c r="B75" s="21"/>
      <c r="C75" s="21"/>
      <c r="D75" s="21"/>
      <c r="E75" s="21"/>
      <c r="F75" s="21"/>
      <c r="G75" s="21"/>
    </row>
    <row r="76" spans="1:7" ht="17.25" x14ac:dyDescent="0.35">
      <c r="A76" s="12" t="s">
        <v>29</v>
      </c>
      <c r="B76" s="21"/>
      <c r="C76" s="21"/>
      <c r="D76" s="21"/>
      <c r="E76" s="21"/>
      <c r="F76" s="21"/>
      <c r="G76" s="21"/>
    </row>
    <row r="77" spans="1:7" ht="16.5" x14ac:dyDescent="0.3">
      <c r="A77" s="11" t="s">
        <v>30</v>
      </c>
      <c r="B77" s="21">
        <f>(B32/B31)*100</f>
        <v>88.80952380952381</v>
      </c>
      <c r="C77" s="21">
        <f t="shared" ref="C77" si="26">(C32/C31)*100</f>
        <v>88.80952380952381</v>
      </c>
      <c r="D77" s="21"/>
      <c r="E77" s="21"/>
      <c r="F77" s="21" t="s">
        <v>74</v>
      </c>
      <c r="G77" s="21"/>
    </row>
    <row r="78" spans="1:7" ht="16.5" x14ac:dyDescent="0.3">
      <c r="A78" s="11" t="s">
        <v>31</v>
      </c>
      <c r="B78" s="21">
        <f>(B26/B32)*100</f>
        <v>166.68198543342268</v>
      </c>
      <c r="C78" s="21">
        <f t="shared" ref="C78" si="27">(C26/C32)*100</f>
        <v>166.68198543342268</v>
      </c>
      <c r="D78" s="21"/>
      <c r="E78" s="21"/>
      <c r="F78" s="21" t="s">
        <v>74</v>
      </c>
      <c r="G78" s="21"/>
    </row>
    <row r="79" spans="1:7" ht="17.25" thickBot="1" x14ac:dyDescent="0.35">
      <c r="A79" s="22"/>
      <c r="B79" s="26"/>
      <c r="C79" s="26"/>
      <c r="D79" s="26"/>
      <c r="E79" s="26"/>
      <c r="F79" s="26"/>
      <c r="G79" s="26"/>
    </row>
    <row r="80" spans="1:7" ht="16.5" customHeight="1" thickTop="1" x14ac:dyDescent="0.25">
      <c r="A80" s="39" t="s">
        <v>127</v>
      </c>
      <c r="B80" s="39"/>
      <c r="C80" s="39"/>
      <c r="D80" s="39"/>
      <c r="E80" s="39"/>
      <c r="F80" s="39"/>
      <c r="G80" s="39"/>
    </row>
    <row r="81" spans="1:7" ht="16.5" x14ac:dyDescent="0.3">
      <c r="A81" s="23"/>
      <c r="B81" s="11"/>
      <c r="C81" s="11"/>
      <c r="D81" s="11"/>
      <c r="E81" s="11"/>
      <c r="F81" s="11"/>
      <c r="G81" s="11"/>
    </row>
    <row r="82" spans="1:7" x14ac:dyDescent="0.25">
      <c r="A82" s="8"/>
    </row>
    <row r="83" spans="1:7" x14ac:dyDescent="0.25">
      <c r="A83" s="8"/>
      <c r="B83" s="9"/>
      <c r="C83" s="9"/>
      <c r="D83" s="9"/>
    </row>
    <row r="84" spans="1:7" x14ac:dyDescent="0.25">
      <c r="A84" s="8"/>
    </row>
    <row r="85" spans="1:7" x14ac:dyDescent="0.25">
      <c r="A85" s="8"/>
    </row>
    <row r="93" spans="1:7" x14ac:dyDescent="0.25">
      <c r="A93" s="3"/>
    </row>
  </sheetData>
  <mergeCells count="10">
    <mergeCell ref="F10:F11"/>
    <mergeCell ref="G10:G11"/>
    <mergeCell ref="D10:D11"/>
    <mergeCell ref="F9:G9"/>
    <mergeCell ref="A80:G80"/>
    <mergeCell ref="A9:A11"/>
    <mergeCell ref="B9:B11"/>
    <mergeCell ref="C9:E9"/>
    <mergeCell ref="C10:C11"/>
    <mergeCell ref="E10:E11"/>
  </mergeCells>
  <pageMargins left="0.7" right="0.7" top="0.75" bottom="0.75" header="0.3" footer="0.3"/>
  <pageSetup paperSize="9" orientation="portrait" r:id="rId1"/>
  <ignoredErrors>
    <ignoredError sqref="F28" formula="1"/>
    <ignoredError sqref="C66:G66 B71 C71:E71 C70:E70 C75:G76 C72:E72 C73:E73 C68:G69 C67:E67 C74:E7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93"/>
  <sheetViews>
    <sheetView showGridLines="0" zoomScale="80" zoomScaleNormal="80" workbookViewId="0">
      <pane ySplit="11" topLeftCell="A12" activePane="bottomLeft" state="frozen"/>
      <selection pane="bottomLeft" activeCell="A9" sqref="A9:A11"/>
    </sheetView>
  </sheetViews>
  <sheetFormatPr baseColWidth="10" defaultColWidth="11.42578125" defaultRowHeight="15" x14ac:dyDescent="0.25"/>
  <cols>
    <col min="1" max="1" width="62.5703125" style="7" customWidth="1"/>
    <col min="2" max="7" width="19.5703125" style="7" customWidth="1"/>
    <col min="8" max="16384" width="11.42578125" style="7"/>
  </cols>
  <sheetData>
    <row r="7" spans="1:37" ht="25.5" customHeight="1" x14ac:dyDescent="0.25"/>
    <row r="8" spans="1:37" ht="25.5" customHeight="1" x14ac:dyDescent="0.25"/>
    <row r="9" spans="1:37" s="4" customFormat="1" ht="15" customHeight="1" x14ac:dyDescent="0.25">
      <c r="A9" s="40" t="s">
        <v>0</v>
      </c>
      <c r="B9" s="43" t="s">
        <v>1</v>
      </c>
      <c r="C9" s="36" t="s">
        <v>77</v>
      </c>
      <c r="D9" s="37"/>
      <c r="E9" s="38"/>
      <c r="F9" s="35" t="s">
        <v>78</v>
      </c>
      <c r="G9" s="35"/>
    </row>
    <row r="10" spans="1:37" s="4" customFormat="1" x14ac:dyDescent="0.25">
      <c r="A10" s="41"/>
      <c r="B10" s="44"/>
      <c r="C10" s="43" t="s">
        <v>2</v>
      </c>
      <c r="D10" s="33" t="s">
        <v>3</v>
      </c>
      <c r="E10" s="46" t="s">
        <v>48</v>
      </c>
      <c r="F10" s="47" t="s">
        <v>2</v>
      </c>
      <c r="G10" s="33" t="s">
        <v>49</v>
      </c>
    </row>
    <row r="11" spans="1:37" s="4" customFormat="1" ht="15.75" thickBot="1" x14ac:dyDescent="0.3">
      <c r="A11" s="42"/>
      <c r="B11" s="45"/>
      <c r="C11" s="45"/>
      <c r="D11" s="34"/>
      <c r="E11" s="34"/>
      <c r="F11" s="48"/>
      <c r="G11" s="34"/>
    </row>
    <row r="12" spans="1:37" ht="17.25" thickTop="1" x14ac:dyDescent="0.3">
      <c r="A12" s="11"/>
      <c r="B12" s="11"/>
      <c r="C12" s="11"/>
      <c r="D12" s="11"/>
      <c r="E12" s="11"/>
      <c r="F12" s="11"/>
      <c r="G12" s="11"/>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7.25" x14ac:dyDescent="0.35">
      <c r="A13" s="12" t="s">
        <v>4</v>
      </c>
      <c r="B13" s="11"/>
      <c r="C13" s="11"/>
      <c r="D13" s="11"/>
      <c r="E13" s="11"/>
      <c r="F13" s="11"/>
      <c r="G13" s="11"/>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ht="16.5" x14ac:dyDescent="0.3">
      <c r="A14" s="11"/>
      <c r="B14" s="11"/>
      <c r="C14" s="11"/>
      <c r="D14" s="11"/>
      <c r="E14" s="11"/>
      <c r="F14" s="11"/>
      <c r="G14" s="11"/>
    </row>
    <row r="15" spans="1:37" ht="16.5" x14ac:dyDescent="0.3">
      <c r="A15" s="11" t="s">
        <v>41</v>
      </c>
      <c r="B15" s="11"/>
      <c r="C15" s="11"/>
      <c r="D15" s="11"/>
      <c r="E15" s="11"/>
      <c r="F15" s="11"/>
      <c r="G15" s="11"/>
    </row>
    <row r="16" spans="1:37" ht="16.5" x14ac:dyDescent="0.3">
      <c r="A16" s="13" t="s">
        <v>116</v>
      </c>
      <c r="B16" s="14">
        <f>C16+F16</f>
        <v>3203</v>
      </c>
      <c r="C16" s="14">
        <f>D16+E16</f>
        <v>1356</v>
      </c>
      <c r="D16" s="14">
        <f>+'I Trimestre'!D16+'II Trimestre'!D16+'III Trimestre'!D16+'IV Trimestre'!D16</f>
        <v>237</v>
      </c>
      <c r="E16" s="14">
        <f>+'I Trimestre'!E16+'II Trimestre'!E16+'III Trimestre'!E16+'IV Trimestre'!E16</f>
        <v>1119</v>
      </c>
      <c r="F16" s="14">
        <f>+SUM(G16)</f>
        <v>1847</v>
      </c>
      <c r="G16" s="14">
        <f>+'I Trimestre'!G16+'II Trimestre'!G16+'III Trimestre'!G16+'IV Trimestre'!G16</f>
        <v>1847</v>
      </c>
    </row>
    <row r="17" spans="1:9" ht="16.5" x14ac:dyDescent="0.3">
      <c r="A17" s="15" t="s">
        <v>42</v>
      </c>
      <c r="B17" s="14">
        <f>C17+F17</f>
        <v>3101</v>
      </c>
      <c r="C17" s="14">
        <f>D17+E17</f>
        <v>1254</v>
      </c>
      <c r="D17" s="14">
        <f>+'I Trimestre'!D17+'II Trimestre'!D17+'III Trimestre'!D17+'IV Trimestre'!D17</f>
        <v>135</v>
      </c>
      <c r="E17" s="14">
        <f>+'I Trimestre'!E17+'II Trimestre'!E17+'III Trimestre'!E17+'IV Trimestre'!E17</f>
        <v>1119</v>
      </c>
      <c r="F17" s="14">
        <f t="shared" ref="F17:F20" si="0">+SUM(G17)</f>
        <v>1847</v>
      </c>
      <c r="G17" s="14">
        <f>+'I Trimestre'!G17+'II Trimestre'!G17+'III Trimestre'!G17+'IV Trimestre'!G17</f>
        <v>1847</v>
      </c>
    </row>
    <row r="18" spans="1:9" ht="16.5" x14ac:dyDescent="0.3">
      <c r="A18" s="13" t="s">
        <v>117</v>
      </c>
      <c r="B18" s="14">
        <f>C18+F18</f>
        <v>2035.6666666666665</v>
      </c>
      <c r="C18" s="14">
        <f>D18+E18</f>
        <v>353.66666666666663</v>
      </c>
      <c r="D18" s="14">
        <f>+'I Trimestre'!D18+'II Trimestre'!D18+'III Trimestre'!D18+'IV Trimestre'!D18</f>
        <v>101.66666666666666</v>
      </c>
      <c r="E18" s="14">
        <f>+'I Trimestre'!E18+'II Trimestre'!E18+'III Trimestre'!E18+'IV Trimestre'!E18</f>
        <v>252</v>
      </c>
      <c r="F18" s="14">
        <f t="shared" si="0"/>
        <v>1682</v>
      </c>
      <c r="G18" s="14">
        <f>+'I Trimestre'!G18+'II Trimestre'!G18+'III Trimestre'!G18+'IV Trimestre'!G18</f>
        <v>1682</v>
      </c>
    </row>
    <row r="19" spans="1:9" ht="16.5" x14ac:dyDescent="0.3">
      <c r="A19" s="13" t="s">
        <v>118</v>
      </c>
      <c r="B19" s="14">
        <f>C19+F19</f>
        <v>945</v>
      </c>
      <c r="C19" s="14">
        <f>D19+E19</f>
        <v>945</v>
      </c>
      <c r="D19" s="14">
        <f>(+'I Trimestre'!D19+'II Trimestre'!D19+'III Trimestre'!D19+'IV Trimestre'!D19)</f>
        <v>228</v>
      </c>
      <c r="E19" s="14">
        <f>+'I Trimestre'!E19+'II Trimestre'!E19+'III Trimestre'!E19+'IV Trimestre'!E19</f>
        <v>717</v>
      </c>
      <c r="F19" s="14">
        <f t="shared" si="0"/>
        <v>0</v>
      </c>
      <c r="G19" s="14">
        <f>+'I Trimestre'!G19+'II Trimestre'!G19+'III Trimestre'!G19+'IV Trimestre'!G19</f>
        <v>0</v>
      </c>
    </row>
    <row r="20" spans="1:9" ht="16.5" x14ac:dyDescent="0.3">
      <c r="A20" s="15" t="s">
        <v>42</v>
      </c>
      <c r="B20" s="14">
        <f>C20+F20</f>
        <v>841</v>
      </c>
      <c r="C20" s="14">
        <f>D20+E20</f>
        <v>841</v>
      </c>
      <c r="D20" s="14">
        <f>+'I Trimestre'!D20+'II Trimestre'!D20+'III Trimestre'!D20+'IV Trimestre'!D20</f>
        <v>124</v>
      </c>
      <c r="E20" s="14">
        <f>+'I Trimestre'!E20+'II Trimestre'!E20+'III Trimestre'!E20+'IV Trimestre'!E20</f>
        <v>717</v>
      </c>
      <c r="F20" s="14">
        <f t="shared" si="0"/>
        <v>0</v>
      </c>
      <c r="G20" s="14">
        <f>+'I Trimestre'!G20+'II Trimestre'!G20+'III Trimestre'!G20+'IV Trimestre'!G20</f>
        <v>0</v>
      </c>
    </row>
    <row r="21" spans="1:9" ht="16.5" x14ac:dyDescent="0.3">
      <c r="A21" s="13" t="s">
        <v>81</v>
      </c>
      <c r="B21" s="14">
        <f>+'IV Trimestre'!B21</f>
        <v>2036</v>
      </c>
      <c r="C21" s="14">
        <f>+'IV Trimestre'!C21</f>
        <v>354</v>
      </c>
      <c r="D21" s="14">
        <f>+'IV Trimestre'!D21</f>
        <v>102</v>
      </c>
      <c r="E21" s="14">
        <f>+'IV Trimestre'!E21</f>
        <v>252</v>
      </c>
      <c r="F21" s="14">
        <f>+'IV Trimestre'!F21</f>
        <v>1682</v>
      </c>
      <c r="G21" s="14">
        <f>+'IV Trimestre'!G21</f>
        <v>1682</v>
      </c>
    </row>
    <row r="22" spans="1:9" ht="16.5" x14ac:dyDescent="0.3">
      <c r="A22" s="11"/>
      <c r="B22" s="14"/>
      <c r="C22" s="14"/>
      <c r="D22" s="14"/>
      <c r="E22" s="14"/>
      <c r="F22" s="14"/>
      <c r="G22" s="14"/>
    </row>
    <row r="23" spans="1:9" ht="16.5" x14ac:dyDescent="0.3">
      <c r="A23" s="29" t="s">
        <v>5</v>
      </c>
      <c r="B23" s="14"/>
      <c r="C23" s="14"/>
      <c r="D23" s="14"/>
      <c r="E23" s="14"/>
      <c r="F23" s="14"/>
      <c r="G23" s="14"/>
    </row>
    <row r="24" spans="1:9" ht="16.5" x14ac:dyDescent="0.3">
      <c r="A24" s="13" t="s">
        <v>116</v>
      </c>
      <c r="B24" s="14">
        <f>C24+F24</f>
        <v>78976500</v>
      </c>
      <c r="C24" s="14">
        <f>D24+E24</f>
        <v>66976500</v>
      </c>
      <c r="D24" s="14">
        <f>+'I Trimestre'!D24+'II Trimestre'!D24+'III Trimestre'!D24+'IV Trimestre'!D24</f>
        <v>59946940</v>
      </c>
      <c r="E24" s="14">
        <f>+'I Trimestre'!E24+'II Trimestre'!E24+'III Trimestre'!E24+'IV Trimestre'!E24</f>
        <v>7029560</v>
      </c>
      <c r="F24" s="14">
        <f>+SUM(G24)</f>
        <v>12000000</v>
      </c>
      <c r="G24" s="14">
        <f>+'I Trimestre'!G24+'II Trimestre'!G24+'III Trimestre'!G24+'IV Trimestre'!G24</f>
        <v>12000000</v>
      </c>
    </row>
    <row r="25" spans="1:9" ht="16.5" x14ac:dyDescent="0.3">
      <c r="A25" s="13" t="s">
        <v>117</v>
      </c>
      <c r="B25" s="14">
        <f>C25+F25</f>
        <v>88305528</v>
      </c>
      <c r="C25" s="14">
        <f t="shared" ref="C25:C26" si="1">D25+E25</f>
        <v>77715528</v>
      </c>
      <c r="D25" s="14">
        <f>'IV Trimestre'!D27</f>
        <v>69715528</v>
      </c>
      <c r="E25" s="14">
        <f>'I Trimestre'!E25+'II Trimestre'!E25+'III Trimestre'!E25+'IV Trimestre'!E25</f>
        <v>7999999.9999999981</v>
      </c>
      <c r="F25" s="14">
        <f t="shared" ref="F25:F26" si="2">+SUM(G25)</f>
        <v>10590000</v>
      </c>
      <c r="G25" s="14">
        <f>'I Trimestre'!G25+'II Trimestre'!G25+'III Trimestre'!G25+'IV Trimestre'!G25</f>
        <v>10590000</v>
      </c>
    </row>
    <row r="26" spans="1:9" ht="16.5" x14ac:dyDescent="0.3">
      <c r="A26" s="13" t="s">
        <v>118</v>
      </c>
      <c r="B26" s="14">
        <f t="shared" ref="B26" si="3">C26+F26</f>
        <v>61349099.489999995</v>
      </c>
      <c r="C26" s="14">
        <f t="shared" si="1"/>
        <v>58909655.489999995</v>
      </c>
      <c r="D26" s="14">
        <f>+'I Trimestre'!D26+'II Trimestre'!D26+'III Trimestre'!D26+'IV Trimestre'!D26</f>
        <v>53980200.489999995</v>
      </c>
      <c r="E26" s="14">
        <f>+'I Trimestre'!E26+'II Trimestre'!E26+'III Trimestre'!E26+'IV Trimestre'!E26</f>
        <v>4929455</v>
      </c>
      <c r="F26" s="14">
        <f t="shared" si="2"/>
        <v>2439444</v>
      </c>
      <c r="G26" s="14">
        <f>+'I Trimestre'!G26+'II Trimestre'!G26+'III Trimestre'!G26+'IV Trimestre'!G26</f>
        <v>2439444</v>
      </c>
      <c r="I26" s="6"/>
    </row>
    <row r="27" spans="1:9" ht="16.5" x14ac:dyDescent="0.3">
      <c r="A27" s="13" t="s">
        <v>81</v>
      </c>
      <c r="B27" s="14">
        <f>+'IV Trimestre'!B27</f>
        <v>88305528</v>
      </c>
      <c r="C27" s="14">
        <f>+'IV Trimestre'!C27</f>
        <v>77715528</v>
      </c>
      <c r="D27" s="14">
        <f>+'IV Trimestre'!D27</f>
        <v>69715528</v>
      </c>
      <c r="E27" s="14">
        <f>+'IV Trimestre'!E27</f>
        <v>8000000</v>
      </c>
      <c r="F27" s="14">
        <f>+'IV Trimestre'!F27</f>
        <v>10590000</v>
      </c>
      <c r="G27" s="14">
        <f>+'IV Trimestre'!G27</f>
        <v>10590000</v>
      </c>
    </row>
    <row r="28" spans="1:9" ht="16.5" x14ac:dyDescent="0.3">
      <c r="A28" s="13" t="s">
        <v>119</v>
      </c>
      <c r="B28" s="14">
        <f>+C28+F28</f>
        <v>61349099.489999995</v>
      </c>
      <c r="C28" s="14">
        <f>C26</f>
        <v>58909655.489999995</v>
      </c>
      <c r="D28" s="14">
        <f>D26</f>
        <v>53980200.489999995</v>
      </c>
      <c r="E28" s="14">
        <f>+E26</f>
        <v>4929455</v>
      </c>
      <c r="F28" s="14">
        <f>+SUM(G28)</f>
        <v>2439444</v>
      </c>
      <c r="G28" s="14">
        <f>G26</f>
        <v>2439444</v>
      </c>
    </row>
    <row r="29" spans="1:9" ht="16.5" x14ac:dyDescent="0.3">
      <c r="A29" s="11"/>
      <c r="B29" s="14"/>
      <c r="C29" s="14"/>
      <c r="D29" s="14"/>
      <c r="E29" s="14"/>
      <c r="F29" s="14"/>
      <c r="G29" s="14"/>
    </row>
    <row r="30" spans="1:9" ht="16.5" x14ac:dyDescent="0.3">
      <c r="A30" s="29" t="s">
        <v>6</v>
      </c>
      <c r="B30" s="14"/>
      <c r="C30" s="14"/>
      <c r="D30" s="14"/>
      <c r="E30" s="14"/>
      <c r="F30" s="14"/>
      <c r="G30" s="14"/>
    </row>
    <row r="31" spans="1:9" ht="16.5" x14ac:dyDescent="0.3">
      <c r="A31" s="13" t="s">
        <v>117</v>
      </c>
      <c r="B31" s="14">
        <f>+B25</f>
        <v>88305528</v>
      </c>
      <c r="C31" s="14">
        <f>+C25</f>
        <v>77715528</v>
      </c>
      <c r="D31" s="14"/>
      <c r="E31" s="14"/>
      <c r="F31" s="14">
        <f>F25</f>
        <v>10590000</v>
      </c>
      <c r="G31" s="14"/>
    </row>
    <row r="32" spans="1:9" ht="16.5" x14ac:dyDescent="0.3">
      <c r="A32" s="13" t="s">
        <v>118</v>
      </c>
      <c r="B32" s="14">
        <f>+'I Trimestre'!B32+'II Trimestre'!B32+'III Trimestre'!B32+'IV Trimestre'!B32</f>
        <v>88305528</v>
      </c>
      <c r="C32" s="14">
        <f>+'I Trimestre'!C32+'II Trimestre'!C32+'III Trimestre'!C32+'IV Trimestre'!C32</f>
        <v>76805528</v>
      </c>
      <c r="D32" s="14"/>
      <c r="E32" s="14"/>
      <c r="F32" s="14">
        <f>+'I Trimestre'!F32+'II Trimestre'!F32+'III Trimestre'!F32+'IV Trimestre'!F32</f>
        <v>11500000</v>
      </c>
      <c r="G32" s="14"/>
    </row>
    <row r="33" spans="1:7" ht="16.5" x14ac:dyDescent="0.3">
      <c r="A33" s="11"/>
      <c r="B33" s="20"/>
      <c r="C33" s="14"/>
      <c r="D33" s="20"/>
      <c r="E33" s="20"/>
      <c r="F33" s="20"/>
      <c r="G33" s="20"/>
    </row>
    <row r="34" spans="1:7" ht="16.5" x14ac:dyDescent="0.3">
      <c r="A34" s="11" t="s">
        <v>7</v>
      </c>
      <c r="B34" s="20"/>
      <c r="C34" s="20"/>
      <c r="D34" s="20"/>
      <c r="E34" s="20"/>
      <c r="F34" s="20"/>
      <c r="G34" s="20"/>
    </row>
    <row r="35" spans="1:7" ht="16.5" x14ac:dyDescent="0.3">
      <c r="A35" s="13" t="s">
        <v>120</v>
      </c>
      <c r="B35" s="19">
        <v>1.0610999999999999</v>
      </c>
      <c r="C35" s="19">
        <v>1.0610999999999999</v>
      </c>
      <c r="D35" s="19">
        <v>1.0610999999999999</v>
      </c>
      <c r="E35" s="19">
        <v>1.0610999999999999</v>
      </c>
      <c r="F35" s="19">
        <v>1.0610999999999999</v>
      </c>
      <c r="G35" s="19">
        <v>1.0610999999999999</v>
      </c>
    </row>
    <row r="36" spans="1:7" ht="16.5" x14ac:dyDescent="0.3">
      <c r="A36" s="13" t="s">
        <v>121</v>
      </c>
      <c r="B36" s="19">
        <v>1.0706</v>
      </c>
      <c r="C36" s="19">
        <v>1.0706</v>
      </c>
      <c r="D36" s="19">
        <v>1.0706</v>
      </c>
      <c r="E36" s="19">
        <v>1.0706</v>
      </c>
      <c r="F36" s="19">
        <v>1.0706</v>
      </c>
      <c r="G36" s="19">
        <v>1.0706</v>
      </c>
    </row>
    <row r="37" spans="1:7" ht="16.5" x14ac:dyDescent="0.3">
      <c r="A37" s="13" t="s">
        <v>8</v>
      </c>
      <c r="B37" s="14" t="s">
        <v>47</v>
      </c>
      <c r="C37" s="14" t="s">
        <v>47</v>
      </c>
      <c r="D37" s="14" t="s">
        <v>47</v>
      </c>
      <c r="E37" s="14" t="s">
        <v>47</v>
      </c>
      <c r="F37" s="14" t="s">
        <v>47</v>
      </c>
      <c r="G37" s="14" t="s">
        <v>47</v>
      </c>
    </row>
    <row r="38" spans="1:7" ht="16.5" x14ac:dyDescent="0.3">
      <c r="A38" s="11"/>
      <c r="B38" s="14"/>
      <c r="C38" s="14"/>
      <c r="D38" s="14"/>
      <c r="E38" s="14"/>
      <c r="F38" s="14"/>
      <c r="G38" s="14"/>
    </row>
    <row r="39" spans="1:7" ht="17.25" x14ac:dyDescent="0.35">
      <c r="A39" s="12" t="s">
        <v>9</v>
      </c>
      <c r="B39" s="14"/>
      <c r="C39" s="14"/>
      <c r="D39" s="14"/>
      <c r="E39" s="14"/>
      <c r="F39" s="14"/>
      <c r="G39" s="14"/>
    </row>
    <row r="40" spans="1:7" ht="16.5" x14ac:dyDescent="0.3">
      <c r="A40" s="11" t="s">
        <v>122</v>
      </c>
      <c r="B40" s="14">
        <f>B24/B35</f>
        <v>74428894.543398365</v>
      </c>
      <c r="C40" s="14">
        <f t="shared" ref="C40:E40" si="4">C24/C35</f>
        <v>63119875.600791633</v>
      </c>
      <c r="D40" s="14">
        <f>D24/D35</f>
        <v>56495090.000942424</v>
      </c>
      <c r="E40" s="14">
        <f t="shared" si="4"/>
        <v>6624785.5998492138</v>
      </c>
      <c r="F40" s="14">
        <f t="shared" ref="F40:G40" si="5">F24/F35</f>
        <v>11309018.94260673</v>
      </c>
      <c r="G40" s="14">
        <f t="shared" si="5"/>
        <v>11309018.94260673</v>
      </c>
    </row>
    <row r="41" spans="1:7" ht="16.5" x14ac:dyDescent="0.3">
      <c r="A41" s="11" t="s">
        <v>123</v>
      </c>
      <c r="B41" s="14">
        <f t="shared" ref="B41:E41" si="6">B26/B36</f>
        <v>57303474.210722953</v>
      </c>
      <c r="C41" s="14">
        <f t="shared" si="6"/>
        <v>55024897.711563602</v>
      </c>
      <c r="D41" s="14">
        <f t="shared" si="6"/>
        <v>50420512.320194282</v>
      </c>
      <c r="E41" s="14">
        <f t="shared" si="6"/>
        <v>4604385.391369326</v>
      </c>
      <c r="F41" s="14">
        <f t="shared" ref="F41:G41" si="7">F26/F36</f>
        <v>2278576.4991593501</v>
      </c>
      <c r="G41" s="14">
        <f t="shared" si="7"/>
        <v>2278576.4991593501</v>
      </c>
    </row>
    <row r="42" spans="1:7" ht="16.5" x14ac:dyDescent="0.3">
      <c r="A42" s="11" t="s">
        <v>124</v>
      </c>
      <c r="B42" s="14">
        <f t="shared" ref="B42:E42" si="8">B40/B16</f>
        <v>23237.244627973265</v>
      </c>
      <c r="C42" s="14">
        <f t="shared" si="8"/>
        <v>46548.5808265425</v>
      </c>
      <c r="D42" s="14">
        <f t="shared" si="8"/>
        <v>238375.90717697225</v>
      </c>
      <c r="E42" s="14">
        <f t="shared" si="8"/>
        <v>5920.2731008482697</v>
      </c>
      <c r="F42" s="14">
        <f t="shared" ref="F42:G42" si="9">F40/F16</f>
        <v>6122.9122591265459</v>
      </c>
      <c r="G42" s="14">
        <f t="shared" si="9"/>
        <v>6122.9122591265459</v>
      </c>
    </row>
    <row r="43" spans="1:7" ht="16.5" x14ac:dyDescent="0.3">
      <c r="A43" s="11" t="s">
        <v>125</v>
      </c>
      <c r="B43" s="14">
        <f t="shared" ref="B43:E43" si="10">B41/B19</f>
        <v>60638.597048384079</v>
      </c>
      <c r="C43" s="14">
        <f t="shared" si="10"/>
        <v>58227.404985781592</v>
      </c>
      <c r="D43" s="14">
        <f t="shared" si="10"/>
        <v>221142.59789558896</v>
      </c>
      <c r="E43" s="14">
        <f t="shared" si="10"/>
        <v>6421.7369475164942</v>
      </c>
      <c r="F43" s="14" t="s">
        <v>74</v>
      </c>
      <c r="G43" s="14" t="s">
        <v>74</v>
      </c>
    </row>
    <row r="44" spans="1:7" ht="16.5" x14ac:dyDescent="0.3">
      <c r="A44" s="11"/>
      <c r="B44" s="30"/>
      <c r="C44" s="30"/>
      <c r="D44" s="30"/>
      <c r="E44" s="30"/>
      <c r="F44" s="30"/>
      <c r="G44" s="30"/>
    </row>
    <row r="45" spans="1:7" ht="17.25" x14ac:dyDescent="0.35">
      <c r="A45" s="12" t="s">
        <v>10</v>
      </c>
      <c r="B45" s="30"/>
      <c r="C45" s="30"/>
      <c r="D45" s="30"/>
      <c r="E45" s="30"/>
      <c r="F45" s="30"/>
      <c r="G45" s="30"/>
    </row>
    <row r="46" spans="1:7" ht="16.5" x14ac:dyDescent="0.3">
      <c r="A46" s="11"/>
      <c r="B46" s="30"/>
      <c r="C46" s="30"/>
      <c r="D46" s="30"/>
      <c r="E46" s="30"/>
      <c r="F46" s="30"/>
      <c r="G46" s="30"/>
    </row>
    <row r="47" spans="1:7" ht="16.5" x14ac:dyDescent="0.3">
      <c r="A47" s="11" t="s">
        <v>11</v>
      </c>
      <c r="B47" s="30"/>
      <c r="C47" s="30"/>
      <c r="D47" s="30"/>
      <c r="E47" s="30"/>
      <c r="F47" s="30"/>
      <c r="G47" s="30"/>
    </row>
    <row r="48" spans="1:7" ht="16.5" x14ac:dyDescent="0.3">
      <c r="A48" s="11" t="s">
        <v>12</v>
      </c>
      <c r="B48" s="21" t="s">
        <v>45</v>
      </c>
      <c r="C48" s="21" t="s">
        <v>44</v>
      </c>
      <c r="D48" s="21" t="s">
        <v>44</v>
      </c>
      <c r="E48" s="21" t="s">
        <v>44</v>
      </c>
      <c r="F48" s="21" t="s">
        <v>44</v>
      </c>
      <c r="G48" s="21" t="s">
        <v>44</v>
      </c>
    </row>
    <row r="49" spans="1:7" ht="16.5" x14ac:dyDescent="0.3">
      <c r="A49" s="11" t="s">
        <v>13</v>
      </c>
      <c r="B49" s="21" t="s">
        <v>44</v>
      </c>
      <c r="C49" s="21" t="s">
        <v>44</v>
      </c>
      <c r="D49" s="21" t="s">
        <v>44</v>
      </c>
      <c r="E49" s="21" t="s">
        <v>44</v>
      </c>
      <c r="F49" s="21" t="s">
        <v>44</v>
      </c>
      <c r="G49" s="21" t="s">
        <v>44</v>
      </c>
    </row>
    <row r="50" spans="1:7" ht="16.5" x14ac:dyDescent="0.3">
      <c r="A50" s="11"/>
      <c r="B50" s="21"/>
      <c r="C50" s="21"/>
      <c r="D50" s="21"/>
      <c r="E50" s="21"/>
      <c r="F50" s="21"/>
      <c r="G50" s="21"/>
    </row>
    <row r="51" spans="1:7" ht="16.5" x14ac:dyDescent="0.3">
      <c r="A51" s="11" t="s">
        <v>14</v>
      </c>
      <c r="B51" s="21"/>
      <c r="C51" s="21"/>
      <c r="D51" s="21"/>
      <c r="E51" s="21"/>
      <c r="F51" s="21"/>
      <c r="G51" s="21"/>
    </row>
    <row r="52" spans="1:7" ht="16.5" x14ac:dyDescent="0.3">
      <c r="A52" s="11" t="s">
        <v>15</v>
      </c>
      <c r="B52" s="21">
        <f>B19/B18*100</f>
        <v>46.42213852955625</v>
      </c>
      <c r="C52" s="21">
        <f t="shared" ref="C52:G52" si="11">C19/C18*100</f>
        <v>267.20075400565509</v>
      </c>
      <c r="D52" s="21">
        <f t="shared" si="11"/>
        <v>224.26229508196721</v>
      </c>
      <c r="E52" s="21">
        <f t="shared" si="11"/>
        <v>284.52380952380952</v>
      </c>
      <c r="F52" s="21">
        <f t="shared" si="11"/>
        <v>0</v>
      </c>
      <c r="G52" s="21">
        <f t="shared" si="11"/>
        <v>0</v>
      </c>
    </row>
    <row r="53" spans="1:7" ht="16.5" x14ac:dyDescent="0.3">
      <c r="A53" s="11" t="s">
        <v>16</v>
      </c>
      <c r="B53" s="21">
        <f>B26/B25*100</f>
        <v>69.473679484709038</v>
      </c>
      <c r="C53" s="21">
        <f t="shared" ref="C53:F53" si="12">C26/C25*100</f>
        <v>75.801653808489846</v>
      </c>
      <c r="D53" s="21">
        <f t="shared" si="12"/>
        <v>77.429235693373784</v>
      </c>
      <c r="E53" s="21">
        <f t="shared" si="12"/>
        <v>61.618187500000012</v>
      </c>
      <c r="F53" s="21">
        <f t="shared" si="12"/>
        <v>23.035354107648725</v>
      </c>
      <c r="G53" s="21">
        <f>G26/G25*100</f>
        <v>23.035354107648725</v>
      </c>
    </row>
    <row r="54" spans="1:7" ht="16.5" x14ac:dyDescent="0.3">
      <c r="A54" s="11" t="s">
        <v>17</v>
      </c>
      <c r="B54" s="21">
        <f t="shared" ref="B54:G54" si="13">AVERAGE(B52:B53)</f>
        <v>57.947909007132644</v>
      </c>
      <c r="C54" s="21">
        <f t="shared" si="13"/>
        <v>171.50120390707247</v>
      </c>
      <c r="D54" s="21">
        <f t="shared" si="13"/>
        <v>150.8457653876705</v>
      </c>
      <c r="E54" s="21">
        <f t="shared" si="13"/>
        <v>173.07099851190478</v>
      </c>
      <c r="F54" s="21">
        <f t="shared" si="13"/>
        <v>11.517677053824363</v>
      </c>
      <c r="G54" s="21">
        <f t="shared" si="13"/>
        <v>11.517677053824363</v>
      </c>
    </row>
    <row r="55" spans="1:7" ht="16.5" x14ac:dyDescent="0.3">
      <c r="A55" s="11"/>
      <c r="B55" s="21"/>
      <c r="C55" s="21"/>
      <c r="D55" s="21"/>
      <c r="E55" s="21"/>
      <c r="F55" s="21"/>
      <c r="G55" s="21"/>
    </row>
    <row r="56" spans="1:7" ht="16.5" x14ac:dyDescent="0.3">
      <c r="A56" s="11" t="s">
        <v>18</v>
      </c>
      <c r="B56" s="21"/>
      <c r="C56" s="21"/>
      <c r="D56" s="21"/>
      <c r="E56" s="21"/>
      <c r="F56" s="21"/>
      <c r="G56" s="21"/>
    </row>
    <row r="57" spans="1:7" ht="16.5" x14ac:dyDescent="0.3">
      <c r="A57" s="11" t="s">
        <v>19</v>
      </c>
      <c r="B57" s="21">
        <f>(B19/B21)*100</f>
        <v>46.414538310412574</v>
      </c>
      <c r="C57" s="21">
        <f t="shared" ref="C57:G57" si="14">(C19/C21)*100</f>
        <v>266.94915254237287</v>
      </c>
      <c r="D57" s="21">
        <f t="shared" si="14"/>
        <v>223.52941176470588</v>
      </c>
      <c r="E57" s="21">
        <f t="shared" si="14"/>
        <v>284.52380952380952</v>
      </c>
      <c r="F57" s="21">
        <f t="shared" si="14"/>
        <v>0</v>
      </c>
      <c r="G57" s="21">
        <f t="shared" si="14"/>
        <v>0</v>
      </c>
    </row>
    <row r="58" spans="1:7" ht="16.5" x14ac:dyDescent="0.3">
      <c r="A58" s="11" t="s">
        <v>20</v>
      </c>
      <c r="B58" s="21">
        <f>B26/B27*100</f>
        <v>69.473679484709038</v>
      </c>
      <c r="C58" s="21">
        <f t="shared" ref="C58:F58" si="15">C26/C27*100</f>
        <v>75.801653808489846</v>
      </c>
      <c r="D58" s="21">
        <f t="shared" si="15"/>
        <v>77.429235693373784</v>
      </c>
      <c r="E58" s="21">
        <f t="shared" si="15"/>
        <v>61.618187499999998</v>
      </c>
      <c r="F58" s="21">
        <f t="shared" si="15"/>
        <v>23.035354107648725</v>
      </c>
      <c r="G58" s="21">
        <f>G26/G27*100</f>
        <v>23.035354107648725</v>
      </c>
    </row>
    <row r="59" spans="1:7" ht="16.5" x14ac:dyDescent="0.3">
      <c r="A59" s="11" t="s">
        <v>21</v>
      </c>
      <c r="B59" s="21">
        <f t="shared" ref="B59:G59" si="16">(B57+B58)/2</f>
        <v>57.94410889756081</v>
      </c>
      <c r="C59" s="21">
        <f t="shared" si="16"/>
        <v>171.37540317543136</v>
      </c>
      <c r="D59" s="21">
        <f t="shared" si="16"/>
        <v>150.47932372903983</v>
      </c>
      <c r="E59" s="21">
        <f t="shared" si="16"/>
        <v>173.07099851190475</v>
      </c>
      <c r="F59" s="21">
        <f t="shared" si="16"/>
        <v>11.517677053824363</v>
      </c>
      <c r="G59" s="21">
        <f t="shared" si="16"/>
        <v>11.517677053824363</v>
      </c>
    </row>
    <row r="60" spans="1:7" ht="16.5" x14ac:dyDescent="0.3">
      <c r="A60" s="11"/>
      <c r="B60" s="21"/>
      <c r="C60" s="21"/>
      <c r="D60" s="21"/>
      <c r="E60" s="21"/>
      <c r="F60" s="21"/>
      <c r="G60" s="21"/>
    </row>
    <row r="61" spans="1:7" ht="16.5" x14ac:dyDescent="0.3">
      <c r="A61" s="11" t="s">
        <v>32</v>
      </c>
      <c r="B61" s="21"/>
      <c r="C61" s="21"/>
      <c r="D61" s="21"/>
      <c r="E61" s="21"/>
      <c r="F61" s="21"/>
      <c r="G61" s="21"/>
    </row>
    <row r="62" spans="1:7" ht="16.5" x14ac:dyDescent="0.3">
      <c r="A62" s="11" t="s">
        <v>22</v>
      </c>
      <c r="B62" s="21">
        <f t="shared" ref="B62:F62" si="17">B28/B26*100</f>
        <v>100</v>
      </c>
      <c r="C62" s="21">
        <f t="shared" si="17"/>
        <v>100</v>
      </c>
      <c r="D62" s="21"/>
      <c r="E62" s="21"/>
      <c r="F62" s="21">
        <f t="shared" si="17"/>
        <v>100</v>
      </c>
      <c r="G62" s="21"/>
    </row>
    <row r="63" spans="1:7" ht="16.5" x14ac:dyDescent="0.3">
      <c r="A63" s="11"/>
      <c r="B63" s="21"/>
      <c r="C63" s="21"/>
      <c r="D63" s="21"/>
      <c r="E63" s="21"/>
      <c r="F63" s="21"/>
      <c r="G63" s="21"/>
    </row>
    <row r="64" spans="1:7" ht="16.5" x14ac:dyDescent="0.3">
      <c r="A64" s="11" t="s">
        <v>23</v>
      </c>
      <c r="B64" s="21"/>
      <c r="C64" s="21"/>
      <c r="D64" s="21"/>
      <c r="E64" s="21"/>
      <c r="F64" s="21"/>
      <c r="G64" s="21"/>
    </row>
    <row r="65" spans="1:7" ht="16.5" x14ac:dyDescent="0.3">
      <c r="A65" s="11" t="s">
        <v>24</v>
      </c>
      <c r="B65" s="21">
        <f>((B19/B16)-1)*100</f>
        <v>-70.496409615985016</v>
      </c>
      <c r="C65" s="21">
        <f t="shared" ref="C65:G65" si="18">((C19/C16)-1)*100</f>
        <v>-30.309734513274332</v>
      </c>
      <c r="D65" s="21">
        <f t="shared" si="18"/>
        <v>-3.7974683544303778</v>
      </c>
      <c r="E65" s="21">
        <f t="shared" si="18"/>
        <v>-35.924932975871315</v>
      </c>
      <c r="F65" s="21">
        <f t="shared" si="18"/>
        <v>-100</v>
      </c>
      <c r="G65" s="21">
        <f t="shared" si="18"/>
        <v>-100</v>
      </c>
    </row>
    <row r="66" spans="1:7" ht="16.5" x14ac:dyDescent="0.3">
      <c r="A66" s="11" t="s">
        <v>25</v>
      </c>
      <c r="B66" s="21">
        <f>((B41/B40)-1)*100</f>
        <v>-23.009102093663149</v>
      </c>
      <c r="C66" s="21">
        <f>((C41/C40)-1)*100</f>
        <v>-12.824768446036838</v>
      </c>
      <c r="D66" s="21">
        <f t="shared" ref="D66:G66" si="19">((D41/D40)-1)*100</f>
        <v>-10.752399333547057</v>
      </c>
      <c r="E66" s="21">
        <f t="shared" si="19"/>
        <v>-30.497593892334784</v>
      </c>
      <c r="F66" s="21">
        <f t="shared" si="19"/>
        <v>-79.85168730618345</v>
      </c>
      <c r="G66" s="21">
        <f t="shared" si="19"/>
        <v>-79.85168730618345</v>
      </c>
    </row>
    <row r="67" spans="1:7" ht="16.5" x14ac:dyDescent="0.3">
      <c r="A67" s="11" t="s">
        <v>26</v>
      </c>
      <c r="B67" s="21">
        <f t="shared" ref="B67:E67" si="20">((B43/B42)-1)*100</f>
        <v>160.95433438518194</v>
      </c>
      <c r="C67" s="21">
        <f t="shared" si="20"/>
        <v>25.089538610766194</v>
      </c>
      <c r="D67" s="21">
        <f t="shared" si="20"/>
        <v>-7.2294677282923274</v>
      </c>
      <c r="E67" s="21">
        <f t="shared" si="20"/>
        <v>8.4702823353938417</v>
      </c>
      <c r="F67" s="21" t="s">
        <v>74</v>
      </c>
      <c r="G67" s="21" t="s">
        <v>74</v>
      </c>
    </row>
    <row r="68" spans="1:7" ht="16.5" x14ac:dyDescent="0.3">
      <c r="A68" s="11"/>
      <c r="B68" s="21"/>
      <c r="C68" s="21"/>
      <c r="D68" s="21"/>
      <c r="E68" s="21"/>
      <c r="F68" s="21"/>
      <c r="G68" s="21"/>
    </row>
    <row r="69" spans="1:7" ht="16.5" x14ac:dyDescent="0.3">
      <c r="A69" s="11" t="s">
        <v>27</v>
      </c>
      <c r="B69" s="21"/>
      <c r="C69" s="21"/>
      <c r="D69" s="21"/>
      <c r="E69" s="21"/>
      <c r="F69" s="21"/>
      <c r="G69" s="21"/>
    </row>
    <row r="70" spans="1:7" ht="16.5" x14ac:dyDescent="0.3">
      <c r="A70" s="11" t="s">
        <v>39</v>
      </c>
      <c r="B70" s="21">
        <f>B25/B18</f>
        <v>43379.168822662519</v>
      </c>
      <c r="C70" s="21">
        <f t="shared" ref="C70:G70" si="21">C25/C18</f>
        <v>219742.30348727616</v>
      </c>
      <c r="D70" s="21">
        <f t="shared" si="21"/>
        <v>685726.50491803291</v>
      </c>
      <c r="E70" s="21">
        <f t="shared" si="21"/>
        <v>31746.031746031738</v>
      </c>
      <c r="F70" s="21">
        <f t="shared" si="21"/>
        <v>6296.0760998810938</v>
      </c>
      <c r="G70" s="21">
        <f t="shared" si="21"/>
        <v>6296.0760998810938</v>
      </c>
    </row>
    <row r="71" spans="1:7" ht="16.5" x14ac:dyDescent="0.3">
      <c r="A71" s="11" t="s">
        <v>40</v>
      </c>
      <c r="B71" s="21">
        <f t="shared" ref="B71:E71" si="22">B26/B19</f>
        <v>64919.681999999993</v>
      </c>
      <c r="C71" s="21">
        <f t="shared" si="22"/>
        <v>62338.25977777777</v>
      </c>
      <c r="D71" s="21">
        <f t="shared" si="22"/>
        <v>236755.26530701751</v>
      </c>
      <c r="E71" s="21">
        <f t="shared" si="22"/>
        <v>6875.1115760111579</v>
      </c>
      <c r="F71" s="21" t="s">
        <v>74</v>
      </c>
      <c r="G71" s="21" t="s">
        <v>74</v>
      </c>
    </row>
    <row r="72" spans="1:7" ht="16.5" x14ac:dyDescent="0.3">
      <c r="A72" s="11" t="s">
        <v>28</v>
      </c>
      <c r="B72" s="21">
        <f>(B71/B70)*B54</f>
        <v>86.722727230832305</v>
      </c>
      <c r="C72" s="21">
        <f t="shared" ref="C72:E72" si="23">(C71/C70)*C54</f>
        <v>48.652837581543643</v>
      </c>
      <c r="D72" s="21">
        <f t="shared" si="23"/>
        <v>52.08130201860434</v>
      </c>
      <c r="E72" s="21">
        <f t="shared" si="23"/>
        <v>37.48129639824171</v>
      </c>
      <c r="F72" s="21" t="s">
        <v>74</v>
      </c>
      <c r="G72" s="21" t="s">
        <v>74</v>
      </c>
    </row>
    <row r="73" spans="1:7" ht="16.5" x14ac:dyDescent="0.3">
      <c r="A73" s="11" t="s">
        <v>35</v>
      </c>
      <c r="B73" s="21">
        <f>B25/(B18*12)</f>
        <v>3614.9307352218766</v>
      </c>
      <c r="C73" s="21">
        <f t="shared" ref="C73:E73" si="24">C25/(C18*12)</f>
        <v>18311.858623939679</v>
      </c>
      <c r="D73" s="21">
        <f t="shared" si="24"/>
        <v>57143.875409836066</v>
      </c>
      <c r="E73" s="21">
        <f t="shared" si="24"/>
        <v>2645.502645502645</v>
      </c>
      <c r="F73" s="21">
        <f>F25/(F18*6)</f>
        <v>1049.346016646849</v>
      </c>
      <c r="G73" s="21">
        <f>G25/(G18*6)</f>
        <v>1049.346016646849</v>
      </c>
    </row>
    <row r="74" spans="1:7" ht="16.5" x14ac:dyDescent="0.3">
      <c r="A74" s="11" t="s">
        <v>36</v>
      </c>
      <c r="B74" s="21">
        <f>B26/(B19*12)</f>
        <v>5409.9734999999991</v>
      </c>
      <c r="C74" s="21">
        <f t="shared" ref="C74:E74" si="25">C26/(C19*12)</f>
        <v>5194.8549814814814</v>
      </c>
      <c r="D74" s="21">
        <f t="shared" si="25"/>
        <v>19729.605442251461</v>
      </c>
      <c r="E74" s="21">
        <f t="shared" si="25"/>
        <v>572.92596466759642</v>
      </c>
      <c r="F74" s="21" t="s">
        <v>74</v>
      </c>
      <c r="G74" s="21" t="s">
        <v>74</v>
      </c>
    </row>
    <row r="75" spans="1:7" ht="16.5" x14ac:dyDescent="0.3">
      <c r="A75" s="11"/>
      <c r="B75" s="21"/>
      <c r="C75" s="21"/>
      <c r="D75" s="21"/>
      <c r="E75" s="21"/>
      <c r="F75" s="21"/>
      <c r="G75" s="21"/>
    </row>
    <row r="76" spans="1:7" ht="16.5" x14ac:dyDescent="0.3">
      <c r="A76" s="11" t="s">
        <v>29</v>
      </c>
      <c r="B76" s="21"/>
      <c r="C76" s="21"/>
      <c r="D76" s="21"/>
      <c r="E76" s="21"/>
      <c r="F76" s="21"/>
      <c r="G76" s="21"/>
    </row>
    <row r="77" spans="1:7" ht="16.5" x14ac:dyDescent="0.3">
      <c r="A77" s="11" t="s">
        <v>30</v>
      </c>
      <c r="B77" s="21">
        <f>(B32/B31)*100</f>
        <v>100</v>
      </c>
      <c r="C77" s="21">
        <f>(C32/C31)*100</f>
        <v>98.829062835422036</v>
      </c>
      <c r="D77" s="21"/>
      <c r="E77" s="21"/>
      <c r="F77" s="21">
        <f>(F32/F31)*100</f>
        <v>108.59301227573181</v>
      </c>
      <c r="G77" s="21"/>
    </row>
    <row r="78" spans="1:7" ht="16.5" x14ac:dyDescent="0.3">
      <c r="A78" s="11" t="s">
        <v>31</v>
      </c>
      <c r="B78" s="21">
        <f>(B26/B32)*100</f>
        <v>69.473679484709038</v>
      </c>
      <c r="C78" s="21">
        <f>(C26/C32)*100</f>
        <v>76.699759801143472</v>
      </c>
      <c r="D78" s="21"/>
      <c r="E78" s="21"/>
      <c r="F78" s="21">
        <f>(F26/F32)*100</f>
        <v>21.212556521739131</v>
      </c>
      <c r="G78" s="21"/>
    </row>
    <row r="79" spans="1:7" ht="17.25" thickBot="1" x14ac:dyDescent="0.35">
      <c r="A79" s="22"/>
      <c r="B79" s="31"/>
      <c r="C79" s="31"/>
      <c r="D79" s="31"/>
      <c r="E79" s="31"/>
      <c r="F79" s="31"/>
      <c r="G79" s="31"/>
    </row>
    <row r="80" spans="1:7" ht="16.5" customHeight="1" thickTop="1" x14ac:dyDescent="0.25">
      <c r="A80" s="39" t="s">
        <v>127</v>
      </c>
      <c r="B80" s="39"/>
      <c r="C80" s="39"/>
      <c r="D80" s="39"/>
      <c r="E80" s="39"/>
      <c r="F80" s="39"/>
      <c r="G80" s="39"/>
    </row>
    <row r="81" spans="1:7" ht="134.25" customHeight="1" x14ac:dyDescent="0.25">
      <c r="A81" s="49" t="s">
        <v>130</v>
      </c>
      <c r="B81" s="49"/>
      <c r="C81" s="49"/>
      <c r="D81" s="49"/>
      <c r="E81" s="49"/>
      <c r="F81" s="49"/>
      <c r="G81" s="49"/>
    </row>
    <row r="82" spans="1:7" x14ac:dyDescent="0.25">
      <c r="A82" s="8"/>
    </row>
    <row r="83" spans="1:7" x14ac:dyDescent="0.25">
      <c r="A83" s="8"/>
      <c r="B83" s="9"/>
      <c r="C83" s="9"/>
      <c r="D83" s="9"/>
    </row>
    <row r="84" spans="1:7" x14ac:dyDescent="0.25">
      <c r="A84" s="8"/>
    </row>
    <row r="85" spans="1:7" x14ac:dyDescent="0.25">
      <c r="A85" s="8"/>
    </row>
    <row r="93" spans="1:7" x14ac:dyDescent="0.25">
      <c r="A93" s="3"/>
    </row>
  </sheetData>
  <mergeCells count="11">
    <mergeCell ref="A81:G81"/>
    <mergeCell ref="F10:F11"/>
    <mergeCell ref="G10:G11"/>
    <mergeCell ref="D10:D11"/>
    <mergeCell ref="F9:G9"/>
    <mergeCell ref="A80:G80"/>
    <mergeCell ref="A9:A11"/>
    <mergeCell ref="B9:B11"/>
    <mergeCell ref="C9:E9"/>
    <mergeCell ref="C10:C11"/>
    <mergeCell ref="E10:E11"/>
  </mergeCells>
  <pageMargins left="0.7" right="0.7" top="0.75" bottom="0.75" header="0.3" footer="0.3"/>
  <pageSetup orientation="portrait" horizontalDpi="300" verticalDpi="300" r:id="rId1"/>
  <ignoredErrors>
    <ignoredError sqref="F2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 Semestre</vt:lpstr>
      <vt:lpstr>III Trimestre</vt:lpstr>
      <vt:lpstr>III T Acumulado</vt:lpstr>
      <vt:lpstr>IV Trimestre</vt:lpstr>
      <vt:lpstr>Anual</vt:lpstr>
    </vt:vector>
  </TitlesOfParts>
  <Company>FAM ASTORGA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Horacio Rodríguez C.</dc:creator>
  <cp:lastModifiedBy>Stephanie Tatiana Salas Soto</cp:lastModifiedBy>
  <dcterms:created xsi:type="dcterms:W3CDTF">2012-04-23T15:28:09Z</dcterms:created>
  <dcterms:modified xsi:type="dcterms:W3CDTF">2021-03-09T18:51:21Z</dcterms:modified>
</cp:coreProperties>
</file>