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EN CINAI\"/>
    </mc:Choice>
  </mc:AlternateContent>
  <bookViews>
    <workbookView xWindow="0" yWindow="0" windowWidth="20490" windowHeight="8460" tabRatio="631" activeTab="7"/>
  </bookViews>
  <sheets>
    <sheet name="I Trimestre" sheetId="4" r:id="rId1"/>
    <sheet name="Hoja2 (2)" sheetId="15" state="hidden" r:id="rId2"/>
    <sheet name="II Trimestre" sheetId="7" r:id="rId3"/>
    <sheet name="I Semestre" sheetId="9" r:id="rId4"/>
    <sheet name="III Trimestre" sheetId="8" r:id="rId5"/>
    <sheet name="III T Acumulado" sheetId="10" r:id="rId6"/>
    <sheet name="IV Trimestre" sheetId="3" r:id="rId7"/>
    <sheet name="Anual" sheetId="2" r:id="rId8"/>
  </sheets>
  <calcPr calcId="162913"/>
</workbook>
</file>

<file path=xl/calcChain.xml><?xml version="1.0" encoding="utf-8"?>
<calcChain xmlns="http://schemas.openxmlformats.org/spreadsheetml/2006/main">
  <c r="K50" i="8" l="1"/>
  <c r="F16" i="8" l="1"/>
  <c r="F17" i="9"/>
  <c r="M16" i="2"/>
  <c r="B16" i="2"/>
  <c r="B16" i="3"/>
  <c r="F16" i="3"/>
  <c r="C18" i="2" l="1"/>
  <c r="B18" i="2"/>
  <c r="B18" i="3"/>
  <c r="N22" i="10"/>
  <c r="N23" i="10"/>
  <c r="N24" i="10"/>
  <c r="L16" i="10"/>
  <c r="M16" i="10"/>
  <c r="N16" i="10"/>
  <c r="L17" i="10"/>
  <c r="M17" i="10"/>
  <c r="N17" i="10"/>
  <c r="N19" i="10"/>
  <c r="N18" i="10"/>
  <c r="M18" i="10"/>
  <c r="L18" i="10"/>
  <c r="B18" i="8"/>
  <c r="M17" i="2" l="1"/>
  <c r="M18" i="2"/>
  <c r="L17" i="2"/>
  <c r="L18" i="2"/>
  <c r="L16" i="2"/>
  <c r="N18" i="2"/>
  <c r="N16" i="2"/>
  <c r="N17" i="2"/>
  <c r="N24" i="2"/>
  <c r="N22" i="2"/>
  <c r="N23" i="2"/>
  <c r="N25" i="9" l="1"/>
  <c r="N23" i="9"/>
  <c r="N24" i="9"/>
  <c r="N22" i="9"/>
  <c r="N38" i="9" s="1"/>
  <c r="L23" i="9"/>
  <c r="L24" i="9"/>
  <c r="L25" i="9"/>
  <c r="M16" i="9"/>
  <c r="N16" i="9"/>
  <c r="M17" i="9"/>
  <c r="N17" i="9"/>
  <c r="M18" i="9"/>
  <c r="N18" i="9"/>
  <c r="N63" i="9" s="1"/>
  <c r="M19" i="9"/>
  <c r="N19" i="9"/>
  <c r="L19" i="9"/>
  <c r="N72" i="9" l="1"/>
  <c r="M55" i="9"/>
  <c r="N40" i="9"/>
  <c r="N71" i="9"/>
  <c r="N50" i="9"/>
  <c r="N51" i="9"/>
  <c r="N26" i="9"/>
  <c r="N39" i="9"/>
  <c r="N64" i="9" s="1"/>
  <c r="N55" i="9"/>
  <c r="N56" i="9"/>
  <c r="N68" i="9"/>
  <c r="N69" i="9"/>
  <c r="N41" i="9"/>
  <c r="N65" i="9" s="1"/>
  <c r="N52" i="9" l="1"/>
  <c r="N70" i="9" s="1"/>
  <c r="N57" i="9"/>
  <c r="B26" i="4"/>
  <c r="F23" i="4"/>
  <c r="F24" i="4"/>
  <c r="F51" i="4" s="1"/>
  <c r="F25" i="4"/>
  <c r="F22" i="4"/>
  <c r="B75" i="7"/>
  <c r="N72" i="7"/>
  <c r="F72" i="7"/>
  <c r="N71" i="7"/>
  <c r="F71" i="7"/>
  <c r="C71" i="7"/>
  <c r="B71" i="7"/>
  <c r="N69" i="7"/>
  <c r="F69" i="7"/>
  <c r="N68" i="7"/>
  <c r="F68" i="7"/>
  <c r="C68" i="7"/>
  <c r="B68" i="7"/>
  <c r="N63" i="7"/>
  <c r="K63" i="7"/>
  <c r="J63" i="7"/>
  <c r="I63" i="7"/>
  <c r="H63" i="7"/>
  <c r="G63" i="7"/>
  <c r="F63" i="7"/>
  <c r="E63" i="7"/>
  <c r="D63" i="7"/>
  <c r="C63" i="7"/>
  <c r="B63" i="7"/>
  <c r="N56" i="7"/>
  <c r="F56" i="7"/>
  <c r="F57" i="7" s="1"/>
  <c r="N55" i="7"/>
  <c r="N57" i="7" s="1"/>
  <c r="M55" i="7"/>
  <c r="L55" i="7"/>
  <c r="K55" i="7"/>
  <c r="J55" i="7"/>
  <c r="I55" i="7"/>
  <c r="H55" i="7"/>
  <c r="G55" i="7"/>
  <c r="F55" i="7"/>
  <c r="E55" i="7"/>
  <c r="D55" i="7"/>
  <c r="C55" i="7"/>
  <c r="B55" i="7"/>
  <c r="N51" i="7"/>
  <c r="F51" i="7"/>
  <c r="N50" i="7"/>
  <c r="N52" i="7" s="1"/>
  <c r="K50" i="7"/>
  <c r="J50" i="7"/>
  <c r="I50" i="7"/>
  <c r="H50" i="7"/>
  <c r="G50" i="7"/>
  <c r="F50" i="7"/>
  <c r="F52" i="7" s="1"/>
  <c r="E50" i="7"/>
  <c r="D50" i="7"/>
  <c r="C50" i="7"/>
  <c r="B50" i="7"/>
  <c r="B47" i="7"/>
  <c r="B46" i="7"/>
  <c r="N39" i="7"/>
  <c r="N64" i="7" s="1"/>
  <c r="F39" i="7"/>
  <c r="F64" i="7" s="1"/>
  <c r="N38" i="7"/>
  <c r="N40" i="7" s="1"/>
  <c r="F38" i="7"/>
  <c r="F40" i="7" s="1"/>
  <c r="C38" i="7"/>
  <c r="C40" i="7" s="1"/>
  <c r="B38" i="7"/>
  <c r="B40" i="7" s="1"/>
  <c r="B23" i="7"/>
  <c r="B25" i="7"/>
  <c r="B22" i="7"/>
  <c r="F24" i="7"/>
  <c r="F25" i="7"/>
  <c r="F23" i="7"/>
  <c r="N26" i="7"/>
  <c r="B19" i="7"/>
  <c r="B18" i="7"/>
  <c r="F17" i="7"/>
  <c r="F18" i="7"/>
  <c r="F19" i="7"/>
  <c r="F16" i="7"/>
  <c r="N72" i="4"/>
  <c r="F72" i="4"/>
  <c r="C72" i="4"/>
  <c r="N71" i="4"/>
  <c r="F71" i="4"/>
  <c r="C71" i="4"/>
  <c r="B71" i="4"/>
  <c r="N69" i="4"/>
  <c r="F69" i="4"/>
  <c r="C69" i="4"/>
  <c r="N68" i="4"/>
  <c r="F68" i="4"/>
  <c r="C68" i="4"/>
  <c r="B68" i="4"/>
  <c r="N63" i="4"/>
  <c r="K63" i="4"/>
  <c r="J63" i="4"/>
  <c r="I63" i="4"/>
  <c r="H63" i="4"/>
  <c r="G63" i="4"/>
  <c r="F63" i="4"/>
  <c r="E63" i="4"/>
  <c r="D63" i="4"/>
  <c r="C63" i="4"/>
  <c r="B63" i="4"/>
  <c r="N56" i="4"/>
  <c r="F56" i="4"/>
  <c r="F57" i="4" s="1"/>
  <c r="C56" i="4"/>
  <c r="N55" i="4"/>
  <c r="N57" i="4" s="1"/>
  <c r="M55" i="4"/>
  <c r="L55" i="4"/>
  <c r="K55" i="4"/>
  <c r="J55" i="4"/>
  <c r="I55" i="4"/>
  <c r="H55" i="4"/>
  <c r="G55" i="4"/>
  <c r="F55" i="4"/>
  <c r="E55" i="4"/>
  <c r="D55" i="4"/>
  <c r="C55" i="4"/>
  <c r="C57" i="4" s="1"/>
  <c r="B55" i="4"/>
  <c r="N51" i="4"/>
  <c r="C51" i="4"/>
  <c r="C52" i="4" s="1"/>
  <c r="N50" i="4"/>
  <c r="N52" i="4" s="1"/>
  <c r="K50" i="4"/>
  <c r="J50" i="4"/>
  <c r="I50" i="4"/>
  <c r="H50" i="4"/>
  <c r="G50" i="4"/>
  <c r="F50" i="4"/>
  <c r="E50" i="4"/>
  <c r="D50" i="4"/>
  <c r="C50" i="4"/>
  <c r="B50" i="4"/>
  <c r="B47" i="4"/>
  <c r="B46" i="4"/>
  <c r="N39" i="4"/>
  <c r="N64" i="4" s="1"/>
  <c r="F39" i="4"/>
  <c r="C39" i="4"/>
  <c r="C64" i="4" s="1"/>
  <c r="N38" i="4"/>
  <c r="N40" i="4" s="1"/>
  <c r="F38" i="4"/>
  <c r="F40" i="4" s="1"/>
  <c r="C38" i="4"/>
  <c r="C40" i="4" s="1"/>
  <c r="B25" i="4"/>
  <c r="B24" i="4"/>
  <c r="B76" i="4" s="1"/>
  <c r="B23" i="4"/>
  <c r="B22" i="4"/>
  <c r="B38" i="4" s="1"/>
  <c r="B40" i="4" s="1"/>
  <c r="N26" i="4"/>
  <c r="B19" i="4"/>
  <c r="B18" i="4"/>
  <c r="F17" i="4"/>
  <c r="F18" i="4"/>
  <c r="F19" i="4"/>
  <c r="F16" i="4"/>
  <c r="B39" i="4" l="1"/>
  <c r="B64" i="4" s="1"/>
  <c r="F52" i="4"/>
  <c r="B56" i="4"/>
  <c r="B57" i="4" s="1"/>
  <c r="B69" i="4"/>
  <c r="B72" i="4"/>
  <c r="B51" i="4"/>
  <c r="B52" i="4" s="1"/>
  <c r="F64" i="4"/>
  <c r="F70" i="7"/>
  <c r="N70" i="7"/>
  <c r="F41" i="7"/>
  <c r="F65" i="7" s="1"/>
  <c r="N41" i="7"/>
  <c r="N65" i="7" s="1"/>
  <c r="F70" i="4"/>
  <c r="C70" i="4"/>
  <c r="N70" i="4"/>
  <c r="F41" i="4"/>
  <c r="F65" i="4" s="1"/>
  <c r="C41" i="4"/>
  <c r="C65" i="4" s="1"/>
  <c r="N41" i="4"/>
  <c r="N65" i="4" s="1"/>
  <c r="B70" i="4" l="1"/>
  <c r="B41" i="4"/>
  <c r="B65" i="4" s="1"/>
  <c r="K19" i="2" l="1"/>
  <c r="K17" i="2"/>
  <c r="F19" i="8" l="1"/>
  <c r="F18" i="8"/>
  <c r="F17" i="8"/>
  <c r="F18" i="3"/>
  <c r="F19" i="3"/>
  <c r="F17" i="3"/>
  <c r="D18" i="2" l="1"/>
  <c r="K63" i="3"/>
  <c r="N26" i="3"/>
  <c r="C16" i="3"/>
  <c r="B30" i="2" l="1"/>
  <c r="G18" i="2"/>
  <c r="N19" i="2"/>
  <c r="M19" i="2"/>
  <c r="L19" i="2"/>
  <c r="N25" i="2" l="1"/>
  <c r="N69" i="2"/>
  <c r="N68" i="2"/>
  <c r="N26" i="2" l="1"/>
  <c r="L19" i="10" l="1"/>
  <c r="M19" i="10"/>
  <c r="I17" i="10"/>
  <c r="J17" i="10"/>
  <c r="B17" i="3" l="1"/>
  <c r="B19" i="8"/>
  <c r="B19" i="3"/>
  <c r="F23" i="8"/>
  <c r="N63" i="2" l="1"/>
  <c r="N38" i="2"/>
  <c r="N40" i="2" s="1"/>
  <c r="K18" i="2"/>
  <c r="N50" i="2"/>
  <c r="K50" i="2" l="1"/>
  <c r="N39" i="2"/>
  <c r="N64" i="2" s="1"/>
  <c r="N72" i="2"/>
  <c r="N56" i="2"/>
  <c r="N71" i="2"/>
  <c r="N51" i="2"/>
  <c r="N52" i="2" s="1"/>
  <c r="F24" i="8"/>
  <c r="N70" i="2" l="1"/>
  <c r="N41" i="2"/>
  <c r="N65" i="2" s="1"/>
  <c r="N72" i="3"/>
  <c r="N71" i="3"/>
  <c r="N69" i="3"/>
  <c r="N68" i="3"/>
  <c r="N63" i="3"/>
  <c r="J63" i="3"/>
  <c r="I63" i="3"/>
  <c r="H63" i="3"/>
  <c r="G63" i="3"/>
  <c r="E63" i="3"/>
  <c r="D63" i="3"/>
  <c r="N56" i="3"/>
  <c r="N55" i="3"/>
  <c r="K55" i="3"/>
  <c r="J55" i="3"/>
  <c r="I55" i="3"/>
  <c r="H55" i="3"/>
  <c r="G55" i="3"/>
  <c r="E55" i="3"/>
  <c r="D55" i="3"/>
  <c r="N51" i="3"/>
  <c r="N50" i="3"/>
  <c r="K50" i="3"/>
  <c r="J50" i="3"/>
  <c r="I50" i="3"/>
  <c r="H50" i="3"/>
  <c r="G50" i="3"/>
  <c r="E50" i="3"/>
  <c r="D50" i="3"/>
  <c r="N39" i="3"/>
  <c r="N38" i="3"/>
  <c r="N40" i="3" s="1"/>
  <c r="F25" i="3"/>
  <c r="F24" i="3"/>
  <c r="F23" i="3"/>
  <c r="N52" i="3" l="1"/>
  <c r="F25" i="2"/>
  <c r="F23" i="2"/>
  <c r="N64" i="3"/>
  <c r="N57" i="3"/>
  <c r="F39" i="3"/>
  <c r="F56" i="3"/>
  <c r="F51" i="3"/>
  <c r="N70" i="3"/>
  <c r="N41" i="3"/>
  <c r="N65" i="3" s="1"/>
  <c r="N25" i="10" l="1"/>
  <c r="N71" i="10"/>
  <c r="N39" i="10"/>
  <c r="N38" i="10"/>
  <c r="N69" i="10"/>
  <c r="K19" i="10"/>
  <c r="K18" i="10"/>
  <c r="K17" i="10"/>
  <c r="K16" i="10"/>
  <c r="N72" i="8"/>
  <c r="F72" i="8"/>
  <c r="N71" i="8"/>
  <c r="F71" i="8"/>
  <c r="N69" i="8"/>
  <c r="F69" i="8"/>
  <c r="N68" i="8"/>
  <c r="F68" i="8"/>
  <c r="N63" i="8"/>
  <c r="K63" i="8"/>
  <c r="J63" i="8"/>
  <c r="I63" i="8"/>
  <c r="H63" i="8"/>
  <c r="G63" i="8"/>
  <c r="E63" i="8"/>
  <c r="D63" i="8"/>
  <c r="N56" i="8"/>
  <c r="N55" i="8"/>
  <c r="K55" i="8"/>
  <c r="J55" i="8"/>
  <c r="I55" i="8"/>
  <c r="H55" i="8"/>
  <c r="G55" i="8"/>
  <c r="F55" i="8"/>
  <c r="E55" i="8"/>
  <c r="D55" i="8"/>
  <c r="N51" i="8"/>
  <c r="F51" i="8"/>
  <c r="N50" i="8"/>
  <c r="N52" i="8" s="1"/>
  <c r="J50" i="8"/>
  <c r="I50" i="8"/>
  <c r="H50" i="8"/>
  <c r="G50" i="8"/>
  <c r="F50" i="8"/>
  <c r="E50" i="8"/>
  <c r="D50" i="8"/>
  <c r="N39" i="8"/>
  <c r="F39" i="8"/>
  <c r="N38" i="8"/>
  <c r="N40" i="8" s="1"/>
  <c r="N57" i="8" l="1"/>
  <c r="F52" i="8"/>
  <c r="N64" i="10"/>
  <c r="N68" i="10"/>
  <c r="K63" i="10"/>
  <c r="N40" i="10"/>
  <c r="N51" i="10"/>
  <c r="N56" i="10"/>
  <c r="N63" i="10"/>
  <c r="N64" i="8"/>
  <c r="N26" i="10"/>
  <c r="N72" i="10"/>
  <c r="N50" i="10"/>
  <c r="N55" i="10"/>
  <c r="K50" i="10"/>
  <c r="K55" i="10"/>
  <c r="N41" i="10"/>
  <c r="F70" i="8"/>
  <c r="N70" i="8"/>
  <c r="F41" i="8"/>
  <c r="N41" i="8"/>
  <c r="N65" i="8" s="1"/>
  <c r="F25" i="8"/>
  <c r="F56" i="8" s="1"/>
  <c r="F57" i="8" s="1"/>
  <c r="F22" i="8"/>
  <c r="F38" i="8" s="1"/>
  <c r="N26" i="8"/>
  <c r="L17" i="9"/>
  <c r="L18" i="9"/>
  <c r="L55" i="9" s="1"/>
  <c r="L16" i="9"/>
  <c r="C19" i="4"/>
  <c r="C18" i="4"/>
  <c r="C17" i="4"/>
  <c r="C16" i="4"/>
  <c r="B17" i="4"/>
  <c r="B16" i="4"/>
  <c r="N65" i="10" l="1"/>
  <c r="F64" i="8"/>
  <c r="N57" i="10"/>
  <c r="N52" i="10"/>
  <c r="N70" i="10" s="1"/>
  <c r="N55" i="2" l="1"/>
  <c r="N57" i="2" s="1"/>
  <c r="K16" i="2"/>
  <c r="K63" i="2" l="1"/>
  <c r="K18" i="9" l="1"/>
  <c r="K17" i="9"/>
  <c r="K16" i="9"/>
  <c r="K50" i="9" l="1"/>
  <c r="K63" i="9"/>
  <c r="F22" i="3"/>
  <c r="F38" i="3" s="1"/>
  <c r="F64" i="3" s="1"/>
  <c r="C22" i="3"/>
  <c r="C38" i="3" l="1"/>
  <c r="C40" i="3" s="1"/>
  <c r="B22" i="3"/>
  <c r="B38" i="3" s="1"/>
  <c r="B40" i="3" s="1"/>
  <c r="C23" i="7"/>
  <c r="C22" i="8"/>
  <c r="C25" i="7"/>
  <c r="C38" i="8" l="1"/>
  <c r="B22" i="8"/>
  <c r="B38" i="8" s="1"/>
  <c r="L22" i="9"/>
  <c r="F40" i="3" l="1"/>
  <c r="B46" i="3"/>
  <c r="B17" i="8"/>
  <c r="B46" i="8" s="1"/>
  <c r="B16" i="8"/>
  <c r="B40" i="8" s="1"/>
  <c r="B17" i="7"/>
  <c r="B16" i="7"/>
  <c r="C24" i="4"/>
  <c r="B50" i="8" l="1"/>
  <c r="B63" i="8"/>
  <c r="B55" i="8"/>
  <c r="B47" i="8"/>
  <c r="F63" i="8"/>
  <c r="F40" i="8"/>
  <c r="F65" i="8" s="1"/>
  <c r="F71" i="3"/>
  <c r="F68" i="3"/>
  <c r="F72" i="3"/>
  <c r="F69" i="3"/>
  <c r="F50" i="3"/>
  <c r="F52" i="3" s="1"/>
  <c r="F63" i="3"/>
  <c r="F55" i="3"/>
  <c r="F57" i="3" s="1"/>
  <c r="F41" i="3"/>
  <c r="F65" i="3" s="1"/>
  <c r="B63" i="3"/>
  <c r="B55" i="3"/>
  <c r="B50" i="3"/>
  <c r="B47" i="3"/>
  <c r="C24" i="7"/>
  <c r="C24" i="8"/>
  <c r="C24" i="3"/>
  <c r="E18" i="2"/>
  <c r="C25" i="3"/>
  <c r="C25" i="2" s="1"/>
  <c r="B25" i="2" s="1"/>
  <c r="D17" i="2"/>
  <c r="E17" i="2"/>
  <c r="H18" i="2"/>
  <c r="I18" i="2"/>
  <c r="G17" i="2"/>
  <c r="G50" i="2" s="1"/>
  <c r="H17" i="2"/>
  <c r="I17" i="2"/>
  <c r="D18" i="10"/>
  <c r="B18" i="10" s="1"/>
  <c r="E18" i="10"/>
  <c r="C23" i="4"/>
  <c r="D17" i="10"/>
  <c r="E17" i="10"/>
  <c r="G18" i="10"/>
  <c r="H18" i="10"/>
  <c r="I18" i="10"/>
  <c r="G17" i="10"/>
  <c r="H17" i="10"/>
  <c r="F17" i="10" s="1"/>
  <c r="D18" i="9"/>
  <c r="E18" i="9"/>
  <c r="D17" i="9"/>
  <c r="B17" i="9" s="1"/>
  <c r="B46" i="9" s="1"/>
  <c r="E17" i="9"/>
  <c r="G18" i="9"/>
  <c r="H18" i="9"/>
  <c r="I18" i="9"/>
  <c r="G17" i="9"/>
  <c r="H17" i="9"/>
  <c r="I17" i="9"/>
  <c r="C18" i="3"/>
  <c r="C23" i="3"/>
  <c r="C17" i="3"/>
  <c r="C18" i="8"/>
  <c r="C17" i="8"/>
  <c r="C18" i="7"/>
  <c r="C17" i="7"/>
  <c r="J18" i="2"/>
  <c r="J17" i="2"/>
  <c r="C22" i="4"/>
  <c r="C22" i="7"/>
  <c r="F22" i="7"/>
  <c r="C26" i="4"/>
  <c r="J18" i="10"/>
  <c r="J18" i="9"/>
  <c r="J17" i="9"/>
  <c r="H16" i="2"/>
  <c r="H16" i="10"/>
  <c r="H16" i="9"/>
  <c r="F25" i="9"/>
  <c r="C25" i="8"/>
  <c r="B25" i="8" s="1"/>
  <c r="C16" i="8"/>
  <c r="C40" i="8" s="1"/>
  <c r="C16" i="7"/>
  <c r="C25" i="4"/>
  <c r="C19" i="3"/>
  <c r="C19" i="8"/>
  <c r="J19" i="2"/>
  <c r="I19" i="2"/>
  <c r="J16" i="2"/>
  <c r="I16" i="2"/>
  <c r="F16" i="2" s="1"/>
  <c r="J19" i="10"/>
  <c r="I19" i="10"/>
  <c r="J16" i="10"/>
  <c r="I16" i="10"/>
  <c r="J19" i="9"/>
  <c r="I19" i="9"/>
  <c r="I16" i="9"/>
  <c r="F16" i="9" s="1"/>
  <c r="J16" i="9"/>
  <c r="H19" i="9"/>
  <c r="K19" i="9"/>
  <c r="H19" i="10"/>
  <c r="H19" i="2"/>
  <c r="K55" i="2"/>
  <c r="G16" i="2"/>
  <c r="G63" i="2" s="1"/>
  <c r="E16" i="2"/>
  <c r="D16" i="2"/>
  <c r="G16" i="10"/>
  <c r="E16" i="10"/>
  <c r="D16" i="10"/>
  <c r="B16" i="10" s="1"/>
  <c r="G16" i="9"/>
  <c r="E16" i="9"/>
  <c r="D16" i="9"/>
  <c r="B16" i="9" s="1"/>
  <c r="C19" i="7"/>
  <c r="B30" i="9"/>
  <c r="B30" i="10"/>
  <c r="E19" i="9"/>
  <c r="G19" i="9"/>
  <c r="D19" i="9"/>
  <c r="B19" i="9" s="1"/>
  <c r="E19" i="10"/>
  <c r="G19" i="10"/>
  <c r="D19" i="10"/>
  <c r="E19" i="2"/>
  <c r="G19" i="2"/>
  <c r="G55" i="2" s="1"/>
  <c r="D19" i="2"/>
  <c r="C23" i="9"/>
  <c r="C25" i="9"/>
  <c r="B25" i="9" s="1"/>
  <c r="C24" i="9" l="1"/>
  <c r="C51" i="7"/>
  <c r="C52" i="7" s="1"/>
  <c r="C72" i="7"/>
  <c r="C69" i="7"/>
  <c r="C70" i="7" s="1"/>
  <c r="C56" i="7"/>
  <c r="C57" i="7" s="1"/>
  <c r="C39" i="7"/>
  <c r="B24" i="7"/>
  <c r="C19" i="2"/>
  <c r="B19" i="2"/>
  <c r="F19" i="2"/>
  <c r="C72" i="8"/>
  <c r="C69" i="8"/>
  <c r="C56" i="8"/>
  <c r="C39" i="8"/>
  <c r="B24" i="8"/>
  <c r="C63" i="8"/>
  <c r="C55" i="8"/>
  <c r="C57" i="8" s="1"/>
  <c r="C50" i="8"/>
  <c r="F19" i="9"/>
  <c r="K55" i="9"/>
  <c r="J63" i="9"/>
  <c r="J55" i="9"/>
  <c r="J50" i="9"/>
  <c r="I50" i="9"/>
  <c r="I63" i="9"/>
  <c r="I55" i="9"/>
  <c r="F18" i="9"/>
  <c r="G50" i="9"/>
  <c r="G63" i="9"/>
  <c r="G55" i="9"/>
  <c r="D63" i="9"/>
  <c r="D55" i="9"/>
  <c r="B18" i="9"/>
  <c r="D50" i="9"/>
  <c r="H63" i="9"/>
  <c r="H55" i="9"/>
  <c r="H50" i="9"/>
  <c r="E50" i="9"/>
  <c r="E63" i="9"/>
  <c r="E55" i="9"/>
  <c r="H50" i="2"/>
  <c r="C56" i="9"/>
  <c r="C39" i="9"/>
  <c r="C51" i="9"/>
  <c r="C24" i="2"/>
  <c r="C26" i="2" s="1"/>
  <c r="J55" i="2"/>
  <c r="F18" i="2"/>
  <c r="E55" i="2"/>
  <c r="F22" i="2"/>
  <c r="F38" i="2" s="1"/>
  <c r="C22" i="2"/>
  <c r="I50" i="2"/>
  <c r="F17" i="2"/>
  <c r="F19" i="10"/>
  <c r="I55" i="2"/>
  <c r="F18" i="10"/>
  <c r="B29" i="4"/>
  <c r="B75" i="4" s="1"/>
  <c r="J50" i="2"/>
  <c r="H63" i="2"/>
  <c r="I63" i="10"/>
  <c r="I55" i="10"/>
  <c r="I50" i="10"/>
  <c r="G63" i="10"/>
  <c r="G55" i="10"/>
  <c r="G50" i="10"/>
  <c r="D63" i="10"/>
  <c r="D55" i="10"/>
  <c r="D50" i="10"/>
  <c r="D50" i="2"/>
  <c r="C17" i="2"/>
  <c r="B17" i="2"/>
  <c r="E63" i="2"/>
  <c r="C16" i="2"/>
  <c r="D63" i="2"/>
  <c r="H55" i="2"/>
  <c r="F16" i="10"/>
  <c r="J63" i="2"/>
  <c r="I63" i="2"/>
  <c r="E50" i="2"/>
  <c r="B23" i="3"/>
  <c r="F26" i="4"/>
  <c r="B60" i="4" s="1"/>
  <c r="F24" i="2"/>
  <c r="B24" i="2" s="1"/>
  <c r="B69" i="2" s="1"/>
  <c r="C26" i="3"/>
  <c r="B24" i="3"/>
  <c r="C39" i="3"/>
  <c r="C64" i="3" s="1"/>
  <c r="D55" i="2"/>
  <c r="C56" i="3"/>
  <c r="B25" i="3"/>
  <c r="C68" i="3"/>
  <c r="C71" i="3"/>
  <c r="C51" i="3"/>
  <c r="F70" i="3"/>
  <c r="C72" i="3"/>
  <c r="C69" i="3"/>
  <c r="C63" i="3"/>
  <c r="C55" i="3"/>
  <c r="C50" i="3"/>
  <c r="C52" i="3" s="1"/>
  <c r="J63" i="10"/>
  <c r="J55" i="10"/>
  <c r="J50" i="10"/>
  <c r="H50" i="10"/>
  <c r="H63" i="10"/>
  <c r="H55" i="10"/>
  <c r="E63" i="10"/>
  <c r="E55" i="10"/>
  <c r="E50" i="10"/>
  <c r="B19" i="10"/>
  <c r="F26" i="7"/>
  <c r="F24" i="9"/>
  <c r="F23" i="9"/>
  <c r="B17" i="10"/>
  <c r="B46" i="10" s="1"/>
  <c r="F25" i="10"/>
  <c r="F26" i="3"/>
  <c r="C26" i="8"/>
  <c r="C26" i="7"/>
  <c r="B26" i="7" s="1"/>
  <c r="B60" i="7" s="1"/>
  <c r="C18" i="10"/>
  <c r="F22" i="10"/>
  <c r="F38" i="10" s="1"/>
  <c r="C24" i="10"/>
  <c r="F23" i="10"/>
  <c r="F22" i="9"/>
  <c r="F38" i="9" s="1"/>
  <c r="F40" i="9" s="1"/>
  <c r="C19" i="9"/>
  <c r="C16" i="9"/>
  <c r="C16" i="10"/>
  <c r="C18" i="9"/>
  <c r="C22" i="10"/>
  <c r="C22" i="9"/>
  <c r="C17" i="9"/>
  <c r="C71" i="9" s="1"/>
  <c r="F26" i="8"/>
  <c r="B26" i="8" s="1"/>
  <c r="B60" i="8" s="1"/>
  <c r="F24" i="10"/>
  <c r="C25" i="10"/>
  <c r="C17" i="10"/>
  <c r="C19" i="10"/>
  <c r="C64" i="7" l="1"/>
  <c r="C41" i="7"/>
  <c r="C65" i="7" s="1"/>
  <c r="B72" i="7"/>
  <c r="B69" i="7"/>
  <c r="B56" i="7"/>
  <c r="B57" i="7" s="1"/>
  <c r="B39" i="7"/>
  <c r="B76" i="7"/>
  <c r="B51" i="7"/>
  <c r="B52" i="7" s="1"/>
  <c r="F40" i="10"/>
  <c r="B26" i="3"/>
  <c r="B25" i="10"/>
  <c r="C64" i="8"/>
  <c r="C41" i="8"/>
  <c r="C65" i="8" s="1"/>
  <c r="B76" i="8"/>
  <c r="B72" i="8"/>
  <c r="B69" i="8"/>
  <c r="B56" i="8"/>
  <c r="B57" i="8" s="1"/>
  <c r="B39" i="8"/>
  <c r="C41" i="9"/>
  <c r="B63" i="9"/>
  <c r="B55" i="9"/>
  <c r="B47" i="9"/>
  <c r="B50" i="9"/>
  <c r="F63" i="9"/>
  <c r="F55" i="9"/>
  <c r="F50" i="9"/>
  <c r="C68" i="9"/>
  <c r="C38" i="9"/>
  <c r="C40" i="9" s="1"/>
  <c r="B22" i="9"/>
  <c r="B38" i="9" s="1"/>
  <c r="B40" i="9" s="1"/>
  <c r="C50" i="9"/>
  <c r="C52" i="9" s="1"/>
  <c r="C63" i="9"/>
  <c r="C55" i="9"/>
  <c r="C57" i="9" s="1"/>
  <c r="F26" i="9"/>
  <c r="F51" i="9"/>
  <c r="F72" i="9"/>
  <c r="F69" i="9"/>
  <c r="F56" i="9"/>
  <c r="F57" i="9" s="1"/>
  <c r="F39" i="9"/>
  <c r="B24" i="9"/>
  <c r="C69" i="9"/>
  <c r="F71" i="9"/>
  <c r="F68" i="9"/>
  <c r="C72" i="9"/>
  <c r="B23" i="9"/>
  <c r="C69" i="2"/>
  <c r="C55" i="2"/>
  <c r="C63" i="2"/>
  <c r="F40" i="2"/>
  <c r="B22" i="2"/>
  <c r="B38" i="2" s="1"/>
  <c r="B40" i="2" s="1"/>
  <c r="C38" i="2"/>
  <c r="C40" i="2" s="1"/>
  <c r="F68" i="2"/>
  <c r="F71" i="2"/>
  <c r="F69" i="2"/>
  <c r="F72" i="2"/>
  <c r="C38" i="10"/>
  <c r="C40" i="10" s="1"/>
  <c r="B22" i="10"/>
  <c r="B38" i="10" s="1"/>
  <c r="B40" i="10" s="1"/>
  <c r="C41" i="3"/>
  <c r="C65" i="3" s="1"/>
  <c r="F56" i="10"/>
  <c r="F51" i="10"/>
  <c r="F39" i="10"/>
  <c r="F64" i="10" s="1"/>
  <c r="F39" i="2"/>
  <c r="F64" i="2" s="1"/>
  <c r="F56" i="2"/>
  <c r="F26" i="2"/>
  <c r="B26" i="2" s="1"/>
  <c r="C39" i="10"/>
  <c r="B24" i="10"/>
  <c r="B69" i="10" s="1"/>
  <c r="C56" i="10"/>
  <c r="C72" i="2"/>
  <c r="C56" i="2"/>
  <c r="C39" i="2"/>
  <c r="B76" i="3"/>
  <c r="B39" i="3"/>
  <c r="B69" i="3"/>
  <c r="B72" i="3"/>
  <c r="C57" i="3"/>
  <c r="B56" i="3"/>
  <c r="B57" i="3" s="1"/>
  <c r="B60" i="3"/>
  <c r="F63" i="2"/>
  <c r="F55" i="2"/>
  <c r="F50" i="2"/>
  <c r="B63" i="2"/>
  <c r="B72" i="2"/>
  <c r="B47" i="2"/>
  <c r="B55" i="2"/>
  <c r="F71" i="10"/>
  <c r="F68" i="10"/>
  <c r="B50" i="2"/>
  <c r="B46" i="2"/>
  <c r="C50" i="2"/>
  <c r="F51" i="2"/>
  <c r="B71" i="3"/>
  <c r="B51" i="3"/>
  <c r="B52" i="3" s="1"/>
  <c r="B29" i="3"/>
  <c r="B75" i="3" s="1"/>
  <c r="B68" i="3"/>
  <c r="C70" i="3"/>
  <c r="B55" i="10"/>
  <c r="B50" i="10"/>
  <c r="B63" i="10"/>
  <c r="B47" i="10"/>
  <c r="F69" i="10"/>
  <c r="F50" i="10"/>
  <c r="F52" i="10" s="1"/>
  <c r="F72" i="10"/>
  <c r="F63" i="10"/>
  <c r="F55" i="10"/>
  <c r="C72" i="10"/>
  <c r="C69" i="10"/>
  <c r="C63" i="10"/>
  <c r="C55" i="10"/>
  <c r="C50" i="10"/>
  <c r="B29" i="7"/>
  <c r="C26" i="9"/>
  <c r="B26" i="9" s="1"/>
  <c r="B60" i="9" s="1"/>
  <c r="C26" i="10"/>
  <c r="F26" i="10"/>
  <c r="B64" i="7" l="1"/>
  <c r="B41" i="7"/>
  <c r="B65" i="7" s="1"/>
  <c r="B70" i="7"/>
  <c r="F41" i="2"/>
  <c r="F65" i="2" s="1"/>
  <c r="B70" i="3"/>
  <c r="B64" i="8"/>
  <c r="B41" i="8"/>
  <c r="B65" i="8" s="1"/>
  <c r="C57" i="2"/>
  <c r="C65" i="9"/>
  <c r="B71" i="9"/>
  <c r="B68" i="9"/>
  <c r="B76" i="9"/>
  <c r="B51" i="9"/>
  <c r="B52" i="9" s="1"/>
  <c r="B72" i="9"/>
  <c r="B69" i="9"/>
  <c r="B56" i="9"/>
  <c r="B57" i="9" s="1"/>
  <c r="B39" i="9"/>
  <c r="F57" i="10"/>
  <c r="F57" i="2"/>
  <c r="C70" i="9"/>
  <c r="F64" i="9"/>
  <c r="F41" i="9"/>
  <c r="F65" i="9" s="1"/>
  <c r="F52" i="9"/>
  <c r="F70" i="9" s="1"/>
  <c r="C64" i="9"/>
  <c r="C64" i="10"/>
  <c r="C41" i="10"/>
  <c r="C65" i="10" s="1"/>
  <c r="C57" i="10"/>
  <c r="F52" i="2"/>
  <c r="F70" i="2" s="1"/>
  <c r="B26" i="10"/>
  <c r="B60" i="10" s="1"/>
  <c r="F41" i="10"/>
  <c r="F65" i="10" s="1"/>
  <c r="B56" i="10"/>
  <c r="B57" i="10" s="1"/>
  <c r="B39" i="10"/>
  <c r="B76" i="10"/>
  <c r="B72" i="10"/>
  <c r="B60" i="2"/>
  <c r="B64" i="3"/>
  <c r="B41" i="3"/>
  <c r="B65" i="3" s="1"/>
  <c r="C64" i="2"/>
  <c r="C41" i="2"/>
  <c r="C65" i="2" s="1"/>
  <c r="B39" i="2"/>
  <c r="B76" i="2"/>
  <c r="B56" i="2"/>
  <c r="B57" i="2" s="1"/>
  <c r="F70" i="10"/>
  <c r="B29" i="9"/>
  <c r="B75" i="9" s="1"/>
  <c r="B64" i="9" l="1"/>
  <c r="B41" i="9"/>
  <c r="B65" i="9" s="1"/>
  <c r="B70" i="9"/>
  <c r="B64" i="10"/>
  <c r="B41" i="10"/>
  <c r="B65" i="10" s="1"/>
  <c r="B64" i="2"/>
  <c r="B41" i="2"/>
  <c r="B65" i="2" s="1"/>
  <c r="C23" i="8" l="1"/>
  <c r="C71" i="8" s="1"/>
  <c r="C23" i="10" l="1"/>
  <c r="B23" i="8"/>
  <c r="C51" i="8"/>
  <c r="C52" i="8" s="1"/>
  <c r="C23" i="2"/>
  <c r="C68" i="8"/>
  <c r="C70" i="8" l="1"/>
  <c r="B71" i="8"/>
  <c r="B51" i="8"/>
  <c r="B52" i="8" s="1"/>
  <c r="B29" i="8"/>
  <c r="B75" i="8" s="1"/>
  <c r="B68" i="8"/>
  <c r="B70" i="8" s="1"/>
  <c r="C71" i="2"/>
  <c r="C68" i="2"/>
  <c r="B23" i="2"/>
  <c r="C51" i="2"/>
  <c r="C52" i="2" s="1"/>
  <c r="C71" i="10"/>
  <c r="C51" i="10"/>
  <c r="C52" i="10" s="1"/>
  <c r="C68" i="10"/>
  <c r="B23" i="10"/>
  <c r="C70" i="2" l="1"/>
  <c r="B51" i="10"/>
  <c r="B52" i="10" s="1"/>
  <c r="B71" i="10"/>
  <c r="B29" i="10"/>
  <c r="B75" i="10" s="1"/>
  <c r="B68" i="10"/>
  <c r="C70" i="10"/>
  <c r="B71" i="2"/>
  <c r="B68" i="2"/>
  <c r="B51" i="2"/>
  <c r="B52" i="2" s="1"/>
  <c r="B29" i="2"/>
  <c r="B75" i="2" s="1"/>
  <c r="B70" i="2" l="1"/>
  <c r="B70" i="10"/>
</calcChain>
</file>

<file path=xl/sharedStrings.xml><?xml version="1.0" encoding="utf-8"?>
<sst xmlns="http://schemas.openxmlformats.org/spreadsheetml/2006/main" count="569" uniqueCount="139">
  <si>
    <t>Indicador</t>
  </si>
  <si>
    <t>Total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</si>
  <si>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</si>
  <si>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</si>
  <si>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</si>
  <si>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</si>
  <si>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</si>
  <si>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</si>
  <si>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</si>
  <si>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</si>
  <si>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</si>
  <si>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</si>
  <si>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</si>
  <si>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</si>
  <si>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</si>
  <si>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</si>
  <si>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</si>
  <si>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</si>
  <si>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</si>
  <si>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</si>
  <si>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</si>
  <si>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</si>
  <si>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</si>
  <si>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</si>
  <si>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</si>
  <si>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</si>
  <si>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</si>
  <si>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</si>
  <si>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</si>
  <si>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</si>
  <si>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</si>
  <si>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</si>
  <si>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</si>
  <si>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</si>
  <si>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Gasto efectivo trimestral por beneficiario (GEB) </t>
  </si>
  <si>
    <t xml:space="preserve">Gasto programado trimestral por beneficiario (GPB) </t>
  </si>
  <si>
    <t>De composición</t>
  </si>
  <si>
    <t xml:space="preserve">Gasto programado acumulado por beneficiario (GPB) </t>
  </si>
  <si>
    <t xml:space="preserve">Gasto efectivo acumulado por beneficiario (GEB) </t>
  </si>
  <si>
    <t xml:space="preserve">Gasto mensual programado por beneficiario (GPB) </t>
  </si>
  <si>
    <t xml:space="preserve">Gasto mensual efectivo por beneficiario (GEB) </t>
  </si>
  <si>
    <t xml:space="preserve">Gasto programado mensual por beneficiario (GPB) </t>
  </si>
  <si>
    <t xml:space="preserve">Gasto efectivo mensual por beneficiario (GEB) </t>
  </si>
  <si>
    <t>Total Leche</t>
  </si>
  <si>
    <t xml:space="preserve"> </t>
  </si>
  <si>
    <t>Leche</t>
  </si>
  <si>
    <t>Total API</t>
  </si>
  <si>
    <t>Total programa</t>
  </si>
  <si>
    <t>Distribución de leche íntegra en polvo</t>
  </si>
  <si>
    <t xml:space="preserve">Atención y protección infantil (API) </t>
  </si>
  <si>
    <t>Comidas servidas extramuros</t>
  </si>
  <si>
    <t>Comidas servidas</t>
  </si>
  <si>
    <t xml:space="preserve">Distribución de alimentos a familias </t>
  </si>
  <si>
    <t>n.d.</t>
  </si>
  <si>
    <t>Comidas servidas intramuros</t>
  </si>
  <si>
    <t>0,320 kg</t>
  </si>
  <si>
    <t xml:space="preserve">0,640 kg </t>
  </si>
  <si>
    <t xml:space="preserve">0,800 kg </t>
  </si>
  <si>
    <t>1,6 kg</t>
  </si>
  <si>
    <t>(DAF)</t>
  </si>
  <si>
    <t>Efectivos 1T 2019</t>
  </si>
  <si>
    <t>IPC (1T 2019)</t>
  </si>
  <si>
    <t>Gasto efectivo real 1T 2019</t>
  </si>
  <si>
    <t>Gasto efectivo real por beneficiario 1T 2019</t>
  </si>
  <si>
    <t>Efectivos 2T 2019</t>
  </si>
  <si>
    <t>IPC (2T 2019)</t>
  </si>
  <si>
    <t>Gasto efectivo real 2T 2019</t>
  </si>
  <si>
    <t>Gasto efectivo real por beneficiario 2T 2019</t>
  </si>
  <si>
    <t>Efectivos 1S 2019</t>
  </si>
  <si>
    <t>IPC (1S 2019)</t>
  </si>
  <si>
    <t>Gasto efectivo real 1S 2019</t>
  </si>
  <si>
    <t>Gasto efectivo real por beneficiario 1S 2019</t>
  </si>
  <si>
    <t xml:space="preserve">Leche para madres </t>
  </si>
  <si>
    <t xml:space="preserve">Leche en polvo fortificada inst. para madres </t>
  </si>
  <si>
    <t xml:space="preserve">0.800 kg </t>
  </si>
  <si>
    <t>Efectivos 3T 2019</t>
  </si>
  <si>
    <t>IPC (3T 2019)</t>
  </si>
  <si>
    <t>Gasto efectivo real 3T 2019</t>
  </si>
  <si>
    <t>Gasto efectivo real por beneficiario 3T 2019</t>
  </si>
  <si>
    <t>Efectivos 4T 2019</t>
  </si>
  <si>
    <t>IPC (4T 2019)</t>
  </si>
  <si>
    <t>Gasto efectivo real 4T 2019</t>
  </si>
  <si>
    <t>Gasto efectivo real por beneficiario 4T 2019</t>
  </si>
  <si>
    <t>0,060 kg</t>
  </si>
  <si>
    <t>Programados 1T 2020</t>
  </si>
  <si>
    <t>Efectivos 1T 2020</t>
  </si>
  <si>
    <t>Programados año 2020</t>
  </si>
  <si>
    <t>En transferencias 1T 2020</t>
  </si>
  <si>
    <t>IPC (1T 2020)</t>
  </si>
  <si>
    <t>Gasto efectivo real 1T 2020</t>
  </si>
  <si>
    <t>Gasto efectivo real por beneficiario 1T 2020</t>
  </si>
  <si>
    <r>
      <rPr>
        <b/>
        <sz val="11"/>
        <color theme="1"/>
        <rFont val="Palatino Linotype"/>
        <family val="1"/>
      </rPr>
      <t>Fuentes:</t>
    </r>
    <r>
      <rPr>
        <sz val="11"/>
        <color theme="1"/>
        <rFont val="Palatino Linotype"/>
        <family val="1"/>
      </rPr>
      <t xml:space="preserve">  Informes Trimestrales CEN CINAI  2019 y 2020 - Cronogramas de Metas e Inversión - Modificaciones 2020 - IPC, INEC 2019 y 2020</t>
    </r>
  </si>
  <si>
    <r>
      <rPr>
        <b/>
        <sz val="11"/>
        <color theme="1"/>
        <rFont val="Palatino Linotype"/>
        <family val="1"/>
      </rPr>
      <t xml:space="preserve">Nota: </t>
    </r>
    <r>
      <rPr>
        <sz val="11"/>
        <color theme="1"/>
        <rFont val="Palatino Linotype"/>
        <family val="1"/>
      </rPr>
      <t xml:space="preserve">El dato de Ingresos Efectivos es el dato brindado por la Unidad Ejecutora. Solamente se incorporan los giros a los productos establecidos en el cálculo de los indicadores. </t>
    </r>
  </si>
  <si>
    <t>Programados 2T 2020</t>
  </si>
  <si>
    <t>Efectivos 2T 2020</t>
  </si>
  <si>
    <t>En transferencias 2T 2020</t>
  </si>
  <si>
    <t>IPC (2T 2020)</t>
  </si>
  <si>
    <t>Gasto efectivo real 2T 2020</t>
  </si>
  <si>
    <t>Gasto efectivo real por beneficiario 2T 2020</t>
  </si>
  <si>
    <t>Programados 1S 2020</t>
  </si>
  <si>
    <t>Efectivos 1S 2020</t>
  </si>
  <si>
    <t>En transferencias 1S 2020</t>
  </si>
  <si>
    <t>IPC (1S 2020)</t>
  </si>
  <si>
    <t>Gasto efectivo real 1S 2020</t>
  </si>
  <si>
    <t>Gasto efectivo real por beneficiario 1S 2020</t>
  </si>
  <si>
    <t>Programados 3T 2020</t>
  </si>
  <si>
    <t>Efectivos 3T 2020</t>
  </si>
  <si>
    <t>En transferencias 3T 2020</t>
  </si>
  <si>
    <t>IPC (3T 2020)</t>
  </si>
  <si>
    <t>Gasto efectivo real 3T 2020</t>
  </si>
  <si>
    <t>Gasto efectivo real por beneficiario 3T 2020</t>
  </si>
  <si>
    <t>Efectivos 3 TA 2019</t>
  </si>
  <si>
    <t>Programados 3 TA 2020</t>
  </si>
  <si>
    <t>Efectivos 3 TA 2020</t>
  </si>
  <si>
    <t>En transferencias 3 TA 2020</t>
  </si>
  <si>
    <t>IPC (3 TA 2019)</t>
  </si>
  <si>
    <t>IPC (3 TA 2020)</t>
  </si>
  <si>
    <t>Gasto efectivo real 3 TA 2019</t>
  </si>
  <si>
    <t>Gasto efectivo real 3 TA 2020</t>
  </si>
  <si>
    <t>Gasto efectivo real por beneficiario 3 TA 2019</t>
  </si>
  <si>
    <t>Gasto efectivo real por beneficiario 3 TA 2020</t>
  </si>
  <si>
    <t>Programados 4T 2020</t>
  </si>
  <si>
    <t>Efectivos 4T 2020</t>
  </si>
  <si>
    <t>En transferencias 4T 2020</t>
  </si>
  <si>
    <t>IPC (4T 2020)</t>
  </si>
  <si>
    <t>Gasto efectivo real 4T 2020</t>
  </si>
  <si>
    <t>Gasto efectivo real por beneficiario 4T 2020</t>
  </si>
  <si>
    <t>Efectivos 2019</t>
  </si>
  <si>
    <t>Programados 2020</t>
  </si>
  <si>
    <t>Efectivos 2020</t>
  </si>
  <si>
    <t>En transferencias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</si>
  <si>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</si>
  <si>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</si>
  <si>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</si>
  <si>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</si>
  <si>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</si>
  <si>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</si>
  <si>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r>
      <rPr>
        <b/>
        <sz val="11"/>
        <color theme="1"/>
        <rFont val="Palatino Linotype"/>
        <family val="1"/>
      </rPr>
      <t xml:space="preserve">Notas: 
1. </t>
    </r>
    <r>
      <rPr>
        <sz val="11"/>
        <color theme="1"/>
        <rFont val="Palatino Linotype"/>
        <family val="1"/>
      </rPr>
      <t xml:space="preserve">El dato de Ingresos Efectivos es el dato brindado por la Unidad Ejecutora. Solamente se incorporan los giros a los productos establecidos en el cálculo de los indicadores. 
</t>
    </r>
    <r>
      <rPr>
        <b/>
        <sz val="11"/>
        <color theme="1"/>
        <rFont val="Palatino Linotype"/>
        <family val="1"/>
      </rPr>
      <t xml:space="preserve">2. </t>
    </r>
    <r>
      <rPr>
        <sz val="11"/>
        <color theme="1"/>
        <rFont val="Palatino Linotype"/>
        <family val="1"/>
      </rPr>
      <t>El dato de los beneficiarios efectivos para el IV T del año 2019 difiere con el registro, esto debido a que en su momento no se consideró a los beneficiarios de leche en polvo fortificada inst. para madres de 1,6 kg</t>
    </r>
  </si>
  <si>
    <r>
      <rPr>
        <b/>
        <sz val="11"/>
        <color theme="1"/>
        <rFont val="Palatino Linotype"/>
        <family val="1"/>
      </rPr>
      <t xml:space="preserve">Notas: 
1. </t>
    </r>
    <r>
      <rPr>
        <sz val="11"/>
        <color theme="1"/>
        <rFont val="Palatino Linotype"/>
        <family val="1"/>
      </rPr>
      <t xml:space="preserve">El dato de Ingresos Efectivos es el dato brindado por la Unidad Ejecutora. Solamente se incorporan los giros a los productos establecidos en el cálculo de los indicadores. 
</t>
    </r>
    <r>
      <rPr>
        <b/>
        <sz val="11"/>
        <color theme="1"/>
        <rFont val="Palatino Linotype"/>
        <family val="1"/>
      </rPr>
      <t xml:space="preserve">2. </t>
    </r>
    <r>
      <rPr>
        <sz val="11"/>
        <color theme="1"/>
        <rFont val="Palatino Linotype"/>
        <family val="1"/>
      </rPr>
      <t>El dato de los beneficiarios efectivos para el año 2019 difiere con el registro de los indicadores para el año en mención, esto debido a que en su momento no se consideró a los beneficiarios de leche en polvo fortificada inst. para madres de 1,6 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</si>
</sst>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_(* #,##0.0_);_(* \(#,##0.0\);_(* &quot;-&quot;??_);_(@_)"/>
    <numFmt numFmtId="169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168" fontId="0" fillId="0" borderId="0" xfId="1" applyNumberFormat="1" applyFont="1" applyFill="1"/>
    <xf numFmtId="167" fontId="0" fillId="0" borderId="0" xfId="1" applyNumberFormat="1" applyFont="1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3" fontId="0" fillId="0" borderId="0" xfId="0" applyNumberFormat="1" applyFont="1" applyFill="1" applyAlignment="1"/>
    <xf numFmtId="3" fontId="0" fillId="0" borderId="0" xfId="1" applyNumberFormat="1" applyFont="1" applyFill="1" applyAlignment="1">
      <alignment horizontal="right"/>
    </xf>
    <xf numFmtId="1" fontId="0" fillId="0" borderId="0" xfId="1" applyNumberFormat="1" applyFont="1" applyFill="1" applyAlignment="1"/>
    <xf numFmtId="167" fontId="0" fillId="0" borderId="0" xfId="1" applyNumberFormat="1" applyFont="1" applyFill="1" applyAlignment="1">
      <alignment horizontal="center"/>
    </xf>
    <xf numFmtId="169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/>
    <xf numFmtId="3" fontId="4" fillId="0" borderId="0" xfId="0" applyNumberFormat="1" applyFont="1" applyFill="1"/>
    <xf numFmtId="0" fontId="3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2" fontId="4" fillId="0" borderId="0" xfId="0" applyNumberFormat="1" applyFont="1" applyFill="1"/>
    <xf numFmtId="3" fontId="4" fillId="0" borderId="0" xfId="0" applyNumberFormat="1" applyFont="1" applyFill="1" applyBorder="1"/>
    <xf numFmtId="4" fontId="4" fillId="0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Alignment="1"/>
    <xf numFmtId="0" fontId="4" fillId="0" borderId="3" xfId="0" applyFont="1" applyFill="1" applyBorder="1"/>
    <xf numFmtId="4" fontId="4" fillId="0" borderId="3" xfId="0" applyNumberFormat="1" applyFont="1" applyFill="1" applyBorder="1"/>
    <xf numFmtId="0" fontId="4" fillId="0" borderId="0" xfId="0" applyFont="1" applyFill="1" applyBorder="1"/>
    <xf numFmtId="166" fontId="4" fillId="0" borderId="0" xfId="0" applyNumberFormat="1" applyFont="1" applyFill="1"/>
    <xf numFmtId="4" fontId="4" fillId="0" borderId="3" xfId="0" applyNumberFormat="1" applyFont="1" applyFill="1" applyBorder="1" applyAlignment="1">
      <alignment horizontal="right"/>
    </xf>
    <xf numFmtId="3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/>
    <xf numFmtId="0" fontId="4" fillId="0" borderId="0" xfId="0" applyFont="1" applyFill="1" applyAlignment="1"/>
    <xf numFmtId="165" fontId="4" fillId="0" borderId="0" xfId="0" applyNumberFormat="1" applyFont="1" applyFill="1"/>
    <xf numFmtId="0" fontId="4" fillId="0" borderId="0" xfId="0" applyFont="1" applyFill="1" applyAlignment="1">
      <alignment horizontal="right"/>
    </xf>
    <xf numFmtId="3" fontId="4" fillId="0" borderId="0" xfId="1" applyNumberFormat="1" applyFont="1" applyFill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0" fillId="0" borderId="0" xfId="0" applyNumberFormat="1" applyFont="1" applyFill="1"/>
    <xf numFmtId="3" fontId="4" fillId="0" borderId="0" xfId="0" applyNumberFormat="1" applyFont="1" applyFill="1" applyAlignment="1">
      <alignment wrapText="1"/>
    </xf>
    <xf numFmtId="167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3" fontId="4" fillId="0" borderId="0" xfId="1" applyNumberFormat="1" applyFont="1" applyFill="1" applyAlignment="1">
      <alignment horizontal="center"/>
    </xf>
    <xf numFmtId="0" fontId="4" fillId="0" borderId="0" xfId="0" applyFont="1" applyFill="1" applyBorder="1" applyAlignment="1">
      <alignment horizontal="left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ES" sz="1800" b="1"/>
              <a:t>CEN-CINAI: Indicadores de Cobertura</a:t>
            </a:r>
            <a:r>
              <a:rPr lang="es-ES" sz="1800" b="1" baseline="0"/>
              <a:t> </a:t>
            </a:r>
            <a:r>
              <a:rPr lang="es-ES" sz="1800" b="1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01-4937-BBED-0457DB3E554B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6001-4937-BBED-0457DB3E55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Anual!$A$46:$A$47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Anual!$B$46:$B$47</c:f>
              <c:numCache>
                <c:formatCode>#,##0.00</c:formatCode>
                <c:ptCount val="2"/>
                <c:pt idx="0">
                  <c:v>172.65743054879343</c:v>
                </c:pt>
                <c:pt idx="1">
                  <c:v>158.6803188822891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6-44D9-872D-8E278EE3E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5216064"/>
        <c:axId val="495223280"/>
      </c:barChart>
      <c:valAx>
        <c:axId val="49522328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5216064"/>
        <c:crosses val="autoZero"/>
        <c:crossBetween val="between"/>
      </c:valAx>
      <c:catAx>
        <c:axId val="4952160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522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CEN-CINAI:Indicadores de Resultado 2020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Anual!$A$50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(Anual!$B$50,Anual!$C$50,Anual!$F$50,Anual!$N$50)</c:f>
              <c:numCache>
                <c:formatCode>#,##0.00</c:formatCode>
                <c:ptCount val="4"/>
                <c:pt idx="0">
                  <c:v>91.904714658339387</c:v>
                </c:pt>
                <c:pt idx="1">
                  <c:v>55.299836371155756</c:v>
                </c:pt>
                <c:pt idx="2">
                  <c:v>91.678792734625489</c:v>
                </c:pt>
                <c:pt idx="3">
                  <c:v>94.747142966549518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0-401E-886E-95D301DDC186}"/>
            </c:ext>
          </c:extLst>
        </c:ser>
        <c:ser>
          <c:idx val="1"/>
          <c:order val="1"/>
          <c:tx>
            <c:strRef>
              <c:f>Anual!$A$51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(Anual!$B$51,Anual!$C$51,Anual!$F$51,Anual!$N$51)</c:f>
              <c:numCache>
                <c:formatCode>#,##0.00</c:formatCode>
                <c:ptCount val="4"/>
                <c:pt idx="0">
                  <c:v>78.789550356227849</c:v>
                </c:pt>
                <c:pt idx="1">
                  <c:v>75.595305111450017</c:v>
                </c:pt>
                <c:pt idx="2">
                  <c:v>98.856284215971556</c:v>
                </c:pt>
                <c:pt idx="3">
                  <c:v>43.914842878804336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0-401E-886E-95D301DDC186}"/>
            </c:ext>
          </c:extLst>
        </c:ser>
        <c:ser>
          <c:idx val="2"/>
          <c:order val="2"/>
          <c:tx>
            <c:strRef>
              <c:f>Anual!$A$52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(Anual!$B$52,Anual!$C$52,Anual!$F$52,Anual!$N$52)</c:f>
              <c:numCache>
                <c:formatCode>#,##0.00</c:formatCode>
                <c:ptCount val="4"/>
                <c:pt idx="0">
                  <c:v>85.347132507283618</c:v>
                </c:pt>
                <c:pt idx="1">
                  <c:v>65.447570741302883</c:v>
                </c:pt>
                <c:pt idx="2">
                  <c:v>95.267538475298522</c:v>
                </c:pt>
                <c:pt idx="3">
                  <c:v>69.330992922676927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0-401E-886E-95D301DDC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090752"/>
        <c:axId val="52092288"/>
        <c:axId val="0"/>
      </c:bar3DChart>
      <c:catAx>
        <c:axId val="5209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092288"/>
        <c:crosses val="autoZero"/>
        <c:auto val="1"/>
        <c:lblAlgn val="ctr"/>
        <c:lblOffset val="100"/>
        <c:noMultiLvlLbl val="0"/>
      </c:catAx>
      <c:valAx>
        <c:axId val="52092288"/>
        <c:scaling>
          <c:orientation val="minMax"/>
          <c:max val="12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52090752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CEN-CINAI: Indicadores de Avance 2020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Anual!$A$55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(Anual!$B$55,Anual!$C$55,Anual!$F$55,Anual!$N$55)</c:f>
              <c:numCache>
                <c:formatCode>#,##0.00</c:formatCode>
                <c:ptCount val="4"/>
                <c:pt idx="0">
                  <c:v>91.904762650758443</c:v>
                </c:pt>
                <c:pt idx="1">
                  <c:v>55.299902661699051</c:v>
                </c:pt>
                <c:pt idx="2">
                  <c:v>91.678792734625489</c:v>
                </c:pt>
                <c:pt idx="3">
                  <c:v>94.747142966549518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3-4707-804F-F38891286423}"/>
            </c:ext>
          </c:extLst>
        </c:ser>
        <c:ser>
          <c:idx val="1"/>
          <c:order val="1"/>
          <c:tx>
            <c:strRef>
              <c:f>Anual!$A$56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(Anual!$B$56,Anual!$C$56,Anual!$F$56,Anual!$N$56)</c:f>
              <c:numCache>
                <c:formatCode>#,##0.00</c:formatCode>
                <c:ptCount val="4"/>
                <c:pt idx="0">
                  <c:v>78.789550356227878</c:v>
                </c:pt>
                <c:pt idx="1">
                  <c:v>75.59530511145006</c:v>
                </c:pt>
                <c:pt idx="2">
                  <c:v>98.856284215971556</c:v>
                </c:pt>
                <c:pt idx="3">
                  <c:v>43.914842878804336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3-4707-804F-F38891286423}"/>
            </c:ext>
          </c:extLst>
        </c:ser>
        <c:ser>
          <c:idx val="2"/>
          <c:order val="2"/>
          <c:tx>
            <c:strRef>
              <c:f>Anual!$A$57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(Anual!$B$57,Anual!$C$57,Anual!$F$57,Anual!$N$57)</c:f>
              <c:numCache>
                <c:formatCode>#,##0.00</c:formatCode>
                <c:ptCount val="4"/>
                <c:pt idx="0">
                  <c:v>85.347156503493153</c:v>
                </c:pt>
                <c:pt idx="1">
                  <c:v>65.447603886574555</c:v>
                </c:pt>
                <c:pt idx="2">
                  <c:v>95.267538475298522</c:v>
                </c:pt>
                <c:pt idx="3">
                  <c:v>69.330992922676927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3-4707-804F-F38891286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107136"/>
        <c:axId val="52108672"/>
        <c:axId val="0"/>
      </c:bar3DChart>
      <c:catAx>
        <c:axId val="5210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108672"/>
        <c:crosses val="autoZero"/>
        <c:auto val="1"/>
        <c:lblAlgn val="ctr"/>
        <c:lblOffset val="100"/>
        <c:noMultiLvlLbl val="0"/>
      </c:catAx>
      <c:valAx>
        <c:axId val="52108672"/>
        <c:scaling>
          <c:orientation val="minMax"/>
          <c:max val="12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107136"/>
        <c:crosses val="autoZero"/>
        <c:crossBetween val="between"/>
        <c:majorUnit val="2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CEN-CINAI: Indicadores de gasto medio 2020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Anual!$A$71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(Anual!$B$71,Anual!$C$71,Anual!$F$71,Anual!$N$71)</c:f>
              <c:numCache>
                <c:formatCode>#,##0.00</c:formatCode>
                <c:ptCount val="4"/>
                <c:pt idx="0">
                  <c:v>221075.21444838095</c:v>
                </c:pt>
                <c:pt idx="1">
                  <c:v>340098.94818041695</c:v>
                </c:pt>
                <c:pt idx="2">
                  <c:v>58659.888699874246</c:v>
                </c:pt>
                <c:pt idx="3">
                  <c:v>293646.14340733679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B6-4721-B448-2E6C8B38F720}"/>
            </c:ext>
          </c:extLst>
        </c:ser>
        <c:ser>
          <c:idx val="1"/>
          <c:order val="1"/>
          <c:tx>
            <c:strRef>
              <c:f>Anual!$A$72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(Anual!$B$72,Anual!$C$72,Anual!$F$72,Anual!$N$72)</c:f>
              <c:numCache>
                <c:formatCode>#,##0.00</c:formatCode>
                <c:ptCount val="4"/>
                <c:pt idx="0">
                  <c:v>189526.91171555739</c:v>
                </c:pt>
                <c:pt idx="1">
                  <c:v>464917.89927233948</c:v>
                </c:pt>
                <c:pt idx="2">
                  <c:v>63252.345023538728</c:v>
                </c:pt>
                <c:pt idx="3">
                  <c:v>136103.56836039663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B6-4721-B448-2E6C8B38F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2242688"/>
        <c:axId val="52248576"/>
        <c:axId val="0"/>
      </c:bar3DChart>
      <c:catAx>
        <c:axId val="5224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248576"/>
        <c:crosses val="autoZero"/>
        <c:auto val="1"/>
        <c:lblAlgn val="ctr"/>
        <c:lblOffset val="100"/>
        <c:noMultiLvlLbl val="0"/>
      </c:catAx>
      <c:valAx>
        <c:axId val="52248576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24268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CEN-CINAI: Índice de eficiencia (IE) 2020 </a:t>
            </a: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(Anual!$B$70,Anual!$C$70,Anual!$F$70,Anual!$N$70)</c:f>
              <c:numCache>
                <c:formatCode>#,##0.00</c:formatCode>
                <c:ptCount val="4"/>
                <c:pt idx="0">
                  <c:v>73.167760973316945</c:v>
                </c:pt>
                <c:pt idx="1">
                  <c:v>89.467336680450245</c:v>
                </c:pt>
                <c:pt idx="2">
                  <c:v>102.72599124784482</c:v>
                </c:pt>
                <c:pt idx="3">
                  <c:v>32.134580162546641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4-4EF2-9B5C-E8715C56F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273152"/>
        <c:axId val="52274688"/>
        <c:axId val="0"/>
      </c:bar3DChart>
      <c:catAx>
        <c:axId val="52273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2274688"/>
        <c:crosses val="autoZero"/>
        <c:auto val="1"/>
        <c:lblAlgn val="ctr"/>
        <c:lblOffset val="100"/>
        <c:noMultiLvlLbl val="0"/>
      </c:catAx>
      <c:valAx>
        <c:axId val="52274688"/>
        <c:scaling>
          <c:orientation val="minMax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522731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ES" sz="1800" b="1"/>
              <a:t>CEN-CINAI: Indicador de giro de recursos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DB8-4D13-A1D4-D5E701C4535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3DB3-4445-BD04-57F53DD2CB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Anual!$A$75:$A$76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Anual!$B$75:$B$76</c:f>
              <c:numCache>
                <c:formatCode>#,##0.00</c:formatCode>
                <c:ptCount val="2"/>
                <c:pt idx="0">
                  <c:v>91.052064879946684</c:v>
                </c:pt>
                <c:pt idx="1">
                  <c:v>86.532414679571374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3-4445-BD04-57F53DD2C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6745648"/>
        <c:axId val="208592232"/>
      </c:barChart>
      <c:valAx>
        <c:axId val="20859223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86745648"/>
        <c:crosses val="autoZero"/>
        <c:crossBetween val="between"/>
        <c:majorUnit val="20"/>
      </c:valAx>
      <c:catAx>
        <c:axId val="486745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8592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CEN-CINAI: Indicadores de Expansión 2020</a:t>
            </a:r>
            <a:endParaRPr lang="es-CR">
              <a:effectLst/>
            </a:endParaRPr>
          </a:p>
        </c:rich>
      </c:tx>
      <c:layout/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(Anual!$B$63,Anual!$C$63,Anual!$F$63,Anual!$N$63)</c:f>
              <c:numCache>
                <c:formatCode>#,##0.00</c:formatCode>
                <c:ptCount val="4"/>
                <c:pt idx="0">
                  <c:v>0.71408419996075168</c:v>
                </c:pt>
                <c:pt idx="1">
                  <c:v>-14.782158921924516</c:v>
                </c:pt>
                <c:pt idx="2">
                  <c:v>-6.0375771348578189</c:v>
                </c:pt>
                <c:pt idx="3">
                  <c:v>0.22413249921238165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E-4F2D-86A2-9B6A7C335647}"/>
            </c:ext>
          </c:extLst>
        </c:ser>
        <c:ser>
          <c:idx val="1"/>
          <c:order val="1"/>
          <c:tx>
            <c:strRef>
              <c:f>Anual!$A$64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0"/>
                  <c:y val="1.1241108244438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0E-4F2D-86A2-9B6A7C3356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(Anual!$B$64,Anual!$C$64,Anual!$F$64,Anual!$N$64)</c:f>
              <c:numCache>
                <c:formatCode>#,##0.00</c:formatCode>
                <c:ptCount val="4"/>
                <c:pt idx="0">
                  <c:v>-8.0219886699545171</c:v>
                </c:pt>
                <c:pt idx="1">
                  <c:v>-10.023254834645201</c:v>
                </c:pt>
                <c:pt idx="2">
                  <c:v>5.5211003902668976</c:v>
                </c:pt>
                <c:pt idx="3">
                  <c:v>-41.244724583722459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E-4F2D-86A2-9B6A7C335647}"/>
            </c:ext>
          </c:extLst>
        </c:ser>
        <c:ser>
          <c:idx val="2"/>
          <c:order val="2"/>
          <c:tx>
            <c:strRef>
              <c:f>Anual!$A$65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-1.7060266170987765E-16"/>
                  <c:y val="1.1241362758175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20E-4F2D-86A2-9B6A7C3356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(Anual!$B$9,Anual!$C$10,Anual!$F$10,Anual!$N$10)</c:f>
              <c:strCache>
                <c:ptCount val="4"/>
                <c:pt idx="0">
                  <c:v>Total programa</c:v>
                </c:pt>
                <c:pt idx="1">
                  <c:v>Total API</c:v>
                </c:pt>
                <c:pt idx="2">
                  <c:v>Total Leche</c:v>
                </c:pt>
                <c:pt idx="3">
                  <c:v>Distribución de alimentos a familias </c:v>
                </c:pt>
              </c:strCache>
            </c:strRef>
          </c:cat>
          <c:val>
            <c:numRef>
              <c:f>(Anual!$B$65,Anual!$C$65,Anual!$F$65,Anual!$N$65)</c:f>
              <c:numCache>
                <c:formatCode>#,##0.00</c:formatCode>
                <c:ptCount val="4"/>
                <c:pt idx="0">
                  <c:v>-8.6741322619489853</c:v>
                </c:pt>
                <c:pt idx="1">
                  <c:v>5.5843987914681703</c:v>
                </c:pt>
                <c:pt idx="2">
                  <c:v>12.301383013201006</c:v>
                </c:pt>
                <c:pt idx="3">
                  <c:v>-41.376119751658337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E-4F2D-86A2-9B6A7C335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2090752"/>
        <c:axId val="52092288"/>
        <c:axId val="0"/>
      </c:bar3DChart>
      <c:catAx>
        <c:axId val="52090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52092288"/>
        <c:crosses val="autoZero"/>
        <c:auto val="1"/>
        <c:lblAlgn val="ctr"/>
        <c:lblOffset val="100"/>
        <c:noMultiLvlLbl val="0"/>
      </c:catAx>
      <c:valAx>
        <c:axId val="52092288"/>
        <c:scaling>
          <c:orientation val="minMax"/>
          <c:max val="50"/>
          <c:min val="-5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spPr>
          <a:ln>
            <a:noFill/>
          </a:ln>
        </c:spPr>
        <c:crossAx val="52090752"/>
        <c:crosses val="autoZero"/>
        <c:crossBetween val="between"/>
        <c:majorUnit val="10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7.xml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990344" cy="392906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99034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71439</xdr:rowOff>
    </xdr:from>
    <xdr:to>
      <xdr:col>13</xdr:col>
      <xdr:colOff>619124</xdr:colOff>
      <xdr:row>7</xdr:row>
      <xdr:rowOff>107157</xdr:rowOff>
    </xdr:to>
    <xdr:sp macro="" textlink="">
      <xdr:nvSpPr>
        <xdr:cNvPr id="11" name="CuadroTexto 10"/>
        <xdr:cNvSpPr txBox="1"/>
      </xdr:nvSpPr>
      <xdr:spPr>
        <a:xfrm>
          <a:off x="0" y="1214439"/>
          <a:ext cx="17525999" cy="2262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12-06-2020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11905</xdr:colOff>
      <xdr:row>6</xdr:row>
      <xdr:rowOff>11906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6653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362560</xdr:colOff>
      <xdr:row>5</xdr:row>
      <xdr:rowOff>136071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990344" cy="3929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990344" cy="392906"/>
        </a:xfrm>
        <a:prstGeom prst="rect">
          <a:avLst/>
        </a:prstGeom>
      </xdr:spPr>
    </xdr:pic>
    <xdr:clientData/>
  </xdr:oneCellAnchor>
  <xdr:twoCellAnchor>
    <xdr:from>
      <xdr:col>0</xdr:col>
      <xdr:colOff>190500</xdr:colOff>
      <xdr:row>6</xdr:row>
      <xdr:rowOff>55565</xdr:rowOff>
    </xdr:from>
    <xdr:to>
      <xdr:col>12</xdr:col>
      <xdr:colOff>555625</xdr:colOff>
      <xdr:row>7</xdr:row>
      <xdr:rowOff>79375</xdr:rowOff>
    </xdr:to>
    <xdr:sp macro="" textlink="">
      <xdr:nvSpPr>
        <xdr:cNvPr id="7" name="CuadroTexto 6"/>
        <xdr:cNvSpPr txBox="1"/>
      </xdr:nvSpPr>
      <xdr:spPr>
        <a:xfrm>
          <a:off x="190500" y="1198565"/>
          <a:ext cx="16224250" cy="21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18-08-2020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66531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378435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990344" cy="3929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99034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71439</xdr:rowOff>
    </xdr:from>
    <xdr:to>
      <xdr:col>12</xdr:col>
      <xdr:colOff>690562</xdr:colOff>
      <xdr:row>7</xdr:row>
      <xdr:rowOff>166687</xdr:rowOff>
    </xdr:to>
    <xdr:sp macro="" textlink="">
      <xdr:nvSpPr>
        <xdr:cNvPr id="7" name="CuadroTexto 6"/>
        <xdr:cNvSpPr txBox="1"/>
      </xdr:nvSpPr>
      <xdr:spPr>
        <a:xfrm>
          <a:off x="0" y="1214439"/>
          <a:ext cx="16573500" cy="285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18-08-2020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66531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378435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990344" cy="3929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99034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67471</xdr:rowOff>
    </xdr:from>
    <xdr:to>
      <xdr:col>12</xdr:col>
      <xdr:colOff>365125</xdr:colOff>
      <xdr:row>7</xdr:row>
      <xdr:rowOff>91281</xdr:rowOff>
    </xdr:to>
    <xdr:sp macro="" textlink="">
      <xdr:nvSpPr>
        <xdr:cNvPr id="7" name="CuadroTexto 6"/>
        <xdr:cNvSpPr txBox="1"/>
      </xdr:nvSpPr>
      <xdr:spPr>
        <a:xfrm>
          <a:off x="0" y="1210471"/>
          <a:ext cx="16224250" cy="21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04-03-2021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66531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378435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990344" cy="3929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99034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67471</xdr:rowOff>
    </xdr:from>
    <xdr:to>
      <xdr:col>12</xdr:col>
      <xdr:colOff>627062</xdr:colOff>
      <xdr:row>7</xdr:row>
      <xdr:rowOff>91281</xdr:rowOff>
    </xdr:to>
    <xdr:sp macro="" textlink="">
      <xdr:nvSpPr>
        <xdr:cNvPr id="7" name="CuadroTexto 6"/>
        <xdr:cNvSpPr txBox="1"/>
      </xdr:nvSpPr>
      <xdr:spPr>
        <a:xfrm>
          <a:off x="0" y="1210471"/>
          <a:ext cx="16224250" cy="21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04-03-2021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66531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378435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7990344" cy="39290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799034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67471</xdr:rowOff>
    </xdr:from>
    <xdr:to>
      <xdr:col>12</xdr:col>
      <xdr:colOff>627062</xdr:colOff>
      <xdr:row>7</xdr:row>
      <xdr:rowOff>91281</xdr:rowOff>
    </xdr:to>
    <xdr:sp macro="" textlink="">
      <xdr:nvSpPr>
        <xdr:cNvPr id="7" name="CuadroTexto 6"/>
        <xdr:cNvSpPr txBox="1"/>
      </xdr:nvSpPr>
      <xdr:spPr>
        <a:xfrm>
          <a:off x="0" y="1210471"/>
          <a:ext cx="16224250" cy="21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09-03-2021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6</xdr:row>
      <xdr:rowOff>11906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7966531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378435</xdr:colOff>
      <xdr:row>5</xdr:row>
      <xdr:rowOff>136071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14</xdr:row>
      <xdr:rowOff>3971</xdr:rowOff>
    </xdr:from>
    <xdr:to>
      <xdr:col>24</xdr:col>
      <xdr:colOff>0</xdr:colOff>
      <xdr:row>31</xdr:row>
      <xdr:rowOff>11906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3968</xdr:colOff>
      <xdr:row>32</xdr:row>
      <xdr:rowOff>3971</xdr:rowOff>
    </xdr:from>
    <xdr:to>
      <xdr:col>23</xdr:col>
      <xdr:colOff>750094</xdr:colOff>
      <xdr:row>49</xdr:row>
      <xdr:rowOff>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3968</xdr:colOff>
      <xdr:row>32</xdr:row>
      <xdr:rowOff>1587</xdr:rowOff>
    </xdr:from>
    <xdr:to>
      <xdr:col>34</xdr:col>
      <xdr:colOff>304799</xdr:colOff>
      <xdr:row>49</xdr:row>
      <xdr:rowOff>19050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758031</xdr:colOff>
      <xdr:row>50</xdr:row>
      <xdr:rowOff>0</xdr:rowOff>
    </xdr:from>
    <xdr:to>
      <xdr:col>34</xdr:col>
      <xdr:colOff>750094</xdr:colOff>
      <xdr:row>71</xdr:row>
      <xdr:rowOff>38100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23016</xdr:colOff>
      <xdr:row>14</xdr:row>
      <xdr:rowOff>3175</xdr:rowOff>
    </xdr:from>
    <xdr:to>
      <xdr:col>34</xdr:col>
      <xdr:colOff>285749</xdr:colOff>
      <xdr:row>30</xdr:row>
      <xdr:rowOff>171450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9524</xdr:colOff>
      <xdr:row>50</xdr:row>
      <xdr:rowOff>5555</xdr:rowOff>
    </xdr:from>
    <xdr:to>
      <xdr:col>23</xdr:col>
      <xdr:colOff>761999</xdr:colOff>
      <xdr:row>71</xdr:row>
      <xdr:rowOff>11905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7990344" cy="392906"/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1143000"/>
          <a:ext cx="17990344" cy="39290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67471</xdr:rowOff>
    </xdr:from>
    <xdr:to>
      <xdr:col>13</xdr:col>
      <xdr:colOff>43656</xdr:colOff>
      <xdr:row>7</xdr:row>
      <xdr:rowOff>91281</xdr:rowOff>
    </xdr:to>
    <xdr:sp macro="" textlink="">
      <xdr:nvSpPr>
        <xdr:cNvPr id="16" name="CuadroTexto 15"/>
        <xdr:cNvSpPr txBox="1"/>
      </xdr:nvSpPr>
      <xdr:spPr>
        <a:xfrm>
          <a:off x="0" y="1210471"/>
          <a:ext cx="16486187" cy="2143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                                 Dirección Nacional de Nutrición y Desarrollo Intantil CEN CINAI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Programa  Nutrición y Desarrollo Infantil    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04-05-2021</a:t>
          </a:r>
          <a:endParaRPr lang="es-CR" sz="1100">
            <a:solidFill>
              <a:schemeClr val="bg1"/>
            </a:solidFill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11906</xdr:colOff>
      <xdr:row>6</xdr:row>
      <xdr:rowOff>11906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7966531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2</xdr:col>
      <xdr:colOff>378435</xdr:colOff>
      <xdr:row>5</xdr:row>
      <xdr:rowOff>136071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62643" y="95250"/>
          <a:ext cx="5071198" cy="993321"/>
        </a:xfrm>
        <a:prstGeom prst="rect">
          <a:avLst/>
        </a:prstGeom>
      </xdr:spPr>
    </xdr:pic>
    <xdr:clientData/>
  </xdr:twoCellAnchor>
  <xdr:twoCellAnchor>
    <xdr:from>
      <xdr:col>17</xdr:col>
      <xdr:colOff>381001</xdr:colOff>
      <xdr:row>72</xdr:row>
      <xdr:rowOff>190501</xdr:rowOff>
    </xdr:from>
    <xdr:to>
      <xdr:col>31</xdr:col>
      <xdr:colOff>631032</xdr:colOff>
      <xdr:row>88</xdr:row>
      <xdr:rowOff>142874</xdr:rowOff>
    </xdr:to>
    <xdr:graphicFrame macro="">
      <xdr:nvGraphicFramePr>
        <xdr:cNvPr id="1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A110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3" customWidth="1"/>
    <col min="2" max="2" width="16.42578125" style="3" customWidth="1"/>
    <col min="3" max="3" width="15.7109375" style="3" customWidth="1"/>
    <col min="4" max="4" width="18.5703125" style="3" customWidth="1"/>
    <col min="5" max="5" width="15.7109375" style="3" customWidth="1"/>
    <col min="6" max="6" width="16.28515625" style="3" customWidth="1"/>
    <col min="7" max="13" width="15.7109375" style="3" customWidth="1"/>
    <col min="14" max="14" width="15.5703125" style="3" customWidth="1"/>
    <col min="15" max="16384" width="11.42578125" style="3"/>
  </cols>
  <sheetData>
    <row r="9" spans="1:15" ht="17.25" x14ac:dyDescent="0.35">
      <c r="A9" s="48" t="s">
        <v>0</v>
      </c>
      <c r="B9" s="52" t="s">
        <v>47</v>
      </c>
      <c r="C9" s="53" t="s">
        <v>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12"/>
    </row>
    <row r="10" spans="1:15" ht="87" thickBot="1" x14ac:dyDescent="0.35">
      <c r="A10" s="49"/>
      <c r="B10" s="50"/>
      <c r="C10" s="38" t="s">
        <v>46</v>
      </c>
      <c r="D10" s="50" t="s">
        <v>49</v>
      </c>
      <c r="E10" s="50"/>
      <c r="F10" s="38" t="s">
        <v>43</v>
      </c>
      <c r="G10" s="49" t="s">
        <v>48</v>
      </c>
      <c r="H10" s="49"/>
      <c r="I10" s="49"/>
      <c r="J10" s="49"/>
      <c r="K10" s="49"/>
      <c r="L10" s="39" t="s">
        <v>72</v>
      </c>
      <c r="M10" s="39" t="s">
        <v>73</v>
      </c>
      <c r="N10" s="39" t="s">
        <v>52</v>
      </c>
      <c r="O10" s="12"/>
    </row>
    <row r="11" spans="1:15" ht="50.25" thickTop="1" x14ac:dyDescent="0.3">
      <c r="A11" s="12"/>
      <c r="B11" s="13" t="s">
        <v>1</v>
      </c>
      <c r="C11" s="14" t="s">
        <v>51</v>
      </c>
      <c r="D11" s="15" t="s">
        <v>54</v>
      </c>
      <c r="E11" s="15" t="s">
        <v>50</v>
      </c>
      <c r="F11" s="13" t="s">
        <v>45</v>
      </c>
      <c r="G11" s="13" t="s">
        <v>83</v>
      </c>
      <c r="H11" s="13" t="s">
        <v>55</v>
      </c>
      <c r="I11" s="13" t="s">
        <v>56</v>
      </c>
      <c r="J11" s="13" t="s">
        <v>57</v>
      </c>
      <c r="K11" s="13" t="s">
        <v>58</v>
      </c>
      <c r="L11" s="13" t="s">
        <v>74</v>
      </c>
      <c r="M11" s="13" t="s">
        <v>58</v>
      </c>
      <c r="N11" s="13" t="s">
        <v>59</v>
      </c>
      <c r="O11" s="12"/>
    </row>
    <row r="12" spans="1:15" ht="16.5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17.25" x14ac:dyDescent="0.35">
      <c r="A13" s="16" t="s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16.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7.25" x14ac:dyDescent="0.35">
      <c r="A15" s="16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5" ht="16.5" x14ac:dyDescent="0.3">
      <c r="A16" s="17" t="s">
        <v>60</v>
      </c>
      <c r="B16" s="18">
        <f>+D16+K16</f>
        <v>117797</v>
      </c>
      <c r="C16" s="18">
        <f>D16+E16</f>
        <v>31323</v>
      </c>
      <c r="D16" s="18">
        <v>18993</v>
      </c>
      <c r="E16" s="18">
        <v>12330</v>
      </c>
      <c r="F16" s="18">
        <f>H16+K16+I16+L16+M16</f>
        <v>120354</v>
      </c>
      <c r="G16" s="18">
        <v>9342.6666666666661</v>
      </c>
      <c r="H16" s="18">
        <v>13146</v>
      </c>
      <c r="I16" s="18">
        <v>8404</v>
      </c>
      <c r="J16" s="18">
        <v>28510</v>
      </c>
      <c r="K16" s="18">
        <v>98804</v>
      </c>
      <c r="L16" s="18">
        <v>0</v>
      </c>
      <c r="M16" s="19">
        <v>0</v>
      </c>
      <c r="N16" s="19">
        <v>8182</v>
      </c>
      <c r="O16" s="12"/>
    </row>
    <row r="17" spans="1:15" ht="16.5" x14ac:dyDescent="0.3">
      <c r="A17" s="17" t="s">
        <v>84</v>
      </c>
      <c r="B17" s="18">
        <f>+D17+K17</f>
        <v>140800.33333333331</v>
      </c>
      <c r="C17" s="18">
        <f>D17+E17</f>
        <v>44107.333333333336</v>
      </c>
      <c r="D17" s="18">
        <v>30967</v>
      </c>
      <c r="E17" s="18">
        <v>13140.333333333334</v>
      </c>
      <c r="F17" s="18">
        <f t="shared" ref="F17:F19" si="0">H17+K17+I17+L17+M17</f>
        <v>142187.33333333331</v>
      </c>
      <c r="G17" s="18">
        <v>13821</v>
      </c>
      <c r="H17" s="18">
        <v>18976</v>
      </c>
      <c r="I17" s="18">
        <v>13378</v>
      </c>
      <c r="J17" s="18">
        <v>41141.666666666664</v>
      </c>
      <c r="K17" s="18">
        <v>109833.33333333333</v>
      </c>
      <c r="L17" s="18">
        <v>0</v>
      </c>
      <c r="M17" s="19">
        <v>0</v>
      </c>
      <c r="N17" s="19">
        <v>9681</v>
      </c>
      <c r="O17" s="12"/>
    </row>
    <row r="18" spans="1:15" ht="16.5" x14ac:dyDescent="0.3">
      <c r="A18" s="17" t="s">
        <v>85</v>
      </c>
      <c r="B18" s="18">
        <f>+D18+K18+M18</f>
        <v>119981.00000000004</v>
      </c>
      <c r="C18" s="18">
        <f>D18+E18</f>
        <v>29577.666666666664</v>
      </c>
      <c r="D18" s="18">
        <v>15965.666666666666</v>
      </c>
      <c r="E18" s="18">
        <v>13612</v>
      </c>
      <c r="F18" s="18">
        <f t="shared" si="0"/>
        <v>126064.00000000003</v>
      </c>
      <c r="G18" s="18">
        <v>8632.3333333333339</v>
      </c>
      <c r="H18" s="18">
        <v>13769.333333333334</v>
      </c>
      <c r="I18" s="18">
        <v>8279.3333333333339</v>
      </c>
      <c r="J18" s="18">
        <v>28525</v>
      </c>
      <c r="K18" s="18">
        <v>92748.666666666672</v>
      </c>
      <c r="L18" s="18">
        <v>0</v>
      </c>
      <c r="M18" s="19">
        <v>11266.666666666701</v>
      </c>
      <c r="N18" s="19">
        <v>8551</v>
      </c>
      <c r="O18" s="12"/>
    </row>
    <row r="19" spans="1:15" ht="16.5" x14ac:dyDescent="0.3">
      <c r="A19" s="17" t="s">
        <v>86</v>
      </c>
      <c r="B19" s="18">
        <f>+D19+K19+M19</f>
        <v>169069.16666666669</v>
      </c>
      <c r="C19" s="18">
        <f>D19+E19</f>
        <v>69517</v>
      </c>
      <c r="D19" s="18">
        <v>42579.166666666701</v>
      </c>
      <c r="E19" s="18">
        <v>26937.833333333299</v>
      </c>
      <c r="F19" s="18">
        <f t="shared" si="0"/>
        <v>163855</v>
      </c>
      <c r="G19" s="18">
        <v>13821</v>
      </c>
      <c r="H19" s="18">
        <v>18976</v>
      </c>
      <c r="I19" s="18">
        <v>13378</v>
      </c>
      <c r="J19" s="18">
        <v>45225</v>
      </c>
      <c r="K19" s="18">
        <v>106502</v>
      </c>
      <c r="L19" s="18">
        <v>5011</v>
      </c>
      <c r="M19" s="19">
        <v>19988</v>
      </c>
      <c r="N19" s="19">
        <v>9681</v>
      </c>
      <c r="O19" s="12"/>
    </row>
    <row r="20" spans="1:15" ht="16.5" x14ac:dyDescent="0.3">
      <c r="A20" s="1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2"/>
    </row>
    <row r="21" spans="1:15" ht="17.25" x14ac:dyDescent="0.35">
      <c r="A21" s="20" t="s">
        <v>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2"/>
    </row>
    <row r="22" spans="1:15" ht="16.5" x14ac:dyDescent="0.3">
      <c r="A22" s="17" t="s">
        <v>60</v>
      </c>
      <c r="B22" s="21">
        <f>+C22+F22+N22</f>
        <v>2903937262.75</v>
      </c>
      <c r="C22" s="21">
        <f>D22</f>
        <v>1671320966.75</v>
      </c>
      <c r="D22" s="51">
        <v>1671320966.75</v>
      </c>
      <c r="E22" s="51"/>
      <c r="F22" s="21">
        <f>G22+L22</f>
        <v>1146445785</v>
      </c>
      <c r="G22" s="46">
        <v>1146445785</v>
      </c>
      <c r="H22" s="46"/>
      <c r="I22" s="46"/>
      <c r="J22" s="46"/>
      <c r="K22" s="46"/>
      <c r="L22" s="46">
        <v>0</v>
      </c>
      <c r="M22" s="46"/>
      <c r="N22" s="19">
        <v>86170511</v>
      </c>
      <c r="O22" s="12"/>
    </row>
    <row r="23" spans="1:15" ht="16.5" x14ac:dyDescent="0.3">
      <c r="A23" s="17" t="s">
        <v>84</v>
      </c>
      <c r="B23" s="21">
        <f>+C23+F23+N23</f>
        <v>6549389287.6409712</v>
      </c>
      <c r="C23" s="21">
        <f>+D23+E23</f>
        <v>4545695059.6409712</v>
      </c>
      <c r="D23" s="21">
        <v>4219734592.7246809</v>
      </c>
      <c r="E23" s="21">
        <v>325960466.91628999</v>
      </c>
      <c r="F23" s="21">
        <f t="shared" ref="F23:F25" si="1">G23+L23</f>
        <v>1498655820</v>
      </c>
      <c r="G23" s="46">
        <v>1498655820</v>
      </c>
      <c r="H23" s="46"/>
      <c r="I23" s="46"/>
      <c r="J23" s="46"/>
      <c r="K23" s="46"/>
      <c r="L23" s="46">
        <v>0</v>
      </c>
      <c r="M23" s="46"/>
      <c r="N23" s="19">
        <v>505038408</v>
      </c>
      <c r="O23" s="12"/>
    </row>
    <row r="24" spans="1:15" ht="16.5" x14ac:dyDescent="0.3">
      <c r="A24" s="17" t="s">
        <v>85</v>
      </c>
      <c r="B24" s="21">
        <f>+C24+F24+N24</f>
        <v>1401191776.5599999</v>
      </c>
      <c r="C24" s="21">
        <f>D24</f>
        <v>896283788.55999994</v>
      </c>
      <c r="D24" s="46">
        <v>896283788.55999994</v>
      </c>
      <c r="E24" s="46"/>
      <c r="F24" s="21">
        <f t="shared" si="1"/>
        <v>0</v>
      </c>
      <c r="G24" s="46">
        <v>0</v>
      </c>
      <c r="H24" s="46"/>
      <c r="I24" s="46"/>
      <c r="J24" s="46"/>
      <c r="K24" s="46"/>
      <c r="L24" s="46">
        <v>0</v>
      </c>
      <c r="M24" s="46"/>
      <c r="N24" s="19">
        <v>504907988</v>
      </c>
      <c r="O24" s="12"/>
    </row>
    <row r="25" spans="1:15" ht="16.5" x14ac:dyDescent="0.3">
      <c r="A25" s="17" t="s">
        <v>86</v>
      </c>
      <c r="B25" s="21">
        <f>+C25+F25+N25</f>
        <v>39197864865.379326</v>
      </c>
      <c r="C25" s="21">
        <f>+D25+E25</f>
        <v>27560908492.239326</v>
      </c>
      <c r="D25" s="21">
        <v>26366801948.076382</v>
      </c>
      <c r="E25" s="21">
        <v>1194106544.1629448</v>
      </c>
      <c r="F25" s="21">
        <f t="shared" si="1"/>
        <v>8823178220</v>
      </c>
      <c r="G25" s="46">
        <v>8034106240</v>
      </c>
      <c r="H25" s="46"/>
      <c r="I25" s="46"/>
      <c r="J25" s="46"/>
      <c r="K25" s="46"/>
      <c r="L25" s="46">
        <v>789071980</v>
      </c>
      <c r="M25" s="46"/>
      <c r="N25" s="19">
        <v>2813778153.1399999</v>
      </c>
      <c r="O25" s="12"/>
    </row>
    <row r="26" spans="1:15" ht="16.5" x14ac:dyDescent="0.3">
      <c r="A26" s="17" t="s">
        <v>87</v>
      </c>
      <c r="B26" s="21">
        <f>+C26+F26+N26</f>
        <v>1401191776.5599999</v>
      </c>
      <c r="C26" s="21">
        <f>C24</f>
        <v>896283788.55999994</v>
      </c>
      <c r="D26" s="21"/>
      <c r="E26" s="21"/>
      <c r="F26" s="21">
        <f>F24</f>
        <v>0</v>
      </c>
      <c r="G26" s="45"/>
      <c r="H26" s="45"/>
      <c r="I26" s="45"/>
      <c r="J26" s="45"/>
      <c r="K26" s="45"/>
      <c r="L26" s="21"/>
      <c r="M26" s="19"/>
      <c r="N26" s="19">
        <f>+N24</f>
        <v>504907988</v>
      </c>
      <c r="O26" s="12"/>
    </row>
    <row r="27" spans="1:15" ht="16.5" x14ac:dyDescent="0.3">
      <c r="A27" s="1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2"/>
    </row>
    <row r="28" spans="1:15" ht="17.25" x14ac:dyDescent="0.35">
      <c r="A28" s="20" t="s">
        <v>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2"/>
    </row>
    <row r="29" spans="1:15" ht="16.5" x14ac:dyDescent="0.3">
      <c r="A29" s="17" t="s">
        <v>84</v>
      </c>
      <c r="B29" s="19">
        <f>B23</f>
        <v>6549389287.6409712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2"/>
    </row>
    <row r="30" spans="1:15" ht="16.5" x14ac:dyDescent="0.3">
      <c r="A30" s="17" t="s">
        <v>85</v>
      </c>
      <c r="B30" s="19">
        <v>6719566529.8999996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2"/>
    </row>
    <row r="31" spans="1:15" ht="16.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17.25" x14ac:dyDescent="0.35">
      <c r="A32" s="16" t="s">
        <v>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16.5" x14ac:dyDescent="0.3">
      <c r="A33" s="17" t="s">
        <v>61</v>
      </c>
      <c r="B33" s="22">
        <v>1.0451016243</v>
      </c>
      <c r="C33" s="22">
        <v>1.0451016243</v>
      </c>
      <c r="D33" s="22">
        <v>1.0451016243</v>
      </c>
      <c r="E33" s="22">
        <v>1.0451016243</v>
      </c>
      <c r="F33" s="22">
        <v>1.0451016243</v>
      </c>
      <c r="G33" s="22">
        <v>1.0451016243</v>
      </c>
      <c r="H33" s="22">
        <v>1.0451016243</v>
      </c>
      <c r="I33" s="22">
        <v>1.0451016243</v>
      </c>
      <c r="J33" s="22">
        <v>1.0451016243</v>
      </c>
      <c r="K33" s="22">
        <v>1.0451016243</v>
      </c>
      <c r="L33" s="22">
        <v>1.0451016243</v>
      </c>
      <c r="M33" s="22">
        <v>1.0451016243</v>
      </c>
      <c r="N33" s="22">
        <v>1.0451016243</v>
      </c>
      <c r="O33" s="12"/>
    </row>
    <row r="34" spans="1:15" ht="16.5" x14ac:dyDescent="0.3">
      <c r="A34" s="17" t="s">
        <v>88</v>
      </c>
      <c r="B34" s="22">
        <v>1.0649999999999999</v>
      </c>
      <c r="C34" s="22">
        <v>1.0649999999999999</v>
      </c>
      <c r="D34" s="22">
        <v>1.0649999999999999</v>
      </c>
      <c r="E34" s="22">
        <v>1.0649999999999999</v>
      </c>
      <c r="F34" s="22">
        <v>1.0649999999999999</v>
      </c>
      <c r="G34" s="22">
        <v>1.0649999999999999</v>
      </c>
      <c r="H34" s="22">
        <v>1.0649999999999999</v>
      </c>
      <c r="I34" s="22">
        <v>1.0649999999999999</v>
      </c>
      <c r="J34" s="22">
        <v>1.0649999999999999</v>
      </c>
      <c r="K34" s="22">
        <v>1.0649999999999999</v>
      </c>
      <c r="L34" s="22">
        <v>1.0649999999999999</v>
      </c>
      <c r="M34" s="22">
        <v>1.0649999999999999</v>
      </c>
      <c r="N34" s="22">
        <v>1.0649999999999999</v>
      </c>
      <c r="O34" s="12"/>
    </row>
    <row r="35" spans="1:15" ht="16.5" x14ac:dyDescent="0.3">
      <c r="A35" s="17" t="s">
        <v>8</v>
      </c>
      <c r="B35" s="19">
        <v>92427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2"/>
    </row>
    <row r="36" spans="1:15" ht="16.5" x14ac:dyDescent="0.3">
      <c r="A36" s="12"/>
      <c r="B36" s="19"/>
      <c r="C36" s="19"/>
      <c r="D36" s="19"/>
      <c r="E36" s="23"/>
      <c r="F36" s="23"/>
      <c r="G36" s="19"/>
      <c r="H36" s="19"/>
      <c r="I36" s="19"/>
      <c r="J36" s="19"/>
      <c r="K36" s="19"/>
      <c r="L36" s="19"/>
      <c r="M36" s="19"/>
      <c r="N36" s="19"/>
      <c r="O36" s="12"/>
    </row>
    <row r="37" spans="1:15" ht="17.25" x14ac:dyDescent="0.35">
      <c r="A37" s="16" t="s">
        <v>9</v>
      </c>
      <c r="B37" s="19"/>
      <c r="C37" s="19"/>
      <c r="D37" s="18"/>
      <c r="E37" s="18"/>
      <c r="F37" s="18"/>
      <c r="G37" s="46"/>
      <c r="H37" s="46"/>
      <c r="I37" s="46"/>
      <c r="J37" s="46"/>
      <c r="K37" s="40"/>
      <c r="L37" s="40"/>
      <c r="M37" s="19"/>
      <c r="N37" s="19"/>
      <c r="O37" s="12"/>
    </row>
    <row r="38" spans="1:15" ht="16.5" x14ac:dyDescent="0.3">
      <c r="A38" s="12" t="s">
        <v>62</v>
      </c>
      <c r="B38" s="19">
        <f>B22/B33</f>
        <v>2778617117.4454274</v>
      </c>
      <c r="C38" s="18">
        <f t="shared" ref="C38:F38" si="2">C22/C33</f>
        <v>1599194688.7169335</v>
      </c>
      <c r="D38" s="18"/>
      <c r="E38" s="18"/>
      <c r="F38" s="18">
        <f t="shared" si="2"/>
        <v>1096970627.8735137</v>
      </c>
      <c r="G38" s="18"/>
      <c r="H38" s="18"/>
      <c r="I38" s="18"/>
      <c r="J38" s="18"/>
      <c r="K38" s="18"/>
      <c r="L38" s="18"/>
      <c r="M38" s="19"/>
      <c r="N38" s="19">
        <f>N22/N33</f>
        <v>82451800.85498026</v>
      </c>
      <c r="O38" s="12"/>
    </row>
    <row r="39" spans="1:15" ht="16.5" x14ac:dyDescent="0.3">
      <c r="A39" s="12" t="s">
        <v>89</v>
      </c>
      <c r="B39" s="19">
        <f>B24/B34</f>
        <v>1315673029.6338029</v>
      </c>
      <c r="C39" s="18">
        <f t="shared" ref="C39:F39" si="3">C24/C34</f>
        <v>841581022.12206566</v>
      </c>
      <c r="D39" s="18"/>
      <c r="E39" s="18"/>
      <c r="F39" s="18">
        <f t="shared" si="3"/>
        <v>0</v>
      </c>
      <c r="G39" s="18"/>
      <c r="H39" s="18"/>
      <c r="I39" s="18"/>
      <c r="J39" s="18"/>
      <c r="K39" s="18"/>
      <c r="L39" s="18"/>
      <c r="M39" s="19"/>
      <c r="N39" s="19">
        <f>N24/N34</f>
        <v>474092007.51173711</v>
      </c>
      <c r="O39" s="12"/>
    </row>
    <row r="40" spans="1:15" ht="16.5" x14ac:dyDescent="0.3">
      <c r="A40" s="12" t="s">
        <v>63</v>
      </c>
      <c r="B40" s="19">
        <f>B38/B16</f>
        <v>23588.182359868482</v>
      </c>
      <c r="C40" s="18">
        <f t="shared" ref="C40:F40" si="4">C38/C16</f>
        <v>51054.965639208684</v>
      </c>
      <c r="D40" s="18"/>
      <c r="E40" s="18"/>
      <c r="F40" s="18">
        <f t="shared" si="4"/>
        <v>9114.5340235763979</v>
      </c>
      <c r="G40" s="18"/>
      <c r="H40" s="18"/>
      <c r="I40" s="18"/>
      <c r="J40" s="18"/>
      <c r="K40" s="18"/>
      <c r="L40" s="18"/>
      <c r="M40" s="19"/>
      <c r="N40" s="19">
        <f>N38/N16</f>
        <v>10077.218388533398</v>
      </c>
      <c r="O40" s="12"/>
    </row>
    <row r="41" spans="1:15" ht="16.5" x14ac:dyDescent="0.3">
      <c r="A41" s="12" t="s">
        <v>90</v>
      </c>
      <c r="B41" s="19">
        <f>B39/B18</f>
        <v>10965.678145988135</v>
      </c>
      <c r="C41" s="18">
        <f t="shared" ref="C41:F41" si="5">C39/C18</f>
        <v>28453.259400292984</v>
      </c>
      <c r="D41" s="18"/>
      <c r="E41" s="18"/>
      <c r="F41" s="18">
        <f t="shared" si="5"/>
        <v>0</v>
      </c>
      <c r="G41" s="18"/>
      <c r="H41" s="18"/>
      <c r="I41" s="18"/>
      <c r="J41" s="18"/>
      <c r="K41" s="18"/>
      <c r="L41" s="18"/>
      <c r="M41" s="19"/>
      <c r="N41" s="19">
        <f t="shared" ref="N41" si="6">N39/N18</f>
        <v>55442.87305715555</v>
      </c>
      <c r="O41" s="12"/>
    </row>
    <row r="42" spans="1:15" ht="16.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</row>
    <row r="43" spans="1:15" ht="17.25" x14ac:dyDescent="0.35">
      <c r="A43" s="16" t="s">
        <v>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ht="16.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  <row r="45" spans="1:15" ht="17.25" x14ac:dyDescent="0.35">
      <c r="A45" s="16" t="s">
        <v>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</row>
    <row r="46" spans="1:15" ht="16.5" x14ac:dyDescent="0.3">
      <c r="A46" s="12" t="s">
        <v>12</v>
      </c>
      <c r="B46" s="25">
        <f t="shared" ref="B46" si="7">(B17/B35)*100</f>
        <v>152.33679913156689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12"/>
    </row>
    <row r="47" spans="1:15" ht="16.5" x14ac:dyDescent="0.3">
      <c r="A47" s="12" t="s">
        <v>13</v>
      </c>
      <c r="B47" s="25">
        <f t="shared" ref="B47" si="8">(B18/B35)*100</f>
        <v>129.81163512826345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12"/>
    </row>
    <row r="48" spans="1:15" ht="16.5" x14ac:dyDescent="0.3">
      <c r="A48" s="12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2"/>
    </row>
    <row r="49" spans="1:15" ht="17.25" x14ac:dyDescent="0.35">
      <c r="A49" s="16" t="s">
        <v>14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12"/>
    </row>
    <row r="50" spans="1:15" ht="16.5" x14ac:dyDescent="0.3">
      <c r="A50" s="12" t="s">
        <v>15</v>
      </c>
      <c r="B50" s="25">
        <f t="shared" ref="B50:N50" si="9">B18/B17*100</f>
        <v>85.213576672403761</v>
      </c>
      <c r="C50" s="25">
        <f t="shared" si="9"/>
        <v>67.058387872009177</v>
      </c>
      <c r="D50" s="25">
        <f t="shared" si="9"/>
        <v>51.557033831713326</v>
      </c>
      <c r="E50" s="25">
        <f t="shared" si="9"/>
        <v>103.58945739580425</v>
      </c>
      <c r="F50" s="25">
        <f t="shared" si="9"/>
        <v>88.660499528790695</v>
      </c>
      <c r="G50" s="25">
        <f t="shared" si="9"/>
        <v>62.45809516918699</v>
      </c>
      <c r="H50" s="25">
        <f t="shared" si="9"/>
        <v>72.561832490163013</v>
      </c>
      <c r="I50" s="25">
        <f t="shared" si="9"/>
        <v>61.887676284447103</v>
      </c>
      <c r="J50" s="25">
        <f t="shared" si="9"/>
        <v>69.333603402876236</v>
      </c>
      <c r="K50" s="25">
        <f t="shared" si="9"/>
        <v>84.444916540212461</v>
      </c>
      <c r="L50" s="25" t="s">
        <v>53</v>
      </c>
      <c r="M50" s="25" t="s">
        <v>53</v>
      </c>
      <c r="N50" s="25">
        <f t="shared" si="9"/>
        <v>88.32765210205558</v>
      </c>
      <c r="O50" s="12"/>
    </row>
    <row r="51" spans="1:15" ht="16.5" x14ac:dyDescent="0.3">
      <c r="A51" s="12" t="s">
        <v>16</v>
      </c>
      <c r="B51" s="25">
        <f>B24/B23*100</f>
        <v>21.394235630551382</v>
      </c>
      <c r="C51" s="25">
        <f>C24/C23*100</f>
        <v>19.717200049727719</v>
      </c>
      <c r="D51" s="25"/>
      <c r="E51" s="25"/>
      <c r="F51" s="25">
        <f>F24/F23*100</f>
        <v>0</v>
      </c>
      <c r="G51" s="25"/>
      <c r="H51" s="25"/>
      <c r="I51" s="25"/>
      <c r="J51" s="25"/>
      <c r="K51" s="25"/>
      <c r="L51" s="25"/>
      <c r="M51" s="25"/>
      <c r="N51" s="25">
        <f t="shared" ref="N51" si="10">N24/N23*100</f>
        <v>99.974176221464731</v>
      </c>
      <c r="O51" s="12"/>
    </row>
    <row r="52" spans="1:15" ht="16.5" x14ac:dyDescent="0.3">
      <c r="A52" s="12" t="s">
        <v>17</v>
      </c>
      <c r="B52" s="25">
        <f>AVERAGE(B50:B51)</f>
        <v>53.30390615147757</v>
      </c>
      <c r="C52" s="25">
        <f t="shared" ref="C52" si="11">AVERAGE(C50:C51)</f>
        <v>43.38779396086845</v>
      </c>
      <c r="D52" s="25"/>
      <c r="E52" s="25"/>
      <c r="F52" s="25">
        <f t="shared" ref="F52" si="12">AVERAGE(F50:F51)</f>
        <v>44.330249764395347</v>
      </c>
      <c r="G52" s="25"/>
      <c r="H52" s="25"/>
      <c r="I52" s="25"/>
      <c r="J52" s="25"/>
      <c r="K52" s="25"/>
      <c r="L52" s="25"/>
      <c r="M52" s="25"/>
      <c r="N52" s="25">
        <f t="shared" ref="N52" si="13">AVERAGE(N50:N51)</f>
        <v>94.150914161760156</v>
      </c>
      <c r="O52" s="12"/>
    </row>
    <row r="53" spans="1:15" ht="16.5" x14ac:dyDescent="0.3">
      <c r="A53" s="12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12"/>
    </row>
    <row r="54" spans="1:15" ht="17.25" x14ac:dyDescent="0.35">
      <c r="A54" s="16" t="s">
        <v>18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12"/>
    </row>
    <row r="55" spans="1:15" ht="16.5" x14ac:dyDescent="0.3">
      <c r="A55" s="12" t="s">
        <v>19</v>
      </c>
      <c r="B55" s="25">
        <f t="shared" ref="B55:N55" si="14">((B18/B19)*100)</f>
        <v>70.9656304372471</v>
      </c>
      <c r="C55" s="25">
        <f t="shared" si="14"/>
        <v>42.547386490594626</v>
      </c>
      <c r="D55" s="25">
        <f t="shared" si="14"/>
        <v>37.496428221939496</v>
      </c>
      <c r="E55" s="25">
        <f t="shared" si="14"/>
        <v>50.531161253998469</v>
      </c>
      <c r="F55" s="25">
        <f t="shared" si="14"/>
        <v>76.936315644929991</v>
      </c>
      <c r="G55" s="25">
        <f t="shared" si="14"/>
        <v>62.45809516918699</v>
      </c>
      <c r="H55" s="25">
        <f t="shared" si="14"/>
        <v>72.561832490163013</v>
      </c>
      <c r="I55" s="25">
        <f t="shared" si="14"/>
        <v>61.887676284447103</v>
      </c>
      <c r="J55" s="25">
        <f t="shared" si="14"/>
        <v>63.073521282476506</v>
      </c>
      <c r="K55" s="25">
        <f t="shared" si="14"/>
        <v>87.086314498006303</v>
      </c>
      <c r="L55" s="25">
        <f t="shared" si="14"/>
        <v>0</v>
      </c>
      <c r="M55" s="25">
        <f t="shared" si="14"/>
        <v>56.367153625508806</v>
      </c>
      <c r="N55" s="25">
        <f t="shared" si="14"/>
        <v>88.32765210205558</v>
      </c>
      <c r="O55" s="12"/>
    </row>
    <row r="56" spans="1:15" ht="16.5" x14ac:dyDescent="0.3">
      <c r="A56" s="12" t="s">
        <v>20</v>
      </c>
      <c r="B56" s="25">
        <f>B24/B25*100</f>
        <v>3.574663521526583</v>
      </c>
      <c r="C56" s="25">
        <f>C24/C25*100</f>
        <v>3.2520110460523388</v>
      </c>
      <c r="D56" s="25"/>
      <c r="E56" s="25"/>
      <c r="F56" s="25">
        <f>F24/F25*100</f>
        <v>0</v>
      </c>
      <c r="G56" s="25"/>
      <c r="H56" s="25"/>
      <c r="I56" s="25"/>
      <c r="J56" s="25"/>
      <c r="K56" s="25"/>
      <c r="L56" s="25"/>
      <c r="M56" s="25"/>
      <c r="N56" s="25">
        <f t="shared" ref="N56" si="15">N24/N25*100</f>
        <v>17.944129228402545</v>
      </c>
      <c r="O56" s="12"/>
    </row>
    <row r="57" spans="1:15" ht="16.5" x14ac:dyDescent="0.3">
      <c r="A57" s="12" t="s">
        <v>21</v>
      </c>
      <c r="B57" s="25">
        <f>(B55+B56)/2</f>
        <v>37.270146979386844</v>
      </c>
      <c r="C57" s="25">
        <f>(C55+C56)/2</f>
        <v>22.899698768323482</v>
      </c>
      <c r="D57" s="25"/>
      <c r="E57" s="25"/>
      <c r="F57" s="25">
        <f>(F55+F56)/2</f>
        <v>38.468157822464995</v>
      </c>
      <c r="G57" s="25"/>
      <c r="H57" s="25"/>
      <c r="I57" s="25"/>
      <c r="J57" s="25"/>
      <c r="K57" s="25"/>
      <c r="L57" s="25"/>
      <c r="M57" s="25"/>
      <c r="N57" s="25">
        <f t="shared" ref="N57" si="16">(N55+N56)/2</f>
        <v>53.135890665229063</v>
      </c>
      <c r="O57" s="12"/>
    </row>
    <row r="58" spans="1:15" ht="16.5" x14ac:dyDescent="0.3">
      <c r="A58" s="12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12"/>
    </row>
    <row r="59" spans="1:15" ht="17.25" x14ac:dyDescent="0.35">
      <c r="A59" s="16" t="s">
        <v>36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12"/>
    </row>
    <row r="60" spans="1:15" ht="16.5" x14ac:dyDescent="0.3">
      <c r="A60" s="12" t="s">
        <v>22</v>
      </c>
      <c r="B60" s="25">
        <f>B26/B24*100</f>
        <v>100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12"/>
    </row>
    <row r="61" spans="1:15" ht="16.5" x14ac:dyDescent="0.3">
      <c r="A61" s="12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12"/>
    </row>
    <row r="62" spans="1:15" ht="17.25" x14ac:dyDescent="0.35">
      <c r="A62" s="16" t="s">
        <v>23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12"/>
    </row>
    <row r="63" spans="1:15" ht="16.5" x14ac:dyDescent="0.3">
      <c r="A63" s="12" t="s">
        <v>24</v>
      </c>
      <c r="B63" s="25">
        <f t="shared" ref="B63:N63" si="17">((B18/B16)-1)*100</f>
        <v>1.8540370298055553</v>
      </c>
      <c r="C63" s="25">
        <f t="shared" si="17"/>
        <v>-5.5720503570326425</v>
      </c>
      <c r="D63" s="25">
        <f t="shared" si="17"/>
        <v>-15.939205672265222</v>
      </c>
      <c r="E63" s="25">
        <f t="shared" si="17"/>
        <v>10.397404703974056</v>
      </c>
      <c r="F63" s="25">
        <f t="shared" si="17"/>
        <v>4.7443375375974428</v>
      </c>
      <c r="G63" s="25">
        <f t="shared" si="17"/>
        <v>-7.603111174539734</v>
      </c>
      <c r="H63" s="25">
        <f t="shared" si="17"/>
        <v>4.7416197575941954</v>
      </c>
      <c r="I63" s="25">
        <f t="shared" si="17"/>
        <v>-1.4834205933682343</v>
      </c>
      <c r="J63" s="25">
        <f t="shared" si="17"/>
        <v>5.2613118204147824E-2</v>
      </c>
      <c r="K63" s="25">
        <f t="shared" si="17"/>
        <v>-6.1286317692940901</v>
      </c>
      <c r="L63" s="25" t="s">
        <v>53</v>
      </c>
      <c r="M63" s="25" t="s">
        <v>53</v>
      </c>
      <c r="N63" s="25">
        <f t="shared" si="17"/>
        <v>4.509899780004889</v>
      </c>
      <c r="O63" s="12"/>
    </row>
    <row r="64" spans="1:15" ht="16.5" x14ac:dyDescent="0.3">
      <c r="A64" s="12" t="s">
        <v>25</v>
      </c>
      <c r="B64" s="25">
        <f>((B39/B38)-1)*100</f>
        <v>-52.650078293500499</v>
      </c>
      <c r="C64" s="25">
        <f>((C39/C38)-1)*100</f>
        <v>-47.374698774338519</v>
      </c>
      <c r="D64" s="25"/>
      <c r="E64" s="25"/>
      <c r="F64" s="25">
        <f>((F39/F38)-1)*100</f>
        <v>-100</v>
      </c>
      <c r="G64" s="25"/>
      <c r="H64" s="25"/>
      <c r="I64" s="25"/>
      <c r="J64" s="25"/>
      <c r="K64" s="25"/>
      <c r="L64" s="25"/>
      <c r="M64" s="25"/>
      <c r="N64" s="25">
        <f t="shared" ref="N64" si="18">((N39/N38)-1)*100</f>
        <v>474.99290809377266</v>
      </c>
      <c r="O64" s="12"/>
    </row>
    <row r="65" spans="1:15" ht="16.5" x14ac:dyDescent="0.3">
      <c r="A65" s="12" t="s">
        <v>26</v>
      </c>
      <c r="B65" s="25">
        <f>((B41/B40)-1)*100</f>
        <v>-53.511983336857348</v>
      </c>
      <c r="C65" s="25">
        <f>((C41/C40)-1)*100</f>
        <v>-44.269359416742546</v>
      </c>
      <c r="D65" s="25"/>
      <c r="E65" s="25"/>
      <c r="F65" s="25">
        <f>((F41/F40)-1)*100</f>
        <v>-100</v>
      </c>
      <c r="G65" s="25"/>
      <c r="H65" s="25"/>
      <c r="I65" s="25"/>
      <c r="J65" s="25"/>
      <c r="K65" s="25"/>
      <c r="L65" s="25"/>
      <c r="M65" s="25"/>
      <c r="N65" s="25">
        <f t="shared" ref="N65" si="19">((N41/N40)-1)*100</f>
        <v>450.18032674812855</v>
      </c>
      <c r="O65" s="12"/>
    </row>
    <row r="66" spans="1:15" ht="16.5" x14ac:dyDescent="0.3">
      <c r="A66" s="12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12"/>
    </row>
    <row r="67" spans="1:15" ht="17.25" x14ac:dyDescent="0.35">
      <c r="A67" s="16" t="s">
        <v>27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12"/>
    </row>
    <row r="68" spans="1:15" ht="16.5" x14ac:dyDescent="0.3">
      <c r="A68" s="12" t="s">
        <v>41</v>
      </c>
      <c r="B68" s="25">
        <f>B23/(B17*3)</f>
        <v>15505.146265375726</v>
      </c>
      <c r="C68" s="25">
        <f>C23/(C17*3)</f>
        <v>34353.282595796401</v>
      </c>
      <c r="D68" s="25"/>
      <c r="E68" s="25"/>
      <c r="F68" s="25">
        <f>F23/(F17*3)</f>
        <v>3513.3364434712894</v>
      </c>
      <c r="G68" s="25"/>
      <c r="H68" s="25"/>
      <c r="I68" s="25"/>
      <c r="J68" s="25"/>
      <c r="K68" s="25"/>
      <c r="L68" s="25"/>
      <c r="M68" s="25"/>
      <c r="N68" s="25">
        <f t="shared" ref="N68:N69" si="20">N23/(N17*3)</f>
        <v>17389.333333333332</v>
      </c>
      <c r="O68" s="12"/>
    </row>
    <row r="69" spans="1:15" ht="16.5" x14ac:dyDescent="0.3">
      <c r="A69" s="12" t="s">
        <v>42</v>
      </c>
      <c r="B69" s="25">
        <f>B24/(B18*3)</f>
        <v>3892.8157418257879</v>
      </c>
      <c r="C69" s="25">
        <f>C24/(C18*3)</f>
        <v>10100.907087104008</v>
      </c>
      <c r="D69" s="25"/>
      <c r="E69" s="25"/>
      <c r="F69" s="25">
        <f>F24/(F18*3)</f>
        <v>0</v>
      </c>
      <c r="G69" s="25"/>
      <c r="H69" s="25"/>
      <c r="I69" s="25"/>
      <c r="J69" s="25"/>
      <c r="K69" s="25"/>
      <c r="L69" s="25"/>
      <c r="M69" s="25"/>
      <c r="N69" s="25">
        <f t="shared" si="20"/>
        <v>19682.219935290221</v>
      </c>
      <c r="O69" s="12"/>
    </row>
    <row r="70" spans="1:15" ht="16.5" x14ac:dyDescent="0.3">
      <c r="A70" s="12" t="s">
        <v>30</v>
      </c>
      <c r="B70" s="25">
        <f>(B69/B68)*B52</f>
        <v>13.382800872420411</v>
      </c>
      <c r="C70" s="25">
        <f>(C69/C68)*C52</f>
        <v>12.757327463279193</v>
      </c>
      <c r="D70" s="25"/>
      <c r="E70" s="25"/>
      <c r="F70" s="25">
        <f>(F69/F68)*F52</f>
        <v>0</v>
      </c>
      <c r="G70" s="25"/>
      <c r="H70" s="25"/>
      <c r="I70" s="25"/>
      <c r="J70" s="25"/>
      <c r="K70" s="25"/>
      <c r="L70" s="25"/>
      <c r="M70" s="25"/>
      <c r="N70" s="25">
        <f t="shared" ref="N70" si="21">(N69/N68)*N52</f>
        <v>106.56526987657534</v>
      </c>
      <c r="O70" s="12"/>
    </row>
    <row r="71" spans="1:15" ht="16.5" x14ac:dyDescent="0.3">
      <c r="A71" s="12" t="s">
        <v>35</v>
      </c>
      <c r="B71" s="25">
        <f>B23/B17</f>
        <v>46515.438796127179</v>
      </c>
      <c r="C71" s="25">
        <f>C23/C17</f>
        <v>103059.8477873892</v>
      </c>
      <c r="D71" s="25"/>
      <c r="E71" s="25"/>
      <c r="F71" s="25">
        <f>F23/F17</f>
        <v>10540.009330413868</v>
      </c>
      <c r="G71" s="25"/>
      <c r="H71" s="25"/>
      <c r="I71" s="25"/>
      <c r="J71" s="25"/>
      <c r="K71" s="25"/>
      <c r="L71" s="25"/>
      <c r="M71" s="25"/>
      <c r="N71" s="25">
        <f t="shared" ref="N71:N72" si="22">N23/N17</f>
        <v>52168</v>
      </c>
      <c r="O71" s="12"/>
    </row>
    <row r="72" spans="1:15" ht="16.5" x14ac:dyDescent="0.3">
      <c r="A72" s="12" t="s">
        <v>34</v>
      </c>
      <c r="B72" s="25">
        <f>B24/B18</f>
        <v>11678.447225477363</v>
      </c>
      <c r="C72" s="25">
        <f>C24/C18</f>
        <v>30302.721261312028</v>
      </c>
      <c r="D72" s="25"/>
      <c r="E72" s="25"/>
      <c r="F72" s="25">
        <f>F24/F18</f>
        <v>0</v>
      </c>
      <c r="G72" s="25"/>
      <c r="H72" s="25"/>
      <c r="I72" s="25"/>
      <c r="J72" s="25"/>
      <c r="K72" s="25"/>
      <c r="L72" s="25"/>
      <c r="M72" s="25"/>
      <c r="N72" s="25">
        <f t="shared" si="22"/>
        <v>59046.659805870659</v>
      </c>
      <c r="O72" s="12"/>
    </row>
    <row r="73" spans="1:15" ht="16.5" x14ac:dyDescent="0.3">
      <c r="A73" s="12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12"/>
    </row>
    <row r="74" spans="1:15" ht="17.25" x14ac:dyDescent="0.35">
      <c r="A74" s="16" t="s">
        <v>31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12"/>
    </row>
    <row r="75" spans="1:15" ht="16.5" x14ac:dyDescent="0.3">
      <c r="A75" s="12" t="s">
        <v>32</v>
      </c>
      <c r="B75" s="25">
        <f>(B30/B29)*100</f>
        <v>102.59836810403317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12"/>
    </row>
    <row r="76" spans="1:15" ht="17.25" thickBot="1" x14ac:dyDescent="0.35">
      <c r="A76" s="27" t="s">
        <v>33</v>
      </c>
      <c r="B76" s="31">
        <f>(B24/B30)*100</f>
        <v>20.852413177622818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12"/>
    </row>
    <row r="77" spans="1:15" ht="17.25" thickTop="1" x14ac:dyDescent="0.3">
      <c r="A77" s="47" t="s">
        <v>91</v>
      </c>
      <c r="B77" s="47"/>
      <c r="C77" s="47"/>
      <c r="D77" s="47"/>
      <c r="E77" s="47"/>
      <c r="F77" s="47"/>
      <c r="G77" s="29"/>
      <c r="H77" s="29"/>
      <c r="I77" s="29"/>
      <c r="J77" s="29"/>
      <c r="K77" s="29"/>
      <c r="L77" s="29"/>
      <c r="M77" s="12"/>
      <c r="N77" s="12"/>
      <c r="O77" s="12"/>
    </row>
    <row r="78" spans="1:15" ht="17.25" x14ac:dyDescent="0.35">
      <c r="A78" s="29" t="s">
        <v>92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12"/>
      <c r="N78" s="12"/>
      <c r="O78" s="12"/>
    </row>
    <row r="79" spans="1:15" ht="16.5" x14ac:dyDescent="0.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1:15" ht="16.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  <row r="81" spans="1:15" ht="16.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</row>
    <row r="82" spans="1:15" ht="16.5" x14ac:dyDescent="0.3">
      <c r="A82" s="12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12"/>
      <c r="N82" s="12"/>
      <c r="O82" s="12"/>
    </row>
    <row r="83" spans="1:15" ht="16.5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</row>
    <row r="84" spans="1:15" ht="16.5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</row>
    <row r="85" spans="1:15" ht="16.5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1:15" ht="16.5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</row>
    <row r="87" spans="1:15" ht="16.5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</row>
    <row r="88" spans="1:15" ht="16.5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</row>
    <row r="89" spans="1:15" ht="16.5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</row>
    <row r="90" spans="1:15" ht="16.5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</row>
    <row r="91" spans="1:15" ht="16.5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</row>
    <row r="92" spans="1:15" ht="16.5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</row>
    <row r="93" spans="1:15" ht="16.5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</row>
    <row r="94" spans="1:15" ht="16.5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</row>
    <row r="95" spans="1:15" ht="16.5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5" ht="16.5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27" ht="16.5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27" ht="16.5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27" ht="16.5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9" spans="1:27" x14ac:dyDescent="0.25">
      <c r="X109" s="1"/>
      <c r="Y109" s="1"/>
      <c r="Z109" s="1"/>
      <c r="AA109" s="1"/>
    </row>
    <row r="110" spans="1:27" x14ac:dyDescent="0.25">
      <c r="X110" s="1"/>
      <c r="Y110" s="1"/>
      <c r="Z110" s="1"/>
      <c r="AA110" s="1"/>
    </row>
  </sheetData>
  <mergeCells count="17">
    <mergeCell ref="A9:A10"/>
    <mergeCell ref="D10:E10"/>
    <mergeCell ref="D22:E22"/>
    <mergeCell ref="D24:E24"/>
    <mergeCell ref="G10:K10"/>
    <mergeCell ref="G23:K23"/>
    <mergeCell ref="G22:K22"/>
    <mergeCell ref="G24:K24"/>
    <mergeCell ref="B9:B10"/>
    <mergeCell ref="C9:N9"/>
    <mergeCell ref="L22:M22"/>
    <mergeCell ref="L23:M23"/>
    <mergeCell ref="L24:M24"/>
    <mergeCell ref="L25:M25"/>
    <mergeCell ref="A77:F77"/>
    <mergeCell ref="G25:K25"/>
    <mergeCell ref="G37:J37"/>
  </mergeCells>
  <pageMargins left="0.7" right="0.7" top="0.75" bottom="0.75" header="0.3" footer="0.3"/>
  <pageSetup orientation="portrait" r:id="rId1"/>
  <ignoredErrors>
    <ignoredError sqref="C23:C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6" sqref="B36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79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3" customWidth="1"/>
    <col min="2" max="2" width="16.28515625" style="3" customWidth="1"/>
    <col min="3" max="3" width="18.5703125" style="3" customWidth="1"/>
    <col min="4" max="5" width="15.7109375" style="3" customWidth="1"/>
    <col min="6" max="6" width="16.28515625" style="3" customWidth="1"/>
    <col min="7" max="14" width="15.7109375" style="3" customWidth="1"/>
    <col min="15" max="16384" width="11.42578125" style="3"/>
  </cols>
  <sheetData>
    <row r="9" spans="1:14" ht="17.25" x14ac:dyDescent="0.35">
      <c r="A9" s="48" t="s">
        <v>0</v>
      </c>
      <c r="B9" s="52" t="s">
        <v>47</v>
      </c>
      <c r="C9" s="53" t="s">
        <v>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87" thickBot="1" x14ac:dyDescent="0.3">
      <c r="A10" s="49"/>
      <c r="B10" s="50"/>
      <c r="C10" s="38" t="s">
        <v>46</v>
      </c>
      <c r="D10" s="50" t="s">
        <v>49</v>
      </c>
      <c r="E10" s="50"/>
      <c r="F10" s="38" t="s">
        <v>43</v>
      </c>
      <c r="G10" s="49" t="s">
        <v>48</v>
      </c>
      <c r="H10" s="49"/>
      <c r="I10" s="49"/>
      <c r="J10" s="49"/>
      <c r="K10" s="49"/>
      <c r="L10" s="39" t="s">
        <v>72</v>
      </c>
      <c r="M10" s="39" t="s">
        <v>73</v>
      </c>
      <c r="N10" s="39" t="s">
        <v>52</v>
      </c>
    </row>
    <row r="11" spans="1:14" ht="50.25" thickTop="1" x14ac:dyDescent="0.3">
      <c r="A11" s="12"/>
      <c r="B11" s="13" t="s">
        <v>1</v>
      </c>
      <c r="C11" s="14" t="s">
        <v>51</v>
      </c>
      <c r="D11" s="15" t="s">
        <v>54</v>
      </c>
      <c r="E11" s="15" t="s">
        <v>50</v>
      </c>
      <c r="F11" s="13" t="s">
        <v>45</v>
      </c>
      <c r="G11" s="13" t="s">
        <v>83</v>
      </c>
      <c r="H11" s="13" t="s">
        <v>55</v>
      </c>
      <c r="I11" s="13" t="s">
        <v>56</v>
      </c>
      <c r="J11" s="13" t="s">
        <v>57</v>
      </c>
      <c r="K11" s="13" t="s">
        <v>58</v>
      </c>
      <c r="L11" s="13" t="s">
        <v>74</v>
      </c>
      <c r="M11" s="13" t="s">
        <v>58</v>
      </c>
      <c r="N11" s="13" t="s">
        <v>59</v>
      </c>
    </row>
    <row r="12" spans="1:14" ht="16.5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7.25" x14ac:dyDescent="0.35">
      <c r="A13" s="16" t="s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6.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7.25" x14ac:dyDescent="0.35">
      <c r="A15" s="16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6.5" x14ac:dyDescent="0.3">
      <c r="A16" s="17" t="s">
        <v>64</v>
      </c>
      <c r="B16" s="32">
        <f>+D16+K16</f>
        <v>133177</v>
      </c>
      <c r="C16" s="32">
        <f>+D16+E16</f>
        <v>48135.666666666672</v>
      </c>
      <c r="D16" s="32">
        <v>27072</v>
      </c>
      <c r="E16" s="32">
        <v>21063.666666666668</v>
      </c>
      <c r="F16" s="32">
        <f>K16+I16+H16+L16+M16</f>
        <v>131742</v>
      </c>
      <c r="G16" s="21">
        <v>10835.333333333334</v>
      </c>
      <c r="H16" s="32">
        <v>15439.333333333334</v>
      </c>
      <c r="I16" s="32">
        <v>10197.666666666666</v>
      </c>
      <c r="J16" s="32">
        <v>33524.666666666664</v>
      </c>
      <c r="K16" s="32">
        <v>106105</v>
      </c>
      <c r="L16" s="32">
        <v>0</v>
      </c>
      <c r="M16" s="19">
        <v>0</v>
      </c>
      <c r="N16" s="19">
        <v>9191</v>
      </c>
    </row>
    <row r="17" spans="1:14" ht="16.5" x14ac:dyDescent="0.3">
      <c r="A17" s="17" t="s">
        <v>93</v>
      </c>
      <c r="B17" s="32">
        <f t="shared" ref="B17" si="0">+D17+K17</f>
        <v>162946</v>
      </c>
      <c r="C17" s="32">
        <f t="shared" ref="C17:C19" si="1">+D17+E17</f>
        <v>77987</v>
      </c>
      <c r="D17" s="32">
        <v>46450</v>
      </c>
      <c r="E17" s="32">
        <v>31537</v>
      </c>
      <c r="F17" s="32">
        <f t="shared" ref="F17:F19" si="2">K17+I17+H17+L17+M17</f>
        <v>148850</v>
      </c>
      <c r="G17" s="32">
        <v>13821</v>
      </c>
      <c r="H17" s="32">
        <v>18976</v>
      </c>
      <c r="I17" s="21">
        <v>13378</v>
      </c>
      <c r="J17" s="21">
        <v>49370</v>
      </c>
      <c r="K17" s="21">
        <v>116496</v>
      </c>
      <c r="L17" s="32">
        <v>0</v>
      </c>
      <c r="M17" s="19">
        <v>0</v>
      </c>
      <c r="N17" s="19">
        <v>9681</v>
      </c>
    </row>
    <row r="18" spans="1:14" ht="16.5" x14ac:dyDescent="0.3">
      <c r="A18" s="17" t="s">
        <v>94</v>
      </c>
      <c r="B18" s="32">
        <f>+D18+K18+M18</f>
        <v>149282.33333333334</v>
      </c>
      <c r="C18" s="32">
        <f t="shared" si="1"/>
        <v>38093</v>
      </c>
      <c r="D18" s="32">
        <v>37823.333333333336</v>
      </c>
      <c r="E18" s="32">
        <v>269.66666666666703</v>
      </c>
      <c r="F18" s="32">
        <f t="shared" si="2"/>
        <v>135238</v>
      </c>
      <c r="G18" s="32">
        <v>14829.333333333334</v>
      </c>
      <c r="H18" s="32">
        <v>14654.666666666666</v>
      </c>
      <c r="I18" s="32">
        <v>9124.3333333333339</v>
      </c>
      <c r="J18" s="32">
        <v>34552</v>
      </c>
      <c r="K18" s="32">
        <v>109806</v>
      </c>
      <c r="L18" s="32">
        <v>0</v>
      </c>
      <c r="M18" s="19">
        <v>1653</v>
      </c>
      <c r="N18" s="19">
        <v>9206.6666666666661</v>
      </c>
    </row>
    <row r="19" spans="1:14" ht="16.5" x14ac:dyDescent="0.3">
      <c r="A19" s="17" t="s">
        <v>86</v>
      </c>
      <c r="B19" s="32">
        <f>+D19+K19+M19</f>
        <v>169069.16666666666</v>
      </c>
      <c r="C19" s="32">
        <f t="shared" si="1"/>
        <v>69516.999999999971</v>
      </c>
      <c r="D19" s="21">
        <v>42579.166666666664</v>
      </c>
      <c r="E19" s="21">
        <v>26937.833333333299</v>
      </c>
      <c r="F19" s="32">
        <f t="shared" si="2"/>
        <v>163855</v>
      </c>
      <c r="G19" s="21">
        <v>13821</v>
      </c>
      <c r="H19" s="21">
        <v>18976</v>
      </c>
      <c r="I19" s="21">
        <v>13378</v>
      </c>
      <c r="J19" s="21">
        <v>45225</v>
      </c>
      <c r="K19" s="21">
        <v>106502</v>
      </c>
      <c r="L19" s="32">
        <v>5011</v>
      </c>
      <c r="M19" s="19">
        <v>19988</v>
      </c>
      <c r="N19" s="19">
        <v>9681</v>
      </c>
    </row>
    <row r="20" spans="1:14" ht="16.5" x14ac:dyDescent="0.3">
      <c r="A20" s="12"/>
      <c r="B20" s="32"/>
      <c r="C20" s="32"/>
      <c r="D20" s="32"/>
      <c r="E20" s="32"/>
      <c r="F20" s="32"/>
      <c r="G20" s="32"/>
      <c r="H20" s="32"/>
      <c r="I20" s="21"/>
      <c r="J20" s="21"/>
      <c r="K20" s="32"/>
      <c r="L20" s="21"/>
      <c r="M20" s="19"/>
      <c r="N20" s="19"/>
    </row>
    <row r="21" spans="1:14" ht="17.25" x14ac:dyDescent="0.35">
      <c r="A21" s="20" t="s">
        <v>5</v>
      </c>
      <c r="B21" s="32"/>
      <c r="C21" s="32"/>
      <c r="D21" s="32"/>
      <c r="E21" s="21"/>
      <c r="F21" s="21"/>
      <c r="G21" s="32"/>
      <c r="H21" s="32"/>
      <c r="I21" s="32"/>
      <c r="J21" s="32"/>
      <c r="K21" s="32"/>
      <c r="L21" s="21"/>
      <c r="M21" s="19"/>
      <c r="N21" s="19"/>
    </row>
    <row r="22" spans="1:14" ht="16.5" x14ac:dyDescent="0.3">
      <c r="A22" s="17" t="s">
        <v>64</v>
      </c>
      <c r="B22" s="33">
        <f>+C22+F22+N22</f>
        <v>7640448842.2700005</v>
      </c>
      <c r="C22" s="18">
        <f>D22</f>
        <v>5442326354.7700005</v>
      </c>
      <c r="D22" s="46">
        <v>5442326354.7700005</v>
      </c>
      <c r="E22" s="46"/>
      <c r="F22" s="18">
        <f>G22</f>
        <v>1507700793</v>
      </c>
      <c r="G22" s="46">
        <v>1507700793</v>
      </c>
      <c r="H22" s="46"/>
      <c r="I22" s="46"/>
      <c r="J22" s="46"/>
      <c r="K22" s="46"/>
      <c r="L22" s="46">
        <v>0</v>
      </c>
      <c r="M22" s="46"/>
      <c r="N22" s="19">
        <v>690421694.5</v>
      </c>
    </row>
    <row r="23" spans="1:14" ht="16.5" x14ac:dyDescent="0.3">
      <c r="A23" s="17" t="s">
        <v>93</v>
      </c>
      <c r="B23" s="33">
        <f t="shared" ref="B23:B26" si="3">+C23+F23+N23</f>
        <v>10512979180.874126</v>
      </c>
      <c r="C23" s="18">
        <f>+D23+E23</f>
        <v>7380166757.0031271</v>
      </c>
      <c r="D23" s="21">
        <v>7090784731.2542419</v>
      </c>
      <c r="E23" s="21">
        <v>289382025.74888504</v>
      </c>
      <c r="F23" s="18">
        <f>G23+L23</f>
        <v>2375254811.8709998</v>
      </c>
      <c r="G23" s="46">
        <v>2375254811.8709998</v>
      </c>
      <c r="H23" s="46"/>
      <c r="I23" s="46"/>
      <c r="J23" s="46"/>
      <c r="K23" s="46"/>
      <c r="L23" s="46">
        <v>0</v>
      </c>
      <c r="M23" s="46"/>
      <c r="N23" s="19">
        <v>757557612</v>
      </c>
    </row>
    <row r="24" spans="1:14" ht="16.5" x14ac:dyDescent="0.3">
      <c r="A24" s="17" t="s">
        <v>94</v>
      </c>
      <c r="B24" s="33">
        <f t="shared" si="3"/>
        <v>7540884030.8000002</v>
      </c>
      <c r="C24" s="18">
        <f>D24</f>
        <v>2698898273.6399999</v>
      </c>
      <c r="D24" s="46">
        <v>2698898273.6399999</v>
      </c>
      <c r="E24" s="46"/>
      <c r="F24" s="18">
        <f t="shared" ref="F24:F25" si="4">G24+L24</f>
        <v>4303857556.1999998</v>
      </c>
      <c r="G24" s="46">
        <v>4303857556.1999998</v>
      </c>
      <c r="H24" s="46"/>
      <c r="I24" s="46"/>
      <c r="J24" s="46"/>
      <c r="K24" s="46"/>
      <c r="L24" s="46">
        <v>0</v>
      </c>
      <c r="M24" s="46"/>
      <c r="N24" s="19">
        <v>538128200.96000004</v>
      </c>
    </row>
    <row r="25" spans="1:14" ht="16.5" x14ac:dyDescent="0.3">
      <c r="A25" s="17" t="s">
        <v>86</v>
      </c>
      <c r="B25" s="33">
        <f t="shared" si="3"/>
        <v>35269564865.37706</v>
      </c>
      <c r="C25" s="33">
        <f>+D25+E25</f>
        <v>23632608492.237061</v>
      </c>
      <c r="D25" s="21">
        <v>22438501948.074116</v>
      </c>
      <c r="E25" s="21">
        <v>1194106544.1629448</v>
      </c>
      <c r="F25" s="18">
        <f t="shared" si="4"/>
        <v>8823178220</v>
      </c>
      <c r="G25" s="46">
        <v>8034106240</v>
      </c>
      <c r="H25" s="46"/>
      <c r="I25" s="46"/>
      <c r="J25" s="46"/>
      <c r="K25" s="46"/>
      <c r="L25" s="46">
        <v>789071980</v>
      </c>
      <c r="M25" s="46"/>
      <c r="N25" s="19">
        <v>2813778153.1399999</v>
      </c>
    </row>
    <row r="26" spans="1:14" ht="16.5" x14ac:dyDescent="0.3">
      <c r="A26" s="17" t="s">
        <v>95</v>
      </c>
      <c r="B26" s="33">
        <f t="shared" si="3"/>
        <v>7540884030.8000002</v>
      </c>
      <c r="C26" s="18">
        <f>C24</f>
        <v>2698898273.6399999</v>
      </c>
      <c r="D26" s="18"/>
      <c r="E26" s="18"/>
      <c r="F26" s="18">
        <f>F24</f>
        <v>4303857556.1999998</v>
      </c>
      <c r="G26" s="18"/>
      <c r="H26" s="18"/>
      <c r="I26" s="18"/>
      <c r="J26" s="18"/>
      <c r="K26" s="18"/>
      <c r="L26" s="46"/>
      <c r="M26" s="46"/>
      <c r="N26" s="19">
        <f>+N24</f>
        <v>538128200.96000004</v>
      </c>
    </row>
    <row r="27" spans="1:14" ht="16.5" x14ac:dyDescent="0.3">
      <c r="A27" s="1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21"/>
      <c r="M27" s="19"/>
      <c r="N27" s="19"/>
    </row>
    <row r="28" spans="1:14" ht="17.25" x14ac:dyDescent="0.35">
      <c r="A28" s="20" t="s">
        <v>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19"/>
      <c r="N28" s="19"/>
    </row>
    <row r="29" spans="1:14" ht="16.5" x14ac:dyDescent="0.3">
      <c r="A29" s="17" t="s">
        <v>93</v>
      </c>
      <c r="B29" s="32">
        <f>B23</f>
        <v>10512979180.874126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19"/>
      <c r="N29" s="19"/>
    </row>
    <row r="30" spans="1:14" ht="16.5" x14ac:dyDescent="0.3">
      <c r="A30" s="17" t="s">
        <v>94</v>
      </c>
      <c r="B30" s="33">
        <v>10227801938.389999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19"/>
      <c r="N30" s="19"/>
    </row>
    <row r="31" spans="1:14" ht="16.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ht="17.25" x14ac:dyDescent="0.35">
      <c r="A32" s="16" t="s">
        <v>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6.5" x14ac:dyDescent="0.3">
      <c r="A33" s="17" t="s">
        <v>65</v>
      </c>
      <c r="B33" s="22">
        <v>1.0552807376</v>
      </c>
      <c r="C33" s="22">
        <v>1.0552807376</v>
      </c>
      <c r="D33" s="22">
        <v>1.0552807376</v>
      </c>
      <c r="E33" s="22">
        <v>1.0552807376</v>
      </c>
      <c r="F33" s="22">
        <v>1.0552807376</v>
      </c>
      <c r="G33" s="22">
        <v>1.0552807376</v>
      </c>
      <c r="H33" s="22">
        <v>1.0552807376</v>
      </c>
      <c r="I33" s="22">
        <v>1.0552807376</v>
      </c>
      <c r="J33" s="22">
        <v>1.0552807376</v>
      </c>
      <c r="K33" s="22">
        <v>1.0552807376</v>
      </c>
      <c r="L33" s="22">
        <v>1.0552807376</v>
      </c>
      <c r="M33" s="22">
        <v>1.0552807376</v>
      </c>
      <c r="N33" s="22">
        <v>1.0552807376</v>
      </c>
    </row>
    <row r="34" spans="1:14" ht="16.5" x14ac:dyDescent="0.3">
      <c r="A34" s="17" t="s">
        <v>96</v>
      </c>
      <c r="B34" s="22">
        <v>1.0586</v>
      </c>
      <c r="C34" s="22">
        <v>1.0586</v>
      </c>
      <c r="D34" s="22">
        <v>1.0586</v>
      </c>
      <c r="E34" s="22">
        <v>1.0586</v>
      </c>
      <c r="F34" s="22">
        <v>1.0586</v>
      </c>
      <c r="G34" s="22">
        <v>1.0586</v>
      </c>
      <c r="H34" s="22">
        <v>1.0586</v>
      </c>
      <c r="I34" s="22">
        <v>1.0586</v>
      </c>
      <c r="J34" s="22">
        <v>1.0586</v>
      </c>
      <c r="K34" s="22">
        <v>1.0586</v>
      </c>
      <c r="L34" s="22">
        <v>1.0586</v>
      </c>
      <c r="M34" s="22">
        <v>1.0586</v>
      </c>
      <c r="N34" s="22">
        <v>1.0586</v>
      </c>
    </row>
    <row r="35" spans="1:14" ht="15.75" customHeight="1" x14ac:dyDescent="0.3">
      <c r="A35" s="34" t="s">
        <v>8</v>
      </c>
      <c r="B35" s="19">
        <v>92427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6.5" x14ac:dyDescent="0.3">
      <c r="A36" s="1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7.25" x14ac:dyDescent="0.35">
      <c r="A37" s="16" t="s">
        <v>9</v>
      </c>
      <c r="B37" s="19"/>
      <c r="C37" s="19"/>
      <c r="D37" s="18"/>
      <c r="E37" s="18"/>
      <c r="F37" s="18"/>
      <c r="G37" s="46"/>
      <c r="H37" s="46"/>
      <c r="I37" s="46"/>
      <c r="J37" s="46"/>
      <c r="K37" s="19"/>
      <c r="L37" s="19"/>
      <c r="M37" s="19"/>
      <c r="N37" s="19"/>
    </row>
    <row r="38" spans="1:14" ht="16.5" x14ac:dyDescent="0.3">
      <c r="A38" s="12" t="s">
        <v>66</v>
      </c>
      <c r="B38" s="21">
        <f>B22/B33</f>
        <v>7240204971.092804</v>
      </c>
      <c r="C38" s="21">
        <f t="shared" ref="C38:F38" si="5">C22/C33</f>
        <v>5157230830.4872074</v>
      </c>
      <c r="D38" s="21"/>
      <c r="E38" s="21"/>
      <c r="F38" s="21">
        <f t="shared" si="5"/>
        <v>1428720092.4646158</v>
      </c>
      <c r="G38" s="21"/>
      <c r="H38" s="21"/>
      <c r="I38" s="21"/>
      <c r="J38" s="21"/>
      <c r="K38" s="21"/>
      <c r="L38" s="21"/>
      <c r="M38" s="21"/>
      <c r="N38" s="21">
        <f>N22/N33</f>
        <v>654254048.14098072</v>
      </c>
    </row>
    <row r="39" spans="1:14" ht="16.5" x14ac:dyDescent="0.3">
      <c r="A39" s="12" t="s">
        <v>97</v>
      </c>
      <c r="B39" s="21">
        <f>B24/B34</f>
        <v>7123449868.5055733</v>
      </c>
      <c r="C39" s="21">
        <f t="shared" ref="C39:F39" si="6">C24/C34</f>
        <v>2549497707.9539013</v>
      </c>
      <c r="D39" s="21"/>
      <c r="E39" s="21"/>
      <c r="F39" s="21">
        <f t="shared" si="6"/>
        <v>4065612654.6382012</v>
      </c>
      <c r="G39" s="21"/>
      <c r="H39" s="21"/>
      <c r="I39" s="21"/>
      <c r="J39" s="21"/>
      <c r="K39" s="21"/>
      <c r="L39" s="21"/>
      <c r="M39" s="21"/>
      <c r="N39" s="21">
        <f>N24/N34</f>
        <v>508339505.91347069</v>
      </c>
    </row>
    <row r="40" spans="1:14" ht="16.5" x14ac:dyDescent="0.3">
      <c r="A40" s="12" t="s">
        <v>67</v>
      </c>
      <c r="B40" s="21">
        <f>B38/B16</f>
        <v>54365.280574669829</v>
      </c>
      <c r="C40" s="21">
        <f t="shared" ref="C40:F40" si="7">C38/C16</f>
        <v>107139.49110127363</v>
      </c>
      <c r="D40" s="21"/>
      <c r="E40" s="21"/>
      <c r="F40" s="21">
        <f t="shared" si="7"/>
        <v>10844.833784705073</v>
      </c>
      <c r="G40" s="21"/>
      <c r="H40" s="21"/>
      <c r="I40" s="21"/>
      <c r="J40" s="21"/>
      <c r="K40" s="21"/>
      <c r="L40" s="21"/>
      <c r="M40" s="21"/>
      <c r="N40" s="21">
        <f>N38/N16</f>
        <v>71184.207174516458</v>
      </c>
    </row>
    <row r="41" spans="1:14" ht="16.5" x14ac:dyDescent="0.3">
      <c r="A41" s="12" t="s">
        <v>98</v>
      </c>
      <c r="B41" s="21">
        <f>B39/B18</f>
        <v>47717.969765381298</v>
      </c>
      <c r="C41" s="21">
        <f t="shared" ref="C41:F41" si="8">C39/C18</f>
        <v>66928.246868293427</v>
      </c>
      <c r="D41" s="21"/>
      <c r="E41" s="21"/>
      <c r="F41" s="21">
        <f t="shared" si="8"/>
        <v>30062.64995517681</v>
      </c>
      <c r="G41" s="21"/>
      <c r="H41" s="21"/>
      <c r="I41" s="21"/>
      <c r="J41" s="21"/>
      <c r="K41" s="21"/>
      <c r="L41" s="21"/>
      <c r="M41" s="21"/>
      <c r="N41" s="21">
        <f t="shared" ref="N41" si="9">N39/N18</f>
        <v>55214.283770471113</v>
      </c>
    </row>
    <row r="42" spans="1:14" ht="16.5" x14ac:dyDescent="0.3">
      <c r="A42" s="12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4" ht="17.25" x14ac:dyDescent="0.35">
      <c r="A43" s="16" t="s">
        <v>10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 ht="16.5" x14ac:dyDescent="0.3">
      <c r="A44" s="12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4" ht="17.25" x14ac:dyDescent="0.35">
      <c r="A45" s="16" t="s">
        <v>11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ht="16.5" x14ac:dyDescent="0.3">
      <c r="A46" s="12" t="s">
        <v>12</v>
      </c>
      <c r="B46" s="25">
        <f t="shared" ref="B46" si="10">(B17/B35)*100</f>
        <v>176.29696950025425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 ht="16.5" x14ac:dyDescent="0.3">
      <c r="A47" s="12" t="s">
        <v>13</v>
      </c>
      <c r="B47" s="25">
        <f t="shared" ref="B47" si="11">(B18/B35)*100</f>
        <v>161.513771228465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 ht="16.5" x14ac:dyDescent="0.3">
      <c r="A48" s="12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 ht="17.25" x14ac:dyDescent="0.35">
      <c r="A49" s="16" t="s">
        <v>14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 ht="16.5" x14ac:dyDescent="0.3">
      <c r="A50" s="12" t="s">
        <v>15</v>
      </c>
      <c r="B50" s="25">
        <f t="shared" ref="B50:N50" si="12">B18/B17*100</f>
        <v>91.61460442927924</v>
      </c>
      <c r="C50" s="25">
        <f t="shared" si="12"/>
        <v>48.845320373908471</v>
      </c>
      <c r="D50" s="25">
        <f t="shared" si="12"/>
        <v>81.428058844635814</v>
      </c>
      <c r="E50" s="25">
        <f t="shared" si="12"/>
        <v>0.85508027607783565</v>
      </c>
      <c r="F50" s="25">
        <f t="shared" si="12"/>
        <v>90.85522337924084</v>
      </c>
      <c r="G50" s="25">
        <f t="shared" si="12"/>
        <v>107.29566119190604</v>
      </c>
      <c r="H50" s="25">
        <f t="shared" si="12"/>
        <v>77.227374929735802</v>
      </c>
      <c r="I50" s="25">
        <f t="shared" si="12"/>
        <v>68.20401654457568</v>
      </c>
      <c r="J50" s="25">
        <f t="shared" si="12"/>
        <v>69.985821348997362</v>
      </c>
      <c r="K50" s="25">
        <f t="shared" si="12"/>
        <v>94.257313555830251</v>
      </c>
      <c r="L50" s="25" t="s">
        <v>53</v>
      </c>
      <c r="M50" s="25" t="s">
        <v>53</v>
      </c>
      <c r="N50" s="25">
        <f t="shared" si="12"/>
        <v>95.100368419240439</v>
      </c>
    </row>
    <row r="51" spans="1:14" ht="16.5" x14ac:dyDescent="0.3">
      <c r="A51" s="12" t="s">
        <v>16</v>
      </c>
      <c r="B51" s="25">
        <f>B24/B23*100</f>
        <v>71.729277696267587</v>
      </c>
      <c r="C51" s="25">
        <f>C24/C23*100</f>
        <v>36.569610992583378</v>
      </c>
      <c r="D51" s="25"/>
      <c r="E51" s="25"/>
      <c r="F51" s="25">
        <f>F24/F23*100</f>
        <v>181.1956146637518</v>
      </c>
      <c r="G51" s="25"/>
      <c r="H51" s="25"/>
      <c r="I51" s="25"/>
      <c r="J51" s="25"/>
      <c r="K51" s="25"/>
      <c r="L51" s="25"/>
      <c r="M51" s="25"/>
      <c r="N51" s="25">
        <f t="shared" ref="N51" si="13">N24/N23*100</f>
        <v>71.03462395939863</v>
      </c>
    </row>
    <row r="52" spans="1:14" ht="16.5" x14ac:dyDescent="0.3">
      <c r="A52" s="12" t="s">
        <v>17</v>
      </c>
      <c r="B52" s="25">
        <f>AVERAGE(B50:B51)</f>
        <v>81.671941062773413</v>
      </c>
      <c r="C52" s="25">
        <f t="shared" ref="C52" si="14">AVERAGE(C50:C51)</f>
        <v>42.707465683245928</v>
      </c>
      <c r="D52" s="25"/>
      <c r="E52" s="25"/>
      <c r="F52" s="25">
        <f t="shared" ref="F52" si="15">AVERAGE(F50:F51)</f>
        <v>136.0254190214963</v>
      </c>
      <c r="G52" s="25"/>
      <c r="H52" s="25"/>
      <c r="I52" s="25"/>
      <c r="J52" s="25"/>
      <c r="K52" s="25"/>
      <c r="L52" s="25"/>
      <c r="M52" s="25"/>
      <c r="N52" s="25">
        <f t="shared" ref="N52" si="16">AVERAGE(N50:N51)</f>
        <v>83.067496189319542</v>
      </c>
    </row>
    <row r="53" spans="1:14" ht="16.5" x14ac:dyDescent="0.3">
      <c r="A53" s="12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ht="17.25" x14ac:dyDescent="0.35">
      <c r="A54" s="16" t="s">
        <v>18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ht="16.5" x14ac:dyDescent="0.3">
      <c r="A55" s="12" t="s">
        <v>19</v>
      </c>
      <c r="B55" s="25">
        <f t="shared" ref="B55:N55" si="17">((B18/B19)*100)</f>
        <v>88.296604446897973</v>
      </c>
      <c r="C55" s="25">
        <f t="shared" si="17"/>
        <v>54.796668440813058</v>
      </c>
      <c r="D55" s="25">
        <f t="shared" si="17"/>
        <v>88.830609648693624</v>
      </c>
      <c r="E55" s="25">
        <f t="shared" si="17"/>
        <v>1.0010703657186018</v>
      </c>
      <c r="F55" s="25">
        <f t="shared" si="17"/>
        <v>82.535168289036037</v>
      </c>
      <c r="G55" s="25">
        <f t="shared" si="17"/>
        <v>107.29566119190604</v>
      </c>
      <c r="H55" s="25">
        <f t="shared" si="17"/>
        <v>77.227374929735802</v>
      </c>
      <c r="I55" s="25">
        <f t="shared" si="17"/>
        <v>68.20401654457568</v>
      </c>
      <c r="J55" s="25">
        <f t="shared" si="17"/>
        <v>76.400221116639017</v>
      </c>
      <c r="K55" s="25">
        <f t="shared" si="17"/>
        <v>103.10228915888904</v>
      </c>
      <c r="L55" s="25">
        <f t="shared" si="17"/>
        <v>0</v>
      </c>
      <c r="M55" s="25">
        <f t="shared" si="17"/>
        <v>8.2699619771863109</v>
      </c>
      <c r="N55" s="25">
        <f t="shared" si="17"/>
        <v>95.100368419240439</v>
      </c>
    </row>
    <row r="56" spans="1:14" ht="16.5" x14ac:dyDescent="0.3">
      <c r="A56" s="12" t="s">
        <v>20</v>
      </c>
      <c r="B56" s="25">
        <f>B24/B25*100</f>
        <v>21.380711839182997</v>
      </c>
      <c r="C56" s="25">
        <f>C24/C25*100</f>
        <v>11.420230121979744</v>
      </c>
      <c r="D56" s="25"/>
      <c r="E56" s="25"/>
      <c r="F56" s="25">
        <f>F24/F25*100</f>
        <v>48.778993792103179</v>
      </c>
      <c r="G56" s="25"/>
      <c r="H56" s="25"/>
      <c r="I56" s="25"/>
      <c r="J56" s="25"/>
      <c r="K56" s="25"/>
      <c r="L56" s="25"/>
      <c r="M56" s="25"/>
      <c r="N56" s="25">
        <f t="shared" ref="N56" si="18">N24/N25*100</f>
        <v>19.124755814863466</v>
      </c>
    </row>
    <row r="57" spans="1:14" ht="16.5" x14ac:dyDescent="0.3">
      <c r="A57" s="12" t="s">
        <v>21</v>
      </c>
      <c r="B57" s="25">
        <f>(B55+B56)/2</f>
        <v>54.838658143040483</v>
      </c>
      <c r="C57" s="25">
        <f>(C55+C56)/2</f>
        <v>33.108449281396403</v>
      </c>
      <c r="D57" s="25"/>
      <c r="E57" s="25"/>
      <c r="F57" s="25">
        <f>(F55+F56)/2</f>
        <v>65.657081040569608</v>
      </c>
      <c r="G57" s="25"/>
      <c r="H57" s="25"/>
      <c r="I57" s="25"/>
      <c r="J57" s="25"/>
      <c r="K57" s="25"/>
      <c r="L57" s="25"/>
      <c r="M57" s="25"/>
      <c r="N57" s="25">
        <f t="shared" ref="N57" si="19">(N55+N56)/2</f>
        <v>57.112562117051951</v>
      </c>
    </row>
    <row r="58" spans="1:14" ht="16.5" x14ac:dyDescent="0.3">
      <c r="A58" s="12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</row>
    <row r="59" spans="1:14" ht="17.25" x14ac:dyDescent="0.35">
      <c r="A59" s="16" t="s">
        <v>36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</row>
    <row r="60" spans="1:14" ht="16.5" x14ac:dyDescent="0.3">
      <c r="A60" s="12" t="s">
        <v>22</v>
      </c>
      <c r="B60" s="25">
        <f>B26/B24*100</f>
        <v>100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ht="16.5" x14ac:dyDescent="0.3">
      <c r="A61" s="12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1:14" ht="17.25" x14ac:dyDescent="0.35">
      <c r="A62" s="16" t="s">
        <v>23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 ht="16.5" x14ac:dyDescent="0.3">
      <c r="A63" s="12" t="s">
        <v>24</v>
      </c>
      <c r="B63" s="25">
        <f t="shared" ref="B63:N63" si="20">((B18/B16)-1)*100</f>
        <v>12.093179252673769</v>
      </c>
      <c r="C63" s="25">
        <f t="shared" si="20"/>
        <v>-20.863254551372169</v>
      </c>
      <c r="D63" s="25">
        <f t="shared" si="20"/>
        <v>39.713849487785666</v>
      </c>
      <c r="E63" s="25">
        <f t="shared" si="20"/>
        <v>-98.719754395404408</v>
      </c>
      <c r="F63" s="25">
        <f t="shared" si="20"/>
        <v>2.6536715701902303</v>
      </c>
      <c r="G63" s="25">
        <f t="shared" si="20"/>
        <v>36.860887220820771</v>
      </c>
      <c r="H63" s="25">
        <f t="shared" si="20"/>
        <v>-5.0822574377132117</v>
      </c>
      <c r="I63" s="25">
        <f t="shared" si="20"/>
        <v>-10.525283561599053</v>
      </c>
      <c r="J63" s="25">
        <f t="shared" si="20"/>
        <v>3.064410284964314</v>
      </c>
      <c r="K63" s="25">
        <f t="shared" si="20"/>
        <v>3.4880542858489294</v>
      </c>
      <c r="L63" s="25" t="s">
        <v>53</v>
      </c>
      <c r="M63" s="25" t="s">
        <v>53</v>
      </c>
      <c r="N63" s="25">
        <f t="shared" si="20"/>
        <v>0.17045660610015556</v>
      </c>
    </row>
    <row r="64" spans="1:14" ht="16.5" x14ac:dyDescent="0.3">
      <c r="A64" s="12" t="s">
        <v>25</v>
      </c>
      <c r="B64" s="25">
        <f>((B39/B38)-1)*100</f>
        <v>-1.6125938844740784</v>
      </c>
      <c r="C64" s="25">
        <f>((C39/C38)-1)*100</f>
        <v>-50.564599651378252</v>
      </c>
      <c r="D64" s="25"/>
      <c r="E64" s="25"/>
      <c r="F64" s="25">
        <f>((F39/F38)-1)*100</f>
        <v>184.5632728258766</v>
      </c>
      <c r="G64" s="25"/>
      <c r="H64" s="25"/>
      <c r="I64" s="25"/>
      <c r="J64" s="25"/>
      <c r="K64" s="25"/>
      <c r="L64" s="25"/>
      <c r="M64" s="25"/>
      <c r="N64" s="25">
        <f t="shared" ref="N64" si="21">((N39/N38)-1)*100</f>
        <v>-22.302428642530604</v>
      </c>
    </row>
    <row r="65" spans="1:14" ht="16.5" x14ac:dyDescent="0.3">
      <c r="A65" s="12" t="s">
        <v>26</v>
      </c>
      <c r="B65" s="25">
        <f>((B41/B40)-1)*100</f>
        <v>-12.227124994156069</v>
      </c>
      <c r="C65" s="25">
        <f>((C41/C40)-1)*100</f>
        <v>-37.531673727076523</v>
      </c>
      <c r="D65" s="25"/>
      <c r="E65" s="25"/>
      <c r="F65" s="25">
        <f>((F41/F40)-1)*100</f>
        <v>177.20710664625798</v>
      </c>
      <c r="G65" s="25"/>
      <c r="H65" s="25"/>
      <c r="I65" s="25"/>
      <c r="J65" s="25"/>
      <c r="K65" s="25"/>
      <c r="L65" s="25"/>
      <c r="M65" s="25"/>
      <c r="N65" s="25">
        <f t="shared" ref="N65" si="22">((N41/N40)-1)*100</f>
        <v>-22.434643916020867</v>
      </c>
    </row>
    <row r="66" spans="1:14" ht="16.5" x14ac:dyDescent="0.3">
      <c r="A66" s="12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</row>
    <row r="67" spans="1:14" ht="17.25" x14ac:dyDescent="0.35">
      <c r="A67" s="16" t="s">
        <v>27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</row>
    <row r="68" spans="1:14" ht="16.5" x14ac:dyDescent="0.3">
      <c r="A68" s="12" t="s">
        <v>39</v>
      </c>
      <c r="B68" s="25">
        <f>B23/(B17*3)</f>
        <v>21506.059637086575</v>
      </c>
      <c r="C68" s="25">
        <f>C23/(C17*3)</f>
        <v>31544.431580490455</v>
      </c>
      <c r="D68" s="25"/>
      <c r="E68" s="25"/>
      <c r="F68" s="25">
        <f>F23/(F17*3)</f>
        <v>5319.1239768693313</v>
      </c>
      <c r="G68" s="25"/>
      <c r="H68" s="25"/>
      <c r="I68" s="25"/>
      <c r="J68" s="25"/>
      <c r="K68" s="25"/>
      <c r="L68" s="25"/>
      <c r="M68" s="25"/>
      <c r="N68" s="25">
        <f t="shared" ref="N68:N69" si="23">N23/(N17*3)</f>
        <v>26084</v>
      </c>
    </row>
    <row r="69" spans="1:14" ht="16.5" x14ac:dyDescent="0.3">
      <c r="A69" s="12" t="s">
        <v>40</v>
      </c>
      <c r="B69" s="25">
        <f>B24/(B18*3)</f>
        <v>16838.080931210883</v>
      </c>
      <c r="C69" s="25">
        <f>C24/(C18*3)</f>
        <v>23616.747378258471</v>
      </c>
      <c r="D69" s="25"/>
      <c r="E69" s="25"/>
      <c r="F69" s="25">
        <f>F24/(F18*3)</f>
        <v>10608.107080850057</v>
      </c>
      <c r="G69" s="25"/>
      <c r="H69" s="25"/>
      <c r="I69" s="25"/>
      <c r="J69" s="25"/>
      <c r="K69" s="25"/>
      <c r="L69" s="25"/>
      <c r="M69" s="25"/>
      <c r="N69" s="25">
        <f t="shared" si="23"/>
        <v>19483.280266473572</v>
      </c>
    </row>
    <row r="70" spans="1:14" ht="16.5" x14ac:dyDescent="0.3">
      <c r="A70" s="12" t="s">
        <v>30</v>
      </c>
      <c r="B70" s="25">
        <f>(B69/B68)*B52</f>
        <v>63.944710310975509</v>
      </c>
      <c r="C70" s="25">
        <f>(C69/C68)*C52</f>
        <v>31.974309812279714</v>
      </c>
      <c r="D70" s="25"/>
      <c r="E70" s="25"/>
      <c r="F70" s="25">
        <f>(F69/F68)*F52</f>
        <v>271.28004855168257</v>
      </c>
      <c r="G70" s="25"/>
      <c r="H70" s="25"/>
      <c r="I70" s="25"/>
      <c r="J70" s="25"/>
      <c r="K70" s="25"/>
      <c r="L70" s="25"/>
      <c r="M70" s="25"/>
      <c r="N70" s="25">
        <f t="shared" ref="N70" si="24">(N69/N68)*N52</f>
        <v>62.046745487300186</v>
      </c>
    </row>
    <row r="71" spans="1:14" ht="16.5" x14ac:dyDescent="0.3">
      <c r="A71" s="35" t="s">
        <v>35</v>
      </c>
      <c r="B71" s="25">
        <f>B23/B17</f>
        <v>64518.178911259718</v>
      </c>
      <c r="C71" s="25">
        <f>C23/C17</f>
        <v>94633.294741471356</v>
      </c>
      <c r="D71" s="25"/>
      <c r="E71" s="25"/>
      <c r="F71" s="25">
        <f>F23/F17</f>
        <v>15957.371930607993</v>
      </c>
      <c r="G71" s="25"/>
      <c r="H71" s="25"/>
      <c r="I71" s="25"/>
      <c r="J71" s="25"/>
      <c r="K71" s="25"/>
      <c r="L71" s="25"/>
      <c r="M71" s="25"/>
      <c r="N71" s="25">
        <f t="shared" ref="N71:N72" si="25">N23/N17</f>
        <v>78252</v>
      </c>
    </row>
    <row r="72" spans="1:14" ht="16.5" x14ac:dyDescent="0.3">
      <c r="A72" s="35" t="s">
        <v>34</v>
      </c>
      <c r="B72" s="25">
        <f>B24/B18</f>
        <v>50514.242793632642</v>
      </c>
      <c r="C72" s="25">
        <f>C24/C18</f>
        <v>70850.242134775413</v>
      </c>
      <c r="D72" s="25"/>
      <c r="E72" s="25"/>
      <c r="F72" s="25">
        <f>F24/F18</f>
        <v>31824.32124255017</v>
      </c>
      <c r="G72" s="25"/>
      <c r="H72" s="25"/>
      <c r="I72" s="25"/>
      <c r="J72" s="25"/>
      <c r="K72" s="25"/>
      <c r="L72" s="25"/>
      <c r="M72" s="25"/>
      <c r="N72" s="25">
        <f t="shared" si="25"/>
        <v>58449.840799420715</v>
      </c>
    </row>
    <row r="73" spans="1:14" ht="16.5" x14ac:dyDescent="0.3">
      <c r="A73" s="12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</row>
    <row r="74" spans="1:14" ht="17.25" x14ac:dyDescent="0.35">
      <c r="A74" s="16" t="s">
        <v>31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4" ht="16.5" x14ac:dyDescent="0.3">
      <c r="A75" s="12" t="s">
        <v>32</v>
      </c>
      <c r="B75" s="25">
        <f>(B30/B29)*100</f>
        <v>97.287379366231988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</row>
    <row r="76" spans="1:14" ht="17.25" thickBot="1" x14ac:dyDescent="0.35">
      <c r="A76" s="27" t="s">
        <v>33</v>
      </c>
      <c r="B76" s="31">
        <f>(B24/B30)*100</f>
        <v>73.729273173499109</v>
      </c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1:14" ht="17.25" thickTop="1" x14ac:dyDescent="0.3">
      <c r="A77" s="47" t="s">
        <v>91</v>
      </c>
      <c r="B77" s="47"/>
      <c r="C77" s="47"/>
      <c r="D77" s="47"/>
      <c r="E77" s="47"/>
      <c r="F77" s="47"/>
      <c r="G77" s="29"/>
      <c r="H77" s="29"/>
      <c r="I77" s="29"/>
      <c r="J77" s="29"/>
      <c r="K77" s="29"/>
      <c r="L77" s="29"/>
      <c r="M77" s="12"/>
      <c r="N77" s="12"/>
    </row>
    <row r="78" spans="1:14" ht="17.25" x14ac:dyDescent="0.35">
      <c r="A78" s="29" t="s">
        <v>92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12"/>
      <c r="N78" s="12"/>
    </row>
    <row r="79" spans="1:14" ht="16.5" x14ac:dyDescent="0.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</sheetData>
  <mergeCells count="18">
    <mergeCell ref="G10:K10"/>
    <mergeCell ref="G22:K22"/>
    <mergeCell ref="G23:K23"/>
    <mergeCell ref="G24:K24"/>
    <mergeCell ref="C9:N9"/>
    <mergeCell ref="B9:B10"/>
    <mergeCell ref="A9:A10"/>
    <mergeCell ref="D10:E10"/>
    <mergeCell ref="D22:E22"/>
    <mergeCell ref="D24:E24"/>
    <mergeCell ref="A77:F77"/>
    <mergeCell ref="L22:M22"/>
    <mergeCell ref="L23:M23"/>
    <mergeCell ref="L24:M24"/>
    <mergeCell ref="L25:M25"/>
    <mergeCell ref="L26:M26"/>
    <mergeCell ref="G37:J37"/>
    <mergeCell ref="G25:K25"/>
  </mergeCells>
  <pageMargins left="0.7" right="0.7" top="0.75" bottom="0.75" header="0.3" footer="0.3"/>
  <pageSetup orientation="portrait" r:id="rId1"/>
  <ignoredErrors>
    <ignoredError sqref="C23:C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V93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3" customWidth="1"/>
    <col min="2" max="2" width="16.28515625" style="3" customWidth="1"/>
    <col min="3" max="3" width="18.5703125" style="3" customWidth="1"/>
    <col min="4" max="5" width="15.7109375" style="3" customWidth="1"/>
    <col min="6" max="6" width="16.28515625" style="3" customWidth="1"/>
    <col min="7" max="14" width="15.7109375" style="3" customWidth="1"/>
    <col min="15" max="16384" width="11.42578125" style="3"/>
  </cols>
  <sheetData>
    <row r="9" spans="1:22" ht="17.25" x14ac:dyDescent="0.35">
      <c r="A9" s="48" t="s">
        <v>0</v>
      </c>
      <c r="B9" s="52" t="s">
        <v>47</v>
      </c>
      <c r="C9" s="53" t="s">
        <v>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12"/>
      <c r="P9" s="12"/>
      <c r="Q9" s="12"/>
      <c r="R9" s="12"/>
      <c r="S9" s="12"/>
      <c r="T9" s="12"/>
      <c r="U9" s="12"/>
      <c r="V9" s="12"/>
    </row>
    <row r="10" spans="1:22" ht="87" thickBot="1" x14ac:dyDescent="0.35">
      <c r="A10" s="49"/>
      <c r="B10" s="50"/>
      <c r="C10" s="38" t="s">
        <v>46</v>
      </c>
      <c r="D10" s="50" t="s">
        <v>49</v>
      </c>
      <c r="E10" s="50"/>
      <c r="F10" s="38" t="s">
        <v>43</v>
      </c>
      <c r="G10" s="49" t="s">
        <v>48</v>
      </c>
      <c r="H10" s="49"/>
      <c r="I10" s="49"/>
      <c r="J10" s="49"/>
      <c r="K10" s="49"/>
      <c r="L10" s="39" t="s">
        <v>72</v>
      </c>
      <c r="M10" s="39" t="s">
        <v>73</v>
      </c>
      <c r="N10" s="39" t="s">
        <v>52</v>
      </c>
      <c r="O10" s="12"/>
      <c r="P10" s="12"/>
      <c r="Q10" s="12"/>
      <c r="R10" s="12"/>
      <c r="S10" s="12"/>
      <c r="T10" s="12"/>
      <c r="U10" s="12"/>
      <c r="V10" s="12"/>
    </row>
    <row r="11" spans="1:22" ht="50.25" thickTop="1" x14ac:dyDescent="0.3">
      <c r="A11" s="12"/>
      <c r="B11" s="13" t="s">
        <v>1</v>
      </c>
      <c r="C11" s="14" t="s">
        <v>51</v>
      </c>
      <c r="D11" s="15" t="s">
        <v>54</v>
      </c>
      <c r="E11" s="15" t="s">
        <v>50</v>
      </c>
      <c r="F11" s="13" t="s">
        <v>45</v>
      </c>
      <c r="G11" s="13" t="s">
        <v>83</v>
      </c>
      <c r="H11" s="13" t="s">
        <v>55</v>
      </c>
      <c r="I11" s="13" t="s">
        <v>56</v>
      </c>
      <c r="J11" s="13" t="s">
        <v>57</v>
      </c>
      <c r="K11" s="13" t="s">
        <v>58</v>
      </c>
      <c r="L11" s="13" t="s">
        <v>74</v>
      </c>
      <c r="M11" s="13" t="s">
        <v>58</v>
      </c>
      <c r="N11" s="13" t="s">
        <v>59</v>
      </c>
      <c r="O11" s="12"/>
      <c r="P11" s="12"/>
      <c r="Q11" s="12"/>
      <c r="R11" s="12"/>
      <c r="S11" s="12"/>
      <c r="T11" s="12"/>
      <c r="U11" s="12"/>
      <c r="V11" s="12"/>
    </row>
    <row r="12" spans="1:22" ht="16.5" x14ac:dyDescent="0.3">
      <c r="A12" s="12"/>
      <c r="B12" s="13"/>
      <c r="C12" s="14"/>
      <c r="D12" s="15"/>
      <c r="E12" s="15"/>
      <c r="F12" s="13"/>
      <c r="G12" s="13"/>
      <c r="H12" s="13"/>
      <c r="I12" s="13"/>
      <c r="J12" s="13"/>
      <c r="K12" s="13"/>
      <c r="L12" s="13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7.25" x14ac:dyDescent="0.35">
      <c r="A13" s="16" t="s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6.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7.25" x14ac:dyDescent="0.35">
      <c r="A15" s="16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6.5" x14ac:dyDescent="0.3">
      <c r="A16" s="17" t="s">
        <v>68</v>
      </c>
      <c r="B16" s="32">
        <f>+D16+K16</f>
        <v>125487</v>
      </c>
      <c r="C16" s="32">
        <f>D16+E16</f>
        <v>39729.333333333336</v>
      </c>
      <c r="D16" s="32">
        <f>(+'I Trimestre'!D16+'II Trimestre'!D16)/2</f>
        <v>23032.5</v>
      </c>
      <c r="E16" s="32">
        <f>(+'I Trimestre'!E16+'II Trimestre'!E16)/2</f>
        <v>16696.833333333336</v>
      </c>
      <c r="F16" s="32">
        <f>K16+I16+H16+L16+M16</f>
        <v>126048</v>
      </c>
      <c r="G16" s="32">
        <f>(+'I Trimestre'!G16+'II Trimestre'!G16)/2</f>
        <v>10089</v>
      </c>
      <c r="H16" s="32">
        <f>(+'I Trimestre'!H16+'II Trimestre'!H16)/2</f>
        <v>14292.666666666668</v>
      </c>
      <c r="I16" s="32">
        <f>(+'I Trimestre'!I16+'II Trimestre'!I16)/2</f>
        <v>9300.8333333333321</v>
      </c>
      <c r="J16" s="32">
        <f>(+'I Trimestre'!J16+'II Trimestre'!J16)/2</f>
        <v>31017.333333333332</v>
      </c>
      <c r="K16" s="32">
        <f>(+'I Trimestre'!K16+'II Trimestre'!K16)/2</f>
        <v>102454.5</v>
      </c>
      <c r="L16" s="32">
        <f>+('I Trimestre'!L16+'II Trimestre'!L16)/2</f>
        <v>0</v>
      </c>
      <c r="M16" s="32">
        <f>+('I Trimestre'!M16+'II Trimestre'!M16)/2</f>
        <v>0</v>
      </c>
      <c r="N16" s="32">
        <f>+('I Trimestre'!N16+'II Trimestre'!N16)/2</f>
        <v>8686.5</v>
      </c>
      <c r="O16" s="12"/>
      <c r="P16" s="12"/>
      <c r="Q16" s="12"/>
      <c r="R16" s="12"/>
      <c r="S16" s="12"/>
      <c r="T16" s="12"/>
      <c r="U16" s="12"/>
      <c r="V16" s="12"/>
    </row>
    <row r="17" spans="1:22" ht="16.5" x14ac:dyDescent="0.3">
      <c r="A17" s="17" t="s">
        <v>99</v>
      </c>
      <c r="B17" s="32">
        <f t="shared" ref="B17" si="0">+D17+K17</f>
        <v>151873.16666666666</v>
      </c>
      <c r="C17" s="32">
        <f t="shared" ref="C17:C19" si="1">D17+E17</f>
        <v>61047.166666666672</v>
      </c>
      <c r="D17" s="32">
        <f>(+'I Trimestre'!D17+'II Trimestre'!D17)/2</f>
        <v>38708.5</v>
      </c>
      <c r="E17" s="32">
        <f>(+'I Trimestre'!E17+'II Trimestre'!E17)/2</f>
        <v>22338.666666666668</v>
      </c>
      <c r="F17" s="32">
        <f>K17+I17+H17+L17+M17</f>
        <v>145518.66666666666</v>
      </c>
      <c r="G17" s="32">
        <f>(+'I Trimestre'!G17+'II Trimestre'!G17)/2</f>
        <v>13821</v>
      </c>
      <c r="H17" s="32">
        <f>(+'I Trimestre'!H17+'II Trimestre'!H17)/2</f>
        <v>18976</v>
      </c>
      <c r="I17" s="32">
        <f>(+'I Trimestre'!I17+'II Trimestre'!I17)/2</f>
        <v>13378</v>
      </c>
      <c r="J17" s="32">
        <f>(+'I Trimestre'!J17+'II Trimestre'!J17)/2</f>
        <v>45255.833333333328</v>
      </c>
      <c r="K17" s="32">
        <f>(+'I Trimestre'!K17+'II Trimestre'!K17)/2</f>
        <v>113164.66666666666</v>
      </c>
      <c r="L17" s="32">
        <f>+('I Trimestre'!L17+'II Trimestre'!L17)/2</f>
        <v>0</v>
      </c>
      <c r="M17" s="32">
        <f>+('I Trimestre'!M17+'II Trimestre'!M17)/2</f>
        <v>0</v>
      </c>
      <c r="N17" s="32">
        <f>+('I Trimestre'!N17+'II Trimestre'!N17)/2</f>
        <v>9681</v>
      </c>
      <c r="O17" s="12"/>
      <c r="P17" s="12"/>
      <c r="Q17" s="12"/>
      <c r="R17" s="12"/>
      <c r="S17" s="12"/>
      <c r="T17" s="12"/>
      <c r="U17" s="12"/>
      <c r="V17" s="12"/>
    </row>
    <row r="18" spans="1:22" ht="16.5" x14ac:dyDescent="0.3">
      <c r="A18" s="17" t="s">
        <v>100</v>
      </c>
      <c r="B18" s="32">
        <f>+D18+K18+M18</f>
        <v>134631.66666666669</v>
      </c>
      <c r="C18" s="32">
        <f t="shared" si="1"/>
        <v>33835.333333333336</v>
      </c>
      <c r="D18" s="32">
        <f>(+'I Trimestre'!D18+'II Trimestre'!D18)/2</f>
        <v>26894.5</v>
      </c>
      <c r="E18" s="32">
        <f>(+'I Trimestre'!E18+'II Trimestre'!E18)/2</f>
        <v>6940.8333333333339</v>
      </c>
      <c r="F18" s="32">
        <f t="shared" ref="F18:F19" si="2">K18+I18+H18+L18+M18</f>
        <v>130651.00000000003</v>
      </c>
      <c r="G18" s="32">
        <f>(+'I Trimestre'!G18+'II Trimestre'!G18)/2</f>
        <v>11730.833333333334</v>
      </c>
      <c r="H18" s="32">
        <f>(+'I Trimestre'!H18+'II Trimestre'!H18)/2</f>
        <v>14212</v>
      </c>
      <c r="I18" s="32">
        <f>(+'I Trimestre'!I18+'II Trimestre'!I18)/2</f>
        <v>8701.8333333333339</v>
      </c>
      <c r="J18" s="32">
        <f>(+'I Trimestre'!J18+'II Trimestre'!J18)/2</f>
        <v>31538.5</v>
      </c>
      <c r="K18" s="32">
        <f>(+'I Trimestre'!K18+'II Trimestre'!K18)/2</f>
        <v>101277.33333333334</v>
      </c>
      <c r="L18" s="32">
        <f>+('I Trimestre'!L18+'II Trimestre'!L18)/2</f>
        <v>0</v>
      </c>
      <c r="M18" s="32">
        <f>+('I Trimestre'!M18+'II Trimestre'!M18)/2</f>
        <v>6459.8333333333503</v>
      </c>
      <c r="N18" s="32">
        <f>+('I Trimestre'!N18+'II Trimestre'!N18)/2</f>
        <v>8878.8333333333321</v>
      </c>
      <c r="O18" s="12"/>
      <c r="P18" s="12"/>
      <c r="Q18" s="12"/>
      <c r="R18" s="12"/>
      <c r="S18" s="12"/>
      <c r="T18" s="12"/>
      <c r="U18" s="12"/>
      <c r="V18" s="12"/>
    </row>
    <row r="19" spans="1:22" ht="16.5" x14ac:dyDescent="0.3">
      <c r="A19" s="17" t="s">
        <v>86</v>
      </c>
      <c r="B19" s="32">
        <f>+D19+K19+M19</f>
        <v>169069.16666666666</v>
      </c>
      <c r="C19" s="32">
        <f t="shared" si="1"/>
        <v>69516.999999999971</v>
      </c>
      <c r="D19" s="21">
        <f>+'II Trimestre'!D19</f>
        <v>42579.166666666664</v>
      </c>
      <c r="E19" s="21">
        <f>+'II Trimestre'!E19</f>
        <v>26937.833333333299</v>
      </c>
      <c r="F19" s="32">
        <f t="shared" si="2"/>
        <v>163855</v>
      </c>
      <c r="G19" s="21">
        <f>+'II Trimestre'!G19</f>
        <v>13821</v>
      </c>
      <c r="H19" s="21">
        <f>+'II Trimestre'!H19</f>
        <v>18976</v>
      </c>
      <c r="I19" s="32">
        <f>'II Trimestre'!I19</f>
        <v>13378</v>
      </c>
      <c r="J19" s="32">
        <f>'II Trimestre'!J19</f>
        <v>45225</v>
      </c>
      <c r="K19" s="21">
        <f>+'II Trimestre'!K19</f>
        <v>106502</v>
      </c>
      <c r="L19" s="21">
        <f>+'II Trimestre'!L19</f>
        <v>5011</v>
      </c>
      <c r="M19" s="21">
        <f>+'II Trimestre'!M19</f>
        <v>19988</v>
      </c>
      <c r="N19" s="21">
        <f>+'II Trimestre'!N19</f>
        <v>9681</v>
      </c>
      <c r="O19" s="12"/>
      <c r="P19" s="12"/>
      <c r="Q19" s="12"/>
      <c r="R19" s="12"/>
      <c r="S19" s="12"/>
      <c r="T19" s="12"/>
      <c r="U19" s="12"/>
      <c r="V19" s="12"/>
    </row>
    <row r="20" spans="1:22" ht="16.5" x14ac:dyDescent="0.3">
      <c r="A20" s="12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9"/>
      <c r="M20" s="19"/>
      <c r="N20" s="19"/>
      <c r="O20" s="12"/>
      <c r="P20" s="12"/>
      <c r="Q20" s="12"/>
      <c r="R20" s="12"/>
      <c r="S20" s="12"/>
      <c r="T20" s="12"/>
      <c r="U20" s="12"/>
      <c r="V20" s="12"/>
    </row>
    <row r="21" spans="1:22" ht="17.25" x14ac:dyDescent="0.35">
      <c r="A21" s="20" t="s">
        <v>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9"/>
      <c r="M21" s="19"/>
      <c r="N21" s="19"/>
      <c r="O21" s="12"/>
      <c r="P21" s="12"/>
      <c r="Q21" s="12"/>
      <c r="R21" s="12"/>
      <c r="S21" s="12"/>
      <c r="T21" s="12"/>
      <c r="U21" s="12"/>
      <c r="V21" s="12"/>
    </row>
    <row r="22" spans="1:22" ht="16.5" x14ac:dyDescent="0.3">
      <c r="A22" s="17" t="s">
        <v>68</v>
      </c>
      <c r="B22" s="37">
        <f>C22+F22+N22</f>
        <v>10544386105.02</v>
      </c>
      <c r="C22" s="32">
        <f>+'I Trimestre'!C22+'II Trimestre'!C22</f>
        <v>7113647321.5200005</v>
      </c>
      <c r="D22" s="18"/>
      <c r="E22" s="18"/>
      <c r="F22" s="21">
        <f>+'I Trimestre'!F22+'II Trimestre'!F22</f>
        <v>2654146578</v>
      </c>
      <c r="G22" s="18"/>
      <c r="H22" s="18"/>
      <c r="I22" s="18"/>
      <c r="J22" s="18"/>
      <c r="K22" s="37"/>
      <c r="L22" s="54">
        <f>+'I Trimestre'!L22+'II Trimestre'!L22</f>
        <v>0</v>
      </c>
      <c r="M22" s="54"/>
      <c r="N22" s="19">
        <f>+'I Trimestre'!N22+'II Trimestre'!N22</f>
        <v>776592205.5</v>
      </c>
      <c r="O22" s="12"/>
      <c r="P22" s="12"/>
      <c r="Q22" s="12"/>
      <c r="R22" s="12"/>
      <c r="S22" s="12"/>
      <c r="T22" s="12"/>
      <c r="U22" s="12"/>
      <c r="V22" s="12"/>
    </row>
    <row r="23" spans="1:22" ht="16.5" x14ac:dyDescent="0.3">
      <c r="A23" s="17" t="s">
        <v>99</v>
      </c>
      <c r="B23" s="37">
        <f t="shared" ref="B23:B26" si="3">C23+F23+N23</f>
        <v>17062368468.515099</v>
      </c>
      <c r="C23" s="32">
        <f>+'I Trimestre'!C23+'II Trimestre'!C23</f>
        <v>11925861816.644098</v>
      </c>
      <c r="D23" s="18"/>
      <c r="E23" s="18"/>
      <c r="F23" s="21">
        <f>+'I Trimestre'!F23+'II Trimestre'!F23</f>
        <v>3873910631.8709998</v>
      </c>
      <c r="G23" s="18"/>
      <c r="H23" s="18"/>
      <c r="I23" s="18"/>
      <c r="J23" s="18"/>
      <c r="K23" s="37"/>
      <c r="L23" s="54">
        <f>+'I Trimestre'!L23+'II Trimestre'!L23</f>
        <v>0</v>
      </c>
      <c r="M23" s="54"/>
      <c r="N23" s="19">
        <f>+'I Trimestre'!N23+'II Trimestre'!N23</f>
        <v>1262596020</v>
      </c>
      <c r="O23" s="12"/>
      <c r="P23" s="12"/>
      <c r="Q23" s="12"/>
      <c r="R23" s="12"/>
      <c r="S23" s="12"/>
      <c r="T23" s="12"/>
      <c r="U23" s="12"/>
      <c r="V23" s="12"/>
    </row>
    <row r="24" spans="1:22" ht="16.5" x14ac:dyDescent="0.3">
      <c r="A24" s="17" t="s">
        <v>100</v>
      </c>
      <c r="B24" s="37">
        <f t="shared" si="3"/>
        <v>8942075807.3600006</v>
      </c>
      <c r="C24" s="32">
        <f>+'I Trimestre'!C24+'II Trimestre'!C24</f>
        <v>3595182062.1999998</v>
      </c>
      <c r="D24" s="18"/>
      <c r="E24" s="18"/>
      <c r="F24" s="21">
        <f>+'I Trimestre'!F24+'II Trimestre'!F24</f>
        <v>4303857556.1999998</v>
      </c>
      <c r="G24" s="18"/>
      <c r="H24" s="18"/>
      <c r="I24" s="18"/>
      <c r="J24" s="18"/>
      <c r="K24" s="37"/>
      <c r="L24" s="54">
        <f>+'I Trimestre'!L24+'II Trimestre'!L24</f>
        <v>0</v>
      </c>
      <c r="M24" s="54"/>
      <c r="N24" s="19">
        <f>+'I Trimestre'!N24+'II Trimestre'!N24</f>
        <v>1043036188.96</v>
      </c>
      <c r="O24" s="12"/>
      <c r="P24" s="12"/>
      <c r="Q24" s="12"/>
      <c r="R24" s="12"/>
      <c r="S24" s="12"/>
      <c r="T24" s="12"/>
      <c r="U24" s="12"/>
      <c r="V24" s="12"/>
    </row>
    <row r="25" spans="1:22" ht="16.5" x14ac:dyDescent="0.3">
      <c r="A25" s="17" t="s">
        <v>86</v>
      </c>
      <c r="B25" s="37">
        <f t="shared" si="3"/>
        <v>35269564865.37706</v>
      </c>
      <c r="C25" s="32">
        <f>+'II Trimestre'!C25</f>
        <v>23632608492.237061</v>
      </c>
      <c r="D25" s="18"/>
      <c r="E25" s="18"/>
      <c r="F25" s="21">
        <f>+'II Trimestre'!F25</f>
        <v>8823178220</v>
      </c>
      <c r="G25" s="18"/>
      <c r="H25" s="18"/>
      <c r="I25" s="18"/>
      <c r="J25" s="18"/>
      <c r="K25" s="37"/>
      <c r="L25" s="54">
        <f>+'I Trimestre'!L25+'II Trimestre'!L25</f>
        <v>1578143960</v>
      </c>
      <c r="M25" s="54"/>
      <c r="N25" s="19">
        <f>+'II Trimestre'!N25</f>
        <v>2813778153.1399999</v>
      </c>
      <c r="O25" s="12"/>
      <c r="P25" s="12"/>
      <c r="Q25" s="12"/>
      <c r="R25" s="12"/>
      <c r="S25" s="12"/>
      <c r="T25" s="12"/>
      <c r="U25" s="12"/>
      <c r="V25" s="12"/>
    </row>
    <row r="26" spans="1:22" ht="16.5" x14ac:dyDescent="0.3">
      <c r="A26" s="17" t="s">
        <v>101</v>
      </c>
      <c r="B26" s="37">
        <f t="shared" si="3"/>
        <v>8942075807.3600006</v>
      </c>
      <c r="C26" s="21">
        <f>C24</f>
        <v>3595182062.1999998</v>
      </c>
      <c r="D26" s="18"/>
      <c r="E26" s="18"/>
      <c r="F26" s="21">
        <f>F24</f>
        <v>4303857556.1999998</v>
      </c>
      <c r="G26" s="18"/>
      <c r="H26" s="18"/>
      <c r="I26" s="18"/>
      <c r="J26" s="18"/>
      <c r="K26" s="19"/>
      <c r="L26" s="19"/>
      <c r="M26" s="19"/>
      <c r="N26" s="19">
        <f>+N24</f>
        <v>1043036188.96</v>
      </c>
      <c r="O26" s="12"/>
      <c r="P26" s="12"/>
      <c r="Q26" s="12"/>
      <c r="R26" s="12"/>
      <c r="S26" s="12"/>
      <c r="T26" s="12"/>
      <c r="U26" s="12"/>
      <c r="V26" s="12"/>
    </row>
    <row r="27" spans="1:22" ht="16.5" x14ac:dyDescent="0.3">
      <c r="A27" s="12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  <c r="N27" s="19"/>
      <c r="O27" s="12"/>
      <c r="P27" s="12"/>
      <c r="Q27" s="12"/>
      <c r="R27" s="12"/>
      <c r="S27" s="12"/>
      <c r="T27" s="12"/>
      <c r="U27" s="12"/>
      <c r="V27" s="12"/>
    </row>
    <row r="28" spans="1:22" ht="17.25" x14ac:dyDescent="0.35">
      <c r="A28" s="20" t="s">
        <v>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19"/>
      <c r="N28" s="19"/>
      <c r="O28" s="12"/>
      <c r="P28" s="12"/>
      <c r="Q28" s="12"/>
      <c r="R28" s="12"/>
      <c r="S28" s="12"/>
      <c r="T28" s="12"/>
      <c r="U28" s="12"/>
      <c r="V28" s="12"/>
    </row>
    <row r="29" spans="1:22" ht="16.5" x14ac:dyDescent="0.3">
      <c r="A29" s="17" t="s">
        <v>99</v>
      </c>
      <c r="B29" s="37">
        <f>+B23</f>
        <v>17062368468.515099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  <c r="N29" s="19"/>
      <c r="O29" s="12"/>
      <c r="P29" s="12"/>
      <c r="Q29" s="12"/>
      <c r="R29" s="12"/>
      <c r="S29" s="12"/>
      <c r="T29" s="12"/>
      <c r="U29" s="12"/>
      <c r="V29" s="12"/>
    </row>
    <row r="30" spans="1:22" ht="16.5" x14ac:dyDescent="0.3">
      <c r="A30" s="17" t="s">
        <v>100</v>
      </c>
      <c r="B30" s="37">
        <f>+'I Trimestre'!B30+'II Trimestre'!B30</f>
        <v>16947368468.289999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  <c r="N30" s="19"/>
      <c r="O30" s="12"/>
      <c r="P30" s="12"/>
      <c r="Q30" s="12"/>
      <c r="R30" s="12"/>
      <c r="S30" s="12"/>
      <c r="T30" s="12"/>
      <c r="U30" s="12"/>
      <c r="V30" s="12"/>
    </row>
    <row r="31" spans="1:22" ht="16.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7.25" x14ac:dyDescent="0.35">
      <c r="A32" s="16" t="s">
        <v>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6.5" x14ac:dyDescent="0.3">
      <c r="A33" s="17" t="s">
        <v>69</v>
      </c>
      <c r="B33" s="22">
        <v>1.0552807376</v>
      </c>
      <c r="C33" s="22">
        <v>1.0552807376</v>
      </c>
      <c r="D33" s="22">
        <v>1.0552807376</v>
      </c>
      <c r="E33" s="22">
        <v>1.0552807376</v>
      </c>
      <c r="F33" s="22">
        <v>1.0552807376</v>
      </c>
      <c r="G33" s="22">
        <v>1.0552807376</v>
      </c>
      <c r="H33" s="22">
        <v>1.0552807376</v>
      </c>
      <c r="I33" s="22">
        <v>1.0552807376</v>
      </c>
      <c r="J33" s="22">
        <v>1.0552807376</v>
      </c>
      <c r="K33" s="22">
        <v>1.0552807376</v>
      </c>
      <c r="L33" s="22">
        <v>1.0552807376</v>
      </c>
      <c r="M33" s="22">
        <v>1.0552807376</v>
      </c>
      <c r="N33" s="22">
        <v>1.0552807376</v>
      </c>
      <c r="O33" s="12"/>
      <c r="P33" s="12"/>
      <c r="Q33" s="12"/>
      <c r="R33" s="12"/>
      <c r="S33" s="12"/>
      <c r="T33" s="12"/>
      <c r="U33" s="12"/>
      <c r="V33" s="12"/>
    </row>
    <row r="34" spans="1:22" ht="16.5" x14ac:dyDescent="0.3">
      <c r="A34" s="17" t="s">
        <v>102</v>
      </c>
      <c r="B34" s="22">
        <v>1.0586</v>
      </c>
      <c r="C34" s="22">
        <v>1.0586</v>
      </c>
      <c r="D34" s="22">
        <v>1.0586</v>
      </c>
      <c r="E34" s="22">
        <v>1.0586</v>
      </c>
      <c r="F34" s="22">
        <v>1.0586</v>
      </c>
      <c r="G34" s="22">
        <v>1.0586</v>
      </c>
      <c r="H34" s="22">
        <v>1.0586</v>
      </c>
      <c r="I34" s="22">
        <v>1.0586</v>
      </c>
      <c r="J34" s="22">
        <v>1.0586</v>
      </c>
      <c r="K34" s="22">
        <v>1.0586</v>
      </c>
      <c r="L34" s="22">
        <v>1.0586</v>
      </c>
      <c r="M34" s="22">
        <v>1.0586</v>
      </c>
      <c r="N34" s="22">
        <v>1.0586</v>
      </c>
      <c r="O34" s="12"/>
      <c r="P34" s="12"/>
      <c r="Q34" s="12"/>
      <c r="R34" s="12"/>
      <c r="S34" s="12"/>
      <c r="T34" s="12"/>
      <c r="U34" s="12"/>
      <c r="V34" s="12"/>
    </row>
    <row r="35" spans="1:22" ht="16.5" x14ac:dyDescent="0.3">
      <c r="A35" s="17" t="s">
        <v>8</v>
      </c>
      <c r="B35" s="19">
        <v>92427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2"/>
      <c r="P35" s="12"/>
      <c r="Q35" s="12"/>
      <c r="R35" s="12"/>
      <c r="S35" s="12"/>
      <c r="T35" s="12"/>
      <c r="U35" s="12"/>
      <c r="V35" s="12"/>
    </row>
    <row r="36" spans="1:22" ht="16.5" x14ac:dyDescent="0.3">
      <c r="A36" s="1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2"/>
      <c r="P36" s="12"/>
      <c r="Q36" s="12"/>
      <c r="R36" s="12"/>
      <c r="S36" s="12"/>
      <c r="T36" s="12"/>
      <c r="U36" s="12"/>
      <c r="V36" s="12"/>
    </row>
    <row r="37" spans="1:22" ht="17.25" x14ac:dyDescent="0.35">
      <c r="A37" s="16" t="s">
        <v>9</v>
      </c>
      <c r="B37" s="19"/>
      <c r="C37" s="19"/>
      <c r="D37" s="18"/>
      <c r="E37" s="18"/>
      <c r="F37" s="18"/>
      <c r="G37" s="21"/>
      <c r="H37" s="21"/>
      <c r="I37" s="21"/>
      <c r="J37" s="21"/>
      <c r="K37" s="21"/>
      <c r="L37" s="19"/>
      <c r="M37" s="19"/>
      <c r="N37" s="19"/>
      <c r="O37" s="12"/>
      <c r="P37" s="12"/>
      <c r="Q37" s="12"/>
      <c r="R37" s="12"/>
      <c r="S37" s="12"/>
      <c r="T37" s="12"/>
      <c r="U37" s="12"/>
      <c r="V37" s="12"/>
    </row>
    <row r="38" spans="1:22" ht="16.5" x14ac:dyDescent="0.3">
      <c r="A38" s="12" t="s">
        <v>70</v>
      </c>
      <c r="B38" s="21">
        <f>B22/B33</f>
        <v>9992019876.1524334</v>
      </c>
      <c r="C38" s="21">
        <f t="shared" ref="C38:F38" si="4">C22/C33</f>
        <v>6740999876.2020435</v>
      </c>
      <c r="D38" s="21"/>
      <c r="E38" s="21"/>
      <c r="F38" s="21">
        <f t="shared" si="4"/>
        <v>2515109471.2827439</v>
      </c>
      <c r="G38" s="21"/>
      <c r="H38" s="21"/>
      <c r="I38" s="21"/>
      <c r="J38" s="21"/>
      <c r="K38" s="21"/>
      <c r="L38" s="21"/>
      <c r="M38" s="19"/>
      <c r="N38" s="19">
        <f>N22/N33</f>
        <v>735910528.66764653</v>
      </c>
      <c r="O38" s="12"/>
      <c r="P38" s="12"/>
      <c r="Q38" s="12"/>
      <c r="R38" s="12"/>
      <c r="S38" s="12"/>
      <c r="T38" s="12"/>
      <c r="U38" s="12"/>
      <c r="V38" s="12"/>
    </row>
    <row r="39" spans="1:22" ht="16.5" x14ac:dyDescent="0.3">
      <c r="A39" s="12" t="s">
        <v>103</v>
      </c>
      <c r="B39" s="21">
        <f>B24/B34</f>
        <v>8447077089.8923111</v>
      </c>
      <c r="C39" s="21">
        <f t="shared" ref="C39:F39" si="5">C24/C34</f>
        <v>3396166693.9353862</v>
      </c>
      <c r="D39" s="21"/>
      <c r="E39" s="21"/>
      <c r="F39" s="21">
        <f t="shared" si="5"/>
        <v>4065612654.6382012</v>
      </c>
      <c r="G39" s="21"/>
      <c r="H39" s="21"/>
      <c r="I39" s="21"/>
      <c r="J39" s="21"/>
      <c r="K39" s="21"/>
      <c r="L39" s="21"/>
      <c r="M39" s="19"/>
      <c r="N39" s="19">
        <f>N24/N34</f>
        <v>985297741.31872284</v>
      </c>
      <c r="O39" s="12"/>
      <c r="P39" s="12"/>
      <c r="Q39" s="12"/>
      <c r="R39" s="12"/>
      <c r="S39" s="12"/>
      <c r="T39" s="12"/>
      <c r="U39" s="12"/>
      <c r="V39" s="12"/>
    </row>
    <row r="40" spans="1:22" ht="16.5" x14ac:dyDescent="0.3">
      <c r="A40" s="12" t="s">
        <v>71</v>
      </c>
      <c r="B40" s="21">
        <f>B38/B16</f>
        <v>79625.936361156404</v>
      </c>
      <c r="C40" s="21">
        <f t="shared" ref="C40:F40" si="6">C38/C16</f>
        <v>169673.11833914596</v>
      </c>
      <c r="D40" s="21"/>
      <c r="E40" s="21"/>
      <c r="F40" s="21">
        <f t="shared" si="6"/>
        <v>19953.584914340125</v>
      </c>
      <c r="G40" s="21"/>
      <c r="H40" s="21"/>
      <c r="I40" s="21"/>
      <c r="J40" s="21"/>
      <c r="K40" s="21"/>
      <c r="L40" s="21"/>
      <c r="M40" s="19"/>
      <c r="N40" s="19">
        <f>N38/N16</f>
        <v>84718.877415258918</v>
      </c>
      <c r="O40" s="12"/>
      <c r="P40" s="12"/>
      <c r="Q40" s="12"/>
      <c r="R40" s="12"/>
      <c r="S40" s="12"/>
      <c r="T40" s="12"/>
      <c r="U40" s="12"/>
      <c r="V40" s="12"/>
    </row>
    <row r="41" spans="1:22" ht="16.5" x14ac:dyDescent="0.3">
      <c r="A41" s="12" t="s">
        <v>104</v>
      </c>
      <c r="B41" s="21">
        <f>B39/B18</f>
        <v>62742.126715302067</v>
      </c>
      <c r="C41" s="21">
        <f t="shared" ref="C41:F41" si="7">C39/C18</f>
        <v>100373.37774915923</v>
      </c>
      <c r="D41" s="21"/>
      <c r="E41" s="21"/>
      <c r="F41" s="21">
        <f t="shared" si="7"/>
        <v>31118.113559316043</v>
      </c>
      <c r="G41" s="21"/>
      <c r="H41" s="21"/>
      <c r="I41" s="21"/>
      <c r="J41" s="21"/>
      <c r="K41" s="21"/>
      <c r="L41" s="21"/>
      <c r="M41" s="19"/>
      <c r="N41" s="19">
        <f t="shared" ref="N41" si="8">N39/N18</f>
        <v>110971.53244443409</v>
      </c>
      <c r="O41" s="12"/>
      <c r="P41" s="12"/>
      <c r="Q41" s="12"/>
      <c r="R41" s="12"/>
      <c r="S41" s="12"/>
      <c r="T41" s="12"/>
      <c r="U41" s="12"/>
      <c r="V41" s="12"/>
    </row>
    <row r="42" spans="1:22" ht="16.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17.25" x14ac:dyDescent="0.35">
      <c r="A43" s="16" t="s">
        <v>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6.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7.25" x14ac:dyDescent="0.35">
      <c r="A45" s="16" t="s">
        <v>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6.5" x14ac:dyDescent="0.3">
      <c r="A46" s="12" t="s">
        <v>12</v>
      </c>
      <c r="B46" s="24">
        <f t="shared" ref="B46" si="9">(B17/B35)*100</f>
        <v>164.31688431591056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12"/>
      <c r="P46" s="12"/>
      <c r="Q46" s="12"/>
      <c r="R46" s="12"/>
      <c r="S46" s="12"/>
      <c r="T46" s="12"/>
      <c r="U46" s="12"/>
      <c r="V46" s="12"/>
    </row>
    <row r="47" spans="1:22" ht="16.5" x14ac:dyDescent="0.3">
      <c r="A47" s="12" t="s">
        <v>13</v>
      </c>
      <c r="B47" s="24">
        <f t="shared" ref="B47" si="10">(B18/B35)*100</f>
        <v>145.66270317836421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12"/>
      <c r="P47" s="12"/>
      <c r="Q47" s="12"/>
      <c r="R47" s="12"/>
      <c r="S47" s="12"/>
      <c r="T47" s="12"/>
      <c r="U47" s="12"/>
      <c r="V47" s="12"/>
    </row>
    <row r="48" spans="1:22" ht="16.5" x14ac:dyDescent="0.3">
      <c r="A48" s="12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12"/>
      <c r="P48" s="12"/>
      <c r="Q48" s="12"/>
      <c r="R48" s="12"/>
      <c r="S48" s="12"/>
      <c r="T48" s="12"/>
      <c r="U48" s="12"/>
      <c r="V48" s="12"/>
    </row>
    <row r="49" spans="1:22" ht="17.25" x14ac:dyDescent="0.35">
      <c r="A49" s="16" t="s">
        <v>14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12"/>
      <c r="P49" s="12"/>
      <c r="Q49" s="12"/>
      <c r="R49" s="12"/>
      <c r="S49" s="12"/>
      <c r="T49" s="12"/>
      <c r="U49" s="12"/>
      <c r="V49" s="12"/>
    </row>
    <row r="50" spans="1:22" ht="16.5" x14ac:dyDescent="0.3">
      <c r="A50" s="12" t="s">
        <v>15</v>
      </c>
      <c r="B50" s="25">
        <f t="shared" ref="B50:N50" si="11">B18/B17*100</f>
        <v>88.647434975895479</v>
      </c>
      <c r="C50" s="25">
        <f t="shared" si="11"/>
        <v>55.424903694684168</v>
      </c>
      <c r="D50" s="25">
        <f t="shared" si="11"/>
        <v>69.479571670304978</v>
      </c>
      <c r="E50" s="25">
        <f t="shared" si="11"/>
        <v>31.070938283395012</v>
      </c>
      <c r="F50" s="25">
        <f t="shared" si="11"/>
        <v>89.782983168253352</v>
      </c>
      <c r="G50" s="25">
        <f t="shared" si="11"/>
        <v>84.876878180546512</v>
      </c>
      <c r="H50" s="25">
        <f t="shared" si="11"/>
        <v>74.894603709949408</v>
      </c>
      <c r="I50" s="25">
        <f t="shared" si="11"/>
        <v>65.045846414511388</v>
      </c>
      <c r="J50" s="25">
        <f t="shared" si="11"/>
        <v>69.689358646215055</v>
      </c>
      <c r="K50" s="25">
        <f t="shared" si="11"/>
        <v>89.495543367482213</v>
      </c>
      <c r="L50" s="25" t="s">
        <v>53</v>
      </c>
      <c r="M50" s="24" t="s">
        <v>53</v>
      </c>
      <c r="N50" s="24">
        <f t="shared" si="11"/>
        <v>91.714010260647996</v>
      </c>
      <c r="O50" s="12"/>
      <c r="P50" s="12"/>
      <c r="Q50" s="12"/>
      <c r="R50" s="12"/>
      <c r="S50" s="12"/>
      <c r="T50" s="12"/>
      <c r="U50" s="12"/>
      <c r="V50" s="12"/>
    </row>
    <row r="51" spans="1:22" ht="16.5" x14ac:dyDescent="0.3">
      <c r="A51" s="12" t="s">
        <v>16</v>
      </c>
      <c r="B51" s="25">
        <f>B24/B23*100</f>
        <v>52.408174303940648</v>
      </c>
      <c r="C51" s="25">
        <f>C24/C23*100</f>
        <v>30.146098600458828</v>
      </c>
      <c r="D51" s="25"/>
      <c r="E51" s="25"/>
      <c r="F51" s="25">
        <f>F24/F23*100</f>
        <v>111.09852459661276</v>
      </c>
      <c r="G51" s="25"/>
      <c r="H51" s="25"/>
      <c r="I51" s="25"/>
      <c r="J51" s="25"/>
      <c r="K51" s="25"/>
      <c r="L51" s="25"/>
      <c r="M51" s="24"/>
      <c r="N51" s="24">
        <f t="shared" ref="N51" si="12">N24/N23*100</f>
        <v>82.610444864225059</v>
      </c>
      <c r="O51" s="12"/>
      <c r="P51" s="12"/>
      <c r="Q51" s="12"/>
      <c r="R51" s="12"/>
      <c r="S51" s="12"/>
      <c r="T51" s="12"/>
      <c r="U51" s="12"/>
      <c r="V51" s="12"/>
    </row>
    <row r="52" spans="1:22" ht="16.5" x14ac:dyDescent="0.3">
      <c r="A52" s="12" t="s">
        <v>17</v>
      </c>
      <c r="B52" s="25">
        <f>AVERAGE(B50:B51)</f>
        <v>70.52780463991806</v>
      </c>
      <c r="C52" s="25">
        <f t="shared" ref="C52" si="13">AVERAGE(C50:C51)</f>
        <v>42.785501147571495</v>
      </c>
      <c r="D52" s="25"/>
      <c r="E52" s="25"/>
      <c r="F52" s="25">
        <f t="shared" ref="F52" si="14">AVERAGE(F50:F51)</f>
        <v>100.44075388243306</v>
      </c>
      <c r="G52" s="25"/>
      <c r="H52" s="25"/>
      <c r="I52" s="25"/>
      <c r="J52" s="25"/>
      <c r="K52" s="25"/>
      <c r="L52" s="25"/>
      <c r="M52" s="24"/>
      <c r="N52" s="24">
        <f t="shared" ref="N52" si="15">AVERAGE(N50:N51)</f>
        <v>87.162227562436527</v>
      </c>
      <c r="O52" s="12"/>
      <c r="P52" s="12"/>
      <c r="Q52" s="12"/>
      <c r="R52" s="12"/>
      <c r="S52" s="12"/>
      <c r="T52" s="12"/>
      <c r="U52" s="12"/>
      <c r="V52" s="12"/>
    </row>
    <row r="53" spans="1:22" ht="16.5" x14ac:dyDescent="0.3">
      <c r="A53" s="1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12"/>
      <c r="P53" s="12"/>
      <c r="Q53" s="12"/>
      <c r="R53" s="12"/>
      <c r="S53" s="12"/>
      <c r="T53" s="12"/>
      <c r="U53" s="12"/>
      <c r="V53" s="12"/>
    </row>
    <row r="54" spans="1:22" ht="17.25" x14ac:dyDescent="0.35">
      <c r="A54" s="16" t="s">
        <v>18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12"/>
      <c r="P54" s="12"/>
      <c r="Q54" s="12"/>
      <c r="R54" s="12"/>
      <c r="S54" s="12"/>
      <c r="T54" s="12"/>
      <c r="U54" s="12"/>
      <c r="V54" s="12"/>
    </row>
    <row r="55" spans="1:22" ht="16.5" x14ac:dyDescent="0.3">
      <c r="A55" s="12" t="s">
        <v>19</v>
      </c>
      <c r="B55" s="26">
        <f t="shared" ref="B55:N55" si="16">((B18/B19)*100)</f>
        <v>79.631117442072537</v>
      </c>
      <c r="C55" s="26">
        <f t="shared" si="16"/>
        <v>48.672027465703856</v>
      </c>
      <c r="D55" s="26">
        <f t="shared" si="16"/>
        <v>63.163518935316574</v>
      </c>
      <c r="E55" s="26">
        <f t="shared" si="16"/>
        <v>25.766115809858537</v>
      </c>
      <c r="F55" s="26">
        <f t="shared" si="16"/>
        <v>79.735741966983014</v>
      </c>
      <c r="G55" s="26">
        <f t="shared" si="16"/>
        <v>84.876878180546512</v>
      </c>
      <c r="H55" s="26">
        <f t="shared" si="16"/>
        <v>74.894603709949408</v>
      </c>
      <c r="I55" s="26">
        <f t="shared" si="16"/>
        <v>65.045846414511388</v>
      </c>
      <c r="J55" s="26">
        <f t="shared" si="16"/>
        <v>69.736871199557768</v>
      </c>
      <c r="K55" s="26">
        <f t="shared" si="16"/>
        <v>95.094301828447684</v>
      </c>
      <c r="L55" s="26">
        <f t="shared" si="16"/>
        <v>0</v>
      </c>
      <c r="M55" s="24">
        <f t="shared" si="16"/>
        <v>32.318557801347559</v>
      </c>
      <c r="N55" s="24">
        <f t="shared" si="16"/>
        <v>91.714010260647996</v>
      </c>
      <c r="O55" s="12"/>
      <c r="P55" s="12"/>
      <c r="Q55" s="12"/>
      <c r="R55" s="12"/>
      <c r="S55" s="12"/>
      <c r="T55" s="12"/>
      <c r="U55" s="12"/>
      <c r="V55" s="12"/>
    </row>
    <row r="56" spans="1:22" ht="16.5" x14ac:dyDescent="0.3">
      <c r="A56" s="12" t="s">
        <v>20</v>
      </c>
      <c r="B56" s="26">
        <f>B24/B25*100</f>
        <v>25.353518937621299</v>
      </c>
      <c r="C56" s="26">
        <f>C24/C25*100</f>
        <v>15.2128025282565</v>
      </c>
      <c r="D56" s="26"/>
      <c r="E56" s="26"/>
      <c r="F56" s="26">
        <f>F24/F25*100</f>
        <v>48.778993792103179</v>
      </c>
      <c r="G56" s="26"/>
      <c r="H56" s="26"/>
      <c r="I56" s="26"/>
      <c r="J56" s="26"/>
      <c r="K56" s="26"/>
      <c r="L56" s="26"/>
      <c r="M56" s="24"/>
      <c r="N56" s="24">
        <f t="shared" ref="N56" si="17">N24/N25*100</f>
        <v>37.068885043266015</v>
      </c>
      <c r="O56" s="12"/>
      <c r="P56" s="12"/>
      <c r="Q56" s="12"/>
      <c r="R56" s="12"/>
      <c r="S56" s="12"/>
      <c r="T56" s="12"/>
      <c r="U56" s="12"/>
      <c r="V56" s="12"/>
    </row>
    <row r="57" spans="1:22" ht="16.5" x14ac:dyDescent="0.3">
      <c r="A57" s="12" t="s">
        <v>21</v>
      </c>
      <c r="B57" s="26">
        <f>(B55+B56)/2</f>
        <v>52.49231818984692</v>
      </c>
      <c r="C57" s="26">
        <f>(C55+C56)/2</f>
        <v>31.942414996980176</v>
      </c>
      <c r="D57" s="26"/>
      <c r="E57" s="26"/>
      <c r="F57" s="26">
        <f>(F55+F56)/2</f>
        <v>64.257367879543096</v>
      </c>
      <c r="G57" s="26"/>
      <c r="H57" s="26"/>
      <c r="I57" s="26"/>
      <c r="J57" s="26"/>
      <c r="K57" s="26"/>
      <c r="L57" s="26"/>
      <c r="M57" s="24"/>
      <c r="N57" s="24">
        <f t="shared" ref="N57" si="18">(N55+N56)/2</f>
        <v>64.391447651957009</v>
      </c>
      <c r="O57" s="12"/>
      <c r="P57" s="12"/>
      <c r="Q57" s="12"/>
      <c r="R57" s="12"/>
      <c r="S57" s="12"/>
      <c r="T57" s="12"/>
      <c r="U57" s="12"/>
      <c r="V57" s="12"/>
    </row>
    <row r="58" spans="1:22" ht="16.5" x14ac:dyDescent="0.3">
      <c r="A58" s="12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12"/>
      <c r="P58" s="12"/>
      <c r="Q58" s="12"/>
      <c r="R58" s="12"/>
      <c r="S58" s="12"/>
      <c r="T58" s="12"/>
      <c r="U58" s="12"/>
      <c r="V58" s="12"/>
    </row>
    <row r="59" spans="1:22" ht="17.25" x14ac:dyDescent="0.35">
      <c r="A59" s="16" t="s">
        <v>36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12"/>
      <c r="P59" s="12"/>
      <c r="Q59" s="12"/>
      <c r="R59" s="12"/>
      <c r="S59" s="12"/>
      <c r="T59" s="12"/>
      <c r="U59" s="12"/>
      <c r="V59" s="12"/>
    </row>
    <row r="60" spans="1:22" ht="16.5" x14ac:dyDescent="0.3">
      <c r="A60" s="12" t="s">
        <v>22</v>
      </c>
      <c r="B60" s="24">
        <f>B26/B24*100</f>
        <v>100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12"/>
      <c r="P60" s="12"/>
      <c r="Q60" s="12"/>
      <c r="R60" s="12"/>
      <c r="S60" s="12"/>
      <c r="T60" s="12"/>
      <c r="U60" s="12"/>
      <c r="V60" s="12"/>
    </row>
    <row r="61" spans="1:22" ht="16.5" x14ac:dyDescent="0.3">
      <c r="A61" s="1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12"/>
      <c r="P61" s="12"/>
      <c r="Q61" s="12"/>
      <c r="R61" s="12"/>
      <c r="S61" s="12"/>
      <c r="T61" s="12"/>
      <c r="U61" s="12"/>
      <c r="V61" s="12"/>
    </row>
    <row r="62" spans="1:22" ht="17.25" x14ac:dyDescent="0.35">
      <c r="A62" s="16" t="s">
        <v>23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12"/>
      <c r="P62" s="12"/>
      <c r="Q62" s="12"/>
      <c r="R62" s="12"/>
      <c r="S62" s="12"/>
      <c r="T62" s="12"/>
      <c r="U62" s="12"/>
      <c r="V62" s="12"/>
    </row>
    <row r="63" spans="1:22" ht="16.5" x14ac:dyDescent="0.3">
      <c r="A63" s="12" t="s">
        <v>24</v>
      </c>
      <c r="B63" s="25">
        <f t="shared" ref="B63:N63" si="19">((B18/B16)-1)*100</f>
        <v>7.2873418494877384</v>
      </c>
      <c r="C63" s="25">
        <f t="shared" si="19"/>
        <v>-14.835386112695904</v>
      </c>
      <c r="D63" s="25">
        <f t="shared" si="19"/>
        <v>16.767610984478452</v>
      </c>
      <c r="E63" s="25">
        <f t="shared" si="19"/>
        <v>-58.430241263313398</v>
      </c>
      <c r="F63" s="25">
        <f t="shared" si="19"/>
        <v>3.6517834475755517</v>
      </c>
      <c r="G63" s="25">
        <f t="shared" si="19"/>
        <v>16.273499190537557</v>
      </c>
      <c r="H63" s="25">
        <f t="shared" si="19"/>
        <v>-0.56439199589534139</v>
      </c>
      <c r="I63" s="25">
        <f t="shared" si="19"/>
        <v>-6.4402831287518891</v>
      </c>
      <c r="J63" s="25">
        <f t="shared" si="19"/>
        <v>1.6802433048188181</v>
      </c>
      <c r="K63" s="25">
        <f>((K18/K16)-1)*100</f>
        <v>-1.1489653130576594</v>
      </c>
      <c r="L63" s="25" t="s">
        <v>53</v>
      </c>
      <c r="M63" s="24" t="s">
        <v>53</v>
      </c>
      <c r="N63" s="24">
        <f t="shared" si="19"/>
        <v>2.2141637406703829</v>
      </c>
      <c r="O63" s="12"/>
      <c r="P63" s="12"/>
      <c r="Q63" s="12"/>
      <c r="R63" s="12"/>
      <c r="S63" s="12"/>
      <c r="T63" s="12"/>
      <c r="U63" s="12"/>
      <c r="V63" s="12"/>
    </row>
    <row r="64" spans="1:22" ht="16.5" x14ac:dyDescent="0.3">
      <c r="A64" s="12" t="s">
        <v>25</v>
      </c>
      <c r="B64" s="25">
        <f>((B39/B38)-1)*100</f>
        <v>-15.461766543793388</v>
      </c>
      <c r="C64" s="25">
        <f>((C39/C38)-1)*100</f>
        <v>-49.619244083878769</v>
      </c>
      <c r="D64" s="25"/>
      <c r="E64" s="25"/>
      <c r="F64" s="25">
        <f>((F39/F38)-1)*100</f>
        <v>61.64754262424519</v>
      </c>
      <c r="G64" s="25"/>
      <c r="H64" s="25"/>
      <c r="I64" s="25"/>
      <c r="J64" s="25"/>
      <c r="K64" s="25"/>
      <c r="L64" s="25"/>
      <c r="M64" s="24"/>
      <c r="N64" s="24">
        <f t="shared" ref="N64" si="20">((N39/N38)-1)*100</f>
        <v>33.888251755629526</v>
      </c>
      <c r="O64" s="12"/>
      <c r="P64" s="12"/>
      <c r="Q64" s="12"/>
      <c r="R64" s="12"/>
      <c r="S64" s="12"/>
      <c r="T64" s="12"/>
      <c r="U64" s="12"/>
      <c r="V64" s="12"/>
    </row>
    <row r="65" spans="1:22" ht="16.5" x14ac:dyDescent="0.3">
      <c r="A65" s="12" t="s">
        <v>26</v>
      </c>
      <c r="B65" s="25">
        <f>((B41/B40)-1)*100</f>
        <v>-21.203907190836745</v>
      </c>
      <c r="C65" s="25">
        <f>((C41/C40)-1)*100</f>
        <v>-40.843087737368656</v>
      </c>
      <c r="D65" s="25"/>
      <c r="E65" s="25"/>
      <c r="F65" s="25">
        <f>((F41/F40)-1)*100</f>
        <v>55.952495217800504</v>
      </c>
      <c r="G65" s="25"/>
      <c r="H65" s="25"/>
      <c r="I65" s="25"/>
      <c r="J65" s="25"/>
      <c r="K65" s="25"/>
      <c r="L65" s="25"/>
      <c r="M65" s="24"/>
      <c r="N65" s="24">
        <f t="shared" ref="N65" si="21">((N41/N40)-1)*100</f>
        <v>30.987963757469174</v>
      </c>
      <c r="O65" s="12"/>
      <c r="P65" s="12"/>
      <c r="Q65" s="12"/>
      <c r="R65" s="12"/>
      <c r="S65" s="12"/>
      <c r="T65" s="12"/>
      <c r="U65" s="12"/>
      <c r="V65" s="12"/>
    </row>
    <row r="66" spans="1:22" ht="16.5" x14ac:dyDescent="0.3">
      <c r="A66" s="12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2"/>
      <c r="P66" s="12"/>
      <c r="Q66" s="12"/>
      <c r="R66" s="12"/>
      <c r="S66" s="12"/>
      <c r="T66" s="12"/>
      <c r="U66" s="12"/>
      <c r="V66" s="12"/>
    </row>
    <row r="67" spans="1:22" ht="17.25" x14ac:dyDescent="0.35">
      <c r="A67" s="16" t="s">
        <v>27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12"/>
      <c r="P67" s="12"/>
      <c r="Q67" s="12"/>
      <c r="R67" s="12"/>
      <c r="S67" s="12"/>
      <c r="T67" s="12"/>
      <c r="U67" s="12"/>
      <c r="V67" s="12"/>
    </row>
    <row r="68" spans="1:22" ht="16.5" x14ac:dyDescent="0.3">
      <c r="A68" s="12" t="s">
        <v>28</v>
      </c>
      <c r="B68" s="25">
        <f>B23/(B17*6)</f>
        <v>18724.361521527393</v>
      </c>
      <c r="C68" s="25">
        <f>C23/(C17*6)</f>
        <v>32559.146388568672</v>
      </c>
      <c r="D68" s="25"/>
      <c r="E68" s="25"/>
      <c r="F68" s="25">
        <f>F23/(F17*6)</f>
        <v>4436.89999893599</v>
      </c>
      <c r="G68" s="25"/>
      <c r="H68" s="25"/>
      <c r="I68" s="25"/>
      <c r="J68" s="25"/>
      <c r="K68" s="25"/>
      <c r="L68" s="25"/>
      <c r="M68" s="24"/>
      <c r="N68" s="24">
        <f>N23/(N17*6)</f>
        <v>21736.666666666668</v>
      </c>
      <c r="O68" s="12"/>
      <c r="P68" s="12"/>
      <c r="Q68" s="12"/>
      <c r="R68" s="12"/>
      <c r="S68" s="12"/>
      <c r="T68" s="12"/>
      <c r="U68" s="12"/>
      <c r="V68" s="12"/>
    </row>
    <row r="69" spans="1:22" ht="16.5" x14ac:dyDescent="0.3">
      <c r="A69" s="12" t="s">
        <v>29</v>
      </c>
      <c r="B69" s="25">
        <f>B24/(B18*6)</f>
        <v>11069.802556803128</v>
      </c>
      <c r="C69" s="25">
        <f>C24/(C18*6)</f>
        <v>17709.209614209998</v>
      </c>
      <c r="D69" s="25"/>
      <c r="E69" s="25"/>
      <c r="F69" s="25">
        <f>F24/(F18*6)</f>
        <v>5490.2725023153271</v>
      </c>
      <c r="G69" s="25"/>
      <c r="H69" s="25"/>
      <c r="I69" s="25"/>
      <c r="J69" s="25"/>
      <c r="K69" s="25"/>
      <c r="L69" s="25"/>
      <c r="M69" s="24"/>
      <c r="N69" s="24">
        <f>N24/(N18*6)</f>
        <v>19579.077374279655</v>
      </c>
      <c r="O69" s="12"/>
      <c r="P69" s="12"/>
      <c r="Q69" s="12"/>
      <c r="R69" s="12"/>
      <c r="S69" s="12"/>
      <c r="T69" s="12"/>
      <c r="U69" s="12"/>
      <c r="V69" s="12"/>
    </row>
    <row r="70" spans="1:22" ht="16.5" x14ac:dyDescent="0.3">
      <c r="A70" s="12" t="s">
        <v>30</v>
      </c>
      <c r="B70" s="25">
        <f>(B69/B68)*B52</f>
        <v>41.695887532991321</v>
      </c>
      <c r="C70" s="25">
        <f>(C69/C68)*C52</f>
        <v>23.271415018957292</v>
      </c>
      <c r="D70" s="25"/>
      <c r="E70" s="25"/>
      <c r="F70" s="25">
        <f>(F69/F68)*F52</f>
        <v>124.28657605192495</v>
      </c>
      <c r="G70" s="25"/>
      <c r="H70" s="25"/>
      <c r="I70" s="25"/>
      <c r="J70" s="25"/>
      <c r="K70" s="25"/>
      <c r="L70" s="25"/>
      <c r="M70" s="24"/>
      <c r="N70" s="24">
        <f t="shared" ref="N70" si="22">(N69/N68)*N52</f>
        <v>78.510473741428399</v>
      </c>
      <c r="O70" s="12"/>
      <c r="P70" s="12"/>
      <c r="Q70" s="12"/>
      <c r="R70" s="12"/>
      <c r="S70" s="12"/>
      <c r="T70" s="12"/>
      <c r="U70" s="12"/>
      <c r="V70" s="12"/>
    </row>
    <row r="71" spans="1:22" ht="16.5" x14ac:dyDescent="0.3">
      <c r="A71" s="12" t="s">
        <v>37</v>
      </c>
      <c r="B71" s="25">
        <f>B23/B17</f>
        <v>112346.16912916435</v>
      </c>
      <c r="C71" s="25">
        <f>C23/C17</f>
        <v>195354.87833141201</v>
      </c>
      <c r="D71" s="25"/>
      <c r="E71" s="25"/>
      <c r="F71" s="25">
        <f>F23/F17</f>
        <v>26621.399993615938</v>
      </c>
      <c r="G71" s="25"/>
      <c r="H71" s="25"/>
      <c r="I71" s="25"/>
      <c r="J71" s="25"/>
      <c r="K71" s="25"/>
      <c r="L71" s="25"/>
      <c r="M71" s="24"/>
      <c r="N71" s="24">
        <f t="shared" ref="N71:N72" si="23">N23/N17</f>
        <v>130420</v>
      </c>
      <c r="O71" s="12"/>
      <c r="P71" s="12"/>
      <c r="Q71" s="12"/>
      <c r="R71" s="12"/>
      <c r="S71" s="12"/>
      <c r="T71" s="12"/>
      <c r="U71" s="12"/>
      <c r="V71" s="12"/>
    </row>
    <row r="72" spans="1:22" ht="16.5" x14ac:dyDescent="0.3">
      <c r="A72" s="12" t="s">
        <v>38</v>
      </c>
      <c r="B72" s="25">
        <f>B24/B18</f>
        <v>66418.815340818779</v>
      </c>
      <c r="C72" s="25">
        <f>C24/C18</f>
        <v>106255.25768525997</v>
      </c>
      <c r="D72" s="25"/>
      <c r="E72" s="25"/>
      <c r="F72" s="25">
        <f>F24/F18</f>
        <v>32941.635013891966</v>
      </c>
      <c r="G72" s="25"/>
      <c r="H72" s="25"/>
      <c r="I72" s="25"/>
      <c r="J72" s="25"/>
      <c r="K72" s="25"/>
      <c r="L72" s="25"/>
      <c r="M72" s="24"/>
      <c r="N72" s="24">
        <f t="shared" si="23"/>
        <v>117474.46424567794</v>
      </c>
      <c r="O72" s="12"/>
      <c r="P72" s="12"/>
      <c r="Q72" s="12"/>
      <c r="R72" s="12"/>
      <c r="S72" s="12"/>
      <c r="T72" s="12"/>
      <c r="U72" s="12"/>
      <c r="V72" s="12"/>
    </row>
    <row r="73" spans="1:22" ht="16.5" x14ac:dyDescent="0.3">
      <c r="A73" s="1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12"/>
      <c r="P73" s="12"/>
      <c r="Q73" s="12"/>
      <c r="R73" s="12"/>
      <c r="S73" s="12"/>
      <c r="T73" s="12"/>
      <c r="U73" s="12"/>
      <c r="V73" s="12"/>
    </row>
    <row r="74" spans="1:22" ht="17.25" x14ac:dyDescent="0.35">
      <c r="A74" s="16" t="s">
        <v>31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12"/>
      <c r="P74" s="12"/>
      <c r="Q74" s="12"/>
      <c r="R74" s="12"/>
      <c r="S74" s="12"/>
      <c r="T74" s="12"/>
      <c r="U74" s="12"/>
      <c r="V74" s="12"/>
    </row>
    <row r="75" spans="1:22" ht="16.5" x14ac:dyDescent="0.3">
      <c r="A75" s="12" t="s">
        <v>32</v>
      </c>
      <c r="B75" s="24">
        <f>(B30/B29)*100</f>
        <v>99.326002128969918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12"/>
      <c r="P75" s="12"/>
      <c r="Q75" s="12"/>
      <c r="R75" s="12"/>
      <c r="S75" s="12"/>
      <c r="T75" s="12"/>
      <c r="U75" s="12"/>
      <c r="V75" s="12"/>
    </row>
    <row r="76" spans="1:22" ht="17.25" thickBot="1" x14ac:dyDescent="0.35">
      <c r="A76" s="27" t="s">
        <v>33</v>
      </c>
      <c r="B76" s="28">
        <f>(B24/B30)*100</f>
        <v>52.76380120070796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12"/>
      <c r="P76" s="12"/>
      <c r="Q76" s="12"/>
      <c r="R76" s="12"/>
      <c r="S76" s="12"/>
      <c r="T76" s="12"/>
      <c r="U76" s="12"/>
      <c r="V76" s="12"/>
    </row>
    <row r="77" spans="1:22" ht="17.25" thickTop="1" x14ac:dyDescent="0.3">
      <c r="A77" s="47" t="s">
        <v>91</v>
      </c>
      <c r="B77" s="47"/>
      <c r="C77" s="47"/>
      <c r="D77" s="47"/>
      <c r="E77" s="47"/>
      <c r="F77" s="47"/>
      <c r="G77" s="29"/>
      <c r="H77" s="29"/>
      <c r="I77" s="29"/>
      <c r="J77" s="29"/>
      <c r="K77" s="29"/>
      <c r="L77" s="29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ht="17.25" x14ac:dyDescent="0.35">
      <c r="A78" s="29" t="s">
        <v>92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ht="16.5" x14ac:dyDescent="0.3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ht="16.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16.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ht="16.5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16.5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ht="16.5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ht="16.5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ht="16.5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ht="16.5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ht="16.5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ht="16.5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ht="16.5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ht="16.5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ht="16.5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ht="16.5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</sheetData>
  <mergeCells count="10">
    <mergeCell ref="A77:F77"/>
    <mergeCell ref="G10:K10"/>
    <mergeCell ref="A9:A10"/>
    <mergeCell ref="D10:E10"/>
    <mergeCell ref="B9:B10"/>
    <mergeCell ref="C9:N9"/>
    <mergeCell ref="L22:M22"/>
    <mergeCell ref="L23:M23"/>
    <mergeCell ref="L24:M24"/>
    <mergeCell ref="L25:M25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78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3" customWidth="1"/>
    <col min="2" max="2" width="16.28515625" style="3" bestFit="1" customWidth="1"/>
    <col min="3" max="3" width="18.5703125" style="3" bestFit="1" customWidth="1"/>
    <col min="4" max="5" width="15.7109375" style="3" customWidth="1"/>
    <col min="6" max="6" width="16.28515625" style="3" bestFit="1" customWidth="1"/>
    <col min="7" max="14" width="15.7109375" style="3" customWidth="1"/>
    <col min="15" max="15" width="11.42578125" style="3"/>
    <col min="16" max="16" width="17.85546875" style="3" bestFit="1" customWidth="1"/>
    <col min="17" max="16384" width="11.42578125" style="3"/>
  </cols>
  <sheetData>
    <row r="9" spans="1:16" ht="17.25" x14ac:dyDescent="0.35">
      <c r="A9" s="48" t="s">
        <v>0</v>
      </c>
      <c r="B9" s="52" t="s">
        <v>47</v>
      </c>
      <c r="C9" s="53" t="s">
        <v>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6" ht="87" thickBot="1" x14ac:dyDescent="0.3">
      <c r="A10" s="49"/>
      <c r="B10" s="50"/>
      <c r="C10" s="38" t="s">
        <v>46</v>
      </c>
      <c r="D10" s="50" t="s">
        <v>49</v>
      </c>
      <c r="E10" s="50"/>
      <c r="F10" s="38" t="s">
        <v>43</v>
      </c>
      <c r="G10" s="49" t="s">
        <v>48</v>
      </c>
      <c r="H10" s="49"/>
      <c r="I10" s="49"/>
      <c r="J10" s="49"/>
      <c r="K10" s="49"/>
      <c r="L10" s="39" t="s">
        <v>72</v>
      </c>
      <c r="M10" s="39" t="s">
        <v>73</v>
      </c>
      <c r="N10" s="39" t="s">
        <v>52</v>
      </c>
    </row>
    <row r="11" spans="1:16" ht="50.25" thickTop="1" x14ac:dyDescent="0.3">
      <c r="A11" s="12"/>
      <c r="B11" s="13" t="s">
        <v>1</v>
      </c>
      <c r="C11" s="14" t="s">
        <v>51</v>
      </c>
      <c r="D11" s="15" t="s">
        <v>54</v>
      </c>
      <c r="E11" s="15" t="s">
        <v>50</v>
      </c>
      <c r="F11" s="13" t="s">
        <v>45</v>
      </c>
      <c r="G11" s="13" t="s">
        <v>83</v>
      </c>
      <c r="H11" s="13" t="s">
        <v>55</v>
      </c>
      <c r="I11" s="13" t="s">
        <v>56</v>
      </c>
      <c r="J11" s="13" t="s">
        <v>57</v>
      </c>
      <c r="K11" s="13" t="s">
        <v>58</v>
      </c>
      <c r="L11" s="13" t="s">
        <v>74</v>
      </c>
      <c r="M11" s="13" t="s">
        <v>58</v>
      </c>
      <c r="N11" s="13" t="s">
        <v>59</v>
      </c>
      <c r="O11" s="12"/>
    </row>
    <row r="12" spans="1:16" ht="16.5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6" ht="17.25" x14ac:dyDescent="0.35">
      <c r="A13" s="16" t="s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6" ht="16.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6" ht="17.25" x14ac:dyDescent="0.35">
      <c r="A15" s="16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1:16" ht="16.5" x14ac:dyDescent="0.3">
      <c r="A16" s="17" t="s">
        <v>75</v>
      </c>
      <c r="B16" s="32">
        <f>+D16+K16</f>
        <v>137971.66666666666</v>
      </c>
      <c r="C16" s="32">
        <f>+D16+E16</f>
        <v>49543.666666666672</v>
      </c>
      <c r="D16" s="32">
        <v>27496.666666666668</v>
      </c>
      <c r="E16" s="32">
        <v>22047</v>
      </c>
      <c r="F16" s="32">
        <f>+K16+I16+H16+L16+M16</f>
        <v>137319.33333333331</v>
      </c>
      <c r="G16" s="32">
        <v>10810.666666666666</v>
      </c>
      <c r="H16" s="32">
        <v>15954</v>
      </c>
      <c r="I16" s="32">
        <v>10890.333333333334</v>
      </c>
      <c r="J16" s="32">
        <v>34769</v>
      </c>
      <c r="K16" s="32">
        <v>110475</v>
      </c>
      <c r="L16" s="32">
        <v>0</v>
      </c>
      <c r="M16" s="32">
        <v>0</v>
      </c>
      <c r="N16" s="32">
        <v>9647</v>
      </c>
      <c r="O16" s="12"/>
      <c r="P16" s="7"/>
    </row>
    <row r="17" spans="1:16" ht="16.5" x14ac:dyDescent="0.3">
      <c r="A17" s="17" t="s">
        <v>105</v>
      </c>
      <c r="B17" s="32">
        <f t="shared" ref="B17" si="0">+D17+K17</f>
        <v>166422</v>
      </c>
      <c r="C17" s="32">
        <f t="shared" ref="C17:C19" si="1">+D17+E17</f>
        <v>77987</v>
      </c>
      <c r="D17" s="32">
        <v>46450</v>
      </c>
      <c r="E17" s="32">
        <v>31537</v>
      </c>
      <c r="F17" s="32">
        <f>+K17+I17+H17+L17+M17</f>
        <v>152326</v>
      </c>
      <c r="G17" s="32">
        <v>13821</v>
      </c>
      <c r="H17" s="32">
        <v>18976</v>
      </c>
      <c r="I17" s="32">
        <v>13378</v>
      </c>
      <c r="J17" s="32">
        <v>49370</v>
      </c>
      <c r="K17" s="21">
        <v>119972</v>
      </c>
      <c r="L17" s="21">
        <v>0</v>
      </c>
      <c r="M17" s="21">
        <v>0</v>
      </c>
      <c r="N17" s="32">
        <v>9860.3333333333339</v>
      </c>
      <c r="O17" s="12"/>
      <c r="P17" s="42"/>
    </row>
    <row r="18" spans="1:16" ht="16.5" x14ac:dyDescent="0.3">
      <c r="A18" s="17" t="s">
        <v>106</v>
      </c>
      <c r="B18" s="32">
        <f>+D18+K18+M18</f>
        <v>155799.33333333331</v>
      </c>
      <c r="C18" s="32">
        <f t="shared" si="1"/>
        <v>41457.333333333328</v>
      </c>
      <c r="D18" s="32">
        <v>41372.666666666664</v>
      </c>
      <c r="E18" s="32">
        <v>84.666666666666671</v>
      </c>
      <c r="F18" s="32">
        <f>+K18+I18+H18+L18+M18</f>
        <v>142412.66666666666</v>
      </c>
      <c r="G18" s="32">
        <v>15698</v>
      </c>
      <c r="H18" s="32">
        <v>16965</v>
      </c>
      <c r="I18" s="32">
        <v>11021</v>
      </c>
      <c r="J18" s="32">
        <v>39733</v>
      </c>
      <c r="K18" s="32">
        <v>114121</v>
      </c>
      <c r="L18" s="32">
        <v>0</v>
      </c>
      <c r="M18" s="32">
        <v>305.66666666666669</v>
      </c>
      <c r="N18" s="32">
        <v>9531.3333333333339</v>
      </c>
      <c r="O18" s="12"/>
    </row>
    <row r="19" spans="1:16" ht="16.5" x14ac:dyDescent="0.3">
      <c r="A19" s="17" t="s">
        <v>86</v>
      </c>
      <c r="B19" s="32">
        <f>+D19+K19</f>
        <v>159582</v>
      </c>
      <c r="C19" s="32">
        <f t="shared" si="1"/>
        <v>69517</v>
      </c>
      <c r="D19" s="21">
        <v>42579.166666666664</v>
      </c>
      <c r="E19" s="21">
        <v>26937.833333333332</v>
      </c>
      <c r="F19" s="32">
        <f>+K19+I19+H19+L19+M19</f>
        <v>149356.83333333331</v>
      </c>
      <c r="G19" s="21">
        <v>13821</v>
      </c>
      <c r="H19" s="21">
        <v>18976</v>
      </c>
      <c r="I19" s="21">
        <v>13378</v>
      </c>
      <c r="J19" s="21">
        <v>47312.916666666664</v>
      </c>
      <c r="K19" s="21">
        <v>117002.83333333333</v>
      </c>
      <c r="L19" s="21">
        <v>0</v>
      </c>
      <c r="M19" s="21">
        <v>0</v>
      </c>
      <c r="N19" s="32">
        <v>9793.0833333333339</v>
      </c>
      <c r="O19" s="12"/>
    </row>
    <row r="20" spans="1:16" ht="16.5" x14ac:dyDescent="0.3">
      <c r="A20" s="12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9"/>
      <c r="M20" s="19"/>
      <c r="N20" s="19"/>
      <c r="O20" s="12"/>
    </row>
    <row r="21" spans="1:16" ht="17.25" x14ac:dyDescent="0.35">
      <c r="A21" s="20" t="s">
        <v>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9"/>
      <c r="M21" s="19"/>
      <c r="N21" s="19"/>
      <c r="O21" s="12"/>
    </row>
    <row r="22" spans="1:16" ht="16.5" x14ac:dyDescent="0.3">
      <c r="A22" s="17" t="s">
        <v>75</v>
      </c>
      <c r="B22" s="37">
        <f>+C22+F22+N22</f>
        <v>8433784748.7799997</v>
      </c>
      <c r="C22" s="18">
        <f>+D22</f>
        <v>5801996070.7799997</v>
      </c>
      <c r="D22" s="46">
        <v>5801996070.7799997</v>
      </c>
      <c r="E22" s="46"/>
      <c r="F22" s="18">
        <f>G22+L22</f>
        <v>2224292146</v>
      </c>
      <c r="G22" s="46">
        <v>2224292146</v>
      </c>
      <c r="H22" s="46"/>
      <c r="I22" s="46"/>
      <c r="J22" s="46"/>
      <c r="K22" s="46"/>
      <c r="L22" s="54">
        <v>0</v>
      </c>
      <c r="M22" s="54"/>
      <c r="N22" s="37">
        <v>407496532</v>
      </c>
      <c r="O22" s="12"/>
    </row>
    <row r="23" spans="1:16" ht="16.5" x14ac:dyDescent="0.3">
      <c r="A23" s="17" t="s">
        <v>105</v>
      </c>
      <c r="B23" s="37">
        <f>+C23+F23+N23</f>
        <v>9093011810.8834801</v>
      </c>
      <c r="C23" s="37">
        <f>+D23+E23</f>
        <v>5882890832.1564808</v>
      </c>
      <c r="D23" s="18">
        <v>4466264806.4076004</v>
      </c>
      <c r="E23" s="18">
        <v>1416626025.7488799</v>
      </c>
      <c r="F23" s="18">
        <f>G23+L23</f>
        <v>2429988797.7270002</v>
      </c>
      <c r="G23" s="46">
        <v>2429988797.7270002</v>
      </c>
      <c r="H23" s="46"/>
      <c r="I23" s="46"/>
      <c r="J23" s="46"/>
      <c r="K23" s="46"/>
      <c r="L23" s="54">
        <v>0</v>
      </c>
      <c r="M23" s="54"/>
      <c r="N23" s="37">
        <v>780132181</v>
      </c>
      <c r="O23" s="12"/>
    </row>
    <row r="24" spans="1:16" ht="16.5" x14ac:dyDescent="0.3">
      <c r="A24" s="17" t="s">
        <v>106</v>
      </c>
      <c r="B24" s="37">
        <f>+C24+F24+N24</f>
        <v>5640587416.7800007</v>
      </c>
      <c r="C24" s="18">
        <f>D24</f>
        <v>3829902723.5300002</v>
      </c>
      <c r="D24" s="46">
        <v>3829902723.5300002</v>
      </c>
      <c r="E24" s="46"/>
      <c r="F24" s="18">
        <f>G24+L24</f>
        <v>1590861239.25</v>
      </c>
      <c r="G24" s="46">
        <v>1590861239.25</v>
      </c>
      <c r="H24" s="46"/>
      <c r="I24" s="46"/>
      <c r="J24" s="46"/>
      <c r="K24" s="46"/>
      <c r="L24" s="54">
        <v>0</v>
      </c>
      <c r="M24" s="54"/>
      <c r="N24" s="37">
        <v>219823454</v>
      </c>
      <c r="O24" s="12"/>
    </row>
    <row r="25" spans="1:16" ht="16.5" x14ac:dyDescent="0.3">
      <c r="A25" s="17" t="s">
        <v>86</v>
      </c>
      <c r="B25" s="37">
        <f>+C25+F25+N25</f>
        <v>35292730865.036049</v>
      </c>
      <c r="C25" s="37">
        <f>+D25+E25</f>
        <v>23655774492.237049</v>
      </c>
      <c r="D25" s="18">
        <v>21334423948.0741</v>
      </c>
      <c r="E25" s="18">
        <v>2321350544.16295</v>
      </c>
      <c r="F25" s="18">
        <f>G25+L25</f>
        <v>8761255219.8990002</v>
      </c>
      <c r="G25" s="46">
        <v>8761255219.8990002</v>
      </c>
      <c r="H25" s="46"/>
      <c r="I25" s="46"/>
      <c r="J25" s="46"/>
      <c r="K25" s="46"/>
      <c r="L25" s="54">
        <v>0</v>
      </c>
      <c r="M25" s="54"/>
      <c r="N25" s="37">
        <v>2875701152.9000001</v>
      </c>
      <c r="O25" s="12"/>
    </row>
    <row r="26" spans="1:16" ht="16.5" x14ac:dyDescent="0.3">
      <c r="A26" s="17" t="s">
        <v>107</v>
      </c>
      <c r="B26" s="37">
        <f>+C26+F26+N26</f>
        <v>5640587416.7800007</v>
      </c>
      <c r="C26" s="19">
        <f>C24</f>
        <v>3829902723.5300002</v>
      </c>
      <c r="D26" s="18"/>
      <c r="E26" s="18"/>
      <c r="F26" s="18">
        <f>F24</f>
        <v>1590861239.25</v>
      </c>
      <c r="G26" s="18"/>
      <c r="H26" s="18"/>
      <c r="I26" s="18"/>
      <c r="J26" s="18"/>
      <c r="K26" s="19"/>
      <c r="L26" s="19"/>
      <c r="M26" s="19"/>
      <c r="N26" s="19">
        <f>+N24</f>
        <v>219823454</v>
      </c>
      <c r="O26" s="12"/>
    </row>
    <row r="27" spans="1:16" ht="16.5" x14ac:dyDescent="0.3">
      <c r="A27" s="12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  <c r="N27" s="19"/>
      <c r="O27" s="12"/>
    </row>
    <row r="28" spans="1:16" ht="17.25" x14ac:dyDescent="0.35">
      <c r="A28" s="20" t="s">
        <v>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19"/>
      <c r="N28" s="19"/>
      <c r="O28" s="12"/>
    </row>
    <row r="29" spans="1:16" ht="16.5" x14ac:dyDescent="0.3">
      <c r="A29" s="17" t="s">
        <v>105</v>
      </c>
      <c r="B29" s="37">
        <f>B23</f>
        <v>9093011810.8834801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  <c r="N29" s="19"/>
      <c r="O29" s="12"/>
    </row>
    <row r="30" spans="1:16" ht="16.5" x14ac:dyDescent="0.3">
      <c r="A30" s="17" t="s">
        <v>106</v>
      </c>
      <c r="B30" s="37">
        <v>9113012711.1599998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  <c r="N30" s="19"/>
      <c r="O30" s="12"/>
    </row>
    <row r="31" spans="1:16" ht="16.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6" ht="17.25" x14ac:dyDescent="0.35">
      <c r="A32" s="16" t="s">
        <v>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1:15" ht="16.5" x14ac:dyDescent="0.3">
      <c r="A33" s="17" t="s">
        <v>76</v>
      </c>
      <c r="B33" s="22">
        <v>1.060947463</v>
      </c>
      <c r="C33" s="22">
        <v>1.060947463</v>
      </c>
      <c r="D33" s="22">
        <v>1.060947463</v>
      </c>
      <c r="E33" s="22">
        <v>1.060947463</v>
      </c>
      <c r="F33" s="22">
        <v>1.060947463</v>
      </c>
      <c r="G33" s="22">
        <v>1.060947463</v>
      </c>
      <c r="H33" s="22">
        <v>1.060947463</v>
      </c>
      <c r="I33" s="22">
        <v>1.060947463</v>
      </c>
      <c r="J33" s="22">
        <v>1.060947463</v>
      </c>
      <c r="K33" s="22">
        <v>1.060947463</v>
      </c>
      <c r="L33" s="22">
        <v>1.060947463</v>
      </c>
      <c r="M33" s="22">
        <v>1.060947463</v>
      </c>
      <c r="N33" s="22">
        <v>1.060947463</v>
      </c>
      <c r="O33" s="12"/>
    </row>
    <row r="34" spans="1:15" ht="16.5" x14ac:dyDescent="0.3">
      <c r="A34" s="17" t="s">
        <v>108</v>
      </c>
      <c r="B34" s="22">
        <v>1.0641</v>
      </c>
      <c r="C34" s="22">
        <v>1.0641</v>
      </c>
      <c r="D34" s="22">
        <v>1.0641</v>
      </c>
      <c r="E34" s="22">
        <v>1.0641</v>
      </c>
      <c r="F34" s="22">
        <v>1.0641</v>
      </c>
      <c r="G34" s="22">
        <v>1.0641</v>
      </c>
      <c r="H34" s="22">
        <v>1.0641</v>
      </c>
      <c r="I34" s="22">
        <v>1.0641</v>
      </c>
      <c r="J34" s="22">
        <v>1.0641</v>
      </c>
      <c r="K34" s="22">
        <v>1.0641</v>
      </c>
      <c r="L34" s="22">
        <v>1.0641</v>
      </c>
      <c r="M34" s="22">
        <v>1.0641</v>
      </c>
      <c r="N34" s="22">
        <v>1.0641</v>
      </c>
      <c r="O34" s="12"/>
    </row>
    <row r="35" spans="1:15" ht="16.5" x14ac:dyDescent="0.3">
      <c r="A35" s="17" t="s">
        <v>8</v>
      </c>
      <c r="B35" s="19">
        <v>92427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2"/>
    </row>
    <row r="36" spans="1:15" ht="16.5" x14ac:dyDescent="0.3">
      <c r="A36" s="1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2"/>
    </row>
    <row r="37" spans="1:15" ht="17.25" x14ac:dyDescent="0.35">
      <c r="A37" s="16" t="s">
        <v>9</v>
      </c>
      <c r="B37" s="19"/>
      <c r="C37" s="19"/>
      <c r="D37" s="18"/>
      <c r="E37" s="18"/>
      <c r="F37" s="18"/>
      <c r="G37" s="46"/>
      <c r="H37" s="46"/>
      <c r="I37" s="46"/>
      <c r="J37" s="46"/>
      <c r="K37" s="19"/>
      <c r="L37" s="19"/>
      <c r="M37" s="19"/>
      <c r="N37" s="19"/>
      <c r="O37" s="12"/>
    </row>
    <row r="38" spans="1:15" ht="16.5" x14ac:dyDescent="0.3">
      <c r="A38" s="12" t="s">
        <v>77</v>
      </c>
      <c r="B38" s="21">
        <f>B22/B33</f>
        <v>7949295363.7233963</v>
      </c>
      <c r="C38" s="21">
        <f t="shared" ref="C38:F38" si="2">C22/C33</f>
        <v>5468693100.3858767</v>
      </c>
      <c r="D38" s="21"/>
      <c r="E38" s="21"/>
      <c r="F38" s="21">
        <f t="shared" si="2"/>
        <v>2096514882.7543783</v>
      </c>
      <c r="G38" s="21"/>
      <c r="H38" s="21"/>
      <c r="I38" s="21"/>
      <c r="J38" s="21"/>
      <c r="K38" s="21"/>
      <c r="L38" s="21"/>
      <c r="M38" s="21"/>
      <c r="N38" s="21">
        <f>N22/N33</f>
        <v>384087380.58314204</v>
      </c>
      <c r="O38" s="12"/>
    </row>
    <row r="39" spans="1:15" ht="16.5" x14ac:dyDescent="0.3">
      <c r="A39" s="12" t="s">
        <v>109</v>
      </c>
      <c r="B39" s="21">
        <f>B24/B34</f>
        <v>5300805767.1083546</v>
      </c>
      <c r="C39" s="21">
        <f t="shared" ref="C39:F39" si="3">C24/C34</f>
        <v>3599194364.7495537</v>
      </c>
      <c r="D39" s="21"/>
      <c r="E39" s="21"/>
      <c r="F39" s="21">
        <f t="shared" si="3"/>
        <v>1495029827.318861</v>
      </c>
      <c r="G39" s="21"/>
      <c r="H39" s="21"/>
      <c r="I39" s="21"/>
      <c r="J39" s="21"/>
      <c r="K39" s="21"/>
      <c r="L39" s="21"/>
      <c r="M39" s="21"/>
      <c r="N39" s="21">
        <f>N24/N34</f>
        <v>206581575.03993985</v>
      </c>
      <c r="O39" s="12"/>
    </row>
    <row r="40" spans="1:15" ht="16.5" x14ac:dyDescent="0.3">
      <c r="A40" s="12" t="s">
        <v>78</v>
      </c>
      <c r="B40" s="21">
        <f>B38/B16</f>
        <v>57615.418844859909</v>
      </c>
      <c r="C40" s="21">
        <f t="shared" ref="C40:F40" si="4">C38/C16</f>
        <v>110381.27511190552</v>
      </c>
      <c r="D40" s="21"/>
      <c r="E40" s="21"/>
      <c r="F40" s="21">
        <f t="shared" si="4"/>
        <v>15267.441458263065</v>
      </c>
      <c r="G40" s="21"/>
      <c r="H40" s="21"/>
      <c r="I40" s="21"/>
      <c r="J40" s="21"/>
      <c r="K40" s="21"/>
      <c r="L40" s="21"/>
      <c r="M40" s="21"/>
      <c r="N40" s="21">
        <f>N38/N16</f>
        <v>39814.178561536442</v>
      </c>
      <c r="O40" s="12"/>
    </row>
    <row r="41" spans="1:15" ht="16.5" x14ac:dyDescent="0.3">
      <c r="A41" s="12" t="s">
        <v>110</v>
      </c>
      <c r="B41" s="21">
        <f>B39/B18</f>
        <v>34023.289148274205</v>
      </c>
      <c r="C41" s="21">
        <f t="shared" ref="C41:F41" si="5">C39/C18</f>
        <v>86816.832520572658</v>
      </c>
      <c r="D41" s="21"/>
      <c r="E41" s="21"/>
      <c r="F41" s="21">
        <f t="shared" si="5"/>
        <v>10497.87116772521</v>
      </c>
      <c r="G41" s="21"/>
      <c r="H41" s="21"/>
      <c r="I41" s="21"/>
      <c r="J41" s="21"/>
      <c r="K41" s="21"/>
      <c r="L41" s="21"/>
      <c r="M41" s="21"/>
      <c r="N41" s="21">
        <f t="shared" ref="N41" si="6">N39/N18</f>
        <v>21673.942964251924</v>
      </c>
      <c r="O41" s="12"/>
    </row>
    <row r="42" spans="1:15" ht="16.5" x14ac:dyDescent="0.3">
      <c r="A42" s="1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12"/>
    </row>
    <row r="43" spans="1:15" ht="17.25" x14ac:dyDescent="0.35">
      <c r="A43" s="16" t="s">
        <v>10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12"/>
    </row>
    <row r="44" spans="1:15" ht="16.5" x14ac:dyDescent="0.3">
      <c r="A44" s="12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12"/>
    </row>
    <row r="45" spans="1:15" ht="17.25" x14ac:dyDescent="0.35">
      <c r="A45" s="16" t="s">
        <v>11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12"/>
    </row>
    <row r="46" spans="1:15" ht="16.5" x14ac:dyDescent="0.3">
      <c r="A46" s="12" t="s">
        <v>12</v>
      </c>
      <c r="B46" s="24">
        <f t="shared" ref="B46" si="7">(B17/B35)*100</f>
        <v>180.05777532539193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12"/>
    </row>
    <row r="47" spans="1:15" ht="16.5" x14ac:dyDescent="0.3">
      <c r="A47" s="12" t="s">
        <v>13</v>
      </c>
      <c r="B47" s="24">
        <f t="shared" ref="B47" si="8">(B18/B35)*100</f>
        <v>168.5647411831319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12"/>
    </row>
    <row r="48" spans="1:15" ht="16.5" x14ac:dyDescent="0.3">
      <c r="A48" s="12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12"/>
    </row>
    <row r="49" spans="1:15" ht="17.25" x14ac:dyDescent="0.35">
      <c r="A49" s="16" t="s">
        <v>14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12"/>
    </row>
    <row r="50" spans="1:15" ht="16.5" x14ac:dyDescent="0.3">
      <c r="A50" s="12" t="s">
        <v>15</v>
      </c>
      <c r="B50" s="25">
        <f t="shared" ref="B50:N50" si="9">B18/B17*100</f>
        <v>93.617029799746021</v>
      </c>
      <c r="C50" s="25">
        <f t="shared" si="9"/>
        <v>53.159287231632611</v>
      </c>
      <c r="D50" s="25">
        <f t="shared" si="9"/>
        <v>89.06925008970218</v>
      </c>
      <c r="E50" s="25">
        <f t="shared" si="9"/>
        <v>0.26846772574013594</v>
      </c>
      <c r="F50" s="25">
        <f t="shared" si="9"/>
        <v>93.492028062620079</v>
      </c>
      <c r="G50" s="25">
        <f t="shared" si="9"/>
        <v>113.58078286665219</v>
      </c>
      <c r="H50" s="25">
        <f t="shared" si="9"/>
        <v>89.402403035413158</v>
      </c>
      <c r="I50" s="25">
        <f t="shared" si="9"/>
        <v>82.38152190162954</v>
      </c>
      <c r="J50" s="25">
        <f t="shared" si="9"/>
        <v>80.48004861251772</v>
      </c>
      <c r="K50" s="25">
        <f t="shared" si="9"/>
        <v>95.123028706698236</v>
      </c>
      <c r="L50" s="25" t="s">
        <v>53</v>
      </c>
      <c r="M50" s="25" t="s">
        <v>53</v>
      </c>
      <c r="N50" s="25">
        <f t="shared" si="9"/>
        <v>96.663398803285901</v>
      </c>
      <c r="O50" s="12"/>
    </row>
    <row r="51" spans="1:15" ht="16.5" x14ac:dyDescent="0.3">
      <c r="A51" s="12" t="s">
        <v>16</v>
      </c>
      <c r="B51" s="25">
        <f>B24/B23*100</f>
        <v>62.032113606503273</v>
      </c>
      <c r="C51" s="25">
        <f>C24/C23*100</f>
        <v>65.102393241692695</v>
      </c>
      <c r="D51" s="25"/>
      <c r="E51" s="25"/>
      <c r="F51" s="25">
        <f>F24/F23*100</f>
        <v>65.467842515903115</v>
      </c>
      <c r="G51" s="25"/>
      <c r="H51" s="25"/>
      <c r="I51" s="25"/>
      <c r="J51" s="25"/>
      <c r="K51" s="25"/>
      <c r="L51" s="25"/>
      <c r="M51" s="25"/>
      <c r="N51" s="25">
        <f t="shared" ref="N51" si="10">N24/N23*100</f>
        <v>28.177719026822203</v>
      </c>
      <c r="O51" s="12"/>
    </row>
    <row r="52" spans="1:15" ht="16.5" x14ac:dyDescent="0.3">
      <c r="A52" s="12" t="s">
        <v>17</v>
      </c>
      <c r="B52" s="25">
        <f>AVERAGE(B50:B51)</f>
        <v>77.824571703124647</v>
      </c>
      <c r="C52" s="25">
        <f t="shared" ref="C52" si="11">AVERAGE(C50:C51)</f>
        <v>59.13084023666265</v>
      </c>
      <c r="D52" s="25"/>
      <c r="E52" s="25"/>
      <c r="F52" s="25">
        <f t="shared" ref="F52" si="12">AVERAGE(F50:F51)</f>
        <v>79.47993528926159</v>
      </c>
      <c r="G52" s="25"/>
      <c r="H52" s="25"/>
      <c r="I52" s="25"/>
      <c r="J52" s="25"/>
      <c r="K52" s="25"/>
      <c r="L52" s="25"/>
      <c r="M52" s="25"/>
      <c r="N52" s="25">
        <f t="shared" ref="N52" si="13">AVERAGE(N50:N51)</f>
        <v>62.420558915054052</v>
      </c>
      <c r="O52" s="12"/>
    </row>
    <row r="53" spans="1:15" ht="16.5" x14ac:dyDescent="0.3">
      <c r="A53" s="12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12"/>
    </row>
    <row r="54" spans="1:15" ht="17.25" x14ac:dyDescent="0.35">
      <c r="A54" s="16" t="s">
        <v>18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12"/>
    </row>
    <row r="55" spans="1:15" ht="16.5" x14ac:dyDescent="0.3">
      <c r="A55" s="12" t="s">
        <v>19</v>
      </c>
      <c r="B55" s="25">
        <f t="shared" ref="B55:N55" si="14">((B18/B19)*100)</f>
        <v>97.629640769844542</v>
      </c>
      <c r="C55" s="25">
        <f t="shared" si="14"/>
        <v>59.636252043864566</v>
      </c>
      <c r="D55" s="25">
        <f t="shared" si="14"/>
        <v>97.166454643311482</v>
      </c>
      <c r="E55" s="25">
        <f t="shared" si="14"/>
        <v>0.31430392199323137</v>
      </c>
      <c r="F55" s="25">
        <f t="shared" si="14"/>
        <v>95.350620047514838</v>
      </c>
      <c r="G55" s="25">
        <f t="shared" si="14"/>
        <v>113.58078286665219</v>
      </c>
      <c r="H55" s="25">
        <f t="shared" si="14"/>
        <v>89.402403035413158</v>
      </c>
      <c r="I55" s="25">
        <f t="shared" si="14"/>
        <v>82.38152190162954</v>
      </c>
      <c r="J55" s="25">
        <f t="shared" si="14"/>
        <v>83.979181160888061</v>
      </c>
      <c r="K55" s="25">
        <f t="shared" si="14"/>
        <v>97.536954233302041</v>
      </c>
      <c r="L55" s="25" t="s">
        <v>53</v>
      </c>
      <c r="M55" s="25" t="s">
        <v>53</v>
      </c>
      <c r="N55" s="25">
        <f t="shared" si="14"/>
        <v>97.327195214309413</v>
      </c>
      <c r="O55" s="12"/>
    </row>
    <row r="56" spans="1:15" ht="16.5" x14ac:dyDescent="0.3">
      <c r="A56" s="12" t="s">
        <v>20</v>
      </c>
      <c r="B56" s="25">
        <f>B24/B25*100</f>
        <v>15.982292326287626</v>
      </c>
      <c r="C56" s="25">
        <f>C24/C25*100</f>
        <v>16.190138795864968</v>
      </c>
      <c r="D56" s="25"/>
      <c r="E56" s="25"/>
      <c r="F56" s="25">
        <f>F24/F25*100</f>
        <v>18.157914583252367</v>
      </c>
      <c r="G56" s="25"/>
      <c r="H56" s="25"/>
      <c r="I56" s="25"/>
      <c r="J56" s="25"/>
      <c r="K56" s="25"/>
      <c r="L56" s="25"/>
      <c r="M56" s="25"/>
      <c r="N56" s="25">
        <f t="shared" ref="N56" si="15">N24/N25*100</f>
        <v>7.644168928274035</v>
      </c>
      <c r="O56" s="12"/>
    </row>
    <row r="57" spans="1:15" ht="16.5" x14ac:dyDescent="0.3">
      <c r="A57" s="12" t="s">
        <v>21</v>
      </c>
      <c r="B57" s="25">
        <f>(B55+B56)/2</f>
        <v>56.805966548066081</v>
      </c>
      <c r="C57" s="25">
        <f>(C55+C56)/2</f>
        <v>37.913195419864763</v>
      </c>
      <c r="D57" s="25"/>
      <c r="E57" s="25"/>
      <c r="F57" s="25">
        <f>(F55+F56)/2</f>
        <v>56.754267315383601</v>
      </c>
      <c r="G57" s="25"/>
      <c r="H57" s="25"/>
      <c r="I57" s="25"/>
      <c r="J57" s="25"/>
      <c r="K57" s="25"/>
      <c r="L57" s="25"/>
      <c r="M57" s="25"/>
      <c r="N57" s="25">
        <f t="shared" ref="N57" si="16">(N55+N56)/2</f>
        <v>52.485682071291727</v>
      </c>
      <c r="O57" s="12"/>
    </row>
    <row r="58" spans="1:15" ht="16.5" x14ac:dyDescent="0.3">
      <c r="A58" s="12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12"/>
    </row>
    <row r="59" spans="1:15" ht="17.25" x14ac:dyDescent="0.35">
      <c r="A59" s="16" t="s">
        <v>36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12"/>
    </row>
    <row r="60" spans="1:15" ht="16.5" x14ac:dyDescent="0.3">
      <c r="A60" s="12" t="s">
        <v>22</v>
      </c>
      <c r="B60" s="24">
        <f>B26/B24*100</f>
        <v>100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12"/>
    </row>
    <row r="61" spans="1:15" ht="16.5" x14ac:dyDescent="0.3">
      <c r="A61" s="1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12"/>
    </row>
    <row r="62" spans="1:15" ht="17.25" x14ac:dyDescent="0.35">
      <c r="A62" s="16" t="s">
        <v>23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12"/>
    </row>
    <row r="63" spans="1:15" ht="16.5" x14ac:dyDescent="0.3">
      <c r="A63" s="12" t="s">
        <v>24</v>
      </c>
      <c r="B63" s="25">
        <f t="shared" ref="B63:N63" si="17">((B18/B16)-1)*100</f>
        <v>12.921251947863688</v>
      </c>
      <c r="C63" s="25">
        <f t="shared" si="17"/>
        <v>-16.321628731556693</v>
      </c>
      <c r="D63" s="25">
        <f t="shared" si="17"/>
        <v>50.464298702873059</v>
      </c>
      <c r="E63" s="25">
        <f t="shared" si="17"/>
        <v>-99.615971938736934</v>
      </c>
      <c r="F63" s="25">
        <f t="shared" si="17"/>
        <v>3.7091159778424032</v>
      </c>
      <c r="G63" s="25">
        <f t="shared" si="17"/>
        <v>45.208436112481508</v>
      </c>
      <c r="H63" s="25">
        <f t="shared" si="17"/>
        <v>6.336968785257624</v>
      </c>
      <c r="I63" s="25">
        <f t="shared" si="17"/>
        <v>1.1998408374399361</v>
      </c>
      <c r="J63" s="25">
        <f t="shared" si="17"/>
        <v>14.27708590986223</v>
      </c>
      <c r="K63" s="25">
        <f t="shared" si="17"/>
        <v>3.3002941842045663</v>
      </c>
      <c r="L63" s="25" t="s">
        <v>53</v>
      </c>
      <c r="M63" s="25" t="s">
        <v>53</v>
      </c>
      <c r="N63" s="25">
        <f t="shared" si="17"/>
        <v>-1.1989910507584356</v>
      </c>
      <c r="O63" s="12"/>
    </row>
    <row r="64" spans="1:15" ht="16.5" x14ac:dyDescent="0.3">
      <c r="A64" s="12" t="s">
        <v>25</v>
      </c>
      <c r="B64" s="25">
        <f>((B39/B38)-1)*100</f>
        <v>-33.317287576222441</v>
      </c>
      <c r="C64" s="25">
        <f>((C39/C38)-1)*100</f>
        <v>-34.185475420158596</v>
      </c>
      <c r="D64" s="25"/>
      <c r="E64" s="25"/>
      <c r="F64" s="25">
        <f>((F39/F38)-1)*100</f>
        <v>-28.689758435928336</v>
      </c>
      <c r="G64" s="25"/>
      <c r="H64" s="25"/>
      <c r="I64" s="25"/>
      <c r="J64" s="25"/>
      <c r="K64" s="25"/>
      <c r="L64" s="25"/>
      <c r="M64" s="25"/>
      <c r="N64" s="25">
        <f t="shared" ref="N64" si="18">((N39/N38)-1)*100</f>
        <v>-46.214953814338642</v>
      </c>
      <c r="O64" s="12"/>
    </row>
    <row r="65" spans="1:15" ht="16.5" x14ac:dyDescent="0.3">
      <c r="A65" s="12" t="s">
        <v>26</v>
      </c>
      <c r="B65" s="25">
        <f>((B41/B40)-1)*100</f>
        <v>-40.947597309171421</v>
      </c>
      <c r="C65" s="25">
        <f>((C41/C40)-1)*100</f>
        <v>-21.348224658070869</v>
      </c>
      <c r="D65" s="25"/>
      <c r="E65" s="25"/>
      <c r="F65" s="25">
        <f>((F41/F40)-1)*100</f>
        <v>-31.240141339834395</v>
      </c>
      <c r="G65" s="25"/>
      <c r="H65" s="25"/>
      <c r="I65" s="25"/>
      <c r="J65" s="25"/>
      <c r="K65" s="25"/>
      <c r="L65" s="25"/>
      <c r="M65" s="25"/>
      <c r="N65" s="25">
        <f t="shared" ref="N65" si="19">((N41/N40)-1)*100</f>
        <v>-45.562250064376265</v>
      </c>
      <c r="O65" s="12"/>
    </row>
    <row r="66" spans="1:15" ht="16.5" x14ac:dyDescent="0.3">
      <c r="A66" s="12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12"/>
    </row>
    <row r="67" spans="1:15" ht="17.25" x14ac:dyDescent="0.35">
      <c r="A67" s="16" t="s">
        <v>27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12"/>
    </row>
    <row r="68" spans="1:15" ht="16.5" x14ac:dyDescent="0.3">
      <c r="A68" s="12" t="s">
        <v>41</v>
      </c>
      <c r="B68" s="26">
        <f>B23/(B17*3)</f>
        <v>18212.759953378521</v>
      </c>
      <c r="C68" s="26">
        <f>C23/(C17*3)</f>
        <v>25144.749903430406</v>
      </c>
      <c r="D68" s="26"/>
      <c r="E68" s="26"/>
      <c r="F68" s="26">
        <f>F23/(F17*3)</f>
        <v>5317.5181250016421</v>
      </c>
      <c r="G68" s="26"/>
      <c r="H68" s="26"/>
      <c r="I68" s="26"/>
      <c r="J68" s="26"/>
      <c r="K68" s="26"/>
      <c r="L68" s="26"/>
      <c r="M68" s="26"/>
      <c r="N68" s="26">
        <f t="shared" ref="N68:N69" si="20">N23/(N17*3)</f>
        <v>26372.745377100167</v>
      </c>
      <c r="O68" s="12"/>
    </row>
    <row r="69" spans="1:15" ht="16.5" x14ac:dyDescent="0.3">
      <c r="A69" s="12" t="s">
        <v>42</v>
      </c>
      <c r="B69" s="26">
        <f>B24/(B18*3)</f>
        <v>12068.060660892861</v>
      </c>
      <c r="C69" s="26">
        <f>C24/(C18*3)</f>
        <v>30793.930495047123</v>
      </c>
      <c r="D69" s="26"/>
      <c r="E69" s="26"/>
      <c r="F69" s="26">
        <f>F24/(F18*3)</f>
        <v>3723.5949031921318</v>
      </c>
      <c r="G69" s="26"/>
      <c r="H69" s="26"/>
      <c r="I69" s="26"/>
      <c r="J69" s="26"/>
      <c r="K69" s="26"/>
      <c r="L69" s="26"/>
      <c r="M69" s="26"/>
      <c r="N69" s="26">
        <f t="shared" si="20"/>
        <v>7687.7475694201585</v>
      </c>
      <c r="O69" s="12"/>
    </row>
    <row r="70" spans="1:15" ht="16.5" x14ac:dyDescent="0.3">
      <c r="A70" s="12" t="s">
        <v>30</v>
      </c>
      <c r="B70" s="26">
        <f>(B69/B68)*B52</f>
        <v>51.567782951374781</v>
      </c>
      <c r="C70" s="26">
        <f>(C69/C68)*C52</f>
        <v>72.4155535988493</v>
      </c>
      <c r="D70" s="26"/>
      <c r="E70" s="26"/>
      <c r="F70" s="26">
        <f>(F69/F68)*F52</f>
        <v>55.655867077847248</v>
      </c>
      <c r="G70" s="26"/>
      <c r="H70" s="26"/>
      <c r="I70" s="26"/>
      <c r="J70" s="26"/>
      <c r="K70" s="26"/>
      <c r="L70" s="26"/>
      <c r="M70" s="26"/>
      <c r="N70" s="26">
        <f t="shared" ref="N70" si="21">(N69/N68)*N52</f>
        <v>18.195811365840417</v>
      </c>
      <c r="O70" s="12"/>
    </row>
    <row r="71" spans="1:15" ht="16.5" x14ac:dyDescent="0.3">
      <c r="A71" s="12" t="s">
        <v>35</v>
      </c>
      <c r="B71" s="26">
        <f>B23/B17</f>
        <v>54638.279860135561</v>
      </c>
      <c r="C71" s="26">
        <f>C23/C17</f>
        <v>75434.249710291217</v>
      </c>
      <c r="D71" s="26"/>
      <c r="E71" s="26"/>
      <c r="F71" s="26">
        <f>F23/F17</f>
        <v>15952.554375004926</v>
      </c>
      <c r="G71" s="26"/>
      <c r="H71" s="26"/>
      <c r="I71" s="26"/>
      <c r="J71" s="26"/>
      <c r="K71" s="26"/>
      <c r="L71" s="26"/>
      <c r="M71" s="26"/>
      <c r="N71" s="26">
        <f t="shared" ref="N71:N72" si="22">N23/N17</f>
        <v>79118.236131300495</v>
      </c>
      <c r="O71" s="12"/>
    </row>
    <row r="72" spans="1:15" ht="16.5" x14ac:dyDescent="0.3">
      <c r="A72" s="12" t="s">
        <v>34</v>
      </c>
      <c r="B72" s="26">
        <f>B24/B18</f>
        <v>36204.18198267858</v>
      </c>
      <c r="C72" s="26">
        <f>C24/C18</f>
        <v>92381.791485141366</v>
      </c>
      <c r="D72" s="26"/>
      <c r="E72" s="26"/>
      <c r="F72" s="26">
        <f>F24/F18</f>
        <v>11170.784709576395</v>
      </c>
      <c r="G72" s="26"/>
      <c r="H72" s="26"/>
      <c r="I72" s="26"/>
      <c r="J72" s="26"/>
      <c r="K72" s="26"/>
      <c r="L72" s="26"/>
      <c r="M72" s="26"/>
      <c r="N72" s="26">
        <f t="shared" si="22"/>
        <v>23063.242708260474</v>
      </c>
      <c r="O72" s="12"/>
    </row>
    <row r="73" spans="1:15" ht="16.5" x14ac:dyDescent="0.3">
      <c r="A73" s="1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12"/>
    </row>
    <row r="74" spans="1:15" ht="17.25" x14ac:dyDescent="0.35">
      <c r="A74" s="16" t="s">
        <v>31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12"/>
    </row>
    <row r="75" spans="1:15" ht="16.5" x14ac:dyDescent="0.3">
      <c r="A75" s="12" t="s">
        <v>32</v>
      </c>
      <c r="B75" s="24">
        <f>(B30/B29)*100</f>
        <v>100.21995902669542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12"/>
    </row>
    <row r="76" spans="1:15" ht="17.25" thickBot="1" x14ac:dyDescent="0.35">
      <c r="A76" s="27" t="s">
        <v>33</v>
      </c>
      <c r="B76" s="28">
        <f>(B24/B30)*100</f>
        <v>61.89596783808291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12"/>
    </row>
    <row r="77" spans="1:15" ht="17.25" thickTop="1" x14ac:dyDescent="0.3">
      <c r="A77" s="47" t="s">
        <v>91</v>
      </c>
      <c r="B77" s="47"/>
      <c r="C77" s="47"/>
      <c r="D77" s="47"/>
      <c r="E77" s="47"/>
      <c r="F77" s="47"/>
      <c r="G77" s="29"/>
      <c r="H77" s="29"/>
      <c r="I77" s="29"/>
      <c r="J77" s="29"/>
      <c r="K77" s="29"/>
      <c r="L77" s="29"/>
      <c r="M77" s="12"/>
      <c r="N77" s="12"/>
    </row>
    <row r="78" spans="1:15" ht="17.25" x14ac:dyDescent="0.35">
      <c r="A78" s="29" t="s">
        <v>92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12"/>
      <c r="N78" s="12"/>
    </row>
  </sheetData>
  <mergeCells count="17">
    <mergeCell ref="A9:A10"/>
    <mergeCell ref="D10:E10"/>
    <mergeCell ref="D24:E24"/>
    <mergeCell ref="G10:K10"/>
    <mergeCell ref="D22:E22"/>
    <mergeCell ref="G22:K22"/>
    <mergeCell ref="G23:K23"/>
    <mergeCell ref="G24:K24"/>
    <mergeCell ref="B9:B10"/>
    <mergeCell ref="C9:N9"/>
    <mergeCell ref="L22:M22"/>
    <mergeCell ref="L23:M23"/>
    <mergeCell ref="L24:M24"/>
    <mergeCell ref="L25:M25"/>
    <mergeCell ref="A77:F77"/>
    <mergeCell ref="G37:J37"/>
    <mergeCell ref="G25:K25"/>
  </mergeCells>
  <pageMargins left="0.7" right="0.7" top="0.75" bottom="0.75" header="0.3" footer="0.3"/>
  <pageSetup paperSize="9" scale="17" orientation="portrait" r:id="rId1"/>
  <ignoredErrors>
    <ignoredError sqref="C24 B18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229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3" customWidth="1"/>
    <col min="2" max="2" width="16.28515625" style="3" customWidth="1"/>
    <col min="3" max="3" width="18.5703125" style="3" customWidth="1"/>
    <col min="4" max="5" width="15.7109375" style="3" customWidth="1"/>
    <col min="6" max="6" width="16.28515625" style="3" customWidth="1"/>
    <col min="7" max="14" width="15.7109375" style="3" customWidth="1"/>
    <col min="15" max="16384" width="11.42578125" style="3"/>
  </cols>
  <sheetData>
    <row r="9" spans="1:14" ht="17.25" x14ac:dyDescent="0.35">
      <c r="A9" s="48" t="s">
        <v>0</v>
      </c>
      <c r="B9" s="48" t="s">
        <v>47</v>
      </c>
      <c r="C9" s="53" t="s">
        <v>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87" thickBot="1" x14ac:dyDescent="0.3">
      <c r="A10" s="49"/>
      <c r="B10" s="49"/>
      <c r="C10" s="38" t="s">
        <v>46</v>
      </c>
      <c r="D10" s="50" t="s">
        <v>49</v>
      </c>
      <c r="E10" s="50"/>
      <c r="F10" s="38" t="s">
        <v>43</v>
      </c>
      <c r="G10" s="49" t="s">
        <v>48</v>
      </c>
      <c r="H10" s="49"/>
      <c r="I10" s="49"/>
      <c r="J10" s="49"/>
      <c r="K10" s="49"/>
      <c r="L10" s="39" t="s">
        <v>72</v>
      </c>
      <c r="M10" s="39" t="s">
        <v>73</v>
      </c>
      <c r="N10" s="39" t="s">
        <v>52</v>
      </c>
    </row>
    <row r="11" spans="1:14" ht="50.25" thickTop="1" x14ac:dyDescent="0.3">
      <c r="A11" s="12"/>
      <c r="B11" s="13" t="s">
        <v>1</v>
      </c>
      <c r="C11" s="14" t="s">
        <v>51</v>
      </c>
      <c r="D11" s="15" t="s">
        <v>54</v>
      </c>
      <c r="E11" s="15" t="s">
        <v>50</v>
      </c>
      <c r="F11" s="13" t="s">
        <v>45</v>
      </c>
      <c r="G11" s="13" t="s">
        <v>83</v>
      </c>
      <c r="H11" s="13" t="s">
        <v>55</v>
      </c>
      <c r="I11" s="13" t="s">
        <v>56</v>
      </c>
      <c r="J11" s="13" t="s">
        <v>57</v>
      </c>
      <c r="K11" s="13" t="s">
        <v>58</v>
      </c>
      <c r="L11" s="13" t="s">
        <v>74</v>
      </c>
      <c r="M11" s="13" t="s">
        <v>58</v>
      </c>
      <c r="N11" s="13" t="s">
        <v>59</v>
      </c>
    </row>
    <row r="12" spans="1:14" ht="16.5" x14ac:dyDescent="0.3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7.25" x14ac:dyDescent="0.35">
      <c r="A13" s="16" t="s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6.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7.25" x14ac:dyDescent="0.35">
      <c r="A15" s="16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6.5" x14ac:dyDescent="0.3">
      <c r="A16" s="17" t="s">
        <v>111</v>
      </c>
      <c r="B16" s="33">
        <f>+D16+K16</f>
        <v>129648.55555555556</v>
      </c>
      <c r="C16" s="33">
        <f>+D16+E16</f>
        <v>43000.777777777781</v>
      </c>
      <c r="D16" s="33">
        <f>(+'I Trimestre'!D16+'II Trimestre'!D16+'III Trimestre'!D16)/3</f>
        <v>24520.555555555558</v>
      </c>
      <c r="E16" s="33">
        <f>(+'I Trimestre'!E16+'II Trimestre'!E16+'III Trimestre'!E16)/3</f>
        <v>18480.222222222223</v>
      </c>
      <c r="F16" s="33">
        <f>K16+I16+H16</f>
        <v>129805.11111111112</v>
      </c>
      <c r="G16" s="33">
        <f>(+'I Trimestre'!G16+'II Trimestre'!G16+'III Trimestre'!G16)/3</f>
        <v>10329.555555555555</v>
      </c>
      <c r="H16" s="33">
        <f>(+'I Trimestre'!H16+'II Trimestre'!H16+'III Trimestre'!H16)/3</f>
        <v>14846.444444444445</v>
      </c>
      <c r="I16" s="33">
        <f>(+'I Trimestre'!I16+'II Trimestre'!I16+'III Trimestre'!I16)/3</f>
        <v>9830.6666666666661</v>
      </c>
      <c r="J16" s="33">
        <f>(+'I Trimestre'!J16+'II Trimestre'!J16+'III Trimestre'!J16)/3</f>
        <v>32267.888888888887</v>
      </c>
      <c r="K16" s="33">
        <f>('I Trimestre'!K16+'II Trimestre'!K16+'III Trimestre'!K16)/3</f>
        <v>105128</v>
      </c>
      <c r="L16" s="33">
        <f>('I Trimestre'!L16+'II Trimestre'!L16+'III Trimestre'!L16)/3</f>
        <v>0</v>
      </c>
      <c r="M16" s="33">
        <f>('I Trimestre'!M16+'II Trimestre'!M16+'III Trimestre'!M16)/3</f>
        <v>0</v>
      </c>
      <c r="N16" s="33">
        <f>('I Trimestre'!N16+'II Trimestre'!N16+'III Trimestre'!N16)/3</f>
        <v>9006.6666666666661</v>
      </c>
    </row>
    <row r="17" spans="1:15" ht="16.5" x14ac:dyDescent="0.3">
      <c r="A17" s="17" t="s">
        <v>112</v>
      </c>
      <c r="B17" s="33">
        <f>+D17+K17</f>
        <v>156722.77777777775</v>
      </c>
      <c r="C17" s="33">
        <f t="shared" ref="C17:C19" si="0">+D17+E17</f>
        <v>66693.777777777781</v>
      </c>
      <c r="D17" s="33">
        <f>(+'I Trimestre'!D17+'II Trimestre'!D17+'III Trimestre'!D17)/3</f>
        <v>41289</v>
      </c>
      <c r="E17" s="33">
        <f>(+'I Trimestre'!E17+'II Trimestre'!E17+'III Trimestre'!E17)/3</f>
        <v>25404.777777777781</v>
      </c>
      <c r="F17" s="33">
        <f>K17+I17+H17+L17+M17</f>
        <v>147787.77777777775</v>
      </c>
      <c r="G17" s="33">
        <f>(+'I Trimestre'!G17+'II Trimestre'!G17+'III Trimestre'!G17)/3</f>
        <v>13821</v>
      </c>
      <c r="H17" s="33">
        <f>(+'I Trimestre'!H17+'II Trimestre'!H17+'III Trimestre'!H17)/3</f>
        <v>18976</v>
      </c>
      <c r="I17" s="33">
        <f>(+'I Trimestre'!I17+'II Trimestre'!I17+'III Trimestre'!I17)/3</f>
        <v>13378</v>
      </c>
      <c r="J17" s="33">
        <f>(+'I Trimestre'!J17+'II Trimestre'!J17+'III Trimestre'!J17)/3</f>
        <v>46627.222222222219</v>
      </c>
      <c r="K17" s="33">
        <f>('I Trimestre'!K17+'II Trimestre'!K17+'III Trimestre'!K17)/3</f>
        <v>115433.77777777777</v>
      </c>
      <c r="L17" s="33">
        <f>('I Trimestre'!L17+'II Trimestre'!L17+'III Trimestre'!L17)/3</f>
        <v>0</v>
      </c>
      <c r="M17" s="33">
        <f>('I Trimestre'!M17+'II Trimestre'!M17+'III Trimestre'!M17)/3</f>
        <v>0</v>
      </c>
      <c r="N17" s="33">
        <f>('I Trimestre'!N17+'II Trimestre'!N17+'III Trimestre'!N17)/3</f>
        <v>9740.7777777777792</v>
      </c>
    </row>
    <row r="18" spans="1:15" ht="16.5" x14ac:dyDescent="0.3">
      <c r="A18" s="17" t="s">
        <v>113</v>
      </c>
      <c r="B18" s="33">
        <f>+D18+K18+M18</f>
        <v>141687.55555555559</v>
      </c>
      <c r="C18" s="33">
        <f t="shared" si="0"/>
        <v>36375.999999999993</v>
      </c>
      <c r="D18" s="33">
        <f>(+'I Trimestre'!D18+'II Trimestre'!D18+'III Trimestre'!D18)/3</f>
        <v>31720.555555555551</v>
      </c>
      <c r="E18" s="33">
        <f>(+'I Trimestre'!E18+'II Trimestre'!E18+'III Trimestre'!E18)/3</f>
        <v>4655.4444444444443</v>
      </c>
      <c r="F18" s="33">
        <f>K18+I18+H18+L18+M18</f>
        <v>134571.55555555559</v>
      </c>
      <c r="G18" s="33">
        <f>(+'I Trimestre'!G18+'II Trimestre'!G18+'III Trimestre'!G18)/3</f>
        <v>13053.222222222224</v>
      </c>
      <c r="H18" s="33">
        <f>(+'I Trimestre'!H18+'II Trimestre'!H18+'III Trimestre'!H18)/3</f>
        <v>15129.666666666666</v>
      </c>
      <c r="I18" s="33">
        <f>(+'I Trimestre'!I18+'II Trimestre'!I18+'III Trimestre'!I18)/3</f>
        <v>9474.8888888888887</v>
      </c>
      <c r="J18" s="33">
        <f>(+'I Trimestre'!J18+'II Trimestre'!J18+'III Trimestre'!J18)/3</f>
        <v>34270</v>
      </c>
      <c r="K18" s="33">
        <f>('I Trimestre'!K18+'II Trimestre'!K18+'III Trimestre'!K18)/3</f>
        <v>105558.55555555556</v>
      </c>
      <c r="L18" s="33">
        <f>('I Trimestre'!L18+'II Trimestre'!L18+'III Trimestre'!L18)/3</f>
        <v>0</v>
      </c>
      <c r="M18" s="33">
        <f>('I Trimestre'!M18+'II Trimestre'!M18+'III Trimestre'!M18)/3</f>
        <v>4408.4444444444553</v>
      </c>
      <c r="N18" s="33">
        <f>('I Trimestre'!N18+'II Trimestre'!N18+'III Trimestre'!N18)/3</f>
        <v>9096.3333333333339</v>
      </c>
    </row>
    <row r="19" spans="1:15" ht="16.5" x14ac:dyDescent="0.3">
      <c r="A19" s="17" t="s">
        <v>86</v>
      </c>
      <c r="B19" s="33">
        <f>+D19+K19</f>
        <v>159582</v>
      </c>
      <c r="C19" s="33">
        <f t="shared" si="0"/>
        <v>69517</v>
      </c>
      <c r="D19" s="18">
        <f>+'III Trimestre'!D19</f>
        <v>42579.166666666664</v>
      </c>
      <c r="E19" s="18">
        <f>+'III Trimestre'!E19</f>
        <v>26937.833333333332</v>
      </c>
      <c r="F19" s="33">
        <f>K19+I19+H19+L19+M19</f>
        <v>149356.83333333331</v>
      </c>
      <c r="G19" s="18">
        <f>+'III Trimestre'!G19</f>
        <v>13821</v>
      </c>
      <c r="H19" s="18">
        <f>+'III Trimestre'!H19</f>
        <v>18976</v>
      </c>
      <c r="I19" s="18">
        <f>'III Trimestre'!I19</f>
        <v>13378</v>
      </c>
      <c r="J19" s="18">
        <f>'III Trimestre'!J19</f>
        <v>47312.916666666664</v>
      </c>
      <c r="K19" s="18">
        <f>+'III Trimestre'!K19</f>
        <v>117002.83333333333</v>
      </c>
      <c r="L19" s="33">
        <f>+'III Trimestre'!L19</f>
        <v>0</v>
      </c>
      <c r="M19" s="33">
        <f>+'III Trimestre'!M19</f>
        <v>0</v>
      </c>
      <c r="N19" s="33">
        <f>+'III Trimestre'!N19</f>
        <v>9793.0833333333339</v>
      </c>
      <c r="O19" s="33"/>
    </row>
    <row r="20" spans="1:15" ht="17.25" x14ac:dyDescent="0.35">
      <c r="A20" s="16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9"/>
      <c r="M20" s="19"/>
      <c r="N20" s="19"/>
    </row>
    <row r="21" spans="1:15" ht="16.5" x14ac:dyDescent="0.3">
      <c r="A21" s="41" t="s">
        <v>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9"/>
      <c r="M21" s="19"/>
      <c r="N21" s="19"/>
    </row>
    <row r="22" spans="1:15" ht="16.5" x14ac:dyDescent="0.3">
      <c r="A22" s="17" t="s">
        <v>111</v>
      </c>
      <c r="B22" s="33">
        <f>C22+F22+N22</f>
        <v>18978170853.799999</v>
      </c>
      <c r="C22" s="33">
        <f>+'I Trimestre'!C22+'II Trimestre'!C22+'III Trimestre'!C22</f>
        <v>12915643392.299999</v>
      </c>
      <c r="D22" s="18"/>
      <c r="E22" s="18"/>
      <c r="F22" s="18">
        <f>+'I Trimestre'!F22+'II Trimestre'!F22+'III Trimestre'!F22</f>
        <v>4878438724</v>
      </c>
      <c r="G22" s="18"/>
      <c r="H22" s="18"/>
      <c r="I22" s="18"/>
      <c r="J22" s="18"/>
      <c r="K22" s="33"/>
      <c r="L22" s="33"/>
      <c r="M22" s="18"/>
      <c r="N22" s="18">
        <f>+'I Trimestre'!N22+'II Trimestre'!N22+'III Trimestre'!N22</f>
        <v>1184088737.5</v>
      </c>
    </row>
    <row r="23" spans="1:15" ht="16.5" x14ac:dyDescent="0.3">
      <c r="A23" s="17" t="s">
        <v>112</v>
      </c>
      <c r="B23" s="33">
        <f t="shared" ref="B23:B26" si="1">C23+F23+N23</f>
        <v>26155380279.398579</v>
      </c>
      <c r="C23" s="33">
        <f>+'I Trimestre'!C23+'II Trimestre'!C23+'III Trimestre'!C23</f>
        <v>17808752648.800579</v>
      </c>
      <c r="D23" s="18"/>
      <c r="E23" s="18"/>
      <c r="F23" s="18">
        <f>+'I Trimestre'!F23+'II Trimestre'!F23+'III Trimestre'!F23</f>
        <v>6303899429.5979996</v>
      </c>
      <c r="G23" s="18"/>
      <c r="H23" s="18"/>
      <c r="I23" s="18"/>
      <c r="J23" s="18"/>
      <c r="K23" s="33"/>
      <c r="L23" s="33"/>
      <c r="M23" s="18"/>
      <c r="N23" s="18">
        <f>+'I Trimestre'!N23+'II Trimestre'!N23+'III Trimestre'!N23</f>
        <v>2042728201</v>
      </c>
    </row>
    <row r="24" spans="1:15" ht="16.5" x14ac:dyDescent="0.3">
      <c r="A24" s="17" t="s">
        <v>113</v>
      </c>
      <c r="B24" s="33">
        <f t="shared" si="1"/>
        <v>14582663224.139999</v>
      </c>
      <c r="C24" s="33">
        <f>+'I Trimestre'!C24+'II Trimestre'!C24+'III Trimestre'!C24</f>
        <v>7425084785.7299995</v>
      </c>
      <c r="D24" s="18"/>
      <c r="E24" s="18"/>
      <c r="F24" s="18">
        <f>+'I Trimestre'!F24+'II Trimestre'!F24+'III Trimestre'!F24</f>
        <v>5894718795.4499998</v>
      </c>
      <c r="G24" s="18"/>
      <c r="H24" s="18"/>
      <c r="I24" s="18"/>
      <c r="J24" s="18"/>
      <c r="K24" s="33"/>
      <c r="L24" s="33"/>
      <c r="M24" s="18"/>
      <c r="N24" s="18">
        <f>+'I Trimestre'!N24+'II Trimestre'!N24+'III Trimestre'!N24</f>
        <v>1262859642.96</v>
      </c>
    </row>
    <row r="25" spans="1:15" ht="16.5" x14ac:dyDescent="0.3">
      <c r="A25" s="17" t="s">
        <v>86</v>
      </c>
      <c r="B25" s="33">
        <f t="shared" si="1"/>
        <v>35292730865.036049</v>
      </c>
      <c r="C25" s="33">
        <f>+'III Trimestre'!C25</f>
        <v>23655774492.237049</v>
      </c>
      <c r="D25" s="18"/>
      <c r="E25" s="18"/>
      <c r="F25" s="18">
        <f>+'III Trimestre'!F25</f>
        <v>8761255219.8990002</v>
      </c>
      <c r="G25" s="18"/>
      <c r="H25" s="18"/>
      <c r="I25" s="18"/>
      <c r="J25" s="18"/>
      <c r="K25" s="33"/>
      <c r="L25" s="33"/>
      <c r="M25" s="18"/>
      <c r="N25" s="18">
        <f>+'III Trimestre'!N25</f>
        <v>2875701152.9000001</v>
      </c>
    </row>
    <row r="26" spans="1:15" ht="16.5" x14ac:dyDescent="0.3">
      <c r="A26" s="17" t="s">
        <v>114</v>
      </c>
      <c r="B26" s="33">
        <f t="shared" si="1"/>
        <v>14582663224.139999</v>
      </c>
      <c r="C26" s="18">
        <f>C24</f>
        <v>7425084785.7299995</v>
      </c>
      <c r="D26" s="18"/>
      <c r="E26" s="18"/>
      <c r="F26" s="18">
        <f>F24</f>
        <v>5894718795.4499998</v>
      </c>
      <c r="G26" s="18"/>
      <c r="H26" s="18"/>
      <c r="I26" s="18"/>
      <c r="J26" s="18"/>
      <c r="K26" s="18"/>
      <c r="L26" s="18"/>
      <c r="M26" s="18"/>
      <c r="N26" s="18">
        <f>+N24</f>
        <v>1262859642.96</v>
      </c>
    </row>
    <row r="27" spans="1:15" ht="16.5" x14ac:dyDescent="0.3">
      <c r="A27" s="12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  <c r="N27" s="19"/>
    </row>
    <row r="28" spans="1:15" ht="17.25" x14ac:dyDescent="0.35">
      <c r="A28" s="20" t="s">
        <v>6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19"/>
      <c r="M28" s="19"/>
      <c r="N28" s="19"/>
    </row>
    <row r="29" spans="1:15" ht="16.5" x14ac:dyDescent="0.3">
      <c r="A29" s="17" t="s">
        <v>112</v>
      </c>
      <c r="B29" s="32">
        <f>+B23</f>
        <v>26155380279.398579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  <c r="N29" s="19"/>
    </row>
    <row r="30" spans="1:15" ht="16.5" x14ac:dyDescent="0.3">
      <c r="A30" s="17" t="s">
        <v>113</v>
      </c>
      <c r="B30" s="32">
        <f>+'I Trimestre'!B30+'II Trimestre'!B30+'III Trimestre'!B30</f>
        <v>26060381179.449997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  <c r="N30" s="19"/>
    </row>
    <row r="31" spans="1:15" ht="17.25" x14ac:dyDescent="0.35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5" ht="17.25" x14ac:dyDescent="0.35">
      <c r="A32" s="16" t="s">
        <v>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6.5" x14ac:dyDescent="0.3">
      <c r="A33" s="17" t="s">
        <v>115</v>
      </c>
      <c r="B33" s="22">
        <v>1.060947463</v>
      </c>
      <c r="C33" s="22">
        <v>1.060947463</v>
      </c>
      <c r="D33" s="22">
        <v>1.060947463</v>
      </c>
      <c r="E33" s="22">
        <v>1.060947463</v>
      </c>
      <c r="F33" s="22">
        <v>1.060947463</v>
      </c>
      <c r="G33" s="22">
        <v>1.060947463</v>
      </c>
      <c r="H33" s="22">
        <v>1.060947463</v>
      </c>
      <c r="I33" s="22">
        <v>1.060947463</v>
      </c>
      <c r="J33" s="22">
        <v>1.060947463</v>
      </c>
      <c r="K33" s="22">
        <v>1.060947463</v>
      </c>
      <c r="L33" s="22">
        <v>1.060947463</v>
      </c>
      <c r="M33" s="22">
        <v>1.060947463</v>
      </c>
      <c r="N33" s="22">
        <v>1.060947463</v>
      </c>
    </row>
    <row r="34" spans="1:14" ht="16.5" x14ac:dyDescent="0.3">
      <c r="A34" s="17" t="s">
        <v>116</v>
      </c>
      <c r="B34" s="22">
        <v>1.0641</v>
      </c>
      <c r="C34" s="22">
        <v>1.0641</v>
      </c>
      <c r="D34" s="22">
        <v>1.0641</v>
      </c>
      <c r="E34" s="22">
        <v>1.0641</v>
      </c>
      <c r="F34" s="22">
        <v>1.0641</v>
      </c>
      <c r="G34" s="22">
        <v>1.0641</v>
      </c>
      <c r="H34" s="22">
        <v>1.0641</v>
      </c>
      <c r="I34" s="22">
        <v>1.0641</v>
      </c>
      <c r="J34" s="22">
        <v>1.0641</v>
      </c>
      <c r="K34" s="22">
        <v>1.0641</v>
      </c>
      <c r="L34" s="22">
        <v>1.0641</v>
      </c>
      <c r="M34" s="22">
        <v>1.0641</v>
      </c>
      <c r="N34" s="22">
        <v>1.0641</v>
      </c>
    </row>
    <row r="35" spans="1:14" ht="16.5" x14ac:dyDescent="0.3">
      <c r="A35" s="17" t="s">
        <v>8</v>
      </c>
      <c r="B35" s="19">
        <v>92427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6.5" x14ac:dyDescent="0.3">
      <c r="A36" s="1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7.25" x14ac:dyDescent="0.35">
      <c r="A37" s="16" t="s">
        <v>9</v>
      </c>
      <c r="B37" s="19"/>
      <c r="C37" s="19"/>
      <c r="D37" s="18"/>
      <c r="E37" s="19"/>
      <c r="F37" s="19"/>
      <c r="G37" s="46"/>
      <c r="H37" s="46"/>
      <c r="I37" s="46"/>
      <c r="J37" s="46"/>
      <c r="K37" s="19"/>
      <c r="L37" s="19"/>
      <c r="M37" s="19"/>
      <c r="N37" s="19"/>
    </row>
    <row r="38" spans="1:14" ht="16.5" x14ac:dyDescent="0.3">
      <c r="A38" s="12" t="s">
        <v>117</v>
      </c>
      <c r="B38" s="21">
        <f>B22/B33</f>
        <v>17887945931.022976</v>
      </c>
      <c r="C38" s="21">
        <f>C22/C33</f>
        <v>12173687993.728676</v>
      </c>
      <c r="D38" s="21"/>
      <c r="E38" s="21"/>
      <c r="F38" s="21">
        <f>F22/F33</f>
        <v>4598190668.372426</v>
      </c>
      <c r="G38" s="21"/>
      <c r="H38" s="21"/>
      <c r="I38" s="21"/>
      <c r="J38" s="21"/>
      <c r="K38" s="21"/>
      <c r="L38" s="21"/>
      <c r="M38" s="21"/>
      <c r="N38" s="21">
        <f t="shared" ref="N38" si="2">N22/N33</f>
        <v>1116067268.9218731</v>
      </c>
    </row>
    <row r="39" spans="1:14" ht="16.5" x14ac:dyDescent="0.3">
      <c r="A39" s="12" t="s">
        <v>118</v>
      </c>
      <c r="B39" s="21">
        <f>B24/B34</f>
        <v>13704222558.161825</v>
      </c>
      <c r="C39" s="21">
        <f>C24/C34</f>
        <v>6977807335.5229769</v>
      </c>
      <c r="D39" s="21"/>
      <c r="E39" s="21"/>
      <c r="F39" s="21">
        <f>F24/F34</f>
        <v>5539628602.0580769</v>
      </c>
      <c r="G39" s="21"/>
      <c r="H39" s="21"/>
      <c r="I39" s="21"/>
      <c r="J39" s="21"/>
      <c r="K39" s="21"/>
      <c r="L39" s="21"/>
      <c r="M39" s="21"/>
      <c r="N39" s="21">
        <f t="shared" ref="N39" si="3">N24/N34</f>
        <v>1186786620.5807724</v>
      </c>
    </row>
    <row r="40" spans="1:14" ht="16.5" x14ac:dyDescent="0.3">
      <c r="A40" s="12" t="s">
        <v>119</v>
      </c>
      <c r="B40" s="21">
        <f>B38/B16</f>
        <v>137972.58175666933</v>
      </c>
      <c r="C40" s="21">
        <f>C38/C16</f>
        <v>283103.90236754908</v>
      </c>
      <c r="D40" s="21"/>
      <c r="E40" s="21"/>
      <c r="F40" s="21">
        <f>F38/F16</f>
        <v>35423.802876578928</v>
      </c>
      <c r="G40" s="21"/>
      <c r="H40" s="21"/>
      <c r="I40" s="21"/>
      <c r="J40" s="21"/>
      <c r="K40" s="21"/>
      <c r="L40" s="21"/>
      <c r="M40" s="21"/>
      <c r="N40" s="21">
        <f t="shared" ref="N40" si="4">N38/N16</f>
        <v>123915.6849284093</v>
      </c>
    </row>
    <row r="41" spans="1:14" ht="16.5" x14ac:dyDescent="0.3">
      <c r="A41" s="12" t="s">
        <v>120</v>
      </c>
      <c r="B41" s="21">
        <f>B39/B18</f>
        <v>96721.426976615519</v>
      </c>
      <c r="C41" s="21">
        <f>C39/C18</f>
        <v>191824.48140320482</v>
      </c>
      <c r="D41" s="21"/>
      <c r="E41" s="21"/>
      <c r="F41" s="21">
        <f>F39/F18</f>
        <v>41164.929536473515</v>
      </c>
      <c r="G41" s="21"/>
      <c r="H41" s="21"/>
      <c r="I41" s="21"/>
      <c r="J41" s="21"/>
      <c r="K41" s="21"/>
      <c r="L41" s="21"/>
      <c r="M41" s="21"/>
      <c r="N41" s="21">
        <f t="shared" ref="N41" si="5">N39/N18</f>
        <v>130468.68195032126</v>
      </c>
    </row>
    <row r="42" spans="1:14" ht="16.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ht="17.25" x14ac:dyDescent="0.35">
      <c r="A43" s="16" t="s">
        <v>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6.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ht="17.25" x14ac:dyDescent="0.35">
      <c r="A45" s="16" t="s">
        <v>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16.5" x14ac:dyDescent="0.3">
      <c r="A46" s="12" t="s">
        <v>12</v>
      </c>
      <c r="B46" s="24">
        <f t="shared" ref="B46" si="6">(B17/B35)*100</f>
        <v>169.56384798573768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6.5" x14ac:dyDescent="0.3">
      <c r="A47" s="12" t="s">
        <v>13</v>
      </c>
      <c r="B47" s="24">
        <f t="shared" ref="B47" si="7">(B18/B35)*100</f>
        <v>153.29671584662012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ht="16.5" x14ac:dyDescent="0.3">
      <c r="A48" s="12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7.25" x14ac:dyDescent="0.35">
      <c r="A49" s="16" t="s">
        <v>14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6.5" x14ac:dyDescent="0.3">
      <c r="A50" s="12" t="s">
        <v>15</v>
      </c>
      <c r="B50" s="25">
        <f t="shared" ref="B50:N50" si="8">B18/B17*100</f>
        <v>90.406485620398399</v>
      </c>
      <c r="C50" s="25">
        <f t="shared" si="8"/>
        <v>54.541819660004919</v>
      </c>
      <c r="D50" s="25">
        <f t="shared" si="8"/>
        <v>76.825681308715517</v>
      </c>
      <c r="E50" s="25">
        <f t="shared" si="8"/>
        <v>18.32507446105938</v>
      </c>
      <c r="F50" s="25">
        <f t="shared" si="8"/>
        <v>91.057296874647619</v>
      </c>
      <c r="G50" s="25">
        <f t="shared" si="8"/>
        <v>94.444846409248413</v>
      </c>
      <c r="H50" s="25">
        <f t="shared" si="8"/>
        <v>79.730536818437329</v>
      </c>
      <c r="I50" s="25">
        <f t="shared" si="8"/>
        <v>70.824404910217439</v>
      </c>
      <c r="J50" s="25">
        <f t="shared" si="8"/>
        <v>73.49783745785129</v>
      </c>
      <c r="K50" s="25">
        <f t="shared" si="8"/>
        <v>91.445119087037895</v>
      </c>
      <c r="L50" s="25" t="s">
        <v>53</v>
      </c>
      <c r="M50" s="25" t="s">
        <v>53</v>
      </c>
      <c r="N50" s="25">
        <f t="shared" si="8"/>
        <v>93.384055573933168</v>
      </c>
    </row>
    <row r="51" spans="1:14" ht="16.5" x14ac:dyDescent="0.3">
      <c r="A51" s="12" t="s">
        <v>16</v>
      </c>
      <c r="B51" s="25">
        <f>B24/B23*100</f>
        <v>55.753971337308798</v>
      </c>
      <c r="C51" s="25">
        <f>C24/C23*100</f>
        <v>41.693457886451583</v>
      </c>
      <c r="D51" s="25"/>
      <c r="E51" s="25"/>
      <c r="F51" s="25">
        <f>F24/F23*100</f>
        <v>93.509086895853386</v>
      </c>
      <c r="G51" s="25"/>
      <c r="H51" s="25"/>
      <c r="I51" s="25"/>
      <c r="J51" s="25"/>
      <c r="K51" s="25"/>
      <c r="L51" s="25"/>
      <c r="M51" s="25"/>
      <c r="N51" s="25">
        <f t="shared" ref="N51" si="9">N24/N23*100</f>
        <v>61.82220631906771</v>
      </c>
    </row>
    <row r="52" spans="1:14" ht="16.5" x14ac:dyDescent="0.3">
      <c r="A52" s="12" t="s">
        <v>17</v>
      </c>
      <c r="B52" s="25">
        <f>AVERAGE(B50:B51)</f>
        <v>73.080228478853599</v>
      </c>
      <c r="C52" s="25">
        <f t="shared" ref="C52" si="10">AVERAGE(C50:C51)</f>
        <v>48.117638773228251</v>
      </c>
      <c r="D52" s="25"/>
      <c r="E52" s="25"/>
      <c r="F52" s="25">
        <f t="shared" ref="F52:N52" si="11">AVERAGE(F50:F51)</f>
        <v>92.283191885250503</v>
      </c>
      <c r="G52" s="25"/>
      <c r="H52" s="25"/>
      <c r="I52" s="25"/>
      <c r="J52" s="25"/>
      <c r="K52" s="25"/>
      <c r="L52" s="25"/>
      <c r="M52" s="25"/>
      <c r="N52" s="25">
        <f t="shared" si="11"/>
        <v>77.603130946500443</v>
      </c>
    </row>
    <row r="53" spans="1:14" ht="16.5" x14ac:dyDescent="0.3">
      <c r="A53" s="1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ht="17.25" x14ac:dyDescent="0.35">
      <c r="A54" s="16" t="s">
        <v>18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ht="16.5" x14ac:dyDescent="0.3">
      <c r="A55" s="12" t="s">
        <v>19</v>
      </c>
      <c r="B55" s="26">
        <f t="shared" ref="B55:N55" si="12">((B18/B19)*100)</f>
        <v>88.786677416974086</v>
      </c>
      <c r="C55" s="26">
        <f t="shared" si="12"/>
        <v>52.326768991757397</v>
      </c>
      <c r="D55" s="26">
        <f t="shared" si="12"/>
        <v>74.497830837981525</v>
      </c>
      <c r="E55" s="26">
        <f t="shared" si="12"/>
        <v>17.282178513903411</v>
      </c>
      <c r="F55" s="26">
        <f t="shared" si="12"/>
        <v>90.100702158849288</v>
      </c>
      <c r="G55" s="26">
        <f t="shared" si="12"/>
        <v>94.444846409248413</v>
      </c>
      <c r="H55" s="26">
        <f t="shared" si="12"/>
        <v>79.730536818437329</v>
      </c>
      <c r="I55" s="26">
        <f t="shared" si="12"/>
        <v>70.824404910217439</v>
      </c>
      <c r="J55" s="26">
        <f t="shared" si="12"/>
        <v>72.432651407737495</v>
      </c>
      <c r="K55" s="26">
        <f t="shared" si="12"/>
        <v>90.218802868496553</v>
      </c>
      <c r="L55" s="25" t="s">
        <v>53</v>
      </c>
      <c r="M55" s="25" t="s">
        <v>53</v>
      </c>
      <c r="N55" s="26">
        <f t="shared" si="12"/>
        <v>92.885284682216195</v>
      </c>
    </row>
    <row r="56" spans="1:14" ht="16.5" x14ac:dyDescent="0.3">
      <c r="A56" s="12" t="s">
        <v>20</v>
      </c>
      <c r="B56" s="26">
        <f>B24/B25*100</f>
        <v>41.319169321030955</v>
      </c>
      <c r="C56" s="26">
        <f>C24/C25*100</f>
        <v>31.388043490889032</v>
      </c>
      <c r="D56" s="26"/>
      <c r="E56" s="26"/>
      <c r="F56" s="26">
        <f>F24/F25*100</f>
        <v>67.28166966374431</v>
      </c>
      <c r="G56" s="26"/>
      <c r="H56" s="26"/>
      <c r="I56" s="26"/>
      <c r="J56" s="26"/>
      <c r="K56" s="26"/>
      <c r="L56" s="26"/>
      <c r="M56" s="26"/>
      <c r="N56" s="26">
        <f t="shared" ref="N56" si="13">N24/N25*100</f>
        <v>43.914842878804336</v>
      </c>
    </row>
    <row r="57" spans="1:14" ht="16.5" x14ac:dyDescent="0.3">
      <c r="A57" s="12" t="s">
        <v>21</v>
      </c>
      <c r="B57" s="26">
        <f>(B55+B56)/2</f>
        <v>65.052923369002514</v>
      </c>
      <c r="C57" s="26">
        <f>(C55+C56)/2</f>
        <v>41.857406241323218</v>
      </c>
      <c r="D57" s="26"/>
      <c r="E57" s="26"/>
      <c r="F57" s="26">
        <f>(F55+F56)/2</f>
        <v>78.691185911296799</v>
      </c>
      <c r="G57" s="26"/>
      <c r="H57" s="26"/>
      <c r="I57" s="26"/>
      <c r="J57" s="26"/>
      <c r="K57" s="26"/>
      <c r="L57" s="26"/>
      <c r="M57" s="26"/>
      <c r="N57" s="26">
        <f t="shared" ref="N57" si="14">(N55+N56)/2</f>
        <v>68.400063780510266</v>
      </c>
    </row>
    <row r="58" spans="1:14" ht="16.5" x14ac:dyDescent="0.3">
      <c r="A58" s="12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4" ht="17.25" x14ac:dyDescent="0.35">
      <c r="A59" s="16" t="s">
        <v>36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 ht="16.5" x14ac:dyDescent="0.3">
      <c r="A60" s="12" t="s">
        <v>22</v>
      </c>
      <c r="B60" s="24">
        <f>B26/B24*100</f>
        <v>100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4" ht="16.5" x14ac:dyDescent="0.3">
      <c r="A61" s="1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ht="17.25" x14ac:dyDescent="0.35">
      <c r="A62" s="16" t="s">
        <v>23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4" ht="16.5" x14ac:dyDescent="0.3">
      <c r="A63" s="12" t="s">
        <v>24</v>
      </c>
      <c r="B63" s="25">
        <f t="shared" ref="B63:N63" si="15">((B18/B16)-1)*100</f>
        <v>9.2858728339948229</v>
      </c>
      <c r="C63" s="25">
        <f t="shared" si="15"/>
        <v>-15.406181283542697</v>
      </c>
      <c r="D63" s="25">
        <f t="shared" si="15"/>
        <v>29.363119378299363</v>
      </c>
      <c r="E63" s="25">
        <f t="shared" si="15"/>
        <v>-74.808503986243551</v>
      </c>
      <c r="F63" s="25">
        <f t="shared" si="15"/>
        <v>3.6720005889170793</v>
      </c>
      <c r="G63" s="25">
        <f t="shared" si="15"/>
        <v>26.367704322010233</v>
      </c>
      <c r="H63" s="25">
        <f t="shared" si="15"/>
        <v>1.9076771093714751</v>
      </c>
      <c r="I63" s="25">
        <f t="shared" si="15"/>
        <v>-3.6190605361905992</v>
      </c>
      <c r="J63" s="25">
        <f t="shared" si="15"/>
        <v>6.2046547823601861</v>
      </c>
      <c r="K63" s="25">
        <f>((K18/K16)-1)*100</f>
        <v>0.4095536446575343</v>
      </c>
      <c r="L63" s="25" t="s">
        <v>53</v>
      </c>
      <c r="M63" s="25" t="s">
        <v>53</v>
      </c>
      <c r="N63" s="25">
        <f t="shared" si="15"/>
        <v>0.99555884529978211</v>
      </c>
    </row>
    <row r="64" spans="1:14" ht="16.5" x14ac:dyDescent="0.3">
      <c r="A64" s="12" t="s">
        <v>25</v>
      </c>
      <c r="B64" s="25">
        <f>((B39/B38)-1)*100</f>
        <v>-23.388506366207984</v>
      </c>
      <c r="C64" s="25">
        <f>((C39/C38)-1)*100</f>
        <v>-42.681237278977235</v>
      </c>
      <c r="D64" s="25"/>
      <c r="E64" s="25"/>
      <c r="F64" s="25">
        <f>((F39/F38)-1)*100</f>
        <v>20.474095173153884</v>
      </c>
      <c r="G64" s="25"/>
      <c r="H64" s="25"/>
      <c r="I64" s="25"/>
      <c r="J64" s="25"/>
      <c r="K64" s="25"/>
      <c r="L64" s="25"/>
      <c r="M64" s="25"/>
      <c r="N64" s="25">
        <f t="shared" ref="N64" si="16">((N39/N38)-1)*100</f>
        <v>6.3364775249806105</v>
      </c>
    </row>
    <row r="65" spans="1:14" ht="16.5" x14ac:dyDescent="0.3">
      <c r="A65" s="12" t="s">
        <v>26</v>
      </c>
      <c r="B65" s="25">
        <f>((B41/B40)-1)*100</f>
        <v>-29.898081383158438</v>
      </c>
      <c r="C65" s="25">
        <f>((C41/C40)-1)*100</f>
        <v>-32.24237469034874</v>
      </c>
      <c r="D65" s="25"/>
      <c r="E65" s="25"/>
      <c r="F65" s="25">
        <f>((F41/F40)-1)*100</f>
        <v>16.206974389219052</v>
      </c>
      <c r="G65" s="25"/>
      <c r="H65" s="25"/>
      <c r="I65" s="25"/>
      <c r="J65" s="25"/>
      <c r="K65" s="25"/>
      <c r="L65" s="25"/>
      <c r="M65" s="25"/>
      <c r="N65" s="25">
        <f t="shared" ref="N65" si="17">((N41/N40)-1)*100</f>
        <v>5.2882708316528859</v>
      </c>
    </row>
    <row r="66" spans="1:14" ht="16.5" x14ac:dyDescent="0.3">
      <c r="A66" s="12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4" ht="17.25" x14ac:dyDescent="0.35">
      <c r="A67" s="16" t="s">
        <v>27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1:14" ht="16.5" x14ac:dyDescent="0.3">
      <c r="A68" s="12" t="s">
        <v>28</v>
      </c>
      <c r="B68" s="25">
        <f>B23/(B17*9)</f>
        <v>18543.273706508367</v>
      </c>
      <c r="C68" s="25">
        <f>C23/(C17*9)</f>
        <v>29669.188944496869</v>
      </c>
      <c r="D68" s="25"/>
      <c r="E68" s="25"/>
      <c r="F68" s="25">
        <f>F23/(F17*9)</f>
        <v>4739.4532923320985</v>
      </c>
      <c r="G68" s="25"/>
      <c r="H68" s="25"/>
      <c r="I68" s="25"/>
      <c r="J68" s="25"/>
      <c r="K68" s="25"/>
      <c r="L68" s="25"/>
      <c r="M68" s="25"/>
      <c r="N68" s="25">
        <f t="shared" ref="N68:N69" si="18">N23/(N17*9)</f>
        <v>23300.993543750781</v>
      </c>
    </row>
    <row r="69" spans="1:14" ht="16.5" x14ac:dyDescent="0.3">
      <c r="A69" s="12" t="s">
        <v>29</v>
      </c>
      <c r="B69" s="25">
        <f>B24/(B18*9)</f>
        <v>11435.696716201845</v>
      </c>
      <c r="C69" s="25">
        <f>C24/(C18*9)</f>
        <v>22680.047851238916</v>
      </c>
      <c r="D69" s="25"/>
      <c r="E69" s="25"/>
      <c r="F69" s="25">
        <f>F24/(F18*9)</f>
        <v>4867.0668355290527</v>
      </c>
      <c r="G69" s="25"/>
      <c r="H69" s="25"/>
      <c r="I69" s="25"/>
      <c r="J69" s="25"/>
      <c r="K69" s="25"/>
      <c r="L69" s="25"/>
      <c r="M69" s="25"/>
      <c r="N69" s="25">
        <f t="shared" si="18"/>
        <v>15425.747162592987</v>
      </c>
    </row>
    <row r="70" spans="1:14" ht="16.5" x14ac:dyDescent="0.3">
      <c r="A70" s="12" t="s">
        <v>30</v>
      </c>
      <c r="B70" s="25">
        <f>(B69/B68)*B52</f>
        <v>45.068812662867735</v>
      </c>
      <c r="C70" s="25">
        <f>(C69/C68)*C52</f>
        <v>36.782614850274335</v>
      </c>
      <c r="D70" s="25"/>
      <c r="E70" s="25"/>
      <c r="F70" s="25">
        <f>(F69/F68)*F52</f>
        <v>94.767990103022655</v>
      </c>
      <c r="G70" s="25"/>
      <c r="H70" s="25"/>
      <c r="I70" s="25"/>
      <c r="J70" s="25"/>
      <c r="K70" s="25"/>
      <c r="L70" s="25"/>
      <c r="M70" s="25"/>
      <c r="N70" s="25">
        <f t="shared" ref="N70" si="19">(N69/N68)*N52</f>
        <v>51.374902737886224</v>
      </c>
    </row>
    <row r="71" spans="1:14" ht="16.5" x14ac:dyDescent="0.3">
      <c r="A71" s="12" t="s">
        <v>37</v>
      </c>
      <c r="B71" s="25">
        <f>B23/B17</f>
        <v>166889.4633585753</v>
      </c>
      <c r="C71" s="25">
        <f>C23/C17</f>
        <v>267022.70050047181</v>
      </c>
      <c r="D71" s="25"/>
      <c r="E71" s="25"/>
      <c r="F71" s="25">
        <f>F23/F17</f>
        <v>42655.079630988883</v>
      </c>
      <c r="G71" s="25"/>
      <c r="H71" s="25"/>
      <c r="I71" s="25"/>
      <c r="J71" s="25"/>
      <c r="K71" s="25"/>
      <c r="L71" s="25"/>
      <c r="M71" s="25"/>
      <c r="N71" s="25">
        <f t="shared" ref="N71:N72" si="20">N23/N17</f>
        <v>209708.94189375703</v>
      </c>
    </row>
    <row r="72" spans="1:14" ht="16.5" x14ac:dyDescent="0.3">
      <c r="A72" s="12" t="s">
        <v>38</v>
      </c>
      <c r="B72" s="25">
        <f>B24/B18</f>
        <v>102921.27044581658</v>
      </c>
      <c r="C72" s="25">
        <f>C24/C18</f>
        <v>204120.43066115023</v>
      </c>
      <c r="D72" s="25"/>
      <c r="E72" s="25"/>
      <c r="F72" s="25">
        <f>F24/F18</f>
        <v>43803.601519761469</v>
      </c>
      <c r="G72" s="25"/>
      <c r="H72" s="25"/>
      <c r="I72" s="25"/>
      <c r="J72" s="25"/>
      <c r="K72" s="25"/>
      <c r="L72" s="25"/>
      <c r="M72" s="25"/>
      <c r="N72" s="25">
        <f t="shared" si="20"/>
        <v>138831.72446333687</v>
      </c>
    </row>
    <row r="73" spans="1:14" ht="16.5" x14ac:dyDescent="0.3">
      <c r="A73" s="1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4" ht="17.25" x14ac:dyDescent="0.35">
      <c r="A74" s="16" t="s">
        <v>31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ht="16.5" x14ac:dyDescent="0.3">
      <c r="A75" s="12" t="s">
        <v>32</v>
      </c>
      <c r="B75" s="24">
        <f>(B30/B29)*100</f>
        <v>99.636789452365917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1:14" ht="17.25" thickBot="1" x14ac:dyDescent="0.35">
      <c r="A76" s="27" t="s">
        <v>33</v>
      </c>
      <c r="B76" s="28">
        <f>(B24/B30)*100</f>
        <v>55.95721384013833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ht="17.25" thickTop="1" x14ac:dyDescent="0.3">
      <c r="A77" s="47" t="s">
        <v>91</v>
      </c>
      <c r="B77" s="47"/>
      <c r="C77" s="47"/>
      <c r="D77" s="47"/>
      <c r="E77" s="47"/>
      <c r="F77" s="47"/>
      <c r="G77" s="29"/>
      <c r="H77" s="29"/>
      <c r="I77" s="29"/>
      <c r="J77" s="29"/>
      <c r="K77" s="29"/>
      <c r="L77" s="29"/>
      <c r="M77" s="12"/>
      <c r="N77" s="12"/>
    </row>
    <row r="78" spans="1:14" ht="17.25" x14ac:dyDescent="0.35">
      <c r="A78" s="29" t="s">
        <v>92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12"/>
      <c r="N78" s="12"/>
    </row>
    <row r="79" spans="1:14" ht="16.5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16.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16.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ht="16.5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16.5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ht="16.5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ht="16.5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ht="16.5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16.5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16.5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16.5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16.5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16.5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16.5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16.5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16.5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16.5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ht="16.5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16.5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16.5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ht="16.5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16.5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4" ht="16.5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 ht="16.5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ht="16.5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 ht="16.5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 ht="16.5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ht="16.5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ht="16.5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4" ht="16.5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16.5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 spans="1:14" ht="16.5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 spans="1:14" ht="16.5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 spans="1:14" ht="16.5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 spans="1:14" ht="16.5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 spans="1:14" ht="16.5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 spans="1:14" ht="16.5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1:14" ht="16.5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1:14" ht="16.5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 ht="16.5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 spans="1:14" ht="16.5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 spans="1:14" ht="16.5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1:14" ht="16.5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1:14" ht="16.5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 spans="1:14" ht="16.5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 spans="1:14" ht="16.5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 spans="1:14" ht="16.5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 spans="1:14" ht="16.5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ht="16.5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 ht="16.5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 ht="16.5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 ht="16.5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 ht="16.5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1:14" ht="16.5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 ht="16.5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 ht="16.5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ht="16.5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4" ht="16.5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4" ht="16.5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1:14" ht="16.5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 spans="1:14" ht="16.5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 ht="16.5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 spans="1:14" ht="16.5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 spans="1:14" ht="16.5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 spans="1:14" ht="16.5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 spans="1:14" ht="16.5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 spans="1:14" ht="16.5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 spans="1:14" ht="16.5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 spans="1:14" ht="16.5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4" ht="16.5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 spans="1:14" ht="16.5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1:14" ht="16.5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 spans="1:14" ht="16.5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 spans="1:14" ht="16.5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 spans="1:14" ht="16.5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 spans="1:14" ht="16.5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 spans="1:14" ht="16.5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 spans="1:14" ht="16.5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 spans="1:14" ht="16.5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 spans="1:14" ht="16.5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 spans="1:14" ht="16.5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 spans="1:14" ht="16.5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 spans="1:14" ht="16.5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 spans="1:14" ht="16.5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1:14" ht="16.5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 spans="1:14" ht="16.5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4" ht="16.5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1:14" ht="16.5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4" ht="16.5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 spans="1:14" ht="16.5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 spans="1:14" ht="16.5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14" ht="16.5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 spans="1:14" ht="16.5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 ht="16.5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 ht="16.5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 ht="16.5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 spans="1:14" ht="16.5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ht="16.5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 spans="1:14" ht="16.5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ht="16.5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 spans="1:14" ht="16.5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 spans="1:14" ht="16.5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 spans="1:14" ht="16.5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 spans="1:14" ht="16.5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 spans="1:14" ht="16.5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 spans="1:14" ht="16.5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 spans="1:14" ht="16.5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ht="16.5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 spans="1:14" ht="16.5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ht="16.5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 spans="1:14" ht="16.5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 spans="1:14" ht="16.5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 spans="1:14" ht="16.5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 spans="1:14" ht="16.5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 spans="1:14" ht="16.5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 spans="1:14" ht="16.5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 spans="1:14" ht="16.5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4" ht="16.5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4" ht="16.5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 spans="1:14" ht="16.5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 spans="1:14" ht="16.5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 spans="1:14" ht="16.5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r="201" spans="1:14" ht="16.5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</row>
    <row r="202" spans="1:14" ht="16.5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</row>
    <row r="203" spans="1:14" ht="16.5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</row>
    <row r="204" spans="1:14" ht="16.5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 spans="1:14" ht="16.5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r="206" spans="1:14" ht="16.5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r="207" spans="1:14" ht="16.5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 spans="1:14" ht="16.5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r="209" spans="1:14" ht="16.5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</row>
    <row r="210" spans="1:14" ht="16.5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 spans="1:14" ht="16.5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 spans="1:14" ht="16.5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4" ht="16.5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 spans="1:14" ht="16.5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r="215" spans="1:14" ht="16.5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 spans="1:14" ht="16.5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r="217" spans="1:14" ht="16.5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 spans="1:14" ht="16.5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 spans="1:14" ht="16.5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</row>
    <row r="220" spans="1:14" ht="16.5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 spans="1:14" ht="16.5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 spans="1:14" ht="16.5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 spans="1:14" ht="16.5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 ht="16.5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</row>
    <row r="225" spans="1:14" ht="16.5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</row>
    <row r="226" spans="1:14" ht="16.5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 spans="1:14" ht="16.5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 spans="1:14" ht="16.5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 ht="16.5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</sheetData>
  <mergeCells count="7">
    <mergeCell ref="A77:F77"/>
    <mergeCell ref="G37:J37"/>
    <mergeCell ref="A9:A10"/>
    <mergeCell ref="D10:E10"/>
    <mergeCell ref="G10:K10"/>
    <mergeCell ref="B9:B10"/>
    <mergeCell ref="C9:N9"/>
  </mergeCells>
  <pageMargins left="0.7" right="0.7" top="0.75" bottom="0.75" header="0.3" footer="0.3"/>
  <pageSetup orientation="portrait" horizontalDpi="300" verticalDpi="300" r:id="rId1"/>
  <ignoredErrors>
    <ignoredError sqref="B1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N96"/>
  <sheetViews>
    <sheetView showGridLines="0" zoomScale="80" zoomScaleNormal="80" workbookViewId="0">
      <pane ySplit="11" topLeftCell="A12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3" customWidth="1"/>
    <col min="2" max="2" width="16.28515625" style="3" customWidth="1"/>
    <col min="3" max="3" width="18.5703125" style="3" customWidth="1"/>
    <col min="4" max="5" width="15.7109375" style="3" customWidth="1"/>
    <col min="6" max="6" width="16.28515625" style="3" customWidth="1"/>
    <col min="7" max="14" width="15.7109375" style="3" customWidth="1"/>
    <col min="15" max="16384" width="11.42578125" style="3"/>
  </cols>
  <sheetData>
    <row r="9" spans="1:14" ht="17.25" x14ac:dyDescent="0.35">
      <c r="A9" s="48" t="s">
        <v>0</v>
      </c>
      <c r="B9" s="48" t="s">
        <v>47</v>
      </c>
      <c r="C9" s="53" t="s">
        <v>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ht="87" thickBot="1" x14ac:dyDescent="0.3">
      <c r="A10" s="49"/>
      <c r="B10" s="49"/>
      <c r="C10" s="38" t="s">
        <v>46</v>
      </c>
      <c r="D10" s="50" t="s">
        <v>49</v>
      </c>
      <c r="E10" s="50"/>
      <c r="F10" s="38" t="s">
        <v>43</v>
      </c>
      <c r="G10" s="49" t="s">
        <v>48</v>
      </c>
      <c r="H10" s="49"/>
      <c r="I10" s="49"/>
      <c r="J10" s="49"/>
      <c r="K10" s="49"/>
      <c r="L10" s="39" t="s">
        <v>72</v>
      </c>
      <c r="M10" s="39" t="s">
        <v>73</v>
      </c>
      <c r="N10" s="39" t="s">
        <v>52</v>
      </c>
    </row>
    <row r="11" spans="1:14" ht="50.25" thickTop="1" x14ac:dyDescent="0.3">
      <c r="A11" s="12"/>
      <c r="B11" s="13" t="s">
        <v>1</v>
      </c>
      <c r="C11" s="14" t="s">
        <v>51</v>
      </c>
      <c r="D11" s="15" t="s">
        <v>54</v>
      </c>
      <c r="E11" s="15" t="s">
        <v>50</v>
      </c>
      <c r="F11" s="13" t="s">
        <v>45</v>
      </c>
      <c r="G11" s="13" t="s">
        <v>83</v>
      </c>
      <c r="H11" s="13" t="s">
        <v>55</v>
      </c>
      <c r="I11" s="13" t="s">
        <v>56</v>
      </c>
      <c r="J11" s="13" t="s">
        <v>57</v>
      </c>
      <c r="K11" s="13" t="s">
        <v>58</v>
      </c>
      <c r="L11" s="13" t="s">
        <v>74</v>
      </c>
      <c r="M11" s="13" t="s">
        <v>58</v>
      </c>
      <c r="N11" s="13" t="s">
        <v>59</v>
      </c>
    </row>
    <row r="13" spans="1:14" ht="17.25" x14ac:dyDescent="0.35">
      <c r="A13" s="16" t="s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ht="16.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ht="17.25" x14ac:dyDescent="0.35">
      <c r="A15" s="16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ht="16.5" x14ac:dyDescent="0.3">
      <c r="A16" s="17" t="s">
        <v>79</v>
      </c>
      <c r="B16" s="21">
        <f>+D16+K16+M16</f>
        <v>139452.66666666669</v>
      </c>
      <c r="C16" s="21">
        <f>+D16+E16</f>
        <v>51442.666666666672</v>
      </c>
      <c r="D16" s="21">
        <v>26688.666666666668</v>
      </c>
      <c r="E16" s="21">
        <v>24754</v>
      </c>
      <c r="F16" s="21">
        <f>+K16+I16+H16+L16+M16</f>
        <v>139396.33333333331</v>
      </c>
      <c r="G16" s="21">
        <v>10580.666666666666</v>
      </c>
      <c r="H16" s="32">
        <v>15712</v>
      </c>
      <c r="I16" s="32">
        <v>10920.333333333334</v>
      </c>
      <c r="J16" s="32">
        <v>34450.333333333336</v>
      </c>
      <c r="K16" s="21">
        <v>94732</v>
      </c>
      <c r="L16" s="21">
        <v>0</v>
      </c>
      <c r="M16" s="21">
        <v>18032</v>
      </c>
      <c r="N16" s="21">
        <v>10011.666666666666</v>
      </c>
    </row>
    <row r="17" spans="1:14" ht="16.5" x14ac:dyDescent="0.3">
      <c r="A17" s="17" t="s">
        <v>121</v>
      </c>
      <c r="B17" s="21">
        <f>+D17+K17</f>
        <v>168160</v>
      </c>
      <c r="C17" s="21">
        <f t="shared" ref="C17:C19" si="0">+D17+E17</f>
        <v>77987</v>
      </c>
      <c r="D17" s="21">
        <v>46450</v>
      </c>
      <c r="E17" s="32">
        <v>31537</v>
      </c>
      <c r="F17" s="21">
        <f>+K17+I17+H17+L17+M17</f>
        <v>154064</v>
      </c>
      <c r="G17" s="32">
        <v>13821</v>
      </c>
      <c r="H17" s="32">
        <v>18976</v>
      </c>
      <c r="I17" s="21">
        <v>13378</v>
      </c>
      <c r="J17" s="21">
        <v>49370</v>
      </c>
      <c r="K17" s="21">
        <v>121710</v>
      </c>
      <c r="L17" s="21">
        <v>0</v>
      </c>
      <c r="M17" s="21">
        <v>0</v>
      </c>
      <c r="N17" s="21">
        <v>9950</v>
      </c>
    </row>
    <row r="18" spans="1:14" ht="16.5" x14ac:dyDescent="0.3">
      <c r="A18" s="17" t="s">
        <v>122</v>
      </c>
      <c r="B18" s="21">
        <f>+D18+K18+M18</f>
        <v>161591.16666666666</v>
      </c>
      <c r="C18" s="21">
        <f t="shared" si="0"/>
        <v>44643.333333333328</v>
      </c>
      <c r="D18" s="21">
        <v>44546.666666666664</v>
      </c>
      <c r="E18" s="21">
        <v>96.666666666666671</v>
      </c>
      <c r="F18" s="21">
        <f>+K18+I18+H18+L18+M18</f>
        <v>143999.5</v>
      </c>
      <c r="G18" s="21">
        <v>17689</v>
      </c>
      <c r="H18" s="21">
        <v>16769.666666666668</v>
      </c>
      <c r="I18" s="32">
        <v>10185.333333333334</v>
      </c>
      <c r="J18" s="32">
        <v>39574.333333333336</v>
      </c>
      <c r="K18" s="21">
        <v>117043</v>
      </c>
      <c r="L18" s="21">
        <v>0</v>
      </c>
      <c r="M18" s="21">
        <v>1.5</v>
      </c>
      <c r="N18" s="21">
        <v>9825.6666666666661</v>
      </c>
    </row>
    <row r="19" spans="1:14" ht="16.5" x14ac:dyDescent="0.3">
      <c r="A19" s="17" t="s">
        <v>86</v>
      </c>
      <c r="B19" s="21">
        <f>+D19+K19</f>
        <v>159582</v>
      </c>
      <c r="C19" s="21">
        <f t="shared" si="0"/>
        <v>69517</v>
      </c>
      <c r="D19" s="21">
        <v>42579.166666666664</v>
      </c>
      <c r="E19" s="21">
        <v>26937.833333333332</v>
      </c>
      <c r="F19" s="21">
        <f>+K19+I19+H19+L19+M19</f>
        <v>149356.83333333331</v>
      </c>
      <c r="G19" s="21">
        <v>13821</v>
      </c>
      <c r="H19" s="21">
        <v>18976</v>
      </c>
      <c r="I19" s="21">
        <v>13378</v>
      </c>
      <c r="J19" s="21">
        <v>47312.916666666664</v>
      </c>
      <c r="K19" s="21">
        <v>117002.83333333333</v>
      </c>
      <c r="L19" s="21">
        <v>0</v>
      </c>
      <c r="M19" s="21">
        <v>0</v>
      </c>
      <c r="N19" s="21">
        <v>9793.0833333333339</v>
      </c>
    </row>
    <row r="20" spans="1:14" ht="16.5" x14ac:dyDescent="0.3">
      <c r="A20" s="1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17.25" x14ac:dyDescent="0.35">
      <c r="A21" s="20" t="s">
        <v>5</v>
      </c>
      <c r="B21" s="19"/>
      <c r="C21" s="19"/>
      <c r="D21" s="19"/>
      <c r="E21" s="19"/>
      <c r="F21" s="19"/>
      <c r="G21" s="19"/>
      <c r="H21" s="19"/>
      <c r="I21" s="37"/>
      <c r="J21" s="37"/>
      <c r="K21" s="19"/>
      <c r="L21" s="18"/>
      <c r="M21" s="19"/>
      <c r="N21" s="19"/>
    </row>
    <row r="22" spans="1:14" ht="16.5" x14ac:dyDescent="0.3">
      <c r="A22" s="17" t="s">
        <v>79</v>
      </c>
      <c r="B22" s="21">
        <f>+C22+F22+N22</f>
        <v>10974659553.110001</v>
      </c>
      <c r="C22" s="21">
        <f>D22</f>
        <v>6771851214.75</v>
      </c>
      <c r="D22" s="46">
        <v>6771851214.75</v>
      </c>
      <c r="E22" s="46"/>
      <c r="F22" s="21">
        <f>+G22+L22</f>
        <v>3256614113.8599997</v>
      </c>
      <c r="G22" s="46">
        <v>2923769783.6199999</v>
      </c>
      <c r="H22" s="46"/>
      <c r="I22" s="46"/>
      <c r="J22" s="46"/>
      <c r="K22" s="46"/>
      <c r="L22" s="46">
        <v>332844330.24000001</v>
      </c>
      <c r="M22" s="46"/>
      <c r="N22" s="21">
        <v>946194224.5</v>
      </c>
    </row>
    <row r="23" spans="1:14" ht="16.5" x14ac:dyDescent="0.3">
      <c r="A23" s="17" t="s">
        <v>121</v>
      </c>
      <c r="B23" s="21">
        <f>+C23+F23+N23</f>
        <v>9124263015.9914856</v>
      </c>
      <c r="C23" s="21">
        <f>+D23+E23</f>
        <v>5833934273.4364853</v>
      </c>
      <c r="D23" s="21">
        <v>5544552247.6876001</v>
      </c>
      <c r="E23" s="21">
        <v>289382025.74888498</v>
      </c>
      <c r="F23" s="21">
        <f>G23+L23</f>
        <v>2457355790.6550002</v>
      </c>
      <c r="G23" s="46">
        <v>2457355790.6550002</v>
      </c>
      <c r="H23" s="46"/>
      <c r="I23" s="46"/>
      <c r="J23" s="46"/>
      <c r="K23" s="46"/>
      <c r="L23" s="46">
        <v>0</v>
      </c>
      <c r="M23" s="46"/>
      <c r="N23" s="21">
        <v>832972951.89999998</v>
      </c>
    </row>
    <row r="24" spans="1:14" ht="16.5" x14ac:dyDescent="0.3">
      <c r="A24" s="17" t="s">
        <v>122</v>
      </c>
      <c r="B24" s="21">
        <f>+C24+F24+N24</f>
        <v>13214009095.299999</v>
      </c>
      <c r="C24" s="21">
        <f>D24</f>
        <v>10447676529.68</v>
      </c>
      <c r="D24" s="46">
        <v>10447676529.68</v>
      </c>
      <c r="E24" s="46"/>
      <c r="F24" s="21">
        <f>G24+L24</f>
        <v>2766332565.6199999</v>
      </c>
      <c r="G24" s="46">
        <v>2766332565.6199999</v>
      </c>
      <c r="H24" s="46"/>
      <c r="I24" s="46"/>
      <c r="J24" s="46"/>
      <c r="K24" s="46"/>
      <c r="L24" s="46">
        <v>0</v>
      </c>
      <c r="M24" s="46"/>
      <c r="N24" s="21">
        <v>0</v>
      </c>
    </row>
    <row r="25" spans="1:14" ht="16.5" x14ac:dyDescent="0.3">
      <c r="A25" s="17" t="s">
        <v>86</v>
      </c>
      <c r="B25" s="21">
        <f>+C25+F25+N25</f>
        <v>35279643295.036049</v>
      </c>
      <c r="C25" s="21">
        <f>+D25+E25</f>
        <v>23642686922.237049</v>
      </c>
      <c r="D25" s="21">
        <v>21321336378.0741</v>
      </c>
      <c r="E25" s="21">
        <v>2321350544.16295</v>
      </c>
      <c r="F25" s="21">
        <f>G25+L25</f>
        <v>8761255219.8990002</v>
      </c>
      <c r="G25" s="46">
        <v>8761255219.8990002</v>
      </c>
      <c r="H25" s="46"/>
      <c r="I25" s="46"/>
      <c r="J25" s="46"/>
      <c r="K25" s="46"/>
      <c r="L25" s="46">
        <v>0</v>
      </c>
      <c r="M25" s="46"/>
      <c r="N25" s="21">
        <v>2875701152.9000001</v>
      </c>
    </row>
    <row r="26" spans="1:14" ht="16.5" x14ac:dyDescent="0.3">
      <c r="A26" s="17" t="s">
        <v>123</v>
      </c>
      <c r="B26" s="21">
        <f>+C26+F26+N26</f>
        <v>13214009095.299999</v>
      </c>
      <c r="C26" s="21">
        <f>C24</f>
        <v>10447676529.68</v>
      </c>
      <c r="D26" s="45"/>
      <c r="E26" s="45"/>
      <c r="F26" s="21">
        <f>F24</f>
        <v>2766332565.6199999</v>
      </c>
      <c r="G26" s="45"/>
      <c r="H26" s="45"/>
      <c r="I26" s="45"/>
      <c r="J26" s="45"/>
      <c r="K26" s="45"/>
      <c r="L26" s="43"/>
      <c r="M26" s="43"/>
      <c r="N26" s="21">
        <f>+N24</f>
        <v>0</v>
      </c>
    </row>
    <row r="27" spans="1:14" ht="16.5" x14ac:dyDescent="0.3">
      <c r="A27" s="1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1:14" ht="17.25" x14ac:dyDescent="0.35">
      <c r="A28" s="20" t="s">
        <v>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1:14" ht="16.5" x14ac:dyDescent="0.3">
      <c r="A29" s="17" t="s">
        <v>121</v>
      </c>
      <c r="B29" s="19">
        <f>B23</f>
        <v>9124263015.9914856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1:14" ht="16.5" x14ac:dyDescent="0.3">
      <c r="A30" s="17" t="s">
        <v>122</v>
      </c>
      <c r="B30" s="19">
        <v>6062462522.96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16.5" x14ac:dyDescent="0.3">
      <c r="A31" s="12"/>
      <c r="B31" s="12"/>
      <c r="C31" s="12"/>
      <c r="D31" s="44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ht="17.25" x14ac:dyDescent="0.35">
      <c r="A32" s="16" t="s">
        <v>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6.5" x14ac:dyDescent="0.3">
      <c r="A33" s="17" t="s">
        <v>80</v>
      </c>
      <c r="B33" s="22">
        <v>1.0610999999999999</v>
      </c>
      <c r="C33" s="22">
        <v>1.0610999999999999</v>
      </c>
      <c r="D33" s="22">
        <v>1.0610999999999999</v>
      </c>
      <c r="E33" s="22">
        <v>1.0610999999999999</v>
      </c>
      <c r="F33" s="22">
        <v>1.0610999999999999</v>
      </c>
      <c r="G33" s="22">
        <v>1.0610999999999999</v>
      </c>
      <c r="H33" s="22">
        <v>1.0610999999999999</v>
      </c>
      <c r="I33" s="22">
        <v>1.0610999999999999</v>
      </c>
      <c r="J33" s="22">
        <v>1.0610999999999999</v>
      </c>
      <c r="K33" s="22">
        <v>1.0610999999999999</v>
      </c>
      <c r="L33" s="22">
        <v>1.0610999999999999</v>
      </c>
      <c r="M33" s="22">
        <v>1.0610999999999999</v>
      </c>
      <c r="N33" s="22">
        <v>1.0610999999999999</v>
      </c>
    </row>
    <row r="34" spans="1:14" ht="16.5" x14ac:dyDescent="0.3">
      <c r="A34" s="17" t="s">
        <v>124</v>
      </c>
      <c r="B34" s="22">
        <v>1.0706</v>
      </c>
      <c r="C34" s="22">
        <v>1.0706</v>
      </c>
      <c r="D34" s="22">
        <v>1.0706</v>
      </c>
      <c r="E34" s="22">
        <v>1.0706</v>
      </c>
      <c r="F34" s="22">
        <v>1.0706</v>
      </c>
      <c r="G34" s="22">
        <v>1.0706</v>
      </c>
      <c r="H34" s="22">
        <v>1.0706</v>
      </c>
      <c r="I34" s="22">
        <v>1.0706</v>
      </c>
      <c r="J34" s="22">
        <v>1.0706</v>
      </c>
      <c r="K34" s="22">
        <v>1.0706</v>
      </c>
      <c r="L34" s="22">
        <v>1.0706</v>
      </c>
      <c r="M34" s="22">
        <v>1.0706</v>
      </c>
      <c r="N34" s="22">
        <v>1.0706</v>
      </c>
    </row>
    <row r="35" spans="1:14" ht="16.5" x14ac:dyDescent="0.3">
      <c r="A35" s="17" t="s">
        <v>8</v>
      </c>
      <c r="B35" s="19">
        <v>92427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6.5" x14ac:dyDescent="0.3">
      <c r="A36" s="1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7.25" x14ac:dyDescent="0.35">
      <c r="A37" s="16" t="s">
        <v>9</v>
      </c>
      <c r="B37" s="19"/>
      <c r="C37" s="19"/>
      <c r="D37" s="18"/>
      <c r="E37" s="18"/>
      <c r="F37" s="18"/>
      <c r="G37" s="19"/>
      <c r="H37" s="19"/>
      <c r="I37" s="19"/>
      <c r="J37" s="19"/>
      <c r="K37" s="19"/>
      <c r="L37" s="19"/>
      <c r="M37" s="19"/>
      <c r="N37" s="19"/>
    </row>
    <row r="38" spans="1:14" ht="16.5" x14ac:dyDescent="0.3">
      <c r="A38" s="12" t="s">
        <v>81</v>
      </c>
      <c r="B38" s="21">
        <f>B22/B33</f>
        <v>10342719397.898409</v>
      </c>
      <c r="C38" s="21">
        <f t="shared" ref="C38:F38" si="1">C22/C33</f>
        <v>6381916138.6768456</v>
      </c>
      <c r="D38" s="21"/>
      <c r="E38" s="21"/>
      <c r="F38" s="21">
        <f t="shared" si="1"/>
        <v>3069092558.533597</v>
      </c>
      <c r="G38" s="19"/>
      <c r="H38" s="19"/>
      <c r="I38" s="19"/>
      <c r="J38" s="19"/>
      <c r="K38" s="21"/>
      <c r="L38" s="21"/>
      <c r="M38" s="21"/>
      <c r="N38" s="21">
        <f>N22/N33</f>
        <v>891710700.68796539</v>
      </c>
    </row>
    <row r="39" spans="1:14" ht="16.5" x14ac:dyDescent="0.3">
      <c r="A39" s="12" t="s">
        <v>125</v>
      </c>
      <c r="B39" s="21">
        <f>B24/B34</f>
        <v>12342620115.169064</v>
      </c>
      <c r="C39" s="21">
        <f t="shared" ref="C39:F39" si="2">C24/C34</f>
        <v>9758711497.9263973</v>
      </c>
      <c r="D39" s="21"/>
      <c r="E39" s="21"/>
      <c r="F39" s="21">
        <f t="shared" si="2"/>
        <v>2583908617.2426677</v>
      </c>
      <c r="G39" s="21"/>
      <c r="H39" s="21"/>
      <c r="I39" s="21"/>
      <c r="J39" s="21"/>
      <c r="K39" s="21"/>
      <c r="L39" s="21"/>
      <c r="M39" s="21"/>
      <c r="N39" s="21">
        <f>N24/N34</f>
        <v>0</v>
      </c>
    </row>
    <row r="40" spans="1:14" ht="16.5" x14ac:dyDescent="0.3">
      <c r="A40" s="12" t="s">
        <v>82</v>
      </c>
      <c r="B40" s="21">
        <f>B38/B16</f>
        <v>74166.522915051755</v>
      </c>
      <c r="C40" s="21">
        <f t="shared" ref="C40:F40" si="3">C38/C16</f>
        <v>124058.81250343772</v>
      </c>
      <c r="D40" s="21"/>
      <c r="E40" s="21"/>
      <c r="F40" s="21">
        <f t="shared" si="3"/>
        <v>22017.025018833094</v>
      </c>
      <c r="G40" s="21"/>
      <c r="H40" s="21"/>
      <c r="I40" s="21"/>
      <c r="J40" s="21"/>
      <c r="K40" s="21"/>
      <c r="L40" s="21"/>
      <c r="M40" s="21"/>
      <c r="N40" s="21">
        <f>N38/N16</f>
        <v>89067.158384015187</v>
      </c>
    </row>
    <row r="41" spans="1:14" ht="16.5" x14ac:dyDescent="0.3">
      <c r="A41" s="12" t="s">
        <v>126</v>
      </c>
      <c r="B41" s="21">
        <f>B39/B18</f>
        <v>76381.774881480102</v>
      </c>
      <c r="C41" s="21">
        <f t="shared" ref="C41:F41" si="4">C39/C18</f>
        <v>218592.80589695508</v>
      </c>
      <c r="D41" s="21"/>
      <c r="E41" s="21"/>
      <c r="F41" s="21">
        <f t="shared" si="4"/>
        <v>17943.872147074591</v>
      </c>
      <c r="G41" s="21"/>
      <c r="H41" s="21"/>
      <c r="I41" s="21"/>
      <c r="J41" s="21"/>
      <c r="K41" s="21"/>
      <c r="L41" s="21"/>
      <c r="M41" s="21"/>
      <c r="N41" s="21">
        <f t="shared" ref="N41" si="5">N39/N18</f>
        <v>0</v>
      </c>
    </row>
    <row r="42" spans="1:14" ht="16.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ht="17.25" x14ac:dyDescent="0.35">
      <c r="A43" s="16" t="s">
        <v>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6.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4" ht="17.25" x14ac:dyDescent="0.35">
      <c r="A45" s="16" t="s">
        <v>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4" ht="16.5" x14ac:dyDescent="0.3">
      <c r="A46" s="12" t="s">
        <v>12</v>
      </c>
      <c r="B46" s="24">
        <f t="shared" ref="B46" si="6">(B17/B35)*100</f>
        <v>181.93817823796076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4" ht="16.5" x14ac:dyDescent="0.3">
      <c r="A47" s="12" t="s">
        <v>13</v>
      </c>
      <c r="B47" s="24">
        <f t="shared" ref="B47" si="7">(B18/B35)*100</f>
        <v>174.83112798929605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ht="16.5" x14ac:dyDescent="0.3">
      <c r="A48" s="12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7.25" x14ac:dyDescent="0.35">
      <c r="A49" s="16" t="s">
        <v>14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ht="16.5" x14ac:dyDescent="0.3">
      <c r="A50" s="12" t="s">
        <v>15</v>
      </c>
      <c r="B50" s="25">
        <f t="shared" ref="B50:N50" si="8">B18/B17*100</f>
        <v>96.09370044402155</v>
      </c>
      <c r="C50" s="25">
        <f t="shared" si="8"/>
        <v>57.244583498959223</v>
      </c>
      <c r="D50" s="25">
        <f t="shared" si="8"/>
        <v>95.902404018658046</v>
      </c>
      <c r="E50" s="25">
        <f t="shared" si="8"/>
        <v>0.30651826954582451</v>
      </c>
      <c r="F50" s="25">
        <f t="shared" si="8"/>
        <v>93.46732526742133</v>
      </c>
      <c r="G50" s="25">
        <f t="shared" si="8"/>
        <v>127.98639751103393</v>
      </c>
      <c r="H50" s="25">
        <f t="shared" si="8"/>
        <v>88.373032602585738</v>
      </c>
      <c r="I50" s="25">
        <f t="shared" si="8"/>
        <v>76.134947924453087</v>
      </c>
      <c r="J50" s="25">
        <f t="shared" si="8"/>
        <v>80.158665856458043</v>
      </c>
      <c r="K50" s="25">
        <f t="shared" si="8"/>
        <v>96.165475310163501</v>
      </c>
      <c r="L50" s="25" t="s">
        <v>53</v>
      </c>
      <c r="M50" s="25" t="s">
        <v>53</v>
      </c>
      <c r="N50" s="25">
        <f t="shared" si="8"/>
        <v>98.750418760469003</v>
      </c>
    </row>
    <row r="51" spans="1:14" ht="16.5" x14ac:dyDescent="0.3">
      <c r="A51" s="12" t="s">
        <v>16</v>
      </c>
      <c r="B51" s="25">
        <f>B24/B23*100</f>
        <v>144.82275524215697</v>
      </c>
      <c r="C51" s="25">
        <f>C24/C23*100</f>
        <v>179.08457723377444</v>
      </c>
      <c r="D51" s="25"/>
      <c r="E51" s="25"/>
      <c r="F51" s="25">
        <f>F24/F23*100</f>
        <v>112.57354657962016</v>
      </c>
      <c r="G51" s="25"/>
      <c r="H51" s="25"/>
      <c r="I51" s="25"/>
      <c r="J51" s="25"/>
      <c r="K51" s="25"/>
      <c r="L51" s="25"/>
      <c r="M51" s="25"/>
      <c r="N51" s="25">
        <f t="shared" ref="N51" si="9">N24/N23*100</f>
        <v>0</v>
      </c>
    </row>
    <row r="52" spans="1:14" ht="16.5" x14ac:dyDescent="0.3">
      <c r="A52" s="12" t="s">
        <v>17</v>
      </c>
      <c r="B52" s="25">
        <f>AVERAGE(B50:B51)</f>
        <v>120.45822784308926</v>
      </c>
      <c r="C52" s="25">
        <f t="shared" ref="C52" si="10">AVERAGE(C50:C51)</f>
        <v>118.16458036636683</v>
      </c>
      <c r="D52" s="25"/>
      <c r="E52" s="25"/>
      <c r="F52" s="25">
        <f t="shared" ref="F52" si="11">AVERAGE(F50:F51)</f>
        <v>103.02043592352075</v>
      </c>
      <c r="G52" s="25"/>
      <c r="H52" s="25"/>
      <c r="I52" s="25"/>
      <c r="J52" s="25"/>
      <c r="K52" s="25"/>
      <c r="L52" s="25"/>
      <c r="M52" s="25"/>
      <c r="N52" s="25">
        <f t="shared" ref="N52" si="12">AVERAGE(N50:N51)</f>
        <v>49.375209380234502</v>
      </c>
    </row>
    <row r="53" spans="1:14" ht="16.5" x14ac:dyDescent="0.3">
      <c r="A53" s="12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ht="17.25" x14ac:dyDescent="0.35">
      <c r="A54" s="16" t="s">
        <v>18</v>
      </c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 ht="16.5" x14ac:dyDescent="0.3">
      <c r="A55" s="12" t="s">
        <v>19</v>
      </c>
      <c r="B55" s="25">
        <f t="shared" ref="B55:N55" si="13">((B18/B19)*100)</f>
        <v>101.25901835211155</v>
      </c>
      <c r="C55" s="25">
        <f t="shared" si="13"/>
        <v>64.219303671523988</v>
      </c>
      <c r="D55" s="25">
        <f t="shared" si="13"/>
        <v>104.62080438399059</v>
      </c>
      <c r="E55" s="25">
        <f t="shared" si="13"/>
        <v>0.3588509345592012</v>
      </c>
      <c r="F55" s="25">
        <f t="shared" si="13"/>
        <v>96.413064461954107</v>
      </c>
      <c r="G55" s="25">
        <f t="shared" si="13"/>
        <v>127.98639751103393</v>
      </c>
      <c r="H55" s="25">
        <f t="shared" si="13"/>
        <v>88.373032602585738</v>
      </c>
      <c r="I55" s="25">
        <f t="shared" si="13"/>
        <v>76.134947924453087</v>
      </c>
      <c r="J55" s="25">
        <f t="shared" si="13"/>
        <v>83.643825241521441</v>
      </c>
      <c r="K55" s="25">
        <f t="shared" si="13"/>
        <v>100.03432965298562</v>
      </c>
      <c r="L55" s="25" t="s">
        <v>53</v>
      </c>
      <c r="M55" s="25" t="s">
        <v>53</v>
      </c>
      <c r="N55" s="25">
        <f t="shared" si="13"/>
        <v>100.33271781954952</v>
      </c>
    </row>
    <row r="56" spans="1:14" ht="16.5" x14ac:dyDescent="0.3">
      <c r="A56" s="12" t="s">
        <v>20</v>
      </c>
      <c r="B56" s="25">
        <f>B24/B25*100</f>
        <v>37.455053002645435</v>
      </c>
      <c r="C56" s="25">
        <f>C24/C25*100</f>
        <v>44.189886555802055</v>
      </c>
      <c r="D56" s="25"/>
      <c r="E56" s="25"/>
      <c r="F56" s="25">
        <f>F24/F25*100</f>
        <v>31.57461455222726</v>
      </c>
      <c r="G56" s="25"/>
      <c r="H56" s="25"/>
      <c r="I56" s="25"/>
      <c r="J56" s="25"/>
      <c r="K56" s="25"/>
      <c r="L56" s="25"/>
      <c r="M56" s="25"/>
      <c r="N56" s="25">
        <f t="shared" ref="N56" si="14">N24/N25*100</f>
        <v>0</v>
      </c>
    </row>
    <row r="57" spans="1:14" ht="16.5" x14ac:dyDescent="0.3">
      <c r="A57" s="12" t="s">
        <v>21</v>
      </c>
      <c r="B57" s="25">
        <f>(B55+B56)/2</f>
        <v>69.357035677378491</v>
      </c>
      <c r="C57" s="25">
        <f>(C55+C56)/2</f>
        <v>54.204595113663018</v>
      </c>
      <c r="D57" s="25"/>
      <c r="E57" s="25"/>
      <c r="F57" s="25">
        <f>(F55+F56)/2</f>
        <v>63.993839507090684</v>
      </c>
      <c r="G57" s="25"/>
      <c r="H57" s="25"/>
      <c r="I57" s="25"/>
      <c r="J57" s="25"/>
      <c r="K57" s="25"/>
      <c r="L57" s="25"/>
      <c r="M57" s="25"/>
      <c r="N57" s="25">
        <f t="shared" ref="N57" si="15">(N55+N56)/2</f>
        <v>50.166358909774758</v>
      </c>
    </row>
    <row r="58" spans="1:14" ht="16.5" x14ac:dyDescent="0.3">
      <c r="A58" s="12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4" ht="17.25" x14ac:dyDescent="0.35">
      <c r="A59" s="16" t="s">
        <v>36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4" ht="16.5" x14ac:dyDescent="0.3">
      <c r="A60" s="12" t="s">
        <v>22</v>
      </c>
      <c r="B60" s="24">
        <f>B26/B24*100</f>
        <v>100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4" ht="16.5" x14ac:dyDescent="0.3">
      <c r="A61" s="1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ht="17.25" x14ac:dyDescent="0.35">
      <c r="A62" s="16" t="s">
        <v>23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4" ht="16.5" x14ac:dyDescent="0.3">
      <c r="A63" s="12" t="s">
        <v>24</v>
      </c>
      <c r="B63" s="25">
        <f t="shared" ref="B63:N63" si="16">((B18/B16)-1)*100</f>
        <v>15.875279067210357</v>
      </c>
      <c r="C63" s="25">
        <f t="shared" si="16"/>
        <v>-13.217303405733261</v>
      </c>
      <c r="D63" s="25">
        <f t="shared" si="16"/>
        <v>66.912297354682366</v>
      </c>
      <c r="E63" s="25">
        <f t="shared" si="16"/>
        <v>-99.609490722038188</v>
      </c>
      <c r="F63" s="25">
        <f t="shared" si="16"/>
        <v>3.3022150271767137</v>
      </c>
      <c r="G63" s="25">
        <f t="shared" si="16"/>
        <v>67.182282149833043</v>
      </c>
      <c r="H63" s="25">
        <f t="shared" si="16"/>
        <v>6.7315852002715726</v>
      </c>
      <c r="I63" s="25">
        <f t="shared" si="16"/>
        <v>-6.7305637801043927</v>
      </c>
      <c r="J63" s="25">
        <f t="shared" si="16"/>
        <v>14.873586128823145</v>
      </c>
      <c r="K63" s="25">
        <f>((K18/K16)-1)*100</f>
        <v>23.551703753747422</v>
      </c>
      <c r="L63" s="25" t="s">
        <v>53</v>
      </c>
      <c r="M63" s="25" t="s">
        <v>53</v>
      </c>
      <c r="N63" s="25">
        <f t="shared" si="16"/>
        <v>-1.8578325287164965</v>
      </c>
    </row>
    <row r="64" spans="1:14" ht="16.5" x14ac:dyDescent="0.3">
      <c r="A64" s="12" t="s">
        <v>25</v>
      </c>
      <c r="B64" s="25">
        <f>((B39/B38)-1)*100</f>
        <v>19.336314177459222</v>
      </c>
      <c r="C64" s="25">
        <f>((C39/C38)-1)*100</f>
        <v>52.91193562987899</v>
      </c>
      <c r="D64" s="25"/>
      <c r="E64" s="25"/>
      <c r="F64" s="25">
        <f>((F39/F38)-1)*100</f>
        <v>-15.808709970048895</v>
      </c>
      <c r="G64" s="25"/>
      <c r="H64" s="25"/>
      <c r="I64" s="25"/>
      <c r="J64" s="25"/>
      <c r="K64" s="25"/>
      <c r="L64" s="25"/>
      <c r="M64" s="25"/>
      <c r="N64" s="25">
        <f t="shared" ref="N64" si="17">((N39/N38)-1)*100</f>
        <v>-100</v>
      </c>
    </row>
    <row r="65" spans="1:14" ht="16.5" x14ac:dyDescent="0.3">
      <c r="A65" s="12" t="s">
        <v>26</v>
      </c>
      <c r="B65" s="25">
        <f>((B41/B40)-1)*100</f>
        <v>2.986862373156729</v>
      </c>
      <c r="C65" s="25">
        <f>((C41/C40)-1)*100</f>
        <v>76.200949763966008</v>
      </c>
      <c r="D65" s="25"/>
      <c r="E65" s="25"/>
      <c r="F65" s="25">
        <f>((F41/F40)-1)*100</f>
        <v>-18.500014730756664</v>
      </c>
      <c r="G65" s="25"/>
      <c r="H65" s="25"/>
      <c r="I65" s="25"/>
      <c r="J65" s="25"/>
      <c r="K65" s="25"/>
      <c r="L65" s="25"/>
      <c r="M65" s="25"/>
      <c r="N65" s="25">
        <f t="shared" ref="N65" si="18">((N41/N40)-1)*100</f>
        <v>-100</v>
      </c>
    </row>
    <row r="66" spans="1:14" ht="16.5" x14ac:dyDescent="0.3">
      <c r="A66" s="12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4" ht="17.25" x14ac:dyDescent="0.35">
      <c r="A67" s="16" t="s">
        <v>27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1:14" ht="16.5" x14ac:dyDescent="0.3">
      <c r="A68" s="12" t="s">
        <v>41</v>
      </c>
      <c r="B68" s="25">
        <f>B23/(B17*3)</f>
        <v>18086.471249586673</v>
      </c>
      <c r="C68" s="25">
        <f>C23/(C17*3)</f>
        <v>24935.498965368097</v>
      </c>
      <c r="D68" s="25"/>
      <c r="E68" s="25"/>
      <c r="F68" s="25">
        <f>F23/(F17*3)</f>
        <v>5316.7423725529652</v>
      </c>
      <c r="G68" s="25"/>
      <c r="H68" s="25"/>
      <c r="I68" s="25"/>
      <c r="J68" s="25"/>
      <c r="K68" s="25"/>
      <c r="L68" s="25"/>
      <c r="M68" s="25"/>
      <c r="N68" s="25">
        <f t="shared" ref="N68:N69" si="19">N23/(N17*3)</f>
        <v>27905.291520938023</v>
      </c>
    </row>
    <row r="69" spans="1:14" ht="16.5" x14ac:dyDescent="0.3">
      <c r="A69" s="12" t="s">
        <v>42</v>
      </c>
      <c r="B69" s="25">
        <f>B24/(B18*3)</f>
        <v>27258.109396037529</v>
      </c>
      <c r="C69" s="25">
        <f>C24/(C18*3)</f>
        <v>78008.485997760028</v>
      </c>
      <c r="D69" s="25"/>
      <c r="E69" s="25"/>
      <c r="F69" s="25">
        <f>F24/(F18*3)</f>
        <v>6403.569840219352</v>
      </c>
      <c r="G69" s="25"/>
      <c r="H69" s="25"/>
      <c r="I69" s="25"/>
      <c r="J69" s="25"/>
      <c r="K69" s="25"/>
      <c r="L69" s="25"/>
      <c r="M69" s="25"/>
      <c r="N69" s="25">
        <f t="shared" si="19"/>
        <v>0</v>
      </c>
    </row>
    <row r="70" spans="1:14" ht="16.5" x14ac:dyDescent="0.3">
      <c r="A70" s="12" t="s">
        <v>30</v>
      </c>
      <c r="B70" s="25">
        <f>(B69/B68)*B52</f>
        <v>181.54251909557965</v>
      </c>
      <c r="C70" s="25">
        <f>(C69/C68)*C52</f>
        <v>369.66735759902781</v>
      </c>
      <c r="D70" s="25"/>
      <c r="E70" s="25"/>
      <c r="F70" s="25">
        <f>(F69/F68)*F52</f>
        <v>124.07946636867742</v>
      </c>
      <c r="G70" s="25"/>
      <c r="H70" s="25"/>
      <c r="I70" s="25"/>
      <c r="J70" s="25"/>
      <c r="K70" s="25"/>
      <c r="L70" s="25"/>
      <c r="M70" s="25"/>
      <c r="N70" s="25">
        <f t="shared" ref="N70" si="20">(N69/N68)*N52</f>
        <v>0</v>
      </c>
    </row>
    <row r="71" spans="1:14" ht="16.5" x14ac:dyDescent="0.3">
      <c r="A71" s="12" t="s">
        <v>35</v>
      </c>
      <c r="B71" s="25">
        <f>B23/B17</f>
        <v>54259.413748760024</v>
      </c>
      <c r="C71" s="25">
        <f>C23/C17</f>
        <v>74806.49689610429</v>
      </c>
      <c r="D71" s="25"/>
      <c r="E71" s="25"/>
      <c r="F71" s="25">
        <f>F23/F17</f>
        <v>15950.227117658897</v>
      </c>
      <c r="G71" s="25"/>
      <c r="H71" s="25"/>
      <c r="I71" s="25"/>
      <c r="J71" s="25"/>
      <c r="K71" s="25"/>
      <c r="L71" s="25"/>
      <c r="M71" s="25"/>
      <c r="N71" s="25">
        <f t="shared" ref="N71:N72" si="21">N23/N17</f>
        <v>83715.874562814075</v>
      </c>
    </row>
    <row r="72" spans="1:14" ht="16.5" x14ac:dyDescent="0.3">
      <c r="A72" s="12" t="s">
        <v>34</v>
      </c>
      <c r="B72" s="25">
        <f>B24/B18</f>
        <v>81774.328188112588</v>
      </c>
      <c r="C72" s="25">
        <f>C24/C18</f>
        <v>234025.45799328011</v>
      </c>
      <c r="D72" s="25"/>
      <c r="E72" s="25"/>
      <c r="F72" s="25">
        <f>F24/F18</f>
        <v>19210.709520658056</v>
      </c>
      <c r="G72" s="25"/>
      <c r="H72" s="25"/>
      <c r="I72" s="25"/>
      <c r="J72" s="25"/>
      <c r="K72" s="25"/>
      <c r="L72" s="25"/>
      <c r="M72" s="25"/>
      <c r="N72" s="25">
        <f t="shared" si="21"/>
        <v>0</v>
      </c>
    </row>
    <row r="73" spans="1:14" ht="16.5" x14ac:dyDescent="0.3">
      <c r="A73" s="1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4" ht="17.25" x14ac:dyDescent="0.35">
      <c r="A74" s="16" t="s">
        <v>31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4" ht="16.5" x14ac:dyDescent="0.3">
      <c r="A75" s="12" t="s">
        <v>32</v>
      </c>
      <c r="B75" s="24">
        <f>(B30/B29)*100</f>
        <v>66.443311775808382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1:14" ht="17.25" thickBot="1" x14ac:dyDescent="0.35">
      <c r="A76" s="27" t="s">
        <v>33</v>
      </c>
      <c r="B76" s="28">
        <f>(B24/B30)*100</f>
        <v>217.96438403133013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ht="17.25" thickTop="1" x14ac:dyDescent="0.3">
      <c r="A77" s="47" t="s">
        <v>91</v>
      </c>
      <c r="B77" s="47"/>
      <c r="C77" s="47"/>
      <c r="D77" s="47"/>
      <c r="E77" s="47"/>
      <c r="F77" s="47"/>
      <c r="G77" s="29"/>
      <c r="H77" s="29"/>
      <c r="I77" s="29"/>
      <c r="J77" s="29"/>
      <c r="K77" s="29"/>
      <c r="L77" s="29"/>
      <c r="M77" s="12"/>
      <c r="N77" s="12"/>
    </row>
    <row r="78" spans="1:14" ht="60" customHeight="1" x14ac:dyDescent="0.3">
      <c r="A78" s="55" t="s">
        <v>137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</row>
    <row r="79" spans="1:14" ht="16.5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 ht="16.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16.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ht="16.5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16.5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ht="16.5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ht="16.5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ht="16.5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16.5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16.5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16.5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16.5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16.5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16.5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16.5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16.5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16.5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ht="16.5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</sheetData>
  <mergeCells count="17">
    <mergeCell ref="L24:M24"/>
    <mergeCell ref="A78:N78"/>
    <mergeCell ref="A77:F77"/>
    <mergeCell ref="L25:M25"/>
    <mergeCell ref="G25:K25"/>
    <mergeCell ref="A9:A10"/>
    <mergeCell ref="D10:E10"/>
    <mergeCell ref="D24:E24"/>
    <mergeCell ref="G10:K10"/>
    <mergeCell ref="D22:E22"/>
    <mergeCell ref="G22:K22"/>
    <mergeCell ref="G24:K24"/>
    <mergeCell ref="G23:K23"/>
    <mergeCell ref="B9:B10"/>
    <mergeCell ref="C9:N9"/>
    <mergeCell ref="L22:M22"/>
    <mergeCell ref="L23:M23"/>
  </mergeCells>
  <pageMargins left="0.7" right="0.7" top="0.75" bottom="0.75" header="0.3" footer="0.3"/>
  <pageSetup orientation="portrait" r:id="rId1"/>
  <ignoredErrors>
    <ignoredError sqref="C23:C24 B17:B1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109"/>
  <sheetViews>
    <sheetView showGridLines="0" tabSelected="1" zoomScale="80" zoomScaleNormal="80" workbookViewId="0">
      <selection activeCell="A9" sqref="A9:A10"/>
    </sheetView>
  </sheetViews>
  <sheetFormatPr baseColWidth="10" defaultColWidth="11.42578125" defaultRowHeight="15" x14ac:dyDescent="0.25"/>
  <cols>
    <col min="1" max="1" width="61.140625" style="3" customWidth="1"/>
    <col min="2" max="2" width="16.28515625" style="3" customWidth="1"/>
    <col min="3" max="3" width="18.5703125" style="3" customWidth="1"/>
    <col min="4" max="5" width="15.7109375" style="3" customWidth="1"/>
    <col min="6" max="6" width="16.28515625" style="3" customWidth="1"/>
    <col min="7" max="16" width="15.7109375" style="3" customWidth="1"/>
    <col min="17" max="16384" width="11.42578125" style="3"/>
  </cols>
  <sheetData>
    <row r="9" spans="1:16" ht="17.25" x14ac:dyDescent="0.35">
      <c r="A9" s="48" t="s">
        <v>0</v>
      </c>
      <c r="B9" s="48" t="s">
        <v>47</v>
      </c>
      <c r="C9" s="53" t="s">
        <v>2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6" ht="87" thickBot="1" x14ac:dyDescent="0.3">
      <c r="A10" s="49"/>
      <c r="B10" s="49"/>
      <c r="C10" s="38" t="s">
        <v>46</v>
      </c>
      <c r="D10" s="50" t="s">
        <v>49</v>
      </c>
      <c r="E10" s="50"/>
      <c r="F10" s="38" t="s">
        <v>43</v>
      </c>
      <c r="G10" s="49" t="s">
        <v>48</v>
      </c>
      <c r="H10" s="49"/>
      <c r="I10" s="49"/>
      <c r="J10" s="49"/>
      <c r="K10" s="49"/>
      <c r="L10" s="39" t="s">
        <v>72</v>
      </c>
      <c r="M10" s="39" t="s">
        <v>73</v>
      </c>
      <c r="N10" s="39" t="s">
        <v>52</v>
      </c>
    </row>
    <row r="11" spans="1:16" ht="50.25" thickTop="1" x14ac:dyDescent="0.3">
      <c r="A11" s="12"/>
      <c r="B11" s="13" t="s">
        <v>1</v>
      </c>
      <c r="C11" s="14" t="s">
        <v>51</v>
      </c>
      <c r="D11" s="15" t="s">
        <v>54</v>
      </c>
      <c r="E11" s="15" t="s">
        <v>50</v>
      </c>
      <c r="F11" s="13" t="s">
        <v>45</v>
      </c>
      <c r="G11" s="13" t="s">
        <v>83</v>
      </c>
      <c r="H11" s="13" t="s">
        <v>55</v>
      </c>
      <c r="I11" s="13" t="s">
        <v>56</v>
      </c>
      <c r="J11" s="13" t="s">
        <v>57</v>
      </c>
      <c r="K11" s="13" t="s">
        <v>58</v>
      </c>
      <c r="L11" s="13" t="s">
        <v>74</v>
      </c>
      <c r="M11" s="13" t="s">
        <v>58</v>
      </c>
      <c r="N11" s="13" t="s">
        <v>59</v>
      </c>
    </row>
    <row r="13" spans="1:16" ht="17.25" x14ac:dyDescent="0.35">
      <c r="A13" s="16" t="s">
        <v>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ht="16.5" x14ac:dyDescent="0.3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17.25" x14ac:dyDescent="0.35">
      <c r="A15" s="16" t="s">
        <v>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6" ht="16.5" x14ac:dyDescent="0.3">
      <c r="A16" s="17" t="s">
        <v>127</v>
      </c>
      <c r="B16" s="33">
        <f>+D16+K16+M16</f>
        <v>145623.58333333334</v>
      </c>
      <c r="C16" s="33">
        <f>+D16+E16</f>
        <v>45111.25</v>
      </c>
      <c r="D16" s="33">
        <f>(+'I Trimestre'!D16+'II Trimestre'!D16+'III Trimestre'!D16+'IV Trimestre'!D16)/4</f>
        <v>25062.583333333336</v>
      </c>
      <c r="E16" s="33">
        <f>(+'I Trimestre'!E16+'II Trimestre'!E16+'III Trimestre'!E16+'IV Trimestre'!E16)/4</f>
        <v>20048.666666666668</v>
      </c>
      <c r="F16" s="33">
        <f>K16+I16+H16+L16+M16</f>
        <v>145726.91666666666</v>
      </c>
      <c r="G16" s="33">
        <f>(+'I Trimestre'!G16+'II Trimestre'!G16+'III Trimestre'!G16+'IV Trimestre'!G16)/4</f>
        <v>10392.333333333332</v>
      </c>
      <c r="H16" s="33">
        <f>(+'I Trimestre'!H16+'II Trimestre'!H16+'III Trimestre'!H16+'IV Trimestre'!H16)/4</f>
        <v>15062.833333333334</v>
      </c>
      <c r="I16" s="33">
        <f>(+'I Trimestre'!I16+'II Trimestre'!I16+'III Trimestre'!I16+'IV Trimestre'!I16)/4</f>
        <v>10103.083333333334</v>
      </c>
      <c r="J16" s="33">
        <f>(+'I Trimestre'!J16+'II Trimestre'!J16+'III Trimestre'!J16+'IV Trimestre'!J16)/4</f>
        <v>32813.5</v>
      </c>
      <c r="K16" s="33">
        <f>(+'I Trimestre'!K16+'II Trimestre'!K16+'III Trimestre'!K16+'IV Trimestre'!K16)/4</f>
        <v>102529</v>
      </c>
      <c r="L16" s="33">
        <f>+('I Trimestre'!L16+'II Trimestre'!L16+'III Trimestre'!L16+'IV Trimestre'!L16)/4</f>
        <v>0</v>
      </c>
      <c r="M16" s="33">
        <f>+'IV Trimestre'!M16</f>
        <v>18032</v>
      </c>
      <c r="N16" s="33">
        <f>+('I Trimestre'!N16+'II Trimestre'!N16+'III Trimestre'!N16+'IV Trimestre'!N16)/4</f>
        <v>9257.9166666666661</v>
      </c>
      <c r="O16" s="8"/>
      <c r="P16" s="8"/>
    </row>
    <row r="17" spans="1:16" ht="16.5" x14ac:dyDescent="0.3">
      <c r="A17" s="17" t="s">
        <v>128</v>
      </c>
      <c r="B17" s="33">
        <f>+D17+K17</f>
        <v>159582.08333333331</v>
      </c>
      <c r="C17" s="33">
        <f>+D17+E17</f>
        <v>69517.083333333343</v>
      </c>
      <c r="D17" s="33">
        <f>(+'I Trimestre'!D17+'II Trimestre'!D17+'III Trimestre'!D17+'IV Trimestre'!D17)/4</f>
        <v>42579.25</v>
      </c>
      <c r="E17" s="33">
        <f>(+'I Trimestre'!E17+'II Trimestre'!E17+'III Trimestre'!E17+'IV Trimestre'!E17)/4</f>
        <v>26937.833333333336</v>
      </c>
      <c r="F17" s="33">
        <f>K17+I17+H17+L17+M17</f>
        <v>149356.83333333331</v>
      </c>
      <c r="G17" s="33">
        <f>(+'I Trimestre'!G17+'II Trimestre'!G17+'III Trimestre'!G17+'IV Trimestre'!G17)/4</f>
        <v>13821</v>
      </c>
      <c r="H17" s="33">
        <f>(+'I Trimestre'!H17+'II Trimestre'!H17+'III Trimestre'!H17+'IV Trimestre'!H17)/4</f>
        <v>18976</v>
      </c>
      <c r="I17" s="33">
        <f>(+'I Trimestre'!I17+'II Trimestre'!I17+'III Trimestre'!I17+'IV Trimestre'!I17)/4</f>
        <v>13378</v>
      </c>
      <c r="J17" s="33">
        <f>(+'I Trimestre'!J17+'II Trimestre'!J17+'III Trimestre'!J17+'IV Trimestre'!J17)/4</f>
        <v>47312.916666666664</v>
      </c>
      <c r="K17" s="33">
        <f>(+'I Trimestre'!K17+'II Trimestre'!K17+'III Trimestre'!K17+'IV Trimestre'!K17)/4</f>
        <v>117002.83333333333</v>
      </c>
      <c r="L17" s="33">
        <f>+('I Trimestre'!L17+'II Trimestre'!L17+'III Trimestre'!L17+'IV Trimestre'!L17)/4</f>
        <v>0</v>
      </c>
      <c r="M17" s="33">
        <f>+('I Trimestre'!M17+'II Trimestre'!M17+'III Trimestre'!M17+'IV Trimestre'!M17)/4</f>
        <v>0</v>
      </c>
      <c r="N17" s="33">
        <f>+('I Trimestre'!N17+'II Trimestre'!N17+'III Trimestre'!N17+'IV Trimestre'!N17)/4</f>
        <v>9793.0833333333339</v>
      </c>
      <c r="O17" s="8"/>
      <c r="P17" s="8"/>
    </row>
    <row r="18" spans="1:16" ht="16.5" x14ac:dyDescent="0.3">
      <c r="A18" s="17" t="s">
        <v>129</v>
      </c>
      <c r="B18" s="33">
        <f>+D18+K18+M18</f>
        <v>146663.45833333334</v>
      </c>
      <c r="C18" s="33">
        <f>+D18+E18</f>
        <v>38442.833333333328</v>
      </c>
      <c r="D18" s="33">
        <f>(+'I Trimestre'!D18+'II Trimestre'!D18+'III Trimestre'!D18+'IV Trimestre'!D18)/4</f>
        <v>34927.083333333328</v>
      </c>
      <c r="E18" s="33">
        <f>(+'I Trimestre'!E18+'II Trimestre'!E18+'III Trimestre'!E18+'IV Trimestre'!E18)/4</f>
        <v>3515.75</v>
      </c>
      <c r="F18" s="33">
        <f>K18+I18+H18+L18+M18</f>
        <v>136928.54166666669</v>
      </c>
      <c r="G18" s="33">
        <f>(+'I Trimestre'!G18+'II Trimestre'!G18+'III Trimestre'!G18+'IV Trimestre'!G18)/4</f>
        <v>14212.166666666668</v>
      </c>
      <c r="H18" s="33">
        <f>(+'I Trimestre'!H18+'II Trimestre'!H18+'III Trimestre'!H18+'IV Trimestre'!H18)/4</f>
        <v>15539.666666666668</v>
      </c>
      <c r="I18" s="33">
        <f>(+'I Trimestre'!I18+'II Trimestre'!I18+'III Trimestre'!I18+'IV Trimestre'!I18)/4</f>
        <v>9652.5</v>
      </c>
      <c r="J18" s="33">
        <f>(+'I Trimestre'!J18+'II Trimestre'!J18+'III Trimestre'!J18+'IV Trimestre'!J18)/4</f>
        <v>35596.083333333336</v>
      </c>
      <c r="K18" s="33">
        <f>(+'I Trimestre'!K18+'II Trimestre'!K18+'III Trimestre'!K18+'IV Trimestre'!K18)/4</f>
        <v>108429.66666666667</v>
      </c>
      <c r="L18" s="33">
        <f>+('I Trimestre'!L18+'II Trimestre'!L18+'III Trimestre'!L18+'IV Trimestre'!L18)/4</f>
        <v>0</v>
      </c>
      <c r="M18" s="33">
        <f>+('I Trimestre'!M18+'II Trimestre'!M18+'III Trimestre'!M18+'IV Trimestre'!M18)/4</f>
        <v>3306.7083333333417</v>
      </c>
      <c r="N18" s="33">
        <f>+('I Trimestre'!N18+'II Trimestre'!N18+'III Trimestre'!N18+'IV Trimestre'!N18)/4</f>
        <v>9278.6666666666661</v>
      </c>
      <c r="O18" s="8"/>
      <c r="P18" s="8"/>
    </row>
    <row r="19" spans="1:16" ht="16.5" x14ac:dyDescent="0.3">
      <c r="A19" s="17" t="s">
        <v>86</v>
      </c>
      <c r="B19" s="33">
        <f>+D19+K19</f>
        <v>159582</v>
      </c>
      <c r="C19" s="33">
        <f>+D19+E19</f>
        <v>69517</v>
      </c>
      <c r="D19" s="18">
        <f>+'IV Trimestre'!D19</f>
        <v>42579.166666666664</v>
      </c>
      <c r="E19" s="18">
        <f>+'IV Trimestre'!E19</f>
        <v>26937.833333333332</v>
      </c>
      <c r="F19" s="33">
        <f>K19+I19+H19+L19+M19</f>
        <v>149356.83333333331</v>
      </c>
      <c r="G19" s="18">
        <f>+'IV Trimestre'!G19</f>
        <v>13821</v>
      </c>
      <c r="H19" s="18">
        <f>+'IV Trimestre'!H19</f>
        <v>18976</v>
      </c>
      <c r="I19" s="18">
        <f>'IV Trimestre'!I19</f>
        <v>13378</v>
      </c>
      <c r="J19" s="18">
        <f>'IV Trimestre'!J19</f>
        <v>47312.916666666664</v>
      </c>
      <c r="K19" s="18">
        <f>+'IV Trimestre'!K19</f>
        <v>117002.83333333333</v>
      </c>
      <c r="L19" s="33">
        <f>+'IV Trimestre'!L19</f>
        <v>0</v>
      </c>
      <c r="M19" s="18">
        <f>+'IV Trimestre'!M19</f>
        <v>0</v>
      </c>
      <c r="N19" s="18">
        <f>+'IV Trimestre'!N19</f>
        <v>9793.0833333333339</v>
      </c>
      <c r="O19" s="6"/>
      <c r="P19" s="6"/>
    </row>
    <row r="20" spans="1:16" ht="16.5" x14ac:dyDescent="0.3">
      <c r="A20" s="12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19"/>
      <c r="M20" s="19"/>
      <c r="N20" s="19"/>
    </row>
    <row r="21" spans="1:16" ht="17.25" x14ac:dyDescent="0.35">
      <c r="A21" s="20" t="s">
        <v>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19"/>
      <c r="M21" s="19"/>
      <c r="N21" s="19"/>
      <c r="O21" s="9"/>
      <c r="P21" s="9"/>
    </row>
    <row r="22" spans="1:16" ht="16.5" x14ac:dyDescent="0.3">
      <c r="A22" s="17" t="s">
        <v>127</v>
      </c>
      <c r="B22" s="32">
        <f>C22+F22+N22</f>
        <v>29952830406.91</v>
      </c>
      <c r="C22" s="32">
        <f>+'I Trimestre'!C22+'II Trimestre'!C22+'III Trimestre'!C22+'IV Trimestre'!C22</f>
        <v>19687494607.049999</v>
      </c>
      <c r="D22" s="21"/>
      <c r="E22" s="21"/>
      <c r="F22" s="21">
        <f>+'I Trimestre'!F22+'II Trimestre'!F22+'III Trimestre'!F22+'IV Trimestre'!F22</f>
        <v>8135052837.8599997</v>
      </c>
      <c r="G22" s="21"/>
      <c r="H22" s="21"/>
      <c r="I22" s="21"/>
      <c r="J22" s="21"/>
      <c r="K22" s="32"/>
      <c r="L22" s="32"/>
      <c r="M22" s="32"/>
      <c r="N22" s="32">
        <f>+'I Trimestre'!N22+'II Trimestre'!N22+'III Trimestre'!N22+'IV Trimestre'!N22</f>
        <v>2130282962</v>
      </c>
      <c r="O22" s="2"/>
      <c r="P22" s="2"/>
    </row>
    <row r="23" spans="1:16" ht="16.5" x14ac:dyDescent="0.3">
      <c r="A23" s="17" t="s">
        <v>128</v>
      </c>
      <c r="B23" s="32">
        <f>C23+F23+N23</f>
        <v>35279643295.036064</v>
      </c>
      <c r="C23" s="32">
        <f>+'I Trimestre'!C23+'II Trimestre'!C23+'III Trimestre'!C23+'IV Trimestre'!C23</f>
        <v>23642686922.237064</v>
      </c>
      <c r="D23" s="21"/>
      <c r="E23" s="21"/>
      <c r="F23" s="32">
        <f>'IV Trimestre'!F25</f>
        <v>8761255219.8990002</v>
      </c>
      <c r="G23" s="21"/>
      <c r="H23" s="21"/>
      <c r="I23" s="21"/>
      <c r="J23" s="21"/>
      <c r="K23" s="32"/>
      <c r="L23" s="32"/>
      <c r="M23" s="32"/>
      <c r="N23" s="32">
        <f>+'I Trimestre'!N23+'II Trimestre'!N23+'III Trimestre'!N23+'IV Trimestre'!N23</f>
        <v>2875701152.9000001</v>
      </c>
      <c r="O23" s="2"/>
      <c r="P23" s="2"/>
    </row>
    <row r="24" spans="1:16" ht="16.5" x14ac:dyDescent="0.3">
      <c r="A24" s="17" t="s">
        <v>129</v>
      </c>
      <c r="B24" s="32">
        <f>C24+F24+N24</f>
        <v>27796672319.439999</v>
      </c>
      <c r="C24" s="32">
        <f>+'I Trimestre'!C24+'II Trimestre'!C24+'III Trimestre'!C24+'IV Trimestre'!C24</f>
        <v>17872761315.41</v>
      </c>
      <c r="D24" s="21"/>
      <c r="E24" s="21"/>
      <c r="F24" s="21">
        <f>+'I Trimestre'!F24+'II Trimestre'!F24+'III Trimestre'!F24+'IV Trimestre'!F24</f>
        <v>8661051361.0699997</v>
      </c>
      <c r="G24" s="21"/>
      <c r="H24" s="21"/>
      <c r="I24" s="21"/>
      <c r="J24" s="21"/>
      <c r="K24" s="32"/>
      <c r="L24" s="32"/>
      <c r="M24" s="32"/>
      <c r="N24" s="32">
        <f>+'I Trimestre'!N24+'II Trimestre'!N24+'III Trimestre'!N24+'IV Trimestre'!N24</f>
        <v>1262859642.96</v>
      </c>
      <c r="O24" s="2"/>
      <c r="P24" s="2"/>
    </row>
    <row r="25" spans="1:16" ht="16.5" x14ac:dyDescent="0.3">
      <c r="A25" s="17" t="s">
        <v>86</v>
      </c>
      <c r="B25" s="32">
        <f>C25+F25+N25</f>
        <v>35279643295.036049</v>
      </c>
      <c r="C25" s="32">
        <f>+'IV Trimestre'!C25</f>
        <v>23642686922.237049</v>
      </c>
      <c r="D25" s="21"/>
      <c r="E25" s="21"/>
      <c r="F25" s="21">
        <f>+'IV Trimestre'!F25</f>
        <v>8761255219.8990002</v>
      </c>
      <c r="G25" s="21"/>
      <c r="H25" s="21"/>
      <c r="I25" s="21"/>
      <c r="J25" s="21"/>
      <c r="K25" s="32"/>
      <c r="L25" s="32"/>
      <c r="M25" s="32"/>
      <c r="N25" s="32">
        <f>+'IV Trimestre'!N25</f>
        <v>2875701152.9000001</v>
      </c>
      <c r="O25" s="2"/>
      <c r="P25" s="2"/>
    </row>
    <row r="26" spans="1:16" ht="16.5" x14ac:dyDescent="0.3">
      <c r="A26" s="17" t="s">
        <v>130</v>
      </c>
      <c r="B26" s="32">
        <f>C26+F26+N26</f>
        <v>27796672319.439999</v>
      </c>
      <c r="C26" s="21">
        <f>C24</f>
        <v>17872761315.41</v>
      </c>
      <c r="D26" s="21"/>
      <c r="E26" s="21"/>
      <c r="F26" s="21">
        <f>F24</f>
        <v>8661051361.0699997</v>
      </c>
      <c r="G26" s="21"/>
      <c r="H26" s="21"/>
      <c r="I26" s="21"/>
      <c r="J26" s="21"/>
      <c r="K26" s="21"/>
      <c r="L26" s="21"/>
      <c r="M26" s="21"/>
      <c r="N26" s="21">
        <f>+N24</f>
        <v>1262859642.96</v>
      </c>
      <c r="O26" s="4"/>
      <c r="P26" s="4"/>
    </row>
    <row r="27" spans="1:16" ht="16.5" x14ac:dyDescent="0.3">
      <c r="A27" s="12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19"/>
      <c r="M27" s="19"/>
      <c r="N27" s="19"/>
    </row>
    <row r="28" spans="1:16" ht="17.25" x14ac:dyDescent="0.35">
      <c r="A28" s="20" t="s">
        <v>6</v>
      </c>
      <c r="B28" s="37"/>
      <c r="C28" s="37" t="s">
        <v>44</v>
      </c>
      <c r="D28" s="37"/>
      <c r="E28" s="37"/>
      <c r="F28" s="37"/>
      <c r="G28" s="37"/>
      <c r="H28" s="37"/>
      <c r="I28" s="37"/>
      <c r="J28" s="37"/>
      <c r="K28" s="37"/>
      <c r="L28" s="19"/>
      <c r="M28" s="19"/>
      <c r="N28" s="19"/>
    </row>
    <row r="29" spans="1:16" ht="16.5" x14ac:dyDescent="0.3">
      <c r="A29" s="17" t="s">
        <v>128</v>
      </c>
      <c r="B29" s="32">
        <f>+B23</f>
        <v>35279643295.036064</v>
      </c>
      <c r="C29" s="37"/>
      <c r="D29" s="37"/>
      <c r="E29" s="37"/>
      <c r="F29" s="37"/>
      <c r="G29" s="37"/>
      <c r="H29" s="37"/>
      <c r="I29" s="37"/>
      <c r="J29" s="37"/>
      <c r="K29" s="37"/>
      <c r="L29" s="19"/>
      <c r="M29" s="19"/>
      <c r="N29" s="19"/>
    </row>
    <row r="30" spans="1:16" ht="16.5" x14ac:dyDescent="0.3">
      <c r="A30" s="17" t="s">
        <v>129</v>
      </c>
      <c r="B30" s="32">
        <f>+'I Trimestre'!B30+'II Trimestre'!B30+'III Trimestre'!B30+'IV Trimestre'!B30</f>
        <v>32122843702.409996</v>
      </c>
      <c r="C30" s="37"/>
      <c r="D30" s="37"/>
      <c r="E30" s="37"/>
      <c r="F30" s="37"/>
      <c r="G30" s="37"/>
      <c r="H30" s="37"/>
      <c r="I30" s="37"/>
      <c r="J30" s="37"/>
      <c r="K30" s="37"/>
      <c r="L30" s="19"/>
      <c r="M30" s="19"/>
      <c r="N30" s="19"/>
    </row>
    <row r="31" spans="1:16" ht="16.5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6" ht="17.25" x14ac:dyDescent="0.35">
      <c r="A32" s="16" t="s">
        <v>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6" ht="16.5" x14ac:dyDescent="0.3">
      <c r="A33" s="17" t="s">
        <v>131</v>
      </c>
      <c r="B33" s="22">
        <v>1.0610999999999999</v>
      </c>
      <c r="C33" s="22">
        <v>1.0610999999999999</v>
      </c>
      <c r="D33" s="22">
        <v>1.0610999999999999</v>
      </c>
      <c r="E33" s="22">
        <v>1.0610999999999999</v>
      </c>
      <c r="F33" s="22">
        <v>1.0610999999999999</v>
      </c>
      <c r="G33" s="22">
        <v>1.0610999999999999</v>
      </c>
      <c r="H33" s="22">
        <v>1.0610999999999999</v>
      </c>
      <c r="I33" s="22">
        <v>1.0610999999999999</v>
      </c>
      <c r="J33" s="22">
        <v>1.0610999999999999</v>
      </c>
      <c r="K33" s="22">
        <v>1.0610999999999999</v>
      </c>
      <c r="L33" s="22">
        <v>1.0610999999999999</v>
      </c>
      <c r="M33" s="22">
        <v>1.0610999999999999</v>
      </c>
      <c r="N33" s="22">
        <v>1.0610999999999999</v>
      </c>
      <c r="O33" s="10"/>
      <c r="P33" s="10"/>
    </row>
    <row r="34" spans="1:16" ht="16.5" x14ac:dyDescent="0.3">
      <c r="A34" s="17" t="s">
        <v>132</v>
      </c>
      <c r="B34" s="22">
        <v>1.0706</v>
      </c>
      <c r="C34" s="22">
        <v>1.0706</v>
      </c>
      <c r="D34" s="22">
        <v>1.0706</v>
      </c>
      <c r="E34" s="22">
        <v>1.0706</v>
      </c>
      <c r="F34" s="22">
        <v>1.0706</v>
      </c>
      <c r="G34" s="22">
        <v>1.0706</v>
      </c>
      <c r="H34" s="22">
        <v>1.0706</v>
      </c>
      <c r="I34" s="22">
        <v>1.0706</v>
      </c>
      <c r="J34" s="22">
        <v>1.0706</v>
      </c>
      <c r="K34" s="22">
        <v>1.0706</v>
      </c>
      <c r="L34" s="22">
        <v>1.0706</v>
      </c>
      <c r="M34" s="22">
        <v>1.0706</v>
      </c>
      <c r="N34" s="22">
        <v>1.0706</v>
      </c>
      <c r="O34" s="10"/>
      <c r="P34" s="10"/>
    </row>
    <row r="35" spans="1:16" ht="16.5" x14ac:dyDescent="0.3">
      <c r="A35" s="17" t="s">
        <v>8</v>
      </c>
      <c r="B35" s="19">
        <v>92427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6" ht="16.5" x14ac:dyDescent="0.3">
      <c r="A36" s="1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6" ht="17.25" x14ac:dyDescent="0.35">
      <c r="A37" s="16" t="s">
        <v>9</v>
      </c>
      <c r="B37" s="19"/>
      <c r="C37" s="19"/>
      <c r="D37" s="18"/>
      <c r="E37" s="18"/>
      <c r="F37" s="18"/>
      <c r="G37" s="19"/>
      <c r="H37" s="19"/>
      <c r="I37" s="19"/>
      <c r="J37" s="19"/>
      <c r="K37" s="19"/>
      <c r="L37" s="19"/>
      <c r="M37" s="19"/>
      <c r="N37" s="19"/>
    </row>
    <row r="38" spans="1:16" ht="16.5" x14ac:dyDescent="0.3">
      <c r="A38" s="12" t="s">
        <v>133</v>
      </c>
      <c r="B38" s="21">
        <f>B22/B33</f>
        <v>28228093871.369335</v>
      </c>
      <c r="C38" s="21">
        <f t="shared" ref="C38:F38" si="0">C22/C33</f>
        <v>18553854120.29969</v>
      </c>
      <c r="D38" s="21"/>
      <c r="E38" s="21"/>
      <c r="F38" s="21">
        <f t="shared" si="0"/>
        <v>7666622220.2054472</v>
      </c>
      <c r="G38" s="21"/>
      <c r="H38" s="21"/>
      <c r="I38" s="21"/>
      <c r="J38" s="21"/>
      <c r="K38" s="21"/>
      <c r="L38" s="21"/>
      <c r="M38" s="21"/>
      <c r="N38" s="21">
        <f>N22/N33</f>
        <v>2007617530.8641977</v>
      </c>
      <c r="O38" s="4"/>
      <c r="P38" s="4"/>
    </row>
    <row r="39" spans="1:16" ht="16.5" x14ac:dyDescent="0.3">
      <c r="A39" s="12" t="s">
        <v>134</v>
      </c>
      <c r="B39" s="21">
        <f>B24/B34</f>
        <v>25963639379.263962</v>
      </c>
      <c r="C39" s="21">
        <f t="shared" ref="C39:F39" si="1">C24/C34</f>
        <v>16694154040.173735</v>
      </c>
      <c r="D39" s="21"/>
      <c r="E39" s="21"/>
      <c r="F39" s="21">
        <f t="shared" si="1"/>
        <v>8089904129.5254993</v>
      </c>
      <c r="G39" s="21"/>
      <c r="H39" s="21"/>
      <c r="I39" s="21"/>
      <c r="J39" s="21"/>
      <c r="K39" s="21"/>
      <c r="L39" s="21"/>
      <c r="M39" s="21"/>
      <c r="N39" s="21">
        <f>N24/N34</f>
        <v>1179581209.5647302</v>
      </c>
      <c r="O39" s="4"/>
      <c r="P39" s="4"/>
    </row>
    <row r="40" spans="1:16" ht="16.5" x14ac:dyDescent="0.3">
      <c r="A40" s="12" t="s">
        <v>135</v>
      </c>
      <c r="B40" s="21">
        <f>B38/B16</f>
        <v>193842.87369687259</v>
      </c>
      <c r="C40" s="21">
        <f t="shared" ref="C40:F40" si="2">C38/C16</f>
        <v>411291.06642577384</v>
      </c>
      <c r="D40" s="21"/>
      <c r="E40" s="21"/>
      <c r="F40" s="21">
        <f t="shared" si="2"/>
        <v>52609.513709412742</v>
      </c>
      <c r="G40" s="21"/>
      <c r="H40" s="21"/>
      <c r="I40" s="21"/>
      <c r="J40" s="21"/>
      <c r="K40" s="21"/>
      <c r="L40" s="21"/>
      <c r="M40" s="21"/>
      <c r="N40" s="21">
        <f>N38/N16</f>
        <v>216854.13718322493</v>
      </c>
      <c r="O40" s="4"/>
      <c r="P40" s="4"/>
    </row>
    <row r="41" spans="1:16" ht="16.5" x14ac:dyDescent="0.3">
      <c r="A41" s="12" t="s">
        <v>136</v>
      </c>
      <c r="B41" s="19">
        <f>B39/B18</f>
        <v>177028.68645204313</v>
      </c>
      <c r="C41" s="18">
        <f t="shared" ref="C41:F41" si="3">C39/C18</f>
        <v>434259.1997686713</v>
      </c>
      <c r="D41" s="18"/>
      <c r="E41" s="18"/>
      <c r="F41" s="18">
        <f t="shared" si="3"/>
        <v>59081.211492190101</v>
      </c>
      <c r="G41" s="18"/>
      <c r="H41" s="18"/>
      <c r="I41" s="18"/>
      <c r="J41" s="18"/>
      <c r="K41" s="21"/>
      <c r="L41" s="21"/>
      <c r="M41" s="19"/>
      <c r="N41" s="19">
        <f t="shared" ref="N41" si="4">N39/N18</f>
        <v>127128.30969586833</v>
      </c>
    </row>
    <row r="42" spans="1:16" ht="16.5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6" ht="17.25" x14ac:dyDescent="0.35">
      <c r="A43" s="16" t="s">
        <v>10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6" ht="16.5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1:16" ht="17.25" x14ac:dyDescent="0.35">
      <c r="A45" s="16" t="s">
        <v>11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spans="1:16" ht="16.5" x14ac:dyDescent="0.3">
      <c r="A46" s="12" t="s">
        <v>12</v>
      </c>
      <c r="B46" s="24">
        <f t="shared" ref="B46" si="5">(B17/B35)*100</f>
        <v>172.65743054879343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</row>
    <row r="47" spans="1:16" ht="16.5" x14ac:dyDescent="0.3">
      <c r="A47" s="12" t="s">
        <v>13</v>
      </c>
      <c r="B47" s="24">
        <f t="shared" ref="B47" si="6">(B18/B35)*100</f>
        <v>158.6803188822891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6" ht="16.5" x14ac:dyDescent="0.3">
      <c r="A48" s="12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6" ht="17.25" x14ac:dyDescent="0.35">
      <c r="A49" s="16" t="s">
        <v>14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6" ht="16.5" x14ac:dyDescent="0.3">
      <c r="A50" s="12" t="s">
        <v>15</v>
      </c>
      <c r="B50" s="25">
        <f t="shared" ref="B50:N50" si="7">B18/B17*100</f>
        <v>91.904714658339387</v>
      </c>
      <c r="C50" s="25">
        <f t="shared" si="7"/>
        <v>55.299836371155756</v>
      </c>
      <c r="D50" s="25">
        <f t="shared" si="7"/>
        <v>82.028413683503885</v>
      </c>
      <c r="E50" s="25">
        <f t="shared" si="7"/>
        <v>13.051346619067358</v>
      </c>
      <c r="F50" s="25">
        <f t="shared" si="7"/>
        <v>91.678792734625489</v>
      </c>
      <c r="G50" s="25">
        <f t="shared" si="7"/>
        <v>102.83023418469479</v>
      </c>
      <c r="H50" s="25">
        <f t="shared" si="7"/>
        <v>81.891160764474435</v>
      </c>
      <c r="I50" s="25">
        <f t="shared" si="7"/>
        <v>72.152040663776347</v>
      </c>
      <c r="J50" s="25">
        <f t="shared" si="7"/>
        <v>75.235444866183485</v>
      </c>
      <c r="K50" s="25">
        <f t="shared" si="7"/>
        <v>92.672684564618805</v>
      </c>
      <c r="L50" s="25" t="s">
        <v>53</v>
      </c>
      <c r="M50" s="25" t="s">
        <v>53</v>
      </c>
      <c r="N50" s="25">
        <f t="shared" si="7"/>
        <v>94.747142966549518</v>
      </c>
      <c r="O50" s="11"/>
      <c r="P50" s="11"/>
    </row>
    <row r="51" spans="1:16" ht="16.5" x14ac:dyDescent="0.3">
      <c r="A51" s="12" t="s">
        <v>16</v>
      </c>
      <c r="B51" s="25">
        <f>B24/B23*100</f>
        <v>78.789550356227849</v>
      </c>
      <c r="C51" s="25">
        <f>C24/C23*100</f>
        <v>75.595305111450017</v>
      </c>
      <c r="D51" s="25"/>
      <c r="E51" s="25"/>
      <c r="F51" s="25">
        <f>F24/F23*100</f>
        <v>98.856284215971556</v>
      </c>
      <c r="G51" s="25"/>
      <c r="H51" s="25"/>
      <c r="I51" s="25"/>
      <c r="J51" s="25"/>
      <c r="K51" s="25"/>
      <c r="L51" s="25"/>
      <c r="M51" s="25"/>
      <c r="N51" s="25">
        <f t="shared" ref="N51" si="8">N24/N23*100</f>
        <v>43.914842878804336</v>
      </c>
      <c r="O51" s="4"/>
      <c r="P51" s="4"/>
    </row>
    <row r="52" spans="1:16" ht="16.5" x14ac:dyDescent="0.3">
      <c r="A52" s="12" t="s">
        <v>17</v>
      </c>
      <c r="B52" s="25">
        <f>AVERAGE(B50:B51)</f>
        <v>85.347132507283618</v>
      </c>
      <c r="C52" s="25">
        <f t="shared" ref="C52" si="9">AVERAGE(C50:C51)</f>
        <v>65.447570741302883</v>
      </c>
      <c r="D52" s="25"/>
      <c r="E52" s="25"/>
      <c r="F52" s="25">
        <f t="shared" ref="F52" si="10">AVERAGE(F50:F51)</f>
        <v>95.267538475298522</v>
      </c>
      <c r="G52" s="25"/>
      <c r="H52" s="25"/>
      <c r="I52" s="25"/>
      <c r="J52" s="25"/>
      <c r="K52" s="25"/>
      <c r="L52" s="25"/>
      <c r="M52" s="25"/>
      <c r="N52" s="25">
        <f t="shared" ref="N52" si="11">AVERAGE(N50:N51)</f>
        <v>69.330992922676927</v>
      </c>
      <c r="O52" s="4"/>
      <c r="P52" s="4"/>
    </row>
    <row r="53" spans="1:16" ht="16.5" x14ac:dyDescent="0.3">
      <c r="A53" s="1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6" ht="17.25" x14ac:dyDescent="0.35">
      <c r="A54" s="16" t="s">
        <v>18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6" ht="16.5" x14ac:dyDescent="0.3">
      <c r="A55" s="12" t="s">
        <v>19</v>
      </c>
      <c r="B55" s="25">
        <f t="shared" ref="B55:N55" si="12">((B18/B19)*100)</f>
        <v>91.904762650758443</v>
      </c>
      <c r="C55" s="25">
        <f t="shared" si="12"/>
        <v>55.299902661699051</v>
      </c>
      <c r="D55" s="25">
        <f t="shared" si="12"/>
        <v>82.028574224483791</v>
      </c>
      <c r="E55" s="25">
        <f t="shared" si="12"/>
        <v>13.051346619067358</v>
      </c>
      <c r="F55" s="25">
        <f t="shared" si="12"/>
        <v>91.678792734625489</v>
      </c>
      <c r="G55" s="25">
        <f t="shared" si="12"/>
        <v>102.83023418469479</v>
      </c>
      <c r="H55" s="25">
        <f t="shared" si="12"/>
        <v>81.891160764474435</v>
      </c>
      <c r="I55" s="25">
        <f t="shared" si="12"/>
        <v>72.152040663776347</v>
      </c>
      <c r="J55" s="25">
        <f t="shared" si="12"/>
        <v>75.235444866183485</v>
      </c>
      <c r="K55" s="25">
        <f t="shared" si="12"/>
        <v>92.672684564618805</v>
      </c>
      <c r="L55" s="25" t="s">
        <v>53</v>
      </c>
      <c r="M55" s="25" t="s">
        <v>53</v>
      </c>
      <c r="N55" s="25">
        <f t="shared" si="12"/>
        <v>94.747142966549518</v>
      </c>
      <c r="O55" s="11"/>
      <c r="P55" s="11"/>
    </row>
    <row r="56" spans="1:16" ht="16.5" x14ac:dyDescent="0.3">
      <c r="A56" s="12" t="s">
        <v>20</v>
      </c>
      <c r="B56" s="25">
        <f>B24/B25*100</f>
        <v>78.789550356227878</v>
      </c>
      <c r="C56" s="25">
        <f>C24/C25*100</f>
        <v>75.59530511145006</v>
      </c>
      <c r="D56" s="25"/>
      <c r="E56" s="25"/>
      <c r="F56" s="25">
        <f>F24/F25*100</f>
        <v>98.856284215971556</v>
      </c>
      <c r="G56" s="25"/>
      <c r="H56" s="25"/>
      <c r="I56" s="25"/>
      <c r="J56" s="25"/>
      <c r="K56" s="25"/>
      <c r="L56" s="25"/>
      <c r="M56" s="25"/>
      <c r="N56" s="25">
        <f t="shared" ref="N56" si="13">N24/N25*100</f>
        <v>43.914842878804336</v>
      </c>
      <c r="O56" s="4"/>
      <c r="P56" s="4"/>
    </row>
    <row r="57" spans="1:16" ht="16.5" x14ac:dyDescent="0.3">
      <c r="A57" s="12" t="s">
        <v>21</v>
      </c>
      <c r="B57" s="25">
        <f>(B55+B56)/2</f>
        <v>85.347156503493153</v>
      </c>
      <c r="C57" s="25">
        <f>(C55+C56)/2</f>
        <v>65.447603886574555</v>
      </c>
      <c r="D57" s="25"/>
      <c r="E57" s="25"/>
      <c r="F57" s="25">
        <f>(F55+F56)/2</f>
        <v>95.267538475298522</v>
      </c>
      <c r="G57" s="25"/>
      <c r="H57" s="25"/>
      <c r="I57" s="25"/>
      <c r="J57" s="25"/>
      <c r="K57" s="25"/>
      <c r="L57" s="25"/>
      <c r="M57" s="25"/>
      <c r="N57" s="25">
        <f t="shared" ref="N57" si="14">(N55+N56)/2</f>
        <v>69.330992922676927</v>
      </c>
      <c r="O57" s="4"/>
      <c r="P57" s="4"/>
    </row>
    <row r="58" spans="1:16" ht="16.5" x14ac:dyDescent="0.3">
      <c r="A58" s="12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</row>
    <row r="59" spans="1:16" ht="17.25" x14ac:dyDescent="0.35">
      <c r="A59" s="16" t="s">
        <v>36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</row>
    <row r="60" spans="1:16" ht="16.5" x14ac:dyDescent="0.3">
      <c r="A60" s="12" t="s">
        <v>22</v>
      </c>
      <c r="B60" s="24">
        <f>B26/B24*100</f>
        <v>100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</row>
    <row r="61" spans="1:16" ht="16.5" x14ac:dyDescent="0.3">
      <c r="A61" s="1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6" ht="17.25" x14ac:dyDescent="0.35">
      <c r="A62" s="16" t="s">
        <v>23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</row>
    <row r="63" spans="1:16" ht="16.5" x14ac:dyDescent="0.3">
      <c r="A63" s="12" t="s">
        <v>24</v>
      </c>
      <c r="B63" s="25">
        <f t="shared" ref="B63:N63" si="15">((B18/B16)-1)*100</f>
        <v>0.71408419996075168</v>
      </c>
      <c r="C63" s="25">
        <f t="shared" si="15"/>
        <v>-14.782158921924516</v>
      </c>
      <c r="D63" s="25">
        <f t="shared" si="15"/>
        <v>39.359470126450091</v>
      </c>
      <c r="E63" s="25">
        <f t="shared" si="15"/>
        <v>-82.463921125261862</v>
      </c>
      <c r="F63" s="25">
        <f t="shared" si="15"/>
        <v>-6.0375771348578189</v>
      </c>
      <c r="G63" s="25">
        <f t="shared" si="15"/>
        <v>36.756262629502558</v>
      </c>
      <c r="H63" s="25">
        <f t="shared" si="15"/>
        <v>3.1656284231607712</v>
      </c>
      <c r="I63" s="25">
        <f t="shared" si="15"/>
        <v>-4.459859613814265</v>
      </c>
      <c r="J63" s="25">
        <f t="shared" si="15"/>
        <v>8.4799955302949481</v>
      </c>
      <c r="K63" s="25">
        <f t="shared" si="15"/>
        <v>5.7551196897138057</v>
      </c>
      <c r="L63" s="25" t="s">
        <v>53</v>
      </c>
      <c r="M63" s="25" t="s">
        <v>53</v>
      </c>
      <c r="N63" s="25">
        <f t="shared" si="15"/>
        <v>0.22413249921238165</v>
      </c>
      <c r="O63" s="4"/>
      <c r="P63" s="4"/>
    </row>
    <row r="64" spans="1:16" ht="16.5" x14ac:dyDescent="0.3">
      <c r="A64" s="12" t="s">
        <v>25</v>
      </c>
      <c r="B64" s="25">
        <f>((B39/B38)-1)*100</f>
        <v>-8.0219886699545171</v>
      </c>
      <c r="C64" s="25">
        <f>((C39/C38)-1)*100</f>
        <v>-10.023254834645201</v>
      </c>
      <c r="D64" s="25"/>
      <c r="E64" s="25"/>
      <c r="F64" s="25">
        <f>((F39/F38)-1)*100</f>
        <v>5.5211003902668976</v>
      </c>
      <c r="G64" s="25"/>
      <c r="H64" s="25"/>
      <c r="I64" s="25"/>
      <c r="J64" s="25"/>
      <c r="K64" s="25"/>
      <c r="L64" s="25"/>
      <c r="M64" s="25"/>
      <c r="N64" s="25">
        <f t="shared" ref="N64" si="16">((N39/N38)-1)*100</f>
        <v>-41.244724583722459</v>
      </c>
      <c r="O64" s="4"/>
      <c r="P64" s="4"/>
    </row>
    <row r="65" spans="1:16" ht="16.5" x14ac:dyDescent="0.3">
      <c r="A65" s="12" t="s">
        <v>26</v>
      </c>
      <c r="B65" s="25">
        <f>((B41/B40)-1)*100</f>
        <v>-8.6741322619489853</v>
      </c>
      <c r="C65" s="25">
        <f>((C41/C40)-1)*100</f>
        <v>5.5843987914681703</v>
      </c>
      <c r="D65" s="25"/>
      <c r="E65" s="25"/>
      <c r="F65" s="25">
        <f>((F41/F40)-1)*100</f>
        <v>12.301383013201006</v>
      </c>
      <c r="G65" s="25"/>
      <c r="H65" s="25"/>
      <c r="I65" s="25"/>
      <c r="J65" s="25"/>
      <c r="K65" s="25"/>
      <c r="L65" s="25"/>
      <c r="M65" s="25"/>
      <c r="N65" s="25">
        <f t="shared" ref="N65" si="17">((N41/N40)-1)*100</f>
        <v>-41.376119751658337</v>
      </c>
      <c r="O65" s="4"/>
      <c r="P65" s="4"/>
    </row>
    <row r="66" spans="1:16" ht="17.25" x14ac:dyDescent="0.35">
      <c r="A66" s="16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</row>
    <row r="67" spans="1:16" ht="17.25" x14ac:dyDescent="0.35">
      <c r="A67" s="16" t="s">
        <v>27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1:16" ht="16.5" x14ac:dyDescent="0.3">
      <c r="A68" s="12" t="s">
        <v>28</v>
      </c>
      <c r="B68" s="26">
        <f>B23/(B17*12)</f>
        <v>18422.934537365079</v>
      </c>
      <c r="C68" s="26">
        <f>C23/(C17*12)</f>
        <v>28341.579015034746</v>
      </c>
      <c r="D68" s="26"/>
      <c r="E68" s="26"/>
      <c r="F68" s="26">
        <f>F23/(F17*12)</f>
        <v>4888.3240583228535</v>
      </c>
      <c r="G68" s="26"/>
      <c r="H68" s="26"/>
      <c r="I68" s="26"/>
      <c r="J68" s="26"/>
      <c r="K68" s="26"/>
      <c r="L68" s="26"/>
      <c r="M68" s="26"/>
      <c r="N68" s="26">
        <f>N23/(N17*12)</f>
        <v>24470.511950611402</v>
      </c>
      <c r="O68" s="6"/>
      <c r="P68" s="6"/>
    </row>
    <row r="69" spans="1:16" ht="16.5" x14ac:dyDescent="0.3">
      <c r="A69" s="12" t="s">
        <v>29</v>
      </c>
      <c r="B69" s="26">
        <f>B24/(B18*12)</f>
        <v>15793.909309629784</v>
      </c>
      <c r="C69" s="26">
        <f>C24/(C18*12)</f>
        <v>38743.158272694956</v>
      </c>
      <c r="D69" s="26"/>
      <c r="E69" s="26"/>
      <c r="F69" s="26">
        <f>F24/(F18*12)</f>
        <v>5271.0287519615604</v>
      </c>
      <c r="G69" s="26"/>
      <c r="H69" s="26"/>
      <c r="I69" s="26"/>
      <c r="J69" s="26"/>
      <c r="K69" s="26"/>
      <c r="L69" s="26"/>
      <c r="M69" s="26"/>
      <c r="N69" s="26">
        <f>N24/(N18*12)</f>
        <v>11341.96403003305</v>
      </c>
      <c r="O69" s="6"/>
      <c r="P69" s="6"/>
    </row>
    <row r="70" spans="1:16" ht="16.5" x14ac:dyDescent="0.3">
      <c r="A70" s="12" t="s">
        <v>30</v>
      </c>
      <c r="B70" s="26">
        <f>(B69/B68)*B52</f>
        <v>73.167760973316945</v>
      </c>
      <c r="C70" s="26">
        <f>(C69/C68)*C52</f>
        <v>89.467336680450245</v>
      </c>
      <c r="D70" s="26"/>
      <c r="E70" s="26"/>
      <c r="F70" s="26">
        <f>(F69/F68)*F52</f>
        <v>102.72599124784482</v>
      </c>
      <c r="G70" s="26"/>
      <c r="H70" s="26"/>
      <c r="I70" s="26"/>
      <c r="J70" s="26"/>
      <c r="K70" s="26"/>
      <c r="L70" s="26"/>
      <c r="M70" s="26"/>
      <c r="N70" s="26">
        <f t="shared" ref="N70" si="18">(N69/N68)*N52</f>
        <v>32.134580162546641</v>
      </c>
      <c r="O70" s="6"/>
      <c r="P70" s="6"/>
    </row>
    <row r="71" spans="1:16" ht="16.5" x14ac:dyDescent="0.3">
      <c r="A71" s="12" t="s">
        <v>37</v>
      </c>
      <c r="B71" s="26">
        <f>B23/B17</f>
        <v>221075.21444838095</v>
      </c>
      <c r="C71" s="26">
        <f>C23/C17</f>
        <v>340098.94818041695</v>
      </c>
      <c r="D71" s="26"/>
      <c r="E71" s="26"/>
      <c r="F71" s="26">
        <f>F23/F17</f>
        <v>58659.888699874246</v>
      </c>
      <c r="G71" s="26"/>
      <c r="H71" s="26"/>
      <c r="I71" s="26"/>
      <c r="J71" s="26"/>
      <c r="K71" s="26"/>
      <c r="L71" s="26"/>
      <c r="M71" s="26"/>
      <c r="N71" s="26">
        <f t="shared" ref="N71:N72" si="19">N23/N17</f>
        <v>293646.14340733679</v>
      </c>
      <c r="O71" s="6"/>
      <c r="P71" s="6"/>
    </row>
    <row r="72" spans="1:16" ht="16.5" x14ac:dyDescent="0.3">
      <c r="A72" s="12" t="s">
        <v>38</v>
      </c>
      <c r="B72" s="26">
        <f>B24/B18</f>
        <v>189526.91171555739</v>
      </c>
      <c r="C72" s="26">
        <f>C24/C18</f>
        <v>464917.89927233948</v>
      </c>
      <c r="D72" s="26"/>
      <c r="E72" s="26"/>
      <c r="F72" s="26">
        <f>F24/F18</f>
        <v>63252.345023538728</v>
      </c>
      <c r="G72" s="26"/>
      <c r="H72" s="26"/>
      <c r="I72" s="26"/>
      <c r="J72" s="26"/>
      <c r="K72" s="26"/>
      <c r="L72" s="26"/>
      <c r="M72" s="26"/>
      <c r="N72" s="26">
        <f t="shared" si="19"/>
        <v>136103.56836039663</v>
      </c>
      <c r="O72" s="6"/>
      <c r="P72" s="6"/>
    </row>
    <row r="73" spans="1:16" ht="16.5" x14ac:dyDescent="0.3">
      <c r="A73" s="1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</row>
    <row r="74" spans="1:16" ht="17.25" x14ac:dyDescent="0.35">
      <c r="A74" s="16" t="s">
        <v>31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1:16" ht="16.5" x14ac:dyDescent="0.3">
      <c r="A75" s="12" t="s">
        <v>32</v>
      </c>
      <c r="B75" s="24">
        <f>(B30/B29)*100</f>
        <v>91.052064879946684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1:16" ht="17.25" thickBot="1" x14ac:dyDescent="0.35">
      <c r="A76" s="27" t="s">
        <v>33</v>
      </c>
      <c r="B76" s="28">
        <f>(B24/B30)*100</f>
        <v>86.532414679571374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5"/>
      <c r="P76" s="5"/>
    </row>
    <row r="77" spans="1:16" ht="17.25" thickTop="1" x14ac:dyDescent="0.3">
      <c r="A77" s="47" t="s">
        <v>91</v>
      </c>
      <c r="B77" s="47"/>
      <c r="C77" s="47"/>
      <c r="D77" s="47"/>
      <c r="E77" s="47"/>
      <c r="F77" s="47"/>
      <c r="G77" s="29"/>
      <c r="H77" s="29"/>
      <c r="I77" s="29"/>
      <c r="J77" s="29"/>
      <c r="K77" s="29"/>
      <c r="L77" s="29"/>
      <c r="M77" s="12"/>
      <c r="N77" s="12"/>
    </row>
    <row r="78" spans="1:16" ht="60" customHeight="1" x14ac:dyDescent="0.3">
      <c r="A78" s="55" t="s">
        <v>138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</row>
    <row r="79" spans="1:16" ht="16.5" x14ac:dyDescent="0.3">
      <c r="A79" s="29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6" ht="16.5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 spans="1:14" ht="16.5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ht="16.5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ht="16.5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ht="16.5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ht="16.5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ht="16.5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ht="16.5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ht="16.5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ht="16.5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ht="16.5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ht="16.5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ht="16.5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 ht="16.5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 ht="16.5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 ht="16.5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 ht="16.5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 ht="16.5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 ht="16.5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 spans="1:14" ht="16.5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 ht="16.5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4" ht="16.5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 spans="1:14" ht="16.5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 spans="1:14" ht="16.5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 spans="1:14" ht="16.5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 spans="1:14" ht="16.5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 spans="1:14" ht="16.5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 spans="1:14" ht="16.5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 spans="1:14" ht="16.5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 spans="1:14" ht="16.5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</sheetData>
  <mergeCells count="7">
    <mergeCell ref="A78:N78"/>
    <mergeCell ref="A77:F77"/>
    <mergeCell ref="A9:A10"/>
    <mergeCell ref="D10:E10"/>
    <mergeCell ref="G10:K10"/>
    <mergeCell ref="B9:B10"/>
    <mergeCell ref="C9:N9"/>
  </mergeCells>
  <pageMargins left="0.7" right="0.7" top="0.75" bottom="0.75" header="0.3" footer="0.3"/>
  <pageSetup paperSize="9" orientation="portrait" r:id="rId1"/>
  <ignoredErrors>
    <ignoredError sqref="B17:B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Hoja2 (2)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catherine.mata</dc:creator>
  <cp:lastModifiedBy>Stephanie Tatiana Salas Soto</cp:lastModifiedBy>
  <dcterms:created xsi:type="dcterms:W3CDTF">2012-02-08T21:16:28Z</dcterms:created>
  <dcterms:modified xsi:type="dcterms:W3CDTF">2021-06-24T15:30:00Z</dcterms:modified>
</cp:coreProperties>
</file>