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PRONAMYPE\"/>
    </mc:Choice>
  </mc:AlternateContent>
  <bookViews>
    <workbookView xWindow="0" yWindow="0" windowWidth="20490" windowHeight="8460" tabRatio="913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62913"/>
</workbook>
</file>

<file path=xl/calcChain.xml><?xml version="1.0" encoding="utf-8"?>
<calcChain xmlns="http://schemas.openxmlformats.org/spreadsheetml/2006/main">
  <c r="E67" i="10" l="1"/>
  <c r="E67" i="11"/>
  <c r="E67" i="8"/>
  <c r="E67" i="6"/>
  <c r="E67" i="3"/>
  <c r="E67" i="1"/>
  <c r="E67" i="9"/>
  <c r="I63" i="9"/>
  <c r="H63" i="9"/>
  <c r="D63" i="9"/>
  <c r="E63" i="9"/>
  <c r="F63" i="9"/>
  <c r="C63" i="9"/>
  <c r="B63" i="9"/>
  <c r="I63" i="10"/>
  <c r="H63" i="10"/>
  <c r="C63" i="10"/>
  <c r="D63" i="10"/>
  <c r="E63" i="10"/>
  <c r="F63" i="10"/>
  <c r="B63" i="10"/>
  <c r="I63" i="11"/>
  <c r="H63" i="11"/>
  <c r="D63" i="11"/>
  <c r="E63" i="11"/>
  <c r="F63" i="11"/>
  <c r="C63" i="11"/>
  <c r="B63" i="11"/>
  <c r="I63" i="8"/>
  <c r="H63" i="8"/>
  <c r="D63" i="8"/>
  <c r="E63" i="8"/>
  <c r="F63" i="8"/>
  <c r="C63" i="8"/>
  <c r="B63" i="8"/>
  <c r="I63" i="6"/>
  <c r="H63" i="6"/>
  <c r="C63" i="6"/>
  <c r="D63" i="6"/>
  <c r="E63" i="6"/>
  <c r="F63" i="6"/>
  <c r="B63" i="6"/>
  <c r="H63" i="3"/>
  <c r="C63" i="3"/>
  <c r="D63" i="3"/>
  <c r="E63" i="3"/>
  <c r="F63" i="3"/>
  <c r="B63" i="3"/>
  <c r="H63" i="1"/>
  <c r="D63" i="1"/>
  <c r="E63" i="1"/>
  <c r="F63" i="1"/>
  <c r="C63" i="1"/>
  <c r="B63" i="1"/>
  <c r="B40" i="1"/>
  <c r="C32" i="1" l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H35" i="1" s="1"/>
  <c r="I33" i="1"/>
  <c r="J33" i="1"/>
  <c r="C34" i="1"/>
  <c r="D34" i="1"/>
  <c r="E34" i="1"/>
  <c r="C35" i="1"/>
  <c r="D35" i="1"/>
  <c r="E35" i="1"/>
  <c r="F35" i="1"/>
  <c r="C61" i="9"/>
  <c r="D61" i="9"/>
  <c r="E61" i="9"/>
  <c r="F61" i="9"/>
  <c r="H61" i="9"/>
  <c r="I61" i="9"/>
  <c r="J61" i="9"/>
  <c r="C62" i="9"/>
  <c r="D62" i="9"/>
  <c r="E62" i="9"/>
  <c r="F62" i="9"/>
  <c r="H62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H58" i="9"/>
  <c r="C49" i="9"/>
  <c r="D49" i="9"/>
  <c r="E49" i="9"/>
  <c r="F49" i="9"/>
  <c r="H49" i="9"/>
  <c r="I49" i="9"/>
  <c r="J49" i="9"/>
  <c r="J51" i="9" s="1"/>
  <c r="C50" i="9"/>
  <c r="D50" i="9"/>
  <c r="E50" i="9"/>
  <c r="F50" i="9"/>
  <c r="H50" i="9"/>
  <c r="J50" i="9"/>
  <c r="C51" i="9"/>
  <c r="D51" i="9"/>
  <c r="E51" i="9"/>
  <c r="F51" i="9"/>
  <c r="H51" i="9"/>
  <c r="C44" i="9"/>
  <c r="D44" i="9"/>
  <c r="E44" i="9"/>
  <c r="F44" i="9"/>
  <c r="H44" i="9"/>
  <c r="H46" i="9" s="1"/>
  <c r="I44" i="9"/>
  <c r="J44" i="9"/>
  <c r="C45" i="9"/>
  <c r="D45" i="9"/>
  <c r="E45" i="9"/>
  <c r="F45" i="9"/>
  <c r="H45" i="9"/>
  <c r="J45" i="9"/>
  <c r="C46" i="9"/>
  <c r="D46" i="9"/>
  <c r="E46" i="9"/>
  <c r="F46" i="9"/>
  <c r="J46" i="9"/>
  <c r="C40" i="9"/>
  <c r="D40" i="9"/>
  <c r="E40" i="9"/>
  <c r="F40" i="9"/>
  <c r="G40" i="9"/>
  <c r="H40" i="9"/>
  <c r="I40" i="9"/>
  <c r="J40" i="9"/>
  <c r="C41" i="9"/>
  <c r="D41" i="9"/>
  <c r="E41" i="9"/>
  <c r="F41" i="9"/>
  <c r="G41" i="9"/>
  <c r="H41" i="9"/>
  <c r="I41" i="9"/>
  <c r="J41" i="9"/>
  <c r="C32" i="9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J33" i="9"/>
  <c r="C34" i="9"/>
  <c r="D34" i="9"/>
  <c r="E34" i="9"/>
  <c r="F34" i="9"/>
  <c r="G34" i="9"/>
  <c r="H34" i="9"/>
  <c r="C35" i="9"/>
  <c r="D35" i="9"/>
  <c r="E35" i="9"/>
  <c r="F35" i="9"/>
  <c r="H35" i="9"/>
  <c r="E23" i="9"/>
  <c r="B19" i="9"/>
  <c r="B18" i="9"/>
  <c r="B17" i="9"/>
  <c r="B16" i="9"/>
  <c r="J20" i="9"/>
  <c r="I19" i="9"/>
  <c r="J19" i="9"/>
  <c r="I18" i="9"/>
  <c r="I45" i="9" s="1"/>
  <c r="J18" i="9"/>
  <c r="I17" i="9"/>
  <c r="J17" i="9"/>
  <c r="I16" i="9"/>
  <c r="J16" i="9"/>
  <c r="B13" i="9"/>
  <c r="B12" i="9"/>
  <c r="B11" i="9"/>
  <c r="B10" i="9"/>
  <c r="I13" i="9"/>
  <c r="J13" i="9"/>
  <c r="I12" i="9"/>
  <c r="J12" i="9"/>
  <c r="I11" i="9"/>
  <c r="J11" i="9"/>
  <c r="I10" i="9"/>
  <c r="J10" i="9"/>
  <c r="C61" i="10"/>
  <c r="D61" i="10"/>
  <c r="E61" i="10"/>
  <c r="F61" i="10"/>
  <c r="H61" i="10"/>
  <c r="I61" i="10"/>
  <c r="J61" i="10"/>
  <c r="C62" i="10"/>
  <c r="D62" i="10"/>
  <c r="E62" i="10"/>
  <c r="F62" i="10"/>
  <c r="H62" i="10"/>
  <c r="C56" i="10"/>
  <c r="D56" i="10"/>
  <c r="E56" i="10"/>
  <c r="F56" i="10"/>
  <c r="H56" i="10"/>
  <c r="C57" i="10"/>
  <c r="D57" i="10"/>
  <c r="E57" i="10"/>
  <c r="F57" i="10"/>
  <c r="H57" i="10"/>
  <c r="C58" i="10"/>
  <c r="D58" i="10"/>
  <c r="E58" i="10"/>
  <c r="F58" i="10"/>
  <c r="H58" i="10"/>
  <c r="C49" i="10"/>
  <c r="D49" i="10"/>
  <c r="D51" i="10" s="1"/>
  <c r="E49" i="10"/>
  <c r="F49" i="10"/>
  <c r="H49" i="10"/>
  <c r="I49" i="10"/>
  <c r="J49" i="10"/>
  <c r="C50" i="10"/>
  <c r="C51" i="10" s="1"/>
  <c r="D50" i="10"/>
  <c r="E50" i="10"/>
  <c r="F50" i="10"/>
  <c r="H50" i="10"/>
  <c r="J50" i="10"/>
  <c r="J51" i="10" s="1"/>
  <c r="E51" i="10"/>
  <c r="F51" i="10"/>
  <c r="H51" i="10"/>
  <c r="C44" i="10"/>
  <c r="D44" i="10"/>
  <c r="D46" i="10" s="1"/>
  <c r="E44" i="10"/>
  <c r="F44" i="10"/>
  <c r="H44" i="10"/>
  <c r="I44" i="10"/>
  <c r="J44" i="10"/>
  <c r="C45" i="10"/>
  <c r="C46" i="10" s="1"/>
  <c r="D45" i="10"/>
  <c r="E45" i="10"/>
  <c r="F45" i="10"/>
  <c r="H45" i="10"/>
  <c r="I45" i="10"/>
  <c r="I46" i="10" s="1"/>
  <c r="J45" i="10"/>
  <c r="E46" i="10"/>
  <c r="F46" i="10"/>
  <c r="H46" i="10"/>
  <c r="J46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32" i="10"/>
  <c r="C34" i="10" s="1"/>
  <c r="D32" i="10"/>
  <c r="D34" i="10" s="1"/>
  <c r="E32" i="10"/>
  <c r="F32" i="10"/>
  <c r="G32" i="10"/>
  <c r="H32" i="10"/>
  <c r="I32" i="10"/>
  <c r="J32" i="10"/>
  <c r="C33" i="10"/>
  <c r="D33" i="10"/>
  <c r="E33" i="10"/>
  <c r="F33" i="10"/>
  <c r="G33" i="10"/>
  <c r="H33" i="10"/>
  <c r="J33" i="10"/>
  <c r="E34" i="10"/>
  <c r="F34" i="10"/>
  <c r="H34" i="10"/>
  <c r="C35" i="10"/>
  <c r="D35" i="10"/>
  <c r="E35" i="10"/>
  <c r="F35" i="10"/>
  <c r="H35" i="10"/>
  <c r="E23" i="10"/>
  <c r="B19" i="10"/>
  <c r="B17" i="10"/>
  <c r="B16" i="10"/>
  <c r="J20" i="10"/>
  <c r="I19" i="10"/>
  <c r="J19" i="10"/>
  <c r="I18" i="10"/>
  <c r="B18" i="10" s="1"/>
  <c r="J18" i="10"/>
  <c r="I17" i="10"/>
  <c r="J17" i="10"/>
  <c r="I16" i="10"/>
  <c r="J16" i="10"/>
  <c r="B13" i="10"/>
  <c r="B12" i="10"/>
  <c r="B11" i="10"/>
  <c r="B10" i="10"/>
  <c r="I13" i="10"/>
  <c r="J13" i="10"/>
  <c r="I12" i="10"/>
  <c r="J12" i="10"/>
  <c r="I11" i="10"/>
  <c r="J11" i="10"/>
  <c r="I10" i="10"/>
  <c r="J10" i="10"/>
  <c r="C61" i="11"/>
  <c r="D61" i="11"/>
  <c r="E61" i="11"/>
  <c r="F61" i="11"/>
  <c r="H61" i="11"/>
  <c r="I61" i="11"/>
  <c r="J61" i="11"/>
  <c r="C62" i="11"/>
  <c r="D62" i="11"/>
  <c r="E62" i="11"/>
  <c r="F62" i="11"/>
  <c r="H62" i="11"/>
  <c r="I62" i="11"/>
  <c r="C56" i="11"/>
  <c r="D56" i="11"/>
  <c r="E56" i="11"/>
  <c r="C57" i="11"/>
  <c r="D57" i="11"/>
  <c r="E57" i="11"/>
  <c r="F57" i="11"/>
  <c r="H57" i="11"/>
  <c r="C58" i="11"/>
  <c r="D58" i="11"/>
  <c r="E58" i="11"/>
  <c r="C49" i="11"/>
  <c r="D49" i="11"/>
  <c r="E49" i="11"/>
  <c r="F49" i="11"/>
  <c r="H49" i="11"/>
  <c r="I49" i="11"/>
  <c r="J49" i="11"/>
  <c r="C50" i="11"/>
  <c r="D50" i="11"/>
  <c r="E50" i="11"/>
  <c r="F50" i="11"/>
  <c r="H50" i="11"/>
  <c r="J50" i="11"/>
  <c r="C51" i="11"/>
  <c r="D51" i="11"/>
  <c r="E51" i="11"/>
  <c r="F51" i="11"/>
  <c r="H51" i="11"/>
  <c r="J51" i="11"/>
  <c r="C44" i="11"/>
  <c r="C46" i="11" s="1"/>
  <c r="D44" i="11"/>
  <c r="E44" i="11"/>
  <c r="F44" i="11"/>
  <c r="H44" i="11"/>
  <c r="I44" i="11"/>
  <c r="J44" i="11"/>
  <c r="C45" i="11"/>
  <c r="D45" i="11"/>
  <c r="E45" i="11"/>
  <c r="F45" i="11"/>
  <c r="H45" i="11"/>
  <c r="I45" i="11"/>
  <c r="I46" i="11" s="1"/>
  <c r="J45" i="11"/>
  <c r="D46" i="11"/>
  <c r="E46" i="11"/>
  <c r="F46" i="11"/>
  <c r="H46" i="11"/>
  <c r="J46" i="11"/>
  <c r="C40" i="11"/>
  <c r="D40" i="11"/>
  <c r="E40" i="11"/>
  <c r="F40" i="11"/>
  <c r="G40" i="11"/>
  <c r="H40" i="11"/>
  <c r="I40" i="11"/>
  <c r="J40" i="11"/>
  <c r="C41" i="11"/>
  <c r="D41" i="11"/>
  <c r="E41" i="11"/>
  <c r="F41" i="11"/>
  <c r="G41" i="11"/>
  <c r="H41" i="11"/>
  <c r="I41" i="11"/>
  <c r="J41" i="11"/>
  <c r="C32" i="11"/>
  <c r="D32" i="11"/>
  <c r="E32" i="11"/>
  <c r="F32" i="11"/>
  <c r="G32" i="11"/>
  <c r="H32" i="11"/>
  <c r="I32" i="11"/>
  <c r="J32" i="11"/>
  <c r="C33" i="11"/>
  <c r="D33" i="11"/>
  <c r="E33" i="11"/>
  <c r="F33" i="11"/>
  <c r="G33" i="11"/>
  <c r="H33" i="11"/>
  <c r="J33" i="11"/>
  <c r="C34" i="11"/>
  <c r="D34" i="11"/>
  <c r="E34" i="11"/>
  <c r="C35" i="11"/>
  <c r="D35" i="11"/>
  <c r="E35" i="11"/>
  <c r="F35" i="11"/>
  <c r="H35" i="11"/>
  <c r="E23" i="11"/>
  <c r="B19" i="11"/>
  <c r="B17" i="11"/>
  <c r="B16" i="11"/>
  <c r="J20" i="11"/>
  <c r="I19" i="11"/>
  <c r="J19" i="11"/>
  <c r="I18" i="11"/>
  <c r="I50" i="11" s="1"/>
  <c r="I51" i="11" s="1"/>
  <c r="J18" i="11"/>
  <c r="I17" i="11"/>
  <c r="J17" i="11"/>
  <c r="I16" i="11"/>
  <c r="J16" i="11"/>
  <c r="B12" i="11"/>
  <c r="I12" i="11"/>
  <c r="J12" i="11"/>
  <c r="B11" i="11"/>
  <c r="B13" i="11"/>
  <c r="I13" i="11"/>
  <c r="J13" i="11"/>
  <c r="I11" i="11"/>
  <c r="J11" i="11"/>
  <c r="B10" i="11"/>
  <c r="J10" i="11"/>
  <c r="I10" i="11"/>
  <c r="C61" i="8"/>
  <c r="D61" i="8"/>
  <c r="E61" i="8"/>
  <c r="F61" i="8"/>
  <c r="H61" i="8"/>
  <c r="I61" i="8"/>
  <c r="C62" i="8"/>
  <c r="D62" i="8"/>
  <c r="E62" i="8"/>
  <c r="F62" i="8"/>
  <c r="H62" i="8"/>
  <c r="I62" i="8"/>
  <c r="C56" i="8"/>
  <c r="D56" i="8"/>
  <c r="E56" i="8"/>
  <c r="F56" i="8"/>
  <c r="G56" i="8"/>
  <c r="H56" i="8"/>
  <c r="C57" i="8"/>
  <c r="D57" i="8"/>
  <c r="E57" i="8"/>
  <c r="F57" i="8"/>
  <c r="G57" i="8"/>
  <c r="H57" i="8"/>
  <c r="C58" i="8"/>
  <c r="D58" i="8"/>
  <c r="E58" i="8"/>
  <c r="F58" i="8"/>
  <c r="H58" i="8"/>
  <c r="C49" i="8"/>
  <c r="D49" i="8"/>
  <c r="E49" i="8"/>
  <c r="F49" i="8"/>
  <c r="H49" i="8"/>
  <c r="I49" i="8"/>
  <c r="J49" i="8"/>
  <c r="C50" i="8"/>
  <c r="C51" i="8" s="1"/>
  <c r="D50" i="8"/>
  <c r="E50" i="8"/>
  <c r="F50" i="8"/>
  <c r="H50" i="8"/>
  <c r="I50" i="8"/>
  <c r="J50" i="8"/>
  <c r="D51" i="8"/>
  <c r="E51" i="8"/>
  <c r="F51" i="8"/>
  <c r="H51" i="8"/>
  <c r="I51" i="8"/>
  <c r="J51" i="8"/>
  <c r="C44" i="8"/>
  <c r="D44" i="8"/>
  <c r="E44" i="8"/>
  <c r="F44" i="8"/>
  <c r="H44" i="8"/>
  <c r="H46" i="8" s="1"/>
  <c r="I44" i="8"/>
  <c r="C45" i="8"/>
  <c r="D45" i="8"/>
  <c r="E45" i="8"/>
  <c r="F45" i="8"/>
  <c r="H45" i="8"/>
  <c r="I45" i="8"/>
  <c r="C46" i="8"/>
  <c r="D46" i="8"/>
  <c r="E46" i="8"/>
  <c r="F46" i="8"/>
  <c r="I46" i="8"/>
  <c r="C40" i="8"/>
  <c r="D40" i="8"/>
  <c r="E40" i="8"/>
  <c r="F40" i="8"/>
  <c r="G40" i="8"/>
  <c r="H40" i="8"/>
  <c r="I40" i="8"/>
  <c r="J40" i="8"/>
  <c r="C41" i="8"/>
  <c r="D41" i="8"/>
  <c r="E41" i="8"/>
  <c r="F41" i="8"/>
  <c r="G41" i="8"/>
  <c r="H41" i="8"/>
  <c r="I41" i="8"/>
  <c r="J41" i="8"/>
  <c r="C32" i="8"/>
  <c r="C34" i="8" s="1"/>
  <c r="D32" i="8"/>
  <c r="D34" i="8" s="1"/>
  <c r="E32" i="8"/>
  <c r="F32" i="8"/>
  <c r="G32" i="8"/>
  <c r="H32" i="8"/>
  <c r="I32" i="8"/>
  <c r="J32" i="8"/>
  <c r="C33" i="8"/>
  <c r="D33" i="8"/>
  <c r="D35" i="8" s="1"/>
  <c r="E33" i="8"/>
  <c r="F33" i="8"/>
  <c r="G33" i="8"/>
  <c r="H33" i="8"/>
  <c r="I33" i="8"/>
  <c r="J33" i="8"/>
  <c r="E34" i="8"/>
  <c r="F34" i="8"/>
  <c r="G34" i="8"/>
  <c r="H34" i="8"/>
  <c r="C35" i="8"/>
  <c r="E35" i="8"/>
  <c r="F35" i="8"/>
  <c r="H35" i="8"/>
  <c r="I35" i="8"/>
  <c r="B24" i="8"/>
  <c r="E23" i="8"/>
  <c r="D23" i="8"/>
  <c r="J20" i="8"/>
  <c r="I20" i="8"/>
  <c r="H20" i="8"/>
  <c r="G20" i="8"/>
  <c r="F20" i="8" s="1"/>
  <c r="E20" i="8"/>
  <c r="D20" i="8"/>
  <c r="F19" i="8"/>
  <c r="C19" i="8"/>
  <c r="B19" i="8"/>
  <c r="F18" i="8"/>
  <c r="C18" i="8"/>
  <c r="F17" i="8"/>
  <c r="C17" i="8"/>
  <c r="B17" i="8" s="1"/>
  <c r="B23" i="8" s="1"/>
  <c r="F16" i="8"/>
  <c r="C16" i="8"/>
  <c r="F13" i="8"/>
  <c r="C13" i="8"/>
  <c r="B13" i="8" s="1"/>
  <c r="F12" i="8"/>
  <c r="C12" i="8"/>
  <c r="F11" i="8"/>
  <c r="C11" i="8"/>
  <c r="B11" i="8" s="1"/>
  <c r="F10" i="8"/>
  <c r="C10" i="8"/>
  <c r="C61" i="6"/>
  <c r="D61" i="6"/>
  <c r="E61" i="6"/>
  <c r="F61" i="6"/>
  <c r="H61" i="6"/>
  <c r="I61" i="6"/>
  <c r="J61" i="6"/>
  <c r="C62" i="6"/>
  <c r="D62" i="6"/>
  <c r="E62" i="6"/>
  <c r="F62" i="6"/>
  <c r="H62" i="6"/>
  <c r="I62" i="6"/>
  <c r="C56" i="6"/>
  <c r="D56" i="6"/>
  <c r="E56" i="6"/>
  <c r="F56" i="6"/>
  <c r="H56" i="6"/>
  <c r="C57" i="6"/>
  <c r="D57" i="6"/>
  <c r="E57" i="6"/>
  <c r="F57" i="6"/>
  <c r="H57" i="6"/>
  <c r="C58" i="6"/>
  <c r="D58" i="6"/>
  <c r="E58" i="6"/>
  <c r="F58" i="6"/>
  <c r="H58" i="6"/>
  <c r="C49" i="6"/>
  <c r="D49" i="6"/>
  <c r="E49" i="6"/>
  <c r="F49" i="6"/>
  <c r="H49" i="6"/>
  <c r="I49" i="6"/>
  <c r="J49" i="6"/>
  <c r="C50" i="6"/>
  <c r="D50" i="6"/>
  <c r="D51" i="6" s="1"/>
  <c r="E50" i="6"/>
  <c r="F50" i="6"/>
  <c r="H50" i="6"/>
  <c r="I50" i="6"/>
  <c r="J50" i="6"/>
  <c r="C51" i="6"/>
  <c r="E51" i="6"/>
  <c r="F51" i="6"/>
  <c r="H51" i="6"/>
  <c r="I51" i="6"/>
  <c r="J51" i="6"/>
  <c r="C44" i="6"/>
  <c r="D44" i="6"/>
  <c r="E44" i="6"/>
  <c r="F44" i="6"/>
  <c r="H44" i="6"/>
  <c r="I44" i="6"/>
  <c r="J44" i="6"/>
  <c r="C45" i="6"/>
  <c r="D45" i="6"/>
  <c r="D46" i="6" s="1"/>
  <c r="E45" i="6"/>
  <c r="F45" i="6"/>
  <c r="H45" i="6"/>
  <c r="I45" i="6"/>
  <c r="J45" i="6"/>
  <c r="C46" i="6"/>
  <c r="E46" i="6"/>
  <c r="F46" i="6"/>
  <c r="H46" i="6"/>
  <c r="I46" i="6"/>
  <c r="J46" i="6"/>
  <c r="C40" i="6"/>
  <c r="D40" i="6"/>
  <c r="E40" i="6"/>
  <c r="F40" i="6"/>
  <c r="G40" i="6"/>
  <c r="H40" i="6"/>
  <c r="I40" i="6"/>
  <c r="J40" i="6"/>
  <c r="C41" i="6"/>
  <c r="D41" i="6"/>
  <c r="E41" i="6"/>
  <c r="F41" i="6"/>
  <c r="G41" i="6"/>
  <c r="H41" i="6"/>
  <c r="I41" i="6"/>
  <c r="J41" i="6"/>
  <c r="C32" i="6"/>
  <c r="D32" i="6"/>
  <c r="D34" i="6" s="1"/>
  <c r="E32" i="6"/>
  <c r="F32" i="6"/>
  <c r="G32" i="6"/>
  <c r="H32" i="6"/>
  <c r="I32" i="6"/>
  <c r="J32" i="6"/>
  <c r="C33" i="6"/>
  <c r="D33" i="6"/>
  <c r="E33" i="6"/>
  <c r="F33" i="6"/>
  <c r="G33" i="6"/>
  <c r="H33" i="6"/>
  <c r="I33" i="6"/>
  <c r="J33" i="6"/>
  <c r="C34" i="6"/>
  <c r="E34" i="6"/>
  <c r="F34" i="6"/>
  <c r="H34" i="6"/>
  <c r="C35" i="6"/>
  <c r="D35" i="6"/>
  <c r="E35" i="6"/>
  <c r="F35" i="6"/>
  <c r="H35" i="6"/>
  <c r="I35" i="6"/>
  <c r="I33" i="9" l="1"/>
  <c r="I35" i="9" s="1"/>
  <c r="I20" i="11"/>
  <c r="B20" i="11" s="1"/>
  <c r="I20" i="10"/>
  <c r="B20" i="10" s="1"/>
  <c r="I50" i="10"/>
  <c r="I51" i="10" s="1"/>
  <c r="I50" i="9"/>
  <c r="I51" i="9" s="1"/>
  <c r="I33" i="11"/>
  <c r="I35" i="11" s="1"/>
  <c r="I33" i="10"/>
  <c r="I35" i="10" s="1"/>
  <c r="I62" i="10"/>
  <c r="B18" i="11"/>
  <c r="I20" i="9"/>
  <c r="B20" i="9" s="1"/>
  <c r="I46" i="9"/>
  <c r="I62" i="9"/>
  <c r="C20" i="8"/>
  <c r="B20" i="8" s="1"/>
  <c r="B18" i="8"/>
  <c r="B12" i="8"/>
  <c r="B16" i="8"/>
  <c r="B10" i="8"/>
  <c r="B24" i="6" l="1"/>
  <c r="E23" i="6"/>
  <c r="D23" i="6"/>
  <c r="J20" i="6"/>
  <c r="I20" i="6"/>
  <c r="H20" i="6"/>
  <c r="G20" i="6"/>
  <c r="F20" i="6"/>
  <c r="E20" i="6"/>
  <c r="D20" i="6"/>
  <c r="F19" i="6"/>
  <c r="C19" i="6"/>
  <c r="F18" i="6"/>
  <c r="C18" i="6"/>
  <c r="B18" i="6" s="1"/>
  <c r="F17" i="6"/>
  <c r="C17" i="6"/>
  <c r="F16" i="6"/>
  <c r="B16" i="6" s="1"/>
  <c r="C16" i="6"/>
  <c r="F13" i="6"/>
  <c r="B13" i="6" s="1"/>
  <c r="C13" i="6"/>
  <c r="F12" i="6"/>
  <c r="C12" i="6"/>
  <c r="F11" i="6"/>
  <c r="C11" i="6"/>
  <c r="F10" i="6"/>
  <c r="C10" i="6"/>
  <c r="C20" i="6" l="1"/>
  <c r="B20" i="6" s="1"/>
  <c r="B12" i="6"/>
  <c r="B19" i="6"/>
  <c r="B17" i="6"/>
  <c r="B23" i="6" s="1"/>
  <c r="B11" i="6"/>
  <c r="B10" i="6"/>
  <c r="C61" i="3" l="1"/>
  <c r="D61" i="3"/>
  <c r="E61" i="3"/>
  <c r="F61" i="3"/>
  <c r="H61" i="3"/>
  <c r="I61" i="3"/>
  <c r="J61" i="3"/>
  <c r="C62" i="3"/>
  <c r="D62" i="3"/>
  <c r="E62" i="3"/>
  <c r="F62" i="3"/>
  <c r="H62" i="3"/>
  <c r="I62" i="3"/>
  <c r="C56" i="3"/>
  <c r="D56" i="3"/>
  <c r="E56" i="3"/>
  <c r="C57" i="3"/>
  <c r="D57" i="3"/>
  <c r="E57" i="3"/>
  <c r="F57" i="3"/>
  <c r="H57" i="3"/>
  <c r="C58" i="3"/>
  <c r="D58" i="3"/>
  <c r="E58" i="3"/>
  <c r="C49" i="3"/>
  <c r="D49" i="3"/>
  <c r="E49" i="3"/>
  <c r="F49" i="3"/>
  <c r="H49" i="3"/>
  <c r="I49" i="3"/>
  <c r="J49" i="3"/>
  <c r="C50" i="3"/>
  <c r="D50" i="3"/>
  <c r="E50" i="3"/>
  <c r="F50" i="3"/>
  <c r="H50" i="3"/>
  <c r="I50" i="3"/>
  <c r="J50" i="3"/>
  <c r="J51" i="3" s="1"/>
  <c r="C51" i="3"/>
  <c r="D51" i="3"/>
  <c r="E51" i="3"/>
  <c r="F51" i="3"/>
  <c r="H51" i="3"/>
  <c r="I51" i="3"/>
  <c r="C44" i="3"/>
  <c r="D44" i="3"/>
  <c r="E44" i="3"/>
  <c r="F44" i="3"/>
  <c r="H44" i="3"/>
  <c r="I44" i="3"/>
  <c r="J44" i="3"/>
  <c r="C45" i="3"/>
  <c r="D45" i="3"/>
  <c r="E45" i="3"/>
  <c r="F45" i="3"/>
  <c r="H45" i="3"/>
  <c r="I45" i="3"/>
  <c r="I46" i="3" s="1"/>
  <c r="J45" i="3"/>
  <c r="C46" i="3"/>
  <c r="D46" i="3"/>
  <c r="E46" i="3"/>
  <c r="F46" i="3"/>
  <c r="H46" i="3"/>
  <c r="J46" i="3"/>
  <c r="C40" i="3"/>
  <c r="D40" i="3"/>
  <c r="E40" i="3"/>
  <c r="F40" i="3"/>
  <c r="G40" i="3"/>
  <c r="H40" i="3"/>
  <c r="I40" i="3"/>
  <c r="J40" i="3"/>
  <c r="C41" i="3"/>
  <c r="D41" i="3"/>
  <c r="E41" i="3"/>
  <c r="F41" i="3"/>
  <c r="G41" i="3"/>
  <c r="H41" i="3"/>
  <c r="I41" i="3"/>
  <c r="J4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H35" i="3" s="1"/>
  <c r="I33" i="3"/>
  <c r="J33" i="3"/>
  <c r="C34" i="3"/>
  <c r="D34" i="3"/>
  <c r="E34" i="3"/>
  <c r="C35" i="3"/>
  <c r="D35" i="3"/>
  <c r="E35" i="3"/>
  <c r="F35" i="3"/>
  <c r="C61" i="1" l="1"/>
  <c r="D61" i="1"/>
  <c r="E61" i="1"/>
  <c r="F61" i="1"/>
  <c r="H61" i="1"/>
  <c r="I61" i="1"/>
  <c r="J61" i="1"/>
  <c r="C62" i="1"/>
  <c r="D62" i="1"/>
  <c r="E62" i="1"/>
  <c r="F62" i="1"/>
  <c r="H62" i="1"/>
  <c r="C56" i="1"/>
  <c r="D56" i="1"/>
  <c r="E56" i="1"/>
  <c r="C57" i="1"/>
  <c r="D57" i="1"/>
  <c r="E57" i="1"/>
  <c r="F57" i="1"/>
  <c r="H57" i="1"/>
  <c r="C58" i="1"/>
  <c r="D58" i="1"/>
  <c r="E58" i="1"/>
  <c r="C49" i="1"/>
  <c r="D49" i="1"/>
  <c r="E49" i="1"/>
  <c r="F49" i="1"/>
  <c r="H49" i="1"/>
  <c r="I49" i="1"/>
  <c r="J49" i="1"/>
  <c r="C50" i="1"/>
  <c r="D50" i="1"/>
  <c r="E50" i="1"/>
  <c r="F50" i="1"/>
  <c r="H50" i="1"/>
  <c r="I50" i="1"/>
  <c r="J50" i="1"/>
  <c r="C51" i="1"/>
  <c r="D51" i="1"/>
  <c r="E51" i="1"/>
  <c r="F51" i="1"/>
  <c r="H51" i="1"/>
  <c r="I51" i="1"/>
  <c r="J51" i="1"/>
  <c r="C44" i="1"/>
  <c r="D44" i="1"/>
  <c r="E44" i="1"/>
  <c r="F44" i="1"/>
  <c r="H44" i="1"/>
  <c r="I44" i="1"/>
  <c r="J44" i="1"/>
  <c r="C45" i="1"/>
  <c r="D45" i="1"/>
  <c r="E45" i="1"/>
  <c r="F45" i="1"/>
  <c r="H45" i="1"/>
  <c r="I45" i="1"/>
  <c r="J45" i="1"/>
  <c r="C46" i="1"/>
  <c r="D46" i="1"/>
  <c r="E46" i="1"/>
  <c r="F46" i="1"/>
  <c r="H46" i="1"/>
  <c r="I46" i="1"/>
  <c r="J46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F19" i="1" l="1"/>
  <c r="B17" i="1"/>
  <c r="B24" i="3" l="1"/>
  <c r="E23" i="3"/>
  <c r="D23" i="3"/>
  <c r="J20" i="3"/>
  <c r="I20" i="3"/>
  <c r="H20" i="3"/>
  <c r="G20" i="3"/>
  <c r="E20" i="3"/>
  <c r="D20" i="3"/>
  <c r="F19" i="3"/>
  <c r="C19" i="3"/>
  <c r="B19" i="3" s="1"/>
  <c r="F18" i="3"/>
  <c r="C18" i="3"/>
  <c r="F17" i="3"/>
  <c r="C17" i="3"/>
  <c r="F16" i="3"/>
  <c r="C16" i="3"/>
  <c r="B16" i="3" s="1"/>
  <c r="F13" i="3"/>
  <c r="C13" i="3"/>
  <c r="F12" i="3"/>
  <c r="C12" i="3"/>
  <c r="B12" i="3" s="1"/>
  <c r="F11" i="3"/>
  <c r="C11" i="3"/>
  <c r="B11" i="3" s="1"/>
  <c r="F10" i="3"/>
  <c r="C10" i="3"/>
  <c r="B10" i="3" s="1"/>
  <c r="E23" i="1"/>
  <c r="C20" i="3" l="1"/>
  <c r="F20" i="3"/>
  <c r="B18" i="3"/>
  <c r="B17" i="3"/>
  <c r="B23" i="3" s="1"/>
  <c r="B13" i="3"/>
  <c r="J20" i="1"/>
  <c r="I20" i="1"/>
  <c r="B16" i="1"/>
  <c r="B20" i="3" l="1"/>
  <c r="B53" i="3" s="1"/>
  <c r="H12" i="9"/>
  <c r="B24" i="1"/>
  <c r="E24" i="9"/>
  <c r="D67" i="3"/>
  <c r="D67" i="6"/>
  <c r="D67" i="1"/>
  <c r="D23" i="1"/>
  <c r="D66" i="1" s="1"/>
  <c r="G19" i="9"/>
  <c r="H19" i="9"/>
  <c r="G18" i="9"/>
  <c r="H18" i="9"/>
  <c r="G17" i="9"/>
  <c r="H17" i="9"/>
  <c r="G16" i="9"/>
  <c r="H16" i="9"/>
  <c r="G13" i="9"/>
  <c r="H13" i="9"/>
  <c r="G12" i="9"/>
  <c r="G11" i="9"/>
  <c r="H11" i="9"/>
  <c r="G10" i="9"/>
  <c r="H10" i="9"/>
  <c r="G19" i="10"/>
  <c r="H19" i="10"/>
  <c r="G18" i="10"/>
  <c r="H18" i="10"/>
  <c r="G17" i="10"/>
  <c r="H17" i="10"/>
  <c r="G16" i="10"/>
  <c r="H16" i="10"/>
  <c r="G19" i="11"/>
  <c r="H19" i="11"/>
  <c r="G18" i="11"/>
  <c r="H18" i="11"/>
  <c r="G17" i="11"/>
  <c r="H17" i="11"/>
  <c r="E66" i="11" s="1"/>
  <c r="G16" i="11"/>
  <c r="H16" i="11"/>
  <c r="G13" i="10"/>
  <c r="H13" i="10"/>
  <c r="G12" i="10"/>
  <c r="H12" i="10"/>
  <c r="G11" i="10"/>
  <c r="H11" i="10"/>
  <c r="G10" i="10"/>
  <c r="H10" i="10"/>
  <c r="G13" i="11"/>
  <c r="H13" i="11"/>
  <c r="G12" i="11"/>
  <c r="H12" i="11"/>
  <c r="G11" i="11"/>
  <c r="H11" i="11"/>
  <c r="G10" i="11"/>
  <c r="F19" i="9"/>
  <c r="F19" i="10"/>
  <c r="F16" i="10"/>
  <c r="F13" i="10"/>
  <c r="F10" i="10"/>
  <c r="F13" i="9"/>
  <c r="G20" i="1"/>
  <c r="H20" i="1"/>
  <c r="F17" i="1"/>
  <c r="F18" i="1"/>
  <c r="F16" i="1"/>
  <c r="F11" i="1"/>
  <c r="F12" i="1"/>
  <c r="F13" i="1"/>
  <c r="B13" i="1" s="1"/>
  <c r="F10" i="1"/>
  <c r="F19" i="11"/>
  <c r="F13" i="11"/>
  <c r="F20" i="1"/>
  <c r="F10" i="11"/>
  <c r="F18" i="9"/>
  <c r="F18" i="10"/>
  <c r="F16" i="9"/>
  <c r="F16" i="11"/>
  <c r="F11" i="11"/>
  <c r="F11" i="10"/>
  <c r="F17" i="10"/>
  <c r="F17" i="9"/>
  <c r="F17" i="11"/>
  <c r="E66" i="1"/>
  <c r="D16" i="9"/>
  <c r="E16" i="9"/>
  <c r="D16" i="10"/>
  <c r="E16" i="10"/>
  <c r="D16" i="11"/>
  <c r="E16" i="11"/>
  <c r="D10" i="9"/>
  <c r="E10" i="9"/>
  <c r="D10" i="10"/>
  <c r="E10" i="10"/>
  <c r="D10" i="11"/>
  <c r="E10" i="11"/>
  <c r="H10" i="11"/>
  <c r="E66" i="8"/>
  <c r="E20" i="1"/>
  <c r="D20" i="1"/>
  <c r="E66" i="6"/>
  <c r="D66" i="6"/>
  <c r="E66" i="3"/>
  <c r="D66" i="3"/>
  <c r="D24" i="10"/>
  <c r="D18" i="10"/>
  <c r="D20" i="10" s="1"/>
  <c r="E18" i="10"/>
  <c r="D17" i="10"/>
  <c r="E17" i="10"/>
  <c r="D18" i="11"/>
  <c r="E18" i="11"/>
  <c r="D17" i="11"/>
  <c r="D23" i="11" s="1"/>
  <c r="E17" i="11"/>
  <c r="D18" i="9"/>
  <c r="E18" i="9"/>
  <c r="E20" i="9" s="1"/>
  <c r="D17" i="9"/>
  <c r="E17" i="9"/>
  <c r="D11" i="10"/>
  <c r="E11" i="10"/>
  <c r="D12" i="10"/>
  <c r="E12" i="10"/>
  <c r="D12" i="11"/>
  <c r="E12" i="11"/>
  <c r="D11" i="11"/>
  <c r="E11" i="11"/>
  <c r="D12" i="9"/>
  <c r="E12" i="9"/>
  <c r="D11" i="9"/>
  <c r="E11" i="9"/>
  <c r="D19" i="9"/>
  <c r="E19" i="9"/>
  <c r="D13" i="9"/>
  <c r="E13" i="9"/>
  <c r="D19" i="10"/>
  <c r="E19" i="10"/>
  <c r="D13" i="10"/>
  <c r="E13" i="10"/>
  <c r="D19" i="11"/>
  <c r="E19" i="11"/>
  <c r="D13" i="11"/>
  <c r="E13" i="11"/>
  <c r="C17" i="1"/>
  <c r="C18" i="1"/>
  <c r="C19" i="1"/>
  <c r="B19" i="1" s="1"/>
  <c r="C16" i="1"/>
  <c r="C11" i="1"/>
  <c r="C12" i="1"/>
  <c r="B12" i="1" s="1"/>
  <c r="C13" i="1"/>
  <c r="C10" i="1"/>
  <c r="B10" i="1" s="1"/>
  <c r="B23" i="1"/>
  <c r="B14" i="13"/>
  <c r="B12" i="13"/>
  <c r="B10" i="13"/>
  <c r="B8" i="13"/>
  <c r="B6" i="13"/>
  <c r="B7" i="13"/>
  <c r="C30" i="13"/>
  <c r="I20" i="13"/>
  <c r="J19" i="13"/>
  <c r="B29" i="13"/>
  <c r="D13" i="15"/>
  <c r="D30" i="15"/>
  <c r="C30" i="15"/>
  <c r="B29" i="15"/>
  <c r="K28" i="15"/>
  <c r="L27" i="15"/>
  <c r="I28" i="15"/>
  <c r="J27" i="15"/>
  <c r="G28" i="15"/>
  <c r="H27" i="15"/>
  <c r="K26" i="15"/>
  <c r="L25" i="15"/>
  <c r="I26" i="15"/>
  <c r="G26" i="15"/>
  <c r="H25" i="15"/>
  <c r="J25" i="15"/>
  <c r="C24" i="15"/>
  <c r="C25" i="15"/>
  <c r="D24" i="15"/>
  <c r="B24" i="15"/>
  <c r="B23" i="15"/>
  <c r="K20" i="15"/>
  <c r="L19" i="15"/>
  <c r="I20" i="15"/>
  <c r="J19" i="15"/>
  <c r="G20" i="15"/>
  <c r="H19" i="15"/>
  <c r="D18" i="15"/>
  <c r="C18" i="15"/>
  <c r="B17" i="15"/>
  <c r="B14" i="15"/>
  <c r="C13" i="15"/>
  <c r="B12" i="15"/>
  <c r="B13" i="15"/>
  <c r="D11" i="15"/>
  <c r="C11" i="15"/>
  <c r="B10" i="15"/>
  <c r="D9" i="15"/>
  <c r="C9" i="15"/>
  <c r="B8" i="15"/>
  <c r="B9" i="15"/>
  <c r="D7" i="15"/>
  <c r="C7" i="15"/>
  <c r="B6" i="15"/>
  <c r="B23" i="13"/>
  <c r="F30" i="13"/>
  <c r="M28" i="13"/>
  <c r="N27" i="13"/>
  <c r="K28" i="13"/>
  <c r="L27" i="13"/>
  <c r="I28" i="13"/>
  <c r="J27" i="13"/>
  <c r="M26" i="13"/>
  <c r="N25" i="13"/>
  <c r="K26" i="13"/>
  <c r="L25" i="13"/>
  <c r="I26" i="13"/>
  <c r="J25" i="13"/>
  <c r="M20" i="13"/>
  <c r="N19" i="13"/>
  <c r="K20" i="13"/>
  <c r="L19" i="13"/>
  <c r="C24" i="13"/>
  <c r="B17" i="13"/>
  <c r="C13" i="13"/>
  <c r="E12" i="13"/>
  <c r="F13" i="13"/>
  <c r="C11" i="13"/>
  <c r="E10" i="13"/>
  <c r="F11" i="13"/>
  <c r="C9" i="13"/>
  <c r="E8" i="13"/>
  <c r="F9" i="13"/>
  <c r="C7" i="13"/>
  <c r="F7" i="13"/>
  <c r="C18" i="13"/>
  <c r="F18" i="13"/>
  <c r="F24" i="13"/>
  <c r="B40" i="8"/>
  <c r="E20" i="11"/>
  <c r="D20" i="11"/>
  <c r="B40" i="3"/>
  <c r="D31" i="15"/>
  <c r="D32" i="15"/>
  <c r="B32" i="3"/>
  <c r="B34" i="3" s="1"/>
  <c r="C13" i="11"/>
  <c r="C19" i="15"/>
  <c r="B30" i="15"/>
  <c r="C19" i="9"/>
  <c r="C19" i="11"/>
  <c r="C13" i="9"/>
  <c r="C20" i="1"/>
  <c r="B33" i="8"/>
  <c r="B35" i="8" s="1"/>
  <c r="B58" i="8" s="1"/>
  <c r="B41" i="8"/>
  <c r="C31" i="15"/>
  <c r="B30" i="13"/>
  <c r="B32" i="8"/>
  <c r="B34" i="8" s="1"/>
  <c r="C19" i="13"/>
  <c r="C20" i="13"/>
  <c r="C20" i="15"/>
  <c r="C21" i="15"/>
  <c r="D19" i="15"/>
  <c r="D20" i="15"/>
  <c r="D21" i="15"/>
  <c r="D8" i="13"/>
  <c r="C31" i="13"/>
  <c r="C32" i="13"/>
  <c r="B18" i="13"/>
  <c r="D12" i="13"/>
  <c r="F31" i="13"/>
  <c r="F32" i="13"/>
  <c r="B67" i="3"/>
  <c r="B11" i="15"/>
  <c r="B11" i="13"/>
  <c r="D10" i="13"/>
  <c r="B18" i="15"/>
  <c r="B66" i="3"/>
  <c r="C17" i="11"/>
  <c r="C11" i="11"/>
  <c r="B40" i="11" s="1"/>
  <c r="F25" i="13"/>
  <c r="F26" i="13"/>
  <c r="B24" i="13"/>
  <c r="C18" i="11"/>
  <c r="C20" i="11" s="1"/>
  <c r="C21" i="13"/>
  <c r="B31" i="13"/>
  <c r="E24" i="11"/>
  <c r="E24" i="10"/>
  <c r="C26" i="15"/>
  <c r="B31" i="15"/>
  <c r="C32" i="15"/>
  <c r="B13" i="13"/>
  <c r="B7" i="15"/>
  <c r="B9" i="13"/>
  <c r="F19" i="13"/>
  <c r="F20" i="13"/>
  <c r="F21" i="13"/>
  <c r="E6" i="13"/>
  <c r="D6" i="13"/>
  <c r="C25" i="13"/>
  <c r="B40" i="6"/>
  <c r="D25" i="15"/>
  <c r="D26" i="15"/>
  <c r="D24" i="11"/>
  <c r="B24" i="11" s="1"/>
  <c r="B49" i="8"/>
  <c r="B50" i="8"/>
  <c r="B49" i="3"/>
  <c r="B56" i="8"/>
  <c r="B62" i="8"/>
  <c r="B53" i="6"/>
  <c r="B33" i="3"/>
  <c r="B57" i="3" s="1"/>
  <c r="B62" i="3"/>
  <c r="B45" i="3"/>
  <c r="D27" i="15"/>
  <c r="D33" i="15"/>
  <c r="B56" i="3"/>
  <c r="B20" i="15"/>
  <c r="B21" i="15"/>
  <c r="B45" i="8"/>
  <c r="B19" i="15"/>
  <c r="B19" i="13"/>
  <c r="B61" i="3"/>
  <c r="B41" i="3"/>
  <c r="B44" i="3"/>
  <c r="B50" i="3"/>
  <c r="B51" i="3" s="1"/>
  <c r="B67" i="6"/>
  <c r="B50" i="6"/>
  <c r="B33" i="6"/>
  <c r="B35" i="6" s="1"/>
  <c r="B66" i="6"/>
  <c r="B61" i="6"/>
  <c r="B25" i="13"/>
  <c r="C26" i="13"/>
  <c r="B53" i="8"/>
  <c r="B25" i="15"/>
  <c r="B20" i="13"/>
  <c r="B21" i="13"/>
  <c r="F27" i="13"/>
  <c r="F33" i="13"/>
  <c r="B44" i="6"/>
  <c r="B49" i="6"/>
  <c r="B41" i="6"/>
  <c r="B32" i="13"/>
  <c r="B62" i="6"/>
  <c r="B45" i="6"/>
  <c r="B32" i="15"/>
  <c r="B61" i="8"/>
  <c r="C27" i="15"/>
  <c r="C33" i="15"/>
  <c r="B26" i="15"/>
  <c r="B44" i="8"/>
  <c r="B46" i="8" s="1"/>
  <c r="B51" i="8"/>
  <c r="B27" i="15"/>
  <c r="B33" i="15"/>
  <c r="C27" i="13"/>
  <c r="C33" i="13"/>
  <c r="B26" i="13"/>
  <c r="B27" i="13"/>
  <c r="B33" i="13"/>
  <c r="D66" i="8"/>
  <c r="D67" i="8"/>
  <c r="B67" i="8"/>
  <c r="D24" i="9"/>
  <c r="B66" i="8"/>
  <c r="B57" i="8" l="1"/>
  <c r="B24" i="10"/>
  <c r="B24" i="9"/>
  <c r="C13" i="10"/>
  <c r="H20" i="9"/>
  <c r="C19" i="10"/>
  <c r="D23" i="9"/>
  <c r="D66" i="9" s="1"/>
  <c r="B51" i="6"/>
  <c r="B46" i="6"/>
  <c r="B32" i="6"/>
  <c r="B57" i="6" s="1"/>
  <c r="C18" i="9"/>
  <c r="C20" i="9" s="1"/>
  <c r="E20" i="10"/>
  <c r="D67" i="10"/>
  <c r="H20" i="10"/>
  <c r="E66" i="9"/>
  <c r="B46" i="3"/>
  <c r="C11" i="10"/>
  <c r="C16" i="10"/>
  <c r="B32" i="10" s="1"/>
  <c r="E66" i="10"/>
  <c r="B23" i="11"/>
  <c r="B66" i="11" s="1"/>
  <c r="C17" i="9"/>
  <c r="B66" i="1"/>
  <c r="B11" i="1"/>
  <c r="F11" i="9"/>
  <c r="C11" i="9"/>
  <c r="D66" i="11"/>
  <c r="D67" i="11"/>
  <c r="B20" i="1"/>
  <c r="B18" i="1"/>
  <c r="F18" i="11"/>
  <c r="G20" i="11"/>
  <c r="G20" i="10"/>
  <c r="C18" i="10"/>
  <c r="F12" i="11"/>
  <c r="F12" i="10"/>
  <c r="B62" i="1"/>
  <c r="B49" i="1"/>
  <c r="B41" i="1"/>
  <c r="C12" i="11"/>
  <c r="C12" i="9"/>
  <c r="B35" i="3"/>
  <c r="B58" i="3" s="1"/>
  <c r="C12" i="10"/>
  <c r="F12" i="9"/>
  <c r="G20" i="9"/>
  <c r="D67" i="9"/>
  <c r="D20" i="9"/>
  <c r="D23" i="10"/>
  <c r="D66" i="10" s="1"/>
  <c r="C17" i="10"/>
  <c r="H20" i="11"/>
  <c r="F10" i="9"/>
  <c r="C16" i="9"/>
  <c r="B32" i="1"/>
  <c r="B34" i="1" s="1"/>
  <c r="C16" i="11"/>
  <c r="C10" i="11"/>
  <c r="B56" i="1"/>
  <c r="C10" i="9"/>
  <c r="C10" i="10"/>
  <c r="B50" i="9" l="1"/>
  <c r="F20" i="10"/>
  <c r="B32" i="9"/>
  <c r="B34" i="6"/>
  <c r="B58" i="6" s="1"/>
  <c r="B56" i="6"/>
  <c r="B33" i="11"/>
  <c r="B50" i="11"/>
  <c r="B61" i="11"/>
  <c r="B40" i="10"/>
  <c r="B61" i="1"/>
  <c r="B44" i="1"/>
  <c r="B40" i="9"/>
  <c r="B53" i="1"/>
  <c r="B45" i="1"/>
  <c r="B33" i="1"/>
  <c r="B35" i="1" s="1"/>
  <c r="B58" i="1" s="1"/>
  <c r="B50" i="1"/>
  <c r="B51" i="1" s="1"/>
  <c r="B67" i="1"/>
  <c r="B67" i="11"/>
  <c r="B45" i="11"/>
  <c r="C20" i="10"/>
  <c r="F20" i="9"/>
  <c r="F20" i="11"/>
  <c r="B23" i="9"/>
  <c r="B66" i="9" s="1"/>
  <c r="B32" i="11"/>
  <c r="B61" i="9" l="1"/>
  <c r="B67" i="9"/>
  <c r="B45" i="9"/>
  <c r="B33" i="9"/>
  <c r="B57" i="9" s="1"/>
  <c r="B53" i="10"/>
  <c r="B46" i="1"/>
  <c r="B57" i="1"/>
  <c r="B50" i="10"/>
  <c r="B67" i="10"/>
  <c r="B33" i="10"/>
  <c r="B57" i="10" s="1"/>
  <c r="B49" i="11"/>
  <c r="B51" i="11" s="1"/>
  <c r="B44" i="11"/>
  <c r="B46" i="11" s="1"/>
  <c r="B56" i="11"/>
  <c r="B41" i="11"/>
  <c r="B62" i="11"/>
  <c r="B35" i="11"/>
  <c r="B49" i="9"/>
  <c r="B51" i="9" s="1"/>
  <c r="B44" i="9"/>
  <c r="B41" i="9"/>
  <c r="B62" i="9"/>
  <c r="B44" i="10"/>
  <c r="B41" i="10"/>
  <c r="B49" i="10"/>
  <c r="B62" i="10"/>
  <c r="B23" i="10"/>
  <c r="B66" i="10" s="1"/>
  <c r="B61" i="10"/>
  <c r="B45" i="10"/>
  <c r="B53" i="11"/>
  <c r="B53" i="9"/>
  <c r="B57" i="11"/>
  <c r="B34" i="11"/>
  <c r="B34" i="9"/>
  <c r="B56" i="9"/>
  <c r="B34" i="10"/>
  <c r="B56" i="10"/>
  <c r="B46" i="9" l="1"/>
  <c r="B35" i="10"/>
  <c r="B58" i="10" s="1"/>
  <c r="B35" i="9"/>
  <c r="B58" i="9" s="1"/>
  <c r="B58" i="11"/>
  <c r="B51" i="10"/>
  <c r="B46" i="10"/>
</calcChain>
</file>

<file path=xl/sharedStrings.xml><?xml version="1.0" encoding="utf-8"?>
<sst xmlns="http://schemas.openxmlformats.org/spreadsheetml/2006/main" count="795" uniqueCount="166">
  <si>
    <t>Indicador</t>
  </si>
  <si>
    <t>Total</t>
  </si>
  <si>
    <t>Productos</t>
  </si>
  <si>
    <t>Créditos</t>
  </si>
  <si>
    <t>Capacitación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</si>
  <si>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</si>
  <si>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</si>
  <si>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</si>
  <si>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</si>
  <si>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</si>
  <si>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</si>
  <si>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</si>
  <si>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</si>
  <si>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</si>
  <si>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</si>
  <si>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</si>
  <si>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</si>
  <si>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</si>
  <si>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</si>
  <si>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</si>
  <si>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</si>
  <si>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</si>
  <si>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</si>
  <si>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</si>
  <si>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</si>
  <si>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</si>
  <si>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</si>
  <si>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</si>
  <si>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</si>
  <si>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</si>
  <si>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</si>
  <si>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</si>
  <si>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</si>
  <si>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</si>
  <si>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</si>
  <si>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</si>
  <si>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</si>
  <si>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</si>
  <si>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</si>
  <si>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</si>
  <si>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</si>
  <si>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</si>
  <si>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</si>
  <si>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</si>
  <si>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</si>
  <si>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</si>
  <si>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</si>
  <si>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</si>
  <si>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</si>
  <si>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</si>
  <si>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</si>
  <si>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</si>
  <si>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</si>
  <si>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</si>
  <si>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</si>
  <si>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</si>
  <si>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</si>
  <si>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</si>
  <si>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</si>
  <si>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</si>
  <si>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</si>
  <si>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</si>
  <si>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</si>
  <si>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</si>
  <si>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</si>
  <si>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</si>
  <si>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</si>
  <si>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</si>
  <si>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</si>
  <si>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</si>
  <si>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</si>
  <si>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</si>
  <si>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Fuentes</t>
  </si>
  <si>
    <t>Metas y modificaciones, DESAF.</t>
  </si>
  <si>
    <t>IPC, BCCR</t>
  </si>
  <si>
    <t>Indicadores aplicados a PRONAMYPE. Primer trimestre 2018</t>
  </si>
  <si>
    <t>Efectivos 1T 2017</t>
  </si>
  <si>
    <t>Programados 1T 2018</t>
  </si>
  <si>
    <t>Programados año 2018</t>
  </si>
  <si>
    <t>Efectivos 1T 2018</t>
  </si>
  <si>
    <t>En transferencias 1T 2018</t>
  </si>
  <si>
    <t>IPC (1T 2017)</t>
  </si>
  <si>
    <t>IPC (1T 2018)</t>
  </si>
  <si>
    <t xml:space="preserve">Capital Semilla </t>
  </si>
  <si>
    <t xml:space="preserve">Asistencia Técnica </t>
  </si>
  <si>
    <t>Gasto efectivo real 1T 2017</t>
  </si>
  <si>
    <t>Gasto efectivo real 1T 2018</t>
  </si>
  <si>
    <t>Gasto efectivo real por beneficiario 1T 2017</t>
  </si>
  <si>
    <t>Gasto efectivo real por beneficiario 1T 2018</t>
  </si>
  <si>
    <t>Informes trimestrales 2017 y 2018, PRONAMYPE</t>
  </si>
  <si>
    <t>ENAHO 2017</t>
  </si>
  <si>
    <t>Fecha de actualización: 14/05/2019</t>
  </si>
  <si>
    <t>Indicadores aplicados a PRONAMYPE. Segundo trimestre 2018</t>
  </si>
  <si>
    <t>Efectivos 2T 2017</t>
  </si>
  <si>
    <t>Programados 2T 2018</t>
  </si>
  <si>
    <t>Efectivos 2T 2018</t>
  </si>
  <si>
    <t>Efectivos2T 2017</t>
  </si>
  <si>
    <t>En transferencias 2T 2018</t>
  </si>
  <si>
    <t>IPC (2T 2017)</t>
  </si>
  <si>
    <t>IPC (2T 2018)</t>
  </si>
  <si>
    <t>Gasto efectivo real 2T 2017</t>
  </si>
  <si>
    <t>Gasto efectivo real 2T 2018</t>
  </si>
  <si>
    <t>Gasto efectivo real por beneficiario 2T 2017</t>
  </si>
  <si>
    <t>Gasto efectivo real por beneficiario 2T 2018</t>
  </si>
  <si>
    <t>Efectivos 3T 2017</t>
  </si>
  <si>
    <t>Programados 3T 2018</t>
  </si>
  <si>
    <t>Efectivos 3T 2018</t>
  </si>
  <si>
    <t>En transferencias 3T 2018</t>
  </si>
  <si>
    <t>IPC (3T 2017)</t>
  </si>
  <si>
    <t>IPC (3T 2018)</t>
  </si>
  <si>
    <t>Gasto efectivo real 3T 2017</t>
  </si>
  <si>
    <t>Gasto efectivo real 3T 2018</t>
  </si>
  <si>
    <t>Gasto efectivo real por beneficiario 3T 2017</t>
  </si>
  <si>
    <t>Gasto efectivo real por beneficiario 3T 2018</t>
  </si>
  <si>
    <t>Indicadores aplicados a PRONAMYPE. Tercer Trimestre trimestre 2018</t>
  </si>
  <si>
    <t>Efectivos 4T 2017</t>
  </si>
  <si>
    <t>Programados 4T 2018</t>
  </si>
  <si>
    <t>Efectivos 4T 2018</t>
  </si>
  <si>
    <t>En transferencias 4T 2018</t>
  </si>
  <si>
    <t>IPC (4T 2017)</t>
  </si>
  <si>
    <t>IPC (4T 2018)</t>
  </si>
  <si>
    <t>Gasto efectivo real 4T 2017</t>
  </si>
  <si>
    <t>Gasto efectivo real 4T 2018</t>
  </si>
  <si>
    <t>Gasto efectivo real por beneficiario 4T 2017</t>
  </si>
  <si>
    <t>Gasto efectivo real por beneficiario 4T 2018</t>
  </si>
  <si>
    <t>Indicadores aplicados a PRONAMYPE.  Primer Semestre 2018</t>
  </si>
  <si>
    <t>Efectivos 1S 2017</t>
  </si>
  <si>
    <t>Programados 1S 2018</t>
  </si>
  <si>
    <t>Efectivos 1S 2018</t>
  </si>
  <si>
    <t>Efectivos1S 2017</t>
  </si>
  <si>
    <t>En transferencias 1S 2018</t>
  </si>
  <si>
    <t>IPC (1S 2017)</t>
  </si>
  <si>
    <t>IPC (1S 2018)</t>
  </si>
  <si>
    <t>Gasto efectivo real 1S 2017</t>
  </si>
  <si>
    <t>Gasto efectivo real 1S 2018</t>
  </si>
  <si>
    <t>Gasto efectivo real por beneficiario 1S 2017</t>
  </si>
  <si>
    <t>Gasto efectivo real por beneficiario 1S 2018</t>
  </si>
  <si>
    <t>Indicadores aplicados a PRONAMYPE. Cuarto Trimestre  2018</t>
  </si>
  <si>
    <t>Indicadores aplicados a PRONAMYPE.  Tercer Trimestre Acumulado 2018</t>
  </si>
  <si>
    <t>Efectivos 3TA 2017</t>
  </si>
  <si>
    <t>Programados 3TA 2018</t>
  </si>
  <si>
    <t>Efectivos 3TA 2018</t>
  </si>
  <si>
    <t>Efectivos3TA 2017</t>
  </si>
  <si>
    <t>En transferencias 3TA 2018</t>
  </si>
  <si>
    <t>IPC (3TA 2017)</t>
  </si>
  <si>
    <t>IPC (3TA 2018)</t>
  </si>
  <si>
    <t>Gasto efectivo real 3TA 2017</t>
  </si>
  <si>
    <t>Gasto efectivo real 3TA 2018</t>
  </si>
  <si>
    <t>Gasto efectivo real por beneficiario 3TA 2017</t>
  </si>
  <si>
    <t>Gasto efectivo real por beneficiario 3TA 2018</t>
  </si>
  <si>
    <t>Efectivos  2017</t>
  </si>
  <si>
    <t>Programados  2018</t>
  </si>
  <si>
    <t>Efectivos  2018</t>
  </si>
  <si>
    <t>Efectivos 2017</t>
  </si>
  <si>
    <t>En transferencias  2018</t>
  </si>
  <si>
    <t>IPC ( 2017)</t>
  </si>
  <si>
    <t>IPC ( 2018)</t>
  </si>
  <si>
    <t>Gasto efectivo real  2017</t>
  </si>
  <si>
    <t>Gasto efectivo real  2018</t>
  </si>
  <si>
    <t>Gasto efectivo real por beneficiario  2017</t>
  </si>
  <si>
    <t>Gasto efectivo real por beneficiario  2018</t>
  </si>
  <si>
    <t xml:space="preserve">n.d. </t>
  </si>
  <si>
    <t>n.d.</t>
  </si>
  <si>
    <t>Total Créditos</t>
  </si>
  <si>
    <t>Total Capacitación</t>
  </si>
  <si>
    <t>Indicadores aplicados a PRONAMYPE.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</si>
</sst>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  <numFmt numFmtId="167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5" fontId="1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1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4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5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9" fillId="0" borderId="0" xfId="0" applyNumberFormat="1" applyFont="1" applyFill="1"/>
    <xf numFmtId="166" fontId="0" fillId="0" borderId="0" xfId="1" applyNumberFormat="1" applyFont="1" applyFill="1"/>
    <xf numFmtId="0" fontId="0" fillId="0" borderId="3" xfId="0" applyFill="1" applyBorder="1"/>
    <xf numFmtId="0" fontId="0" fillId="0" borderId="0" xfId="0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7" fontId="9" fillId="0" borderId="0" xfId="0" applyNumberFormat="1" applyFont="1" applyFill="1"/>
    <xf numFmtId="167" fontId="0" fillId="0" borderId="0" xfId="0" applyNumberFormat="1" applyFill="1"/>
    <xf numFmtId="4" fontId="0" fillId="0" borderId="0" xfId="0" applyNumberForma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3" fontId="0" fillId="0" borderId="0" xfId="0" applyNumberForma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6931221969506567E-2"/>
          <c:y val="0.17988623435722412"/>
          <c:w val="0.93629356077822123"/>
          <c:h val="0.55871566686128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Anual!$B$40:$J$40</c:f>
              <c:numCache>
                <c:formatCode>#,##0.00</c:formatCode>
                <c:ptCount val="9"/>
                <c:pt idx="0">
                  <c:v>4.0703614723994148</c:v>
                </c:pt>
                <c:pt idx="1">
                  <c:v>0.95913990371781777</c:v>
                </c:pt>
                <c:pt idx="2">
                  <c:v>0.6056756781634588</c:v>
                </c:pt>
                <c:pt idx="3">
                  <c:v>0.35346422555435897</c:v>
                </c:pt>
                <c:pt idx="4">
                  <c:v>2.3472233728219147</c:v>
                </c:pt>
                <c:pt idx="5">
                  <c:v>0</c:v>
                </c:pt>
                <c:pt idx="6">
                  <c:v>2.3472233728219147</c:v>
                </c:pt>
                <c:pt idx="7">
                  <c:v>0.71797420815729163</c:v>
                </c:pt>
                <c:pt idx="8">
                  <c:v>4.6023987702390488E-2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C-4472-AF68-43440579B900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Anual!$B$41:$J$41</c:f>
              <c:numCache>
                <c:formatCode>#,##0.00</c:formatCode>
                <c:ptCount val="9"/>
                <c:pt idx="0">
                  <c:v>1.7792873645744161</c:v>
                </c:pt>
                <c:pt idx="1">
                  <c:v>0.71245132963300473</c:v>
                </c:pt>
                <c:pt idx="2">
                  <c:v>0.38291957768388885</c:v>
                </c:pt>
                <c:pt idx="3">
                  <c:v>0.32953175194911588</c:v>
                </c:pt>
                <c:pt idx="4">
                  <c:v>0.75755483758134734</c:v>
                </c:pt>
                <c:pt idx="5">
                  <c:v>0</c:v>
                </c:pt>
                <c:pt idx="6">
                  <c:v>0.75755483758134734</c:v>
                </c:pt>
                <c:pt idx="7">
                  <c:v>0.30928119736006404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C-4472-AF68-43440579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999488"/>
        <c:axId val="52001024"/>
        <c:axId val="0"/>
      </c:bar3DChart>
      <c:catAx>
        <c:axId val="519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001024"/>
        <c:crosses val="autoZero"/>
        <c:auto val="1"/>
        <c:lblAlgn val="ctr"/>
        <c:lblOffset val="100"/>
        <c:noMultiLvlLbl val="0"/>
      </c:catAx>
      <c:valAx>
        <c:axId val="520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99488"/>
        <c:crosses val="autoZero"/>
        <c:crossBetween val="between"/>
        <c:majorUnit val="1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Anual!$B$44:$J$44</c:f>
              <c:numCache>
                <c:formatCode>#,##0.00</c:formatCode>
                <c:ptCount val="9"/>
                <c:pt idx="0">
                  <c:v>43.713251922207149</c:v>
                </c:pt>
                <c:pt idx="1">
                  <c:v>74.28023032629558</c:v>
                </c:pt>
                <c:pt idx="2">
                  <c:v>63.221884498480243</c:v>
                </c:pt>
                <c:pt idx="3">
                  <c:v>93.229166666666657</c:v>
                </c:pt>
                <c:pt idx="4">
                  <c:v>32.274509803921568</c:v>
                </c:pt>
                <c:pt idx="5">
                  <c:v>0</c:v>
                </c:pt>
                <c:pt idx="6">
                  <c:v>32.274509803921568</c:v>
                </c:pt>
                <c:pt idx="7">
                  <c:v>43.07692307692308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D-4032-AE3A-431E302DDE64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Anual!$B$45:$J$45</c:f>
              <c:numCache>
                <c:formatCode>#,##0.00</c:formatCode>
                <c:ptCount val="9"/>
                <c:pt idx="0">
                  <c:v>63.417861550737285</c:v>
                </c:pt>
                <c:pt idx="1">
                  <c:v>66.407646625717376</c:v>
                </c:pt>
                <c:pt idx="2">
                  <c:v>58.942466858097916</c:v>
                </c:pt>
                <c:pt idx="3">
                  <c:v>79.199438263888894</c:v>
                </c:pt>
                <c:pt idx="4">
                  <c:v>55.241904374999997</c:v>
                </c:pt>
                <c:pt idx="5">
                  <c:v>0</c:v>
                </c:pt>
                <c:pt idx="6">
                  <c:v>48.981904374999999</c:v>
                </c:pt>
                <c:pt idx="7">
                  <c:v>23.092008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D-4032-AE3A-431E302DDE64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Anual!$B$46:$J$46</c:f>
              <c:numCache>
                <c:formatCode>#,##0.00</c:formatCode>
                <c:ptCount val="9"/>
                <c:pt idx="0">
                  <c:v>53.565556736472217</c:v>
                </c:pt>
                <c:pt idx="1">
                  <c:v>70.343938476006485</c:v>
                </c:pt>
                <c:pt idx="2">
                  <c:v>61.082175678289076</c:v>
                </c:pt>
                <c:pt idx="3">
                  <c:v>86.214302465277768</c:v>
                </c:pt>
                <c:pt idx="4">
                  <c:v>43.758207089460782</c:v>
                </c:pt>
                <c:pt idx="5">
                  <c:v>0</c:v>
                </c:pt>
                <c:pt idx="6">
                  <c:v>40.628207089460787</c:v>
                </c:pt>
                <c:pt idx="7">
                  <c:v>33.084465538461544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D-4032-AE3A-431E302DD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778304"/>
        <c:axId val="51779840"/>
        <c:axId val="0"/>
      </c:bar3DChart>
      <c:catAx>
        <c:axId val="517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779840"/>
        <c:crosses val="autoZero"/>
        <c:auto val="1"/>
        <c:lblAlgn val="ctr"/>
        <c:lblOffset val="100"/>
        <c:noMultiLvlLbl val="0"/>
      </c:catAx>
      <c:valAx>
        <c:axId val="517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77830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Anual!$B$49:$J$49</c:f>
              <c:numCache>
                <c:formatCode>#,##0.00</c:formatCode>
                <c:ptCount val="9"/>
                <c:pt idx="0">
                  <c:v>43.713251922207149</c:v>
                </c:pt>
                <c:pt idx="1">
                  <c:v>74.28023032629558</c:v>
                </c:pt>
                <c:pt idx="2">
                  <c:v>63.221884498480243</c:v>
                </c:pt>
                <c:pt idx="3">
                  <c:v>93.229166666666657</c:v>
                </c:pt>
                <c:pt idx="4">
                  <c:v>32.274509803921568</c:v>
                </c:pt>
                <c:pt idx="5">
                  <c:v>0</c:v>
                </c:pt>
                <c:pt idx="6">
                  <c:v>32.274509803921568</c:v>
                </c:pt>
                <c:pt idx="7">
                  <c:v>43.07692307692308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B-46DF-8627-C06AC69C4ABD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Anual!$B$50:$J$50</c:f>
              <c:numCache>
                <c:formatCode>#,##0.00</c:formatCode>
                <c:ptCount val="9"/>
                <c:pt idx="0">
                  <c:v>63.417861550737285</c:v>
                </c:pt>
                <c:pt idx="1">
                  <c:v>66.407646625717376</c:v>
                </c:pt>
                <c:pt idx="2">
                  <c:v>58.942466858097916</c:v>
                </c:pt>
                <c:pt idx="3">
                  <c:v>79.199438263888894</c:v>
                </c:pt>
                <c:pt idx="4">
                  <c:v>55.241904374999997</c:v>
                </c:pt>
                <c:pt idx="5">
                  <c:v>0</c:v>
                </c:pt>
                <c:pt idx="6">
                  <c:v>48.981904374999999</c:v>
                </c:pt>
                <c:pt idx="7">
                  <c:v>23.092008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B-46DF-8627-C06AC69C4ABD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Anual!$B$51:$J$51</c:f>
              <c:numCache>
                <c:formatCode>#,##0.00</c:formatCode>
                <c:ptCount val="9"/>
                <c:pt idx="0">
                  <c:v>53.565556736472217</c:v>
                </c:pt>
                <c:pt idx="1">
                  <c:v>70.343938476006485</c:v>
                </c:pt>
                <c:pt idx="2">
                  <c:v>61.082175678289076</c:v>
                </c:pt>
                <c:pt idx="3">
                  <c:v>86.214302465277768</c:v>
                </c:pt>
                <c:pt idx="4">
                  <c:v>43.758207089460782</c:v>
                </c:pt>
                <c:pt idx="5">
                  <c:v>0</c:v>
                </c:pt>
                <c:pt idx="6">
                  <c:v>40.628207089460787</c:v>
                </c:pt>
                <c:pt idx="7">
                  <c:v>33.084465538461544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B-46DF-8627-C06AC69C4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835648"/>
        <c:axId val="51837184"/>
        <c:axId val="0"/>
      </c:bar3DChart>
      <c:catAx>
        <c:axId val="518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837184"/>
        <c:crosses val="autoZero"/>
        <c:auto val="1"/>
        <c:lblAlgn val="ctr"/>
        <c:lblOffset val="100"/>
        <c:noMultiLvlLbl val="0"/>
      </c:catAx>
      <c:valAx>
        <c:axId val="5183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83564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(Anual!$B$4,Anual!$C$6:$H$6)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-5.7992202729044813</c:v>
                </c:pt>
                <c:pt idx="1">
                  <c:v>-23.366336633663366</c:v>
                </c:pt>
                <c:pt idx="2">
                  <c:v>-22.962962962962962</c:v>
                </c:pt>
                <c:pt idx="3">
                  <c:v>-23.829787234042556</c:v>
                </c:pt>
                <c:pt idx="4">
                  <c:v>-21.0172744721689</c:v>
                </c:pt>
                <c:pt idx="5">
                  <c:v>-100</c:v>
                </c:pt>
                <c:pt idx="6">
                  <c:v>-15.154639175257733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7-4E18-B090-7EF1900F6FA5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(Anual!$B$4,Anual!$C$6:$H$6)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Anual!$B$57:$H$57</c:f>
              <c:numCache>
                <c:formatCode>#,##0.00</c:formatCode>
                <c:ptCount val="7"/>
                <c:pt idx="0">
                  <c:v>-12.921812318986504</c:v>
                </c:pt>
                <c:pt idx="1">
                  <c:v>-14.1483271168253</c:v>
                </c:pt>
                <c:pt idx="2">
                  <c:v>-16.280946408221929</c:v>
                </c:pt>
                <c:pt idx="3">
                  <c:v>-11.265772744827895</c:v>
                </c:pt>
                <c:pt idx="4">
                  <c:v>3.4380496736468924</c:v>
                </c:pt>
                <c:pt idx="5">
                  <c:v>136.02574652495832</c:v>
                </c:pt>
                <c:pt idx="6">
                  <c:v>-3.4906524902003522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7-4E18-B090-7EF1900F6FA5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(Anual!$B$4,Anual!$C$6:$H$6)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Anual!$B$58:$H$58</c:f>
              <c:numCache>
                <c:formatCode>#,##0.00</c:formatCode>
                <c:ptCount val="7"/>
                <c:pt idx="0">
                  <c:v>-7.5610754674393714</c:v>
                </c:pt>
                <c:pt idx="1">
                  <c:v>12.028668749362348</c:v>
                </c:pt>
                <c:pt idx="2">
                  <c:v>8.6737714893273079</c:v>
                </c:pt>
                <c:pt idx="3">
                  <c:v>16.494655893661701</c:v>
                </c:pt>
                <c:pt idx="4">
                  <c:v>30.962876986561415</c:v>
                </c:pt>
                <c:pt idx="5">
                  <c:v>0</c:v>
                </c:pt>
                <c:pt idx="6">
                  <c:v>13.747347611793014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7-4E18-B090-7EF1900F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408512"/>
        <c:axId val="55410048"/>
      </c:barChart>
      <c:catAx>
        <c:axId val="554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10048"/>
        <c:crosses val="autoZero"/>
        <c:auto val="1"/>
        <c:lblAlgn val="ctr"/>
        <c:lblOffset val="100"/>
        <c:noMultiLvlLbl val="0"/>
      </c:catAx>
      <c:valAx>
        <c:axId val="554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37784236202215E-3"/>
          <c:y val="0.83014054426021777"/>
          <c:w val="0.98326964621797197"/>
          <c:h val="0.1432149997797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Anual!$B$61:$J$61</c:f>
              <c:numCache>
                <c:formatCode>#,##0.00</c:formatCode>
                <c:ptCount val="9"/>
                <c:pt idx="0">
                  <c:v>965056.48055178649</c:v>
                </c:pt>
                <c:pt idx="1">
                  <c:v>3749980.5729366601</c:v>
                </c:pt>
                <c:pt idx="2">
                  <c:v>3749969.2355623101</c:v>
                </c:pt>
                <c:pt idx="3">
                  <c:v>3750000</c:v>
                </c:pt>
                <c:pt idx="4">
                  <c:v>62745.098039215685</c:v>
                </c:pt>
                <c:pt idx="5">
                  <c:v>0</c:v>
                </c:pt>
                <c:pt idx="6">
                  <c:v>62745.098039215685</c:v>
                </c:pt>
                <c:pt idx="7">
                  <c:v>128205.1282051282</c:v>
                </c:pt>
                <c:pt idx="8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2-43FA-B210-0AFF454B204D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(Anual!$B$4,Anual!$C$6,Anual!$D$6,Anual!$E$6,Anual!$F$6,Anual!$G$6,Anual!$H$6,Anual!$I$5,Anual!$J$5)</c:f>
              <c:strCache>
                <c:ptCount val="9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  <c:pt idx="7">
                  <c:v>Asistencia Técnica </c:v>
                </c:pt>
                <c:pt idx="8">
                  <c:v>Capital Semilla </c:v>
                </c:pt>
              </c:strCache>
            </c:strRef>
          </c:cat>
          <c:val>
            <c:numRef>
              <c:f>Anual!$B$62:$J$62</c:f>
              <c:numCache>
                <c:formatCode>#,##0.00</c:formatCode>
                <c:ptCount val="9"/>
                <c:pt idx="0">
                  <c:v>1400074.704604242</c:v>
                </c:pt>
                <c:pt idx="1">
                  <c:v>3352539.2105943151</c:v>
                </c:pt>
                <c:pt idx="2">
                  <c:v>3496138.0721153845</c:v>
                </c:pt>
                <c:pt idx="3">
                  <c:v>3185675.7290502791</c:v>
                </c:pt>
                <c:pt idx="4">
                  <c:v>107396.16889428919</c:v>
                </c:pt>
                <c:pt idx="5">
                  <c:v>0</c:v>
                </c:pt>
                <c:pt idx="6">
                  <c:v>95226.059538274611</c:v>
                </c:pt>
                <c:pt idx="7">
                  <c:v>68726.21428571429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2-43FA-B210-0AFF454B2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5452416"/>
        <c:axId val="55453952"/>
      </c:barChart>
      <c:catAx>
        <c:axId val="554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53952"/>
        <c:crosses val="autoZero"/>
        <c:auto val="1"/>
        <c:lblAlgn val="ctr"/>
        <c:lblOffset val="100"/>
        <c:noMultiLvlLbl val="0"/>
      </c:catAx>
      <c:valAx>
        <c:axId val="554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PRONAMYPE: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(Anual!$B$4,Anual!$C$6,Anual!$D$6,Anual!$E$6,Anual!$F$6,Anual!$H$6,Anual!$I$5)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Transferencia</c:v>
                </c:pt>
                <c:pt idx="6">
                  <c:v>Asistencia Técnica </c:v>
                </c:pt>
              </c:strCache>
            </c:strRef>
          </c:cat>
          <c:val>
            <c:numRef>
              <c:f>(Anual!$B$63,Anual!$C$63,Anual!$D$63,Anual!$E$63,Anual!$F$63,Anual!$H$63,Anual!$I$63)</c:f>
              <c:numCache>
                <c:formatCode>#,##0.00</c:formatCode>
                <c:ptCount val="7"/>
                <c:pt idx="0">
                  <c:v>77.711286889548759</c:v>
                </c:pt>
                <c:pt idx="1">
                  <c:v>62.888542322170906</c:v>
                </c:pt>
                <c:pt idx="2">
                  <c:v>56.947592500578104</c:v>
                </c:pt>
                <c:pt idx="3">
                  <c:v>73.240216229502664</c:v>
                </c:pt>
                <c:pt idx="4">
                  <c:v>74.897704298013025</c:v>
                </c:pt>
                <c:pt idx="5">
                  <c:v>61.660021071547348</c:v>
                </c:pt>
                <c:pt idx="6">
                  <c:v>17.735406531372178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7-4E41-A560-B7460EB8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503872"/>
        <c:axId val="55505664"/>
        <c:axId val="0"/>
      </c:bar3DChart>
      <c:catAx>
        <c:axId val="555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505664"/>
        <c:crosses val="autoZero"/>
        <c:auto val="1"/>
        <c:lblAlgn val="ctr"/>
        <c:lblOffset val="100"/>
        <c:noMultiLvlLbl val="0"/>
      </c:catAx>
      <c:valAx>
        <c:axId val="555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5038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PRONAMYPE: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(Anual!$B$4,Anual!$D$6,Anual!$E$6)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f>(Anual!$B$66,Anual!$D$66,Anual!$E$66)</c:f>
              <c:numCache>
                <c:formatCode>#,##0.00</c:formatCode>
                <c:ptCount val="3"/>
                <c:pt idx="0">
                  <c:v>91.058725452555208</c:v>
                </c:pt>
                <c:pt idx="1">
                  <c:v>96.694316089580795</c:v>
                </c:pt>
                <c:pt idx="2">
                  <c:v>83.333333332777784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B-4A15-873A-1877C79D6C83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(Anual!$B$4,Anual!$D$6,Anual!$E$6)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f>(Anual!$B$67,Anual!$D$67,Anual!$E$67)</c:f>
              <c:numCache>
                <c:formatCode>#,##0.00</c:formatCode>
                <c:ptCount val="3"/>
                <c:pt idx="0">
                  <c:v>69.64501340816615</c:v>
                </c:pt>
                <c:pt idx="1">
                  <c:v>61.377327549619309</c:v>
                </c:pt>
                <c:pt idx="2">
                  <c:v>82.795664400551971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B-4A15-873A-1877C79D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737344"/>
        <c:axId val="55747328"/>
        <c:axId val="0"/>
      </c:bar3DChart>
      <c:catAx>
        <c:axId val="557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747328"/>
        <c:crosses val="autoZero"/>
        <c:auto val="1"/>
        <c:lblAlgn val="ctr"/>
        <c:lblOffset val="100"/>
        <c:noMultiLvlLbl val="0"/>
      </c:catAx>
      <c:valAx>
        <c:axId val="5574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73734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661458</xdr:colOff>
      <xdr:row>2</xdr:row>
      <xdr:rowOff>41275</xdr:rowOff>
    </xdr:from>
    <xdr:to>
      <xdr:col>20</xdr:col>
      <xdr:colOff>178594</xdr:colOff>
      <xdr:row>17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308240</xdr:colOff>
      <xdr:row>2</xdr:row>
      <xdr:rowOff>21431</xdr:rowOff>
    </xdr:from>
    <xdr:to>
      <xdr:col>30</xdr:col>
      <xdr:colOff>95250</xdr:colOff>
      <xdr:row>17</xdr:row>
      <xdr:rowOff>11906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604573</xdr:colOff>
      <xdr:row>17</xdr:row>
      <xdr:rowOff>140493</xdr:rowOff>
    </xdr:from>
    <xdr:to>
      <xdr:col>20</xdr:col>
      <xdr:colOff>333376</xdr:colOff>
      <xdr:row>32</xdr:row>
      <xdr:rowOff>154781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412749</xdr:colOff>
      <xdr:row>17</xdr:row>
      <xdr:rowOff>140492</xdr:rowOff>
    </xdr:from>
    <xdr:to>
      <xdr:col>30</xdr:col>
      <xdr:colOff>130968</xdr:colOff>
      <xdr:row>32</xdr:row>
      <xdr:rowOff>142874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305593</xdr:colOff>
      <xdr:row>34</xdr:row>
      <xdr:rowOff>34659</xdr:rowOff>
    </xdr:from>
    <xdr:to>
      <xdr:col>30</xdr:col>
      <xdr:colOff>95250</xdr:colOff>
      <xdr:row>48</xdr:row>
      <xdr:rowOff>142874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283104</xdr:colOff>
      <xdr:row>34</xdr:row>
      <xdr:rowOff>12169</xdr:rowOff>
    </xdr:from>
    <xdr:to>
      <xdr:col>19</xdr:col>
      <xdr:colOff>464344</xdr:colOff>
      <xdr:row>48</xdr:row>
      <xdr:rowOff>88369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7938</xdr:colOff>
      <xdr:row>50</xdr:row>
      <xdr:rowOff>33336</xdr:rowOff>
    </xdr:from>
    <xdr:to>
      <xdr:col>24</xdr:col>
      <xdr:colOff>190500</xdr:colOff>
      <xdr:row>64</xdr:row>
      <xdr:rowOff>109536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75"/>
  <sheetViews>
    <sheetView tabSelected="1"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28515625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75</v>
      </c>
      <c r="B2" s="68"/>
      <c r="C2" s="68"/>
      <c r="D2" s="68"/>
      <c r="E2" s="68"/>
      <c r="F2" s="68"/>
      <c r="G2" s="68"/>
      <c r="H2" s="68"/>
      <c r="I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47"/>
      <c r="B7" s="46"/>
      <c r="C7" s="37"/>
      <c r="D7" s="37"/>
      <c r="E7" s="37"/>
      <c r="F7" s="37"/>
      <c r="G7" s="37"/>
      <c r="H7" s="46"/>
      <c r="I7" s="4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76</v>
      </c>
      <c r="B10" s="5">
        <f>+C10+F10+I10+J10</f>
        <v>207</v>
      </c>
      <c r="C10" s="5">
        <f>SUM(D10:E10)</f>
        <v>207</v>
      </c>
      <c r="D10" s="5">
        <v>48</v>
      </c>
      <c r="E10" s="5">
        <v>159</v>
      </c>
      <c r="F10" s="5">
        <f>SUM(G10:H10)</f>
        <v>0</v>
      </c>
      <c r="G10" s="5">
        <v>0</v>
      </c>
      <c r="H10" s="5">
        <v>0</v>
      </c>
      <c r="I10" s="5">
        <v>0</v>
      </c>
      <c r="J10" s="56">
        <v>0</v>
      </c>
    </row>
    <row r="11" spans="1:10" x14ac:dyDescent="0.25">
      <c r="A11" s="2" t="s">
        <v>77</v>
      </c>
      <c r="B11" s="5">
        <f t="shared" ref="B11:B12" si="0">+C11+F11+I11+J11</f>
        <v>450</v>
      </c>
      <c r="C11" s="5">
        <f>SUM(D11:E11)</f>
        <v>216</v>
      </c>
      <c r="D11" s="5">
        <v>120</v>
      </c>
      <c r="E11" s="5">
        <v>96</v>
      </c>
      <c r="F11" s="5">
        <f t="shared" ref="F11:F13" si="1">SUM(G11:H11)</f>
        <v>112</v>
      </c>
      <c r="G11" s="5">
        <v>0</v>
      </c>
      <c r="H11" s="5">
        <v>112</v>
      </c>
      <c r="I11" s="5">
        <v>112</v>
      </c>
      <c r="J11" s="57">
        <v>10</v>
      </c>
    </row>
    <row r="12" spans="1:10" x14ac:dyDescent="0.25">
      <c r="A12" s="2" t="s">
        <v>79</v>
      </c>
      <c r="B12" s="5">
        <f t="shared" si="0"/>
        <v>478</v>
      </c>
      <c r="C12" s="5">
        <f>SUM(D12:E12)</f>
        <v>161</v>
      </c>
      <c r="D12" s="5">
        <v>102</v>
      </c>
      <c r="E12" s="5">
        <v>59</v>
      </c>
      <c r="F12" s="5">
        <f t="shared" si="1"/>
        <v>317</v>
      </c>
      <c r="G12" s="5">
        <v>0</v>
      </c>
      <c r="H12" s="5">
        <v>317</v>
      </c>
      <c r="I12" s="5">
        <v>0</v>
      </c>
      <c r="J12" s="56">
        <v>0</v>
      </c>
    </row>
    <row r="13" spans="1:10" x14ac:dyDescent="0.25">
      <c r="A13" s="2" t="s">
        <v>78</v>
      </c>
      <c r="B13" s="5">
        <f>C13+F13+I13+J13</f>
        <v>4422</v>
      </c>
      <c r="C13" s="5">
        <f>SUM(D13:E13)</f>
        <v>1042</v>
      </c>
      <c r="D13" s="5">
        <v>658</v>
      </c>
      <c r="E13" s="5">
        <v>384</v>
      </c>
      <c r="F13" s="5">
        <f t="shared" si="1"/>
        <v>2550</v>
      </c>
      <c r="G13" s="40">
        <v>0</v>
      </c>
      <c r="H13" s="40">
        <v>2550</v>
      </c>
      <c r="I13" s="5">
        <v>780</v>
      </c>
      <c r="J13" s="5">
        <v>50</v>
      </c>
    </row>
    <row r="14" spans="1:10" x14ac:dyDescent="0.25">
      <c r="B14" s="5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7</v>
      </c>
      <c r="B15" s="5"/>
      <c r="C15" s="1"/>
      <c r="D15" s="1"/>
      <c r="E15" s="1"/>
      <c r="F15" s="1"/>
      <c r="G15" s="1"/>
      <c r="H15" s="1"/>
      <c r="I15" s="1"/>
    </row>
    <row r="16" spans="1:10" x14ac:dyDescent="0.25">
      <c r="A16" s="2" t="s">
        <v>76</v>
      </c>
      <c r="B16" s="5">
        <f>+C16+F16+I16+J16</f>
        <v>627192354.25999999</v>
      </c>
      <c r="C16" s="5">
        <f>SUM(D16:E16)</f>
        <v>605590999</v>
      </c>
      <c r="D16" s="5">
        <v>147130000</v>
      </c>
      <c r="E16" s="5">
        <v>458460999</v>
      </c>
      <c r="F16" s="5">
        <f>SUM(G16:H16)</f>
        <v>21601355.259999998</v>
      </c>
      <c r="G16" s="5">
        <v>0</v>
      </c>
      <c r="H16" s="5">
        <v>21601355.259999998</v>
      </c>
      <c r="I16" s="5">
        <v>0</v>
      </c>
      <c r="J16" s="5">
        <v>0</v>
      </c>
    </row>
    <row r="17" spans="1:10" x14ac:dyDescent="0.25">
      <c r="A17" s="2" t="s">
        <v>77</v>
      </c>
      <c r="B17" s="5">
        <f>+C17+F17+I17+J17</f>
        <v>851386421</v>
      </c>
      <c r="C17" s="5">
        <f>SUM(D17:E17)</f>
        <v>810000000</v>
      </c>
      <c r="D17" s="5">
        <v>450000000</v>
      </c>
      <c r="E17" s="5">
        <v>360000000</v>
      </c>
      <c r="F17" s="5">
        <f t="shared" ref="F17:F19" si="2">SUM(G17:H17)</f>
        <v>7027447</v>
      </c>
      <c r="G17" s="5">
        <v>0</v>
      </c>
      <c r="H17" s="5">
        <v>7027447</v>
      </c>
      <c r="I17" s="5">
        <v>14358974</v>
      </c>
      <c r="J17" s="5">
        <v>20000000</v>
      </c>
    </row>
    <row r="18" spans="1:10" x14ac:dyDescent="0.25">
      <c r="A18" s="2" t="s">
        <v>79</v>
      </c>
      <c r="B18" s="5">
        <f t="shared" ref="B18:B20" si="3">+C18+F18+I18+J18</f>
        <v>637057633</v>
      </c>
      <c r="C18" s="5">
        <f>SUM(D18:E18)</f>
        <v>599966615</v>
      </c>
      <c r="D18" s="5">
        <v>361468000</v>
      </c>
      <c r="E18" s="5">
        <v>238498615</v>
      </c>
      <c r="F18" s="5">
        <f t="shared" si="2"/>
        <v>35093171</v>
      </c>
      <c r="G18" s="5">
        <v>10016000</v>
      </c>
      <c r="H18" s="5">
        <v>25077171</v>
      </c>
      <c r="I18" s="5">
        <v>1997847</v>
      </c>
      <c r="J18" s="2">
        <v>0</v>
      </c>
    </row>
    <row r="19" spans="1:10" x14ac:dyDescent="0.25">
      <c r="A19" s="2" t="s">
        <v>78</v>
      </c>
      <c r="B19" s="5">
        <f t="shared" si="3"/>
        <v>4267479757</v>
      </c>
      <c r="C19" s="5">
        <f>SUM(D19:E19)</f>
        <v>3907479757</v>
      </c>
      <c r="D19" s="5">
        <v>2467479757</v>
      </c>
      <c r="E19" s="5">
        <v>1440000000</v>
      </c>
      <c r="F19" s="5">
        <f t="shared" si="2"/>
        <v>160000000</v>
      </c>
      <c r="G19" s="5">
        <v>0</v>
      </c>
      <c r="H19" s="5">
        <v>160000000</v>
      </c>
      <c r="I19" s="5">
        <v>100000000</v>
      </c>
      <c r="J19" s="5">
        <v>100000000</v>
      </c>
    </row>
    <row r="20" spans="1:10" x14ac:dyDescent="0.25">
      <c r="A20" s="2" t="s">
        <v>80</v>
      </c>
      <c r="B20" s="5">
        <f t="shared" si="3"/>
        <v>637057633</v>
      </c>
      <c r="C20" s="5">
        <f>SUM(D20:E20)</f>
        <v>599966615</v>
      </c>
      <c r="D20" s="5">
        <f>D18</f>
        <v>361468000</v>
      </c>
      <c r="E20" s="5">
        <f>E18</f>
        <v>238498615</v>
      </c>
      <c r="F20" s="40">
        <f>SUM(G20:H20)</f>
        <v>35093171</v>
      </c>
      <c r="G20" s="5">
        <f t="shared" ref="G20:J20" si="4">G18</f>
        <v>10016000</v>
      </c>
      <c r="H20" s="5">
        <f t="shared" si="4"/>
        <v>25077171</v>
      </c>
      <c r="I20" s="5">
        <f t="shared" si="4"/>
        <v>1997847</v>
      </c>
      <c r="J20" s="5">
        <f t="shared" si="4"/>
        <v>0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1"/>
      <c r="I22" s="1"/>
    </row>
    <row r="23" spans="1:10" x14ac:dyDescent="0.25">
      <c r="A23" s="2" t="s">
        <v>77</v>
      </c>
      <c r="B23" s="5">
        <f>B17</f>
        <v>851386421</v>
      </c>
      <c r="C23" s="1"/>
      <c r="D23" s="40">
        <f>D17+G17</f>
        <v>450000000</v>
      </c>
      <c r="E23" s="5">
        <f>E17+H17+I17+J17</f>
        <v>401386421</v>
      </c>
      <c r="F23" s="39"/>
      <c r="G23" s="5"/>
      <c r="H23" s="1"/>
      <c r="I23" s="1"/>
    </row>
    <row r="24" spans="1:10" x14ac:dyDescent="0.25">
      <c r="A24" s="2" t="s">
        <v>79</v>
      </c>
      <c r="B24" s="5">
        <f>D24+E24</f>
        <v>1063499999.99</v>
      </c>
      <c r="C24" s="1"/>
      <c r="D24" s="5">
        <v>613500000</v>
      </c>
      <c r="E24" s="5">
        <v>449999999.99000001</v>
      </c>
      <c r="F24" s="5"/>
      <c r="G24" s="5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</v>
      </c>
      <c r="B26" s="1"/>
      <c r="C26" s="1"/>
      <c r="D26" s="1"/>
      <c r="E26" s="1"/>
      <c r="F26" s="1"/>
      <c r="G26" s="1"/>
      <c r="H26" s="1"/>
      <c r="I26" s="1"/>
    </row>
    <row r="27" spans="1:10" x14ac:dyDescent="0.25">
      <c r="A27" s="2" t="s">
        <v>81</v>
      </c>
      <c r="B27" s="48">
        <v>1.0042274323</v>
      </c>
      <c r="C27" s="48">
        <v>1.0042274323</v>
      </c>
      <c r="D27" s="48">
        <v>1.0042274323</v>
      </c>
      <c r="E27" s="48">
        <v>1.0042274323</v>
      </c>
      <c r="F27" s="48">
        <v>1.0042274323</v>
      </c>
      <c r="G27" s="48">
        <v>1.0042274323</v>
      </c>
      <c r="H27" s="48">
        <v>1.0042274323</v>
      </c>
      <c r="I27" s="48">
        <v>1.0042274323</v>
      </c>
      <c r="J27" s="48">
        <v>1.0042274323</v>
      </c>
    </row>
    <row r="28" spans="1:10" x14ac:dyDescent="0.25">
      <c r="A28" s="2" t="s">
        <v>82</v>
      </c>
      <c r="B28" s="48">
        <v>1.0304675706999999</v>
      </c>
      <c r="C28" s="48">
        <v>1.0304675706999999</v>
      </c>
      <c r="D28" s="48">
        <v>1.0304675706999999</v>
      </c>
      <c r="E28" s="48">
        <v>1.0304675706999999</v>
      </c>
      <c r="F28" s="48">
        <v>1.0304675706999999</v>
      </c>
      <c r="G28" s="48">
        <v>1.0304675706999999</v>
      </c>
      <c r="H28" s="48">
        <v>1.0304675706999999</v>
      </c>
      <c r="I28" s="48">
        <v>1.0304675706999999</v>
      </c>
      <c r="J28" s="48">
        <v>1.0304675706999999</v>
      </c>
    </row>
    <row r="29" spans="1:10" x14ac:dyDescent="0.25">
      <c r="A29" s="2" t="s">
        <v>10</v>
      </c>
      <c r="B29" s="5">
        <v>108639</v>
      </c>
      <c r="C29" s="5">
        <v>108639</v>
      </c>
      <c r="D29" s="5">
        <v>108639</v>
      </c>
      <c r="E29" s="5">
        <v>108639</v>
      </c>
      <c r="F29" s="5">
        <v>108639</v>
      </c>
      <c r="G29" s="5">
        <v>108639</v>
      </c>
      <c r="H29" s="5">
        <v>108639</v>
      </c>
      <c r="I29" s="5">
        <v>108639</v>
      </c>
      <c r="J29" s="5">
        <v>108639</v>
      </c>
    </row>
    <row r="30" spans="1:10" x14ac:dyDescent="0.25"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11</v>
      </c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2" t="s">
        <v>85</v>
      </c>
      <c r="B32" s="50">
        <f t="shared" ref="B32:J32" si="5">B16/B27</f>
        <v>624552102.52873707</v>
      </c>
      <c r="C32" s="50">
        <f t="shared" si="5"/>
        <v>603041681.11899126</v>
      </c>
      <c r="D32" s="50">
        <f t="shared" si="5"/>
        <v>146510636.20421675</v>
      </c>
      <c r="E32" s="50">
        <f t="shared" si="5"/>
        <v>456531044.91477454</v>
      </c>
      <c r="F32" s="50">
        <f t="shared" si="5"/>
        <v>21510421.409745827</v>
      </c>
      <c r="G32" s="50">
        <f t="shared" si="5"/>
        <v>0</v>
      </c>
      <c r="H32" s="50">
        <f t="shared" si="5"/>
        <v>21510421.409745827</v>
      </c>
      <c r="I32" s="50">
        <f t="shared" si="5"/>
        <v>0</v>
      </c>
      <c r="J32" s="50">
        <f t="shared" si="5"/>
        <v>0</v>
      </c>
    </row>
    <row r="33" spans="1:10" x14ac:dyDescent="0.25">
      <c r="A33" s="2" t="s">
        <v>86</v>
      </c>
      <c r="B33" s="50">
        <f t="shared" ref="B33:J33" si="6">B18/B28</f>
        <v>618221913.15272999</v>
      </c>
      <c r="C33" s="50">
        <f t="shared" si="6"/>
        <v>582227555.78076148</v>
      </c>
      <c r="D33" s="50">
        <f t="shared" si="6"/>
        <v>350780568.23705149</v>
      </c>
      <c r="E33" s="50">
        <f t="shared" si="6"/>
        <v>231446987.54371002</v>
      </c>
      <c r="F33" s="50">
        <f t="shared" si="6"/>
        <v>34055580.202452265</v>
      </c>
      <c r="G33" s="50">
        <f t="shared" si="6"/>
        <v>9719859.4936821721</v>
      </c>
      <c r="H33" s="50">
        <f t="shared" si="6"/>
        <v>24335720.708770093</v>
      </c>
      <c r="I33" s="50">
        <f t="shared" si="6"/>
        <v>1938777.1695162188</v>
      </c>
      <c r="J33" s="50">
        <f t="shared" si="6"/>
        <v>0</v>
      </c>
    </row>
    <row r="34" spans="1:10" x14ac:dyDescent="0.25">
      <c r="A34" s="2" t="s">
        <v>87</v>
      </c>
      <c r="B34" s="50">
        <f t="shared" ref="B34:E34" si="7">B32/B10</f>
        <v>3017159.9155977638</v>
      </c>
      <c r="C34" s="50">
        <f t="shared" si="7"/>
        <v>2913244.8363236291</v>
      </c>
      <c r="D34" s="50">
        <f t="shared" si="7"/>
        <v>3052304.9209211823</v>
      </c>
      <c r="E34" s="50">
        <f t="shared" si="7"/>
        <v>2871264.4334262549</v>
      </c>
      <c r="F34" s="50" t="s">
        <v>161</v>
      </c>
      <c r="G34" s="50" t="s">
        <v>161</v>
      </c>
      <c r="H34" s="50" t="s">
        <v>161</v>
      </c>
      <c r="I34" s="50" t="s">
        <v>161</v>
      </c>
      <c r="J34" s="50" t="s">
        <v>161</v>
      </c>
    </row>
    <row r="35" spans="1:10" x14ac:dyDescent="0.25">
      <c r="A35" s="2" t="s">
        <v>88</v>
      </c>
      <c r="B35" s="50">
        <f t="shared" ref="B35:H35" si="8">B33/B12</f>
        <v>1293351.2827462971</v>
      </c>
      <c r="C35" s="50">
        <f t="shared" si="8"/>
        <v>3616320.2222407544</v>
      </c>
      <c r="D35" s="50">
        <f t="shared" si="8"/>
        <v>3439025.1787946224</v>
      </c>
      <c r="E35" s="50">
        <f t="shared" si="8"/>
        <v>3922830.2973510171</v>
      </c>
      <c r="F35" s="50">
        <f t="shared" si="8"/>
        <v>107430.85237366645</v>
      </c>
      <c r="G35" s="50" t="s">
        <v>161</v>
      </c>
      <c r="H35" s="50">
        <f t="shared" si="8"/>
        <v>76768.835043438783</v>
      </c>
      <c r="I35" s="50" t="s">
        <v>161</v>
      </c>
      <c r="J35" s="50" t="s">
        <v>161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3"/>
      <c r="C39" s="53"/>
      <c r="D39" s="53"/>
      <c r="E39" s="53"/>
      <c r="F39" s="53"/>
      <c r="G39" s="53"/>
      <c r="H39" s="53"/>
      <c r="I39" s="53"/>
      <c r="J39" s="52"/>
    </row>
    <row r="40" spans="1:10" x14ac:dyDescent="0.25">
      <c r="A40" s="2" t="s">
        <v>14</v>
      </c>
      <c r="B40" s="50">
        <f>B11/B29*100</f>
        <v>0.41421588932151443</v>
      </c>
      <c r="C40" s="50">
        <f t="shared" ref="C40:J40" si="9">C11/C29*100</f>
        <v>0.19882362687432689</v>
      </c>
      <c r="D40" s="50">
        <f t="shared" si="9"/>
        <v>0.11045757048573716</v>
      </c>
      <c r="E40" s="50">
        <f t="shared" si="9"/>
        <v>8.8366056388589742E-2</v>
      </c>
      <c r="F40" s="50">
        <f t="shared" si="9"/>
        <v>0.10309373245335469</v>
      </c>
      <c r="G40" s="50">
        <f t="shared" si="9"/>
        <v>0</v>
      </c>
      <c r="H40" s="50">
        <f t="shared" si="9"/>
        <v>0.10309373245335469</v>
      </c>
      <c r="I40" s="50">
        <f t="shared" si="9"/>
        <v>0.10309373245335469</v>
      </c>
      <c r="J40" s="50">
        <f t="shared" si="9"/>
        <v>9.204797540478097E-3</v>
      </c>
    </row>
    <row r="41" spans="1:10" x14ac:dyDescent="0.25">
      <c r="A41" s="2" t="s">
        <v>15</v>
      </c>
      <c r="B41" s="50">
        <f t="shared" ref="B41" si="10">B12/B29*100</f>
        <v>0.43998932243485306</v>
      </c>
      <c r="C41" s="50">
        <f t="shared" ref="C41:J41" si="11">C12/C29*100</f>
        <v>0.14819724040169735</v>
      </c>
      <c r="D41" s="50">
        <f t="shared" si="11"/>
        <v>9.3888934912876587E-2</v>
      </c>
      <c r="E41" s="50">
        <f t="shared" si="11"/>
        <v>5.4308305488820777E-2</v>
      </c>
      <c r="F41" s="50">
        <f t="shared" si="11"/>
        <v>0.29179208203315565</v>
      </c>
      <c r="G41" s="50">
        <f t="shared" si="11"/>
        <v>0</v>
      </c>
      <c r="H41" s="50">
        <f t="shared" si="11"/>
        <v>0.29179208203315565</v>
      </c>
      <c r="I41" s="50">
        <f t="shared" si="11"/>
        <v>0</v>
      </c>
      <c r="J41" s="50">
        <f t="shared" si="11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 t="shared" ref="B44" si="12">B12/B11*100</f>
        <v>106.22222222222221</v>
      </c>
      <c r="C44" s="50">
        <f t="shared" ref="C44:J44" si="13">C12/C11*100</f>
        <v>74.537037037037038</v>
      </c>
      <c r="D44" s="50">
        <f t="shared" si="13"/>
        <v>85</v>
      </c>
      <c r="E44" s="50">
        <f t="shared" si="13"/>
        <v>61.458333333333336</v>
      </c>
      <c r="F44" s="50">
        <f t="shared" si="13"/>
        <v>283.03571428571428</v>
      </c>
      <c r="G44" s="50" t="s">
        <v>162</v>
      </c>
      <c r="H44" s="50">
        <f t="shared" si="13"/>
        <v>283.03571428571428</v>
      </c>
      <c r="I44" s="50">
        <f t="shared" si="13"/>
        <v>0</v>
      </c>
      <c r="J44" s="50">
        <f t="shared" si="13"/>
        <v>0</v>
      </c>
    </row>
    <row r="45" spans="1:10" x14ac:dyDescent="0.25">
      <c r="A45" s="2" t="s">
        <v>18</v>
      </c>
      <c r="B45" s="50">
        <f t="shared" ref="B45" si="14">B18/B17*100</f>
        <v>74.825909514946332</v>
      </c>
      <c r="C45" s="50">
        <f t="shared" ref="C45:J45" si="15">C18/C17*100</f>
        <v>74.069952469135799</v>
      </c>
      <c r="D45" s="50">
        <f t="shared" si="15"/>
        <v>80.326222222222228</v>
      </c>
      <c r="E45" s="50">
        <f t="shared" si="15"/>
        <v>66.249615277777778</v>
      </c>
      <c r="F45" s="50">
        <f t="shared" si="15"/>
        <v>499.3729728591336</v>
      </c>
      <c r="G45" s="50" t="s">
        <v>162</v>
      </c>
      <c r="H45" s="50">
        <f t="shared" si="15"/>
        <v>356.84610641673993</v>
      </c>
      <c r="I45" s="50">
        <f t="shared" si="15"/>
        <v>13.913577669268012</v>
      </c>
      <c r="J45" s="50">
        <f t="shared" si="15"/>
        <v>0</v>
      </c>
    </row>
    <row r="46" spans="1:10" x14ac:dyDescent="0.25">
      <c r="A46" s="2" t="s">
        <v>19</v>
      </c>
      <c r="B46" s="50">
        <f t="shared" ref="B46" si="16">AVERAGE(B44:B45)</f>
        <v>90.524065868584273</v>
      </c>
      <c r="C46" s="50">
        <f t="shared" ref="C46:J46" si="17">AVERAGE(C44:C45)</f>
        <v>74.303494753086426</v>
      </c>
      <c r="D46" s="50">
        <f t="shared" si="17"/>
        <v>82.663111111111107</v>
      </c>
      <c r="E46" s="50">
        <f t="shared" si="17"/>
        <v>63.853974305555553</v>
      </c>
      <c r="F46" s="50">
        <f t="shared" si="17"/>
        <v>391.20434357242391</v>
      </c>
      <c r="G46" s="50" t="s">
        <v>162</v>
      </c>
      <c r="H46" s="50">
        <f t="shared" si="17"/>
        <v>319.9409103512271</v>
      </c>
      <c r="I46" s="50">
        <f t="shared" si="17"/>
        <v>6.9567888346340059</v>
      </c>
      <c r="J46" s="50">
        <f t="shared" si="17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 t="shared" ref="B49" si="18">B12/B13*100</f>
        <v>10.809588421528719</v>
      </c>
      <c r="C49" s="50">
        <f t="shared" ref="C49:J49" si="19">C12/C13*100</f>
        <v>15.451055662188098</v>
      </c>
      <c r="D49" s="50">
        <f t="shared" si="19"/>
        <v>15.501519756838904</v>
      </c>
      <c r="E49" s="50">
        <f t="shared" si="19"/>
        <v>15.364583333333334</v>
      </c>
      <c r="F49" s="50">
        <f t="shared" si="19"/>
        <v>12.431372549019608</v>
      </c>
      <c r="G49" s="50" t="s">
        <v>162</v>
      </c>
      <c r="H49" s="50">
        <f t="shared" si="19"/>
        <v>12.431372549019608</v>
      </c>
      <c r="I49" s="50">
        <f t="shared" si="19"/>
        <v>0</v>
      </c>
      <c r="J49" s="50">
        <f t="shared" si="19"/>
        <v>0</v>
      </c>
    </row>
    <row r="50" spans="1:10" x14ac:dyDescent="0.25">
      <c r="A50" s="2" t="s">
        <v>22</v>
      </c>
      <c r="B50" s="50">
        <f t="shared" ref="B50" si="20">B18/B19*100</f>
        <v>14.928193436770881</v>
      </c>
      <c r="C50" s="50">
        <f t="shared" ref="C50:J50" si="21">C18/C19*100</f>
        <v>15.354311533545328</v>
      </c>
      <c r="D50" s="50">
        <f t="shared" si="21"/>
        <v>14.649279248372777</v>
      </c>
      <c r="E50" s="50">
        <f t="shared" si="21"/>
        <v>16.562403819444445</v>
      </c>
      <c r="F50" s="50">
        <f t="shared" si="21"/>
        <v>21.933231875000001</v>
      </c>
      <c r="G50" s="50" t="s">
        <v>162</v>
      </c>
      <c r="H50" s="50">
        <f t="shared" si="21"/>
        <v>15.673231874999999</v>
      </c>
      <c r="I50" s="50">
        <f t="shared" si="21"/>
        <v>1.9978470000000002</v>
      </c>
      <c r="J50" s="50">
        <f t="shared" si="21"/>
        <v>0</v>
      </c>
    </row>
    <row r="51" spans="1:10" x14ac:dyDescent="0.25">
      <c r="A51" s="2" t="s">
        <v>23</v>
      </c>
      <c r="B51" s="50">
        <f t="shared" ref="B51" si="22">(B49+B50)/2</f>
        <v>12.868890929149799</v>
      </c>
      <c r="C51" s="50">
        <f t="shared" ref="C51:J51" si="23">(C49+C50)/2</f>
        <v>15.402683597866712</v>
      </c>
      <c r="D51" s="50">
        <f t="shared" si="23"/>
        <v>15.07539950260584</v>
      </c>
      <c r="E51" s="50">
        <f t="shared" si="23"/>
        <v>15.963493576388888</v>
      </c>
      <c r="F51" s="50">
        <f t="shared" si="23"/>
        <v>17.182302212009805</v>
      </c>
      <c r="G51" s="50" t="s">
        <v>162</v>
      </c>
      <c r="H51" s="50">
        <f t="shared" si="23"/>
        <v>14.052302212009803</v>
      </c>
      <c r="I51" s="50">
        <f t="shared" si="23"/>
        <v>0.99892350000000008</v>
      </c>
      <c r="J51" s="50">
        <f t="shared" si="23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 t="shared" ref="B53" si="24"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 t="shared" ref="B56" si="25">((B12/B10)-1)*100</f>
        <v>130.91787439613526</v>
      </c>
      <c r="C56" s="50">
        <f t="shared" ref="C56:E56" si="26">((C12/C10)-1)*100</f>
        <v>-22.222222222222221</v>
      </c>
      <c r="D56" s="50">
        <f t="shared" si="26"/>
        <v>112.5</v>
      </c>
      <c r="E56" s="50">
        <f t="shared" si="26"/>
        <v>-62.8930817610063</v>
      </c>
      <c r="F56" s="50" t="s">
        <v>162</v>
      </c>
      <c r="G56" s="50" t="s">
        <v>162</v>
      </c>
      <c r="H56" s="50" t="s">
        <v>162</v>
      </c>
      <c r="I56" s="50" t="s">
        <v>162</v>
      </c>
      <c r="J56" s="50" t="s">
        <v>162</v>
      </c>
    </row>
    <row r="57" spans="1:10" x14ac:dyDescent="0.25">
      <c r="A57" s="2" t="s">
        <v>27</v>
      </c>
      <c r="B57" s="50">
        <f t="shared" ref="B57" si="27">((B33/B32)-1)*100</f>
        <v>-1.0135566512988858</v>
      </c>
      <c r="C57" s="50">
        <f t="shared" ref="C57:H57" si="28">((C33/C32)-1)*100</f>
        <v>-3.4515234999357824</v>
      </c>
      <c r="D57" s="50">
        <f t="shared" si="28"/>
        <v>139.42327828548167</v>
      </c>
      <c r="E57" s="50">
        <f t="shared" si="28"/>
        <v>-49.30312185299104</v>
      </c>
      <c r="F57" s="50">
        <f t="shared" si="28"/>
        <v>58.321306466932079</v>
      </c>
      <c r="G57" s="50" t="s">
        <v>162</v>
      </c>
      <c r="H57" s="50">
        <f t="shared" si="28"/>
        <v>13.134560430992725</v>
      </c>
      <c r="I57" s="50" t="s">
        <v>162</v>
      </c>
      <c r="J57" s="50" t="s">
        <v>162</v>
      </c>
    </row>
    <row r="58" spans="1:10" x14ac:dyDescent="0.25">
      <c r="A58" s="2" t="s">
        <v>28</v>
      </c>
      <c r="B58" s="50">
        <f t="shared" ref="B58" si="29">((B35/B34)-1)*100</f>
        <v>-57.133485830165</v>
      </c>
      <c r="C58" s="50">
        <f t="shared" ref="C58:E58" si="30">((C35/C34)-1)*100</f>
        <v>24.133755500082565</v>
      </c>
      <c r="D58" s="50">
        <f t="shared" si="30"/>
        <v>12.669778016697242</v>
      </c>
      <c r="E58" s="50">
        <f t="shared" si="30"/>
        <v>36.62379026058349</v>
      </c>
      <c r="F58" s="50" t="s">
        <v>162</v>
      </c>
      <c r="G58" s="50" t="s">
        <v>162</v>
      </c>
      <c r="H58" s="50" t="s">
        <v>162</v>
      </c>
      <c r="I58" s="50" t="s">
        <v>162</v>
      </c>
      <c r="J58" s="50" t="s">
        <v>162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0">
        <f t="shared" ref="B61:B62" si="31">B17/B11</f>
        <v>1891969.8244444444</v>
      </c>
      <c r="C61" s="50">
        <f t="shared" ref="C61:J61" si="32">C17/C11</f>
        <v>3750000</v>
      </c>
      <c r="D61" s="50">
        <f t="shared" si="32"/>
        <v>3750000</v>
      </c>
      <c r="E61" s="50">
        <f t="shared" si="32"/>
        <v>3750000</v>
      </c>
      <c r="F61" s="50">
        <f t="shared" si="32"/>
        <v>62745.0625</v>
      </c>
      <c r="G61" s="50" t="s">
        <v>162</v>
      </c>
      <c r="H61" s="50">
        <f t="shared" si="32"/>
        <v>62745.0625</v>
      </c>
      <c r="I61" s="50">
        <f t="shared" si="32"/>
        <v>128205.125</v>
      </c>
      <c r="J61" s="50">
        <f t="shared" si="32"/>
        <v>2000000</v>
      </c>
    </row>
    <row r="62" spans="1:10" x14ac:dyDescent="0.25">
      <c r="A62" s="2" t="s">
        <v>31</v>
      </c>
      <c r="B62" s="50">
        <f t="shared" si="31"/>
        <v>1332756.5543933054</v>
      </c>
      <c r="C62" s="50">
        <f t="shared" ref="C62:H62" si="33">C18/C12</f>
        <v>3726500.7142857141</v>
      </c>
      <c r="D62" s="50">
        <f t="shared" si="33"/>
        <v>3543803.9215686275</v>
      </c>
      <c r="E62" s="50">
        <f t="shared" si="33"/>
        <v>4042349.4067796608</v>
      </c>
      <c r="F62" s="50">
        <f t="shared" si="33"/>
        <v>110704.0094637224</v>
      </c>
      <c r="G62" s="50" t="s">
        <v>162</v>
      </c>
      <c r="H62" s="50">
        <f t="shared" si="33"/>
        <v>79107.79495268139</v>
      </c>
      <c r="I62" s="50" t="s">
        <v>162</v>
      </c>
      <c r="J62" s="50" t="s">
        <v>162</v>
      </c>
    </row>
    <row r="63" spans="1:10" x14ac:dyDescent="0.25">
      <c r="A63" s="2" t="s">
        <v>32</v>
      </c>
      <c r="B63" s="50">
        <f>(B62/B61)*B46</f>
        <v>63.767688341495351</v>
      </c>
      <c r="C63" s="50">
        <f>(C62/C61)*C46</f>
        <v>73.83787367234703</v>
      </c>
      <c r="D63" s="50">
        <f t="shared" ref="D63:H63" si="34">(D62/D61)*D46</f>
        <v>78.117828619898333</v>
      </c>
      <c r="E63" s="50">
        <f t="shared" si="34"/>
        <v>68.832020041222975</v>
      </c>
      <c r="F63" s="50">
        <f t="shared" si="34"/>
        <v>690.21987750973915</v>
      </c>
      <c r="G63" s="50" t="s">
        <v>162</v>
      </c>
      <c r="H63" s="50">
        <f t="shared" si="34"/>
        <v>403.37548365720562</v>
      </c>
      <c r="I63" s="50" t="s">
        <v>162</v>
      </c>
      <c r="J63" s="50" t="s">
        <v>162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38" t="s">
        <v>1</v>
      </c>
      <c r="C65" s="38"/>
      <c r="D65" s="38" t="s">
        <v>69</v>
      </c>
      <c r="E65" s="38" t="s">
        <v>71</v>
      </c>
      <c r="F65" s="38"/>
      <c r="G65" s="38"/>
      <c r="H65" s="50"/>
      <c r="I65" s="50"/>
      <c r="J65" s="52"/>
    </row>
    <row r="66" spans="1:10" x14ac:dyDescent="0.25">
      <c r="A66" s="2" t="s">
        <v>34</v>
      </c>
      <c r="B66" s="50">
        <f>(B24/B23)*100</f>
        <v>124.9139020494197</v>
      </c>
      <c r="C66" s="50"/>
      <c r="D66" s="54">
        <f>(D24/D23)*100</f>
        <v>136.33333333333331</v>
      </c>
      <c r="E66" s="54">
        <f>(E24/E23)*100</f>
        <v>112.11141594398879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(B18/B24)*100</f>
        <v>59.901987118569835</v>
      </c>
      <c r="C67" s="50"/>
      <c r="D67" s="54">
        <f>(D18+G18)/D24*100</f>
        <v>60.551589242053794</v>
      </c>
      <c r="E67" s="54">
        <f>(H18+E18+I18)/E24*100</f>
        <v>59.016362890200355</v>
      </c>
      <c r="F67" s="50"/>
      <c r="G67" s="50"/>
      <c r="H67" s="50"/>
      <c r="I67" s="50"/>
      <c r="J67" s="55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4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</sheetData>
  <mergeCells count="8">
    <mergeCell ref="J5:J6"/>
    <mergeCell ref="C4:J4"/>
    <mergeCell ref="B4:B6"/>
    <mergeCell ref="I5:I6"/>
    <mergeCell ref="A2:I2"/>
    <mergeCell ref="C5:E5"/>
    <mergeCell ref="A4:A6"/>
    <mergeCell ref="F5:H5"/>
  </mergeCells>
  <pageMargins left="0.7" right="0.7" top="0.75" bottom="0.75" header="0.3" footer="0.3"/>
  <pageSetup orientation="portrait" r:id="rId1"/>
  <ignoredErrors>
    <ignoredError sqref="F10 F16 F11:F15 F17:F19" formulaRange="1"/>
    <ignoredError sqref="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81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28515625" style="2" customWidth="1"/>
    <col min="2" max="10" width="17.5703125" style="2" customWidth="1"/>
    <col min="11" max="16384" width="11.42578125" style="2"/>
  </cols>
  <sheetData>
    <row r="2" spans="1:10" x14ac:dyDescent="0.25">
      <c r="A2" s="68" t="s">
        <v>92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47"/>
      <c r="B7" s="46"/>
      <c r="C7" s="37"/>
      <c r="D7" s="37"/>
      <c r="E7" s="37"/>
      <c r="F7" s="37"/>
      <c r="G7" s="37"/>
      <c r="H7" s="46"/>
      <c r="I7" s="4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93</v>
      </c>
      <c r="B10" s="5">
        <f>+C10+F10+I10+J10</f>
        <v>255</v>
      </c>
      <c r="C10" s="5">
        <f>SUM(D10:E10)</f>
        <v>255</v>
      </c>
      <c r="D10" s="5">
        <v>176</v>
      </c>
      <c r="E10" s="5">
        <v>79</v>
      </c>
      <c r="F10" s="5">
        <f>SUM(G10:H10)</f>
        <v>0</v>
      </c>
      <c r="G10" s="5">
        <v>0</v>
      </c>
      <c r="H10" s="5">
        <v>0</v>
      </c>
      <c r="I10" s="5">
        <v>0</v>
      </c>
      <c r="J10" s="2">
        <v>0</v>
      </c>
    </row>
    <row r="11" spans="1:10" x14ac:dyDescent="0.25">
      <c r="A11" s="2" t="s">
        <v>94</v>
      </c>
      <c r="B11" s="5">
        <f t="shared" ref="B11:B13" si="0">+C11+F11+I11+J11</f>
        <v>805</v>
      </c>
      <c r="C11" s="5">
        <f>SUM(D11:E11)</f>
        <v>261</v>
      </c>
      <c r="D11" s="5">
        <v>165</v>
      </c>
      <c r="E11" s="5">
        <v>96</v>
      </c>
      <c r="F11" s="5">
        <f t="shared" ref="F11:F13" si="1">SUM(G11:H11)</f>
        <v>300</v>
      </c>
      <c r="G11" s="5">
        <v>0</v>
      </c>
      <c r="H11" s="5">
        <v>300</v>
      </c>
      <c r="I11" s="5">
        <v>224</v>
      </c>
      <c r="J11" s="5">
        <v>20</v>
      </c>
    </row>
    <row r="12" spans="1:10" x14ac:dyDescent="0.25">
      <c r="A12" s="2" t="s">
        <v>95</v>
      </c>
      <c r="B12" s="5">
        <f t="shared" si="0"/>
        <v>443</v>
      </c>
      <c r="C12" s="5">
        <f>SUM(D12:E12)</f>
        <v>243</v>
      </c>
      <c r="D12" s="5">
        <v>163</v>
      </c>
      <c r="E12" s="5">
        <v>80</v>
      </c>
      <c r="F12" s="5">
        <f t="shared" si="1"/>
        <v>84</v>
      </c>
      <c r="G12" s="5">
        <v>0</v>
      </c>
      <c r="H12" s="5">
        <v>84</v>
      </c>
      <c r="I12" s="5">
        <v>116</v>
      </c>
    </row>
    <row r="13" spans="1:10" x14ac:dyDescent="0.25">
      <c r="A13" s="2" t="s">
        <v>78</v>
      </c>
      <c r="B13" s="5">
        <f t="shared" si="0"/>
        <v>4422</v>
      </c>
      <c r="C13" s="5">
        <f>SUM(D13:E13)</f>
        <v>1042</v>
      </c>
      <c r="D13" s="5">
        <v>658</v>
      </c>
      <c r="E13" s="5">
        <v>384</v>
      </c>
      <c r="F13" s="5">
        <f t="shared" si="1"/>
        <v>2550</v>
      </c>
      <c r="G13" s="40">
        <v>0</v>
      </c>
      <c r="H13" s="40">
        <v>2550</v>
      </c>
      <c r="I13" s="5">
        <v>780</v>
      </c>
      <c r="J13" s="5">
        <v>50</v>
      </c>
    </row>
    <row r="14" spans="1:10" x14ac:dyDescent="0.25"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7</v>
      </c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2" t="s">
        <v>96</v>
      </c>
      <c r="B16" s="57">
        <f>+C16+F16+I16+J16</f>
        <v>786721290</v>
      </c>
      <c r="C16" s="57">
        <f>SUM(D16:E16)</f>
        <v>785369000</v>
      </c>
      <c r="D16" s="57">
        <v>544952000</v>
      </c>
      <c r="E16" s="57">
        <v>240417000</v>
      </c>
      <c r="F16" s="57">
        <f>SUM(G16:H16)</f>
        <v>1352290</v>
      </c>
      <c r="G16" s="57">
        <v>0</v>
      </c>
      <c r="H16" s="57">
        <v>1352290</v>
      </c>
      <c r="I16" s="57">
        <v>0</v>
      </c>
      <c r="J16" s="57">
        <v>0</v>
      </c>
    </row>
    <row r="17" spans="1:10" x14ac:dyDescent="0.25">
      <c r="A17" s="2" t="s">
        <v>94</v>
      </c>
      <c r="B17" s="57">
        <f t="shared" ref="B17:B20" si="2">+C17+F17+I17+J17</f>
        <v>1066291479</v>
      </c>
      <c r="C17" s="57">
        <f>SUM(D17:E17)</f>
        <v>978750000</v>
      </c>
      <c r="D17" s="57">
        <v>618750000</v>
      </c>
      <c r="E17" s="57">
        <v>360000000</v>
      </c>
      <c r="F17" s="57">
        <f t="shared" ref="F17:F19" si="3">SUM(G17:H17)</f>
        <v>18823530</v>
      </c>
      <c r="G17" s="57">
        <v>0</v>
      </c>
      <c r="H17" s="57">
        <v>18823530</v>
      </c>
      <c r="I17" s="57">
        <v>28717949</v>
      </c>
      <c r="J17" s="57">
        <v>40000000</v>
      </c>
    </row>
    <row r="18" spans="1:10" x14ac:dyDescent="0.25">
      <c r="A18" s="2" t="s">
        <v>95</v>
      </c>
      <c r="B18" s="57">
        <f t="shared" si="2"/>
        <v>720269096</v>
      </c>
      <c r="C18" s="57">
        <f>SUM(D18:E18)</f>
        <v>704536360</v>
      </c>
      <c r="D18" s="57">
        <v>486000360</v>
      </c>
      <c r="E18" s="57">
        <v>218536000</v>
      </c>
      <c r="F18" s="57">
        <f t="shared" si="3"/>
        <v>14916839</v>
      </c>
      <c r="G18" s="57">
        <v>0</v>
      </c>
      <c r="H18" s="57">
        <v>14916839</v>
      </c>
      <c r="I18" s="57">
        <v>815897</v>
      </c>
      <c r="J18" s="57">
        <v>0</v>
      </c>
    </row>
    <row r="19" spans="1:10" x14ac:dyDescent="0.25">
      <c r="A19" s="2" t="s">
        <v>78</v>
      </c>
      <c r="B19" s="57">
        <f t="shared" si="2"/>
        <v>4267479757</v>
      </c>
      <c r="C19" s="57">
        <f>SUM(D19:E19)</f>
        <v>3907479757</v>
      </c>
      <c r="D19" s="57">
        <v>2467479757</v>
      </c>
      <c r="E19" s="57">
        <v>1440000000</v>
      </c>
      <c r="F19" s="57">
        <f t="shared" si="3"/>
        <v>160000000</v>
      </c>
      <c r="G19" s="57">
        <v>0</v>
      </c>
      <c r="H19" s="57">
        <v>160000000</v>
      </c>
      <c r="I19" s="57">
        <v>100000000</v>
      </c>
      <c r="J19" s="57">
        <v>100000000</v>
      </c>
    </row>
    <row r="20" spans="1:10" x14ac:dyDescent="0.25">
      <c r="A20" s="2" t="s">
        <v>97</v>
      </c>
      <c r="B20" s="57">
        <f t="shared" si="2"/>
        <v>720269096</v>
      </c>
      <c r="C20" s="57">
        <f>SUM(D20:E20)</f>
        <v>704536360</v>
      </c>
      <c r="D20" s="57">
        <f>D18</f>
        <v>486000360</v>
      </c>
      <c r="E20" s="57">
        <f>E18</f>
        <v>218536000</v>
      </c>
      <c r="F20" s="57">
        <f>SUM(G20:H20)</f>
        <v>14916839</v>
      </c>
      <c r="G20" s="57">
        <f t="shared" ref="G20:J20" si="4">G18</f>
        <v>0</v>
      </c>
      <c r="H20" s="57">
        <f t="shared" si="4"/>
        <v>14916839</v>
      </c>
      <c r="I20" s="57">
        <f t="shared" si="4"/>
        <v>815897</v>
      </c>
      <c r="J20" s="57">
        <f t="shared" si="4"/>
        <v>0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1"/>
      <c r="I22" s="1"/>
    </row>
    <row r="23" spans="1:10" x14ac:dyDescent="0.25">
      <c r="A23" s="2" t="s">
        <v>94</v>
      </c>
      <c r="B23" s="5">
        <f>B17</f>
        <v>1066291479</v>
      </c>
      <c r="C23" s="5"/>
      <c r="D23" s="40">
        <f>D17+G17</f>
        <v>618750000</v>
      </c>
      <c r="E23" s="5">
        <f>E17+H17+I17+J17</f>
        <v>447541479</v>
      </c>
      <c r="F23" s="39"/>
      <c r="G23" s="5"/>
      <c r="H23" s="5"/>
      <c r="I23" s="5"/>
    </row>
    <row r="24" spans="1:10" x14ac:dyDescent="0.25">
      <c r="A24" s="2" t="s">
        <v>95</v>
      </c>
      <c r="B24" s="5">
        <f>D24+E24</f>
        <v>925140000</v>
      </c>
      <c r="C24" s="1"/>
      <c r="D24" s="5">
        <v>625140000</v>
      </c>
      <c r="E24" s="5">
        <v>300000000</v>
      </c>
      <c r="F24" s="5"/>
      <c r="G24" s="5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</v>
      </c>
      <c r="B26" s="1"/>
      <c r="C26" s="1"/>
      <c r="D26" s="1"/>
      <c r="E26" s="1"/>
      <c r="F26" s="1"/>
      <c r="G26" s="1"/>
      <c r="H26" s="1"/>
      <c r="I26" s="1"/>
    </row>
    <row r="27" spans="1:10" x14ac:dyDescent="0.25">
      <c r="A27" s="2" t="s">
        <v>98</v>
      </c>
      <c r="B27" s="48">
        <v>1.0088033727000001</v>
      </c>
      <c r="C27" s="48">
        <v>1.0088033727000001</v>
      </c>
      <c r="D27" s="48">
        <v>1.0088033727000001</v>
      </c>
      <c r="E27" s="48">
        <v>1.0088033727000001</v>
      </c>
      <c r="F27" s="48">
        <v>1.0088033727000001</v>
      </c>
      <c r="G27" s="48">
        <v>1.0088033727000001</v>
      </c>
      <c r="H27" s="48">
        <v>1.0088033727000001</v>
      </c>
      <c r="I27" s="48">
        <v>1.0088033727000001</v>
      </c>
      <c r="J27" s="48">
        <v>1.0088033727000001</v>
      </c>
    </row>
    <row r="28" spans="1:10" x14ac:dyDescent="0.25">
      <c r="A28" s="2" t="s">
        <v>99</v>
      </c>
      <c r="B28" s="48">
        <v>1.0303325644000001</v>
      </c>
      <c r="C28" s="48">
        <v>1.0303325644000001</v>
      </c>
      <c r="D28" s="48">
        <v>1.0303325644000001</v>
      </c>
      <c r="E28" s="48">
        <v>1.0303325644000001</v>
      </c>
      <c r="F28" s="48">
        <v>1.0303325644000001</v>
      </c>
      <c r="G28" s="48">
        <v>1.0303325644000001</v>
      </c>
      <c r="H28" s="48">
        <v>1.0303325644000001</v>
      </c>
      <c r="I28" s="48">
        <v>1.0303325644000001</v>
      </c>
      <c r="J28" s="48">
        <v>1.0303325644000001</v>
      </c>
    </row>
    <row r="29" spans="1:10" x14ac:dyDescent="0.25">
      <c r="A29" s="2" t="s">
        <v>10</v>
      </c>
      <c r="B29" s="5">
        <v>108639</v>
      </c>
      <c r="C29" s="5">
        <v>108639</v>
      </c>
      <c r="D29" s="5">
        <v>108639</v>
      </c>
      <c r="E29" s="5">
        <v>108639</v>
      </c>
      <c r="F29" s="5">
        <v>108639</v>
      </c>
      <c r="G29" s="5">
        <v>108639</v>
      </c>
      <c r="H29" s="5">
        <v>108639</v>
      </c>
      <c r="I29" s="5">
        <v>108639</v>
      </c>
      <c r="J29" s="5">
        <v>108639</v>
      </c>
    </row>
    <row r="30" spans="1:10" x14ac:dyDescent="0.25"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11</v>
      </c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2" t="s">
        <v>100</v>
      </c>
      <c r="B32" s="50">
        <f>B16/B27</f>
        <v>779855927.61688423</v>
      </c>
      <c r="C32" s="50">
        <f t="shared" ref="C32:J32" si="5">C16/C27</f>
        <v>778515438.44268501</v>
      </c>
      <c r="D32" s="50">
        <f t="shared" si="5"/>
        <v>540196449.32537198</v>
      </c>
      <c r="E32" s="50">
        <f t="shared" si="5"/>
        <v>238318989.11731303</v>
      </c>
      <c r="F32" s="50">
        <f t="shared" si="5"/>
        <v>1340489.1741992091</v>
      </c>
      <c r="G32" s="50">
        <f t="shared" si="5"/>
        <v>0</v>
      </c>
      <c r="H32" s="50">
        <f t="shared" si="5"/>
        <v>1340489.1741992091</v>
      </c>
      <c r="I32" s="50">
        <f t="shared" si="5"/>
        <v>0</v>
      </c>
      <c r="J32" s="50">
        <f t="shared" si="5"/>
        <v>0</v>
      </c>
    </row>
    <row r="33" spans="1:10" x14ac:dyDescent="0.25">
      <c r="A33" s="2" t="s">
        <v>101</v>
      </c>
      <c r="B33" s="50">
        <f>B18/B28</f>
        <v>699064671.8221885</v>
      </c>
      <c r="C33" s="50">
        <f t="shared" ref="C33:J33" si="6">C18/C28</f>
        <v>683795101.06067252</v>
      </c>
      <c r="D33" s="50">
        <f t="shared" si="6"/>
        <v>471692710.4822855</v>
      </c>
      <c r="E33" s="50">
        <f t="shared" si="6"/>
        <v>212102390.57838711</v>
      </c>
      <c r="F33" s="50">
        <f t="shared" si="6"/>
        <v>14477693.431621872</v>
      </c>
      <c r="G33" s="50">
        <f t="shared" si="6"/>
        <v>0</v>
      </c>
      <c r="H33" s="50">
        <f t="shared" si="6"/>
        <v>14477693.431621872</v>
      </c>
      <c r="I33" s="50">
        <f t="shared" si="6"/>
        <v>791877.32989408751</v>
      </c>
      <c r="J33" s="50">
        <f t="shared" si="6"/>
        <v>0</v>
      </c>
    </row>
    <row r="34" spans="1:10" x14ac:dyDescent="0.25">
      <c r="A34" s="2" t="s">
        <v>102</v>
      </c>
      <c r="B34" s="50">
        <f>B32/B10</f>
        <v>3058258.5396740558</v>
      </c>
      <c r="C34" s="50">
        <f t="shared" ref="C34:E34" si="7">C32/C10</f>
        <v>3053001.7193830786</v>
      </c>
      <c r="D34" s="50">
        <f t="shared" si="7"/>
        <v>3069298.0075305225</v>
      </c>
      <c r="E34" s="50">
        <f t="shared" si="7"/>
        <v>3016696.0647761142</v>
      </c>
      <c r="F34" s="50" t="s">
        <v>162</v>
      </c>
      <c r="G34" s="50" t="s">
        <v>162</v>
      </c>
      <c r="H34" s="50" t="s">
        <v>162</v>
      </c>
      <c r="I34" s="50" t="s">
        <v>162</v>
      </c>
      <c r="J34" s="50" t="s">
        <v>162</v>
      </c>
    </row>
    <row r="35" spans="1:10" x14ac:dyDescent="0.25">
      <c r="A35" s="2" t="s">
        <v>103</v>
      </c>
      <c r="B35" s="50">
        <f>B33/B12</f>
        <v>1578024.0898920733</v>
      </c>
      <c r="C35" s="50">
        <f t="shared" ref="C35:H35" si="8">C33/C12</f>
        <v>2813971.6093031792</v>
      </c>
      <c r="D35" s="50">
        <f t="shared" si="8"/>
        <v>2893820.3097072728</v>
      </c>
      <c r="E35" s="50">
        <f t="shared" si="8"/>
        <v>2651279.882229839</v>
      </c>
      <c r="F35" s="50">
        <f t="shared" si="8"/>
        <v>172353.4932335937</v>
      </c>
      <c r="G35" s="50" t="s">
        <v>162</v>
      </c>
      <c r="H35" s="50">
        <f t="shared" si="8"/>
        <v>172353.4932335937</v>
      </c>
      <c r="I35" s="50" t="s">
        <v>162</v>
      </c>
      <c r="J35" s="50" t="s">
        <v>162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>B11/B29*100</f>
        <v>0.74098620200848686</v>
      </c>
      <c r="C40" s="50">
        <f t="shared" ref="C40:J40" si="9">C11/C29*100</f>
        <v>0.24024521580647834</v>
      </c>
      <c r="D40" s="50">
        <f t="shared" si="9"/>
        <v>0.1518791594178886</v>
      </c>
      <c r="E40" s="50">
        <f t="shared" si="9"/>
        <v>8.8366056388589742E-2</v>
      </c>
      <c r="F40" s="50">
        <f t="shared" si="9"/>
        <v>0.27614392621434292</v>
      </c>
      <c r="G40" s="50">
        <f t="shared" si="9"/>
        <v>0</v>
      </c>
      <c r="H40" s="50">
        <f t="shared" si="9"/>
        <v>0.27614392621434292</v>
      </c>
      <c r="I40" s="50">
        <f t="shared" si="9"/>
        <v>0.20618746490670939</v>
      </c>
      <c r="J40" s="50">
        <f t="shared" si="9"/>
        <v>1.8409595080956194E-2</v>
      </c>
    </row>
    <row r="41" spans="1:10" x14ac:dyDescent="0.25">
      <c r="A41" s="2" t="s">
        <v>15</v>
      </c>
      <c r="B41" s="50">
        <f>B12/B29*100</f>
        <v>0.40777253104317973</v>
      </c>
      <c r="C41" s="50">
        <f t="shared" ref="C41:J41" si="10">C12/C29*100</f>
        <v>0.22367658023361775</v>
      </c>
      <c r="D41" s="50">
        <f t="shared" si="10"/>
        <v>0.150038199909793</v>
      </c>
      <c r="E41" s="50">
        <f t="shared" si="10"/>
        <v>7.3638380323824776E-2</v>
      </c>
      <c r="F41" s="50">
        <f t="shared" si="10"/>
        <v>7.732029934001601E-2</v>
      </c>
      <c r="G41" s="50">
        <f t="shared" si="10"/>
        <v>0</v>
      </c>
      <c r="H41" s="50">
        <f t="shared" si="10"/>
        <v>7.732029934001601E-2</v>
      </c>
      <c r="I41" s="50">
        <f t="shared" si="10"/>
        <v>0.10677565146954592</v>
      </c>
      <c r="J41" s="50">
        <f t="shared" si="10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>B12/B11*100</f>
        <v>55.031055900621119</v>
      </c>
      <c r="C44" s="50">
        <f t="shared" ref="C44:J44" si="11">C12/C11*100</f>
        <v>93.103448275862064</v>
      </c>
      <c r="D44" s="50">
        <f t="shared" si="11"/>
        <v>98.787878787878796</v>
      </c>
      <c r="E44" s="50">
        <f t="shared" si="11"/>
        <v>83.333333333333343</v>
      </c>
      <c r="F44" s="50">
        <f t="shared" si="11"/>
        <v>28.000000000000004</v>
      </c>
      <c r="G44" s="50" t="s">
        <v>162</v>
      </c>
      <c r="H44" s="50">
        <f t="shared" si="11"/>
        <v>28.000000000000004</v>
      </c>
      <c r="I44" s="50">
        <f t="shared" si="11"/>
        <v>51.785714285714292</v>
      </c>
      <c r="J44" s="50">
        <f t="shared" si="11"/>
        <v>0</v>
      </c>
    </row>
    <row r="45" spans="1:10" x14ac:dyDescent="0.25">
      <c r="A45" s="2" t="s">
        <v>18</v>
      </c>
      <c r="B45" s="50">
        <f>B18/B17*100</f>
        <v>67.548987325256491</v>
      </c>
      <c r="C45" s="50">
        <f t="shared" ref="C45:J45" si="12">C18/C17*100</f>
        <v>71.983280715197964</v>
      </c>
      <c r="D45" s="50">
        <f t="shared" si="12"/>
        <v>78.545512727272722</v>
      </c>
      <c r="E45" s="50">
        <f t="shared" si="12"/>
        <v>60.704444444444448</v>
      </c>
      <c r="F45" s="50">
        <f t="shared" si="12"/>
        <v>79.245704711071724</v>
      </c>
      <c r="G45" s="50" t="s">
        <v>162</v>
      </c>
      <c r="H45" s="50">
        <f t="shared" si="12"/>
        <v>79.245704711071724</v>
      </c>
      <c r="I45" s="50">
        <f t="shared" si="12"/>
        <v>2.8410698828109209</v>
      </c>
      <c r="J45" s="50">
        <f t="shared" si="12"/>
        <v>0</v>
      </c>
    </row>
    <row r="46" spans="1:10" x14ac:dyDescent="0.25">
      <c r="A46" s="2" t="s">
        <v>19</v>
      </c>
      <c r="B46" s="50">
        <f>AVERAGE(B44:B45)</f>
        <v>61.290021612938801</v>
      </c>
      <c r="C46" s="50">
        <f t="shared" ref="C46:J46" si="13">AVERAGE(C44:C45)</f>
        <v>82.543364495530014</v>
      </c>
      <c r="D46" s="50">
        <f t="shared" si="13"/>
        <v>88.666695757575752</v>
      </c>
      <c r="E46" s="50">
        <f t="shared" si="13"/>
        <v>72.018888888888895</v>
      </c>
      <c r="F46" s="50">
        <f t="shared" si="13"/>
        <v>53.622852355535862</v>
      </c>
      <c r="G46" s="50" t="s">
        <v>162</v>
      </c>
      <c r="H46" s="50">
        <f t="shared" si="13"/>
        <v>53.622852355535862</v>
      </c>
      <c r="I46" s="50">
        <f t="shared" si="13"/>
        <v>27.313392084262606</v>
      </c>
      <c r="J46" s="50">
        <f t="shared" si="13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>B12/B13*100</f>
        <v>10.018091361374944</v>
      </c>
      <c r="C49" s="50">
        <f t="shared" ref="C49:J49" si="14">C12/C13*100</f>
        <v>23.320537428023034</v>
      </c>
      <c r="D49" s="50">
        <f t="shared" si="14"/>
        <v>24.772036474164132</v>
      </c>
      <c r="E49" s="50">
        <f t="shared" si="14"/>
        <v>20.833333333333336</v>
      </c>
      <c r="F49" s="50">
        <f t="shared" si="14"/>
        <v>3.2941176470588238</v>
      </c>
      <c r="G49" s="50" t="s">
        <v>162</v>
      </c>
      <c r="H49" s="50">
        <f t="shared" si="14"/>
        <v>3.2941176470588238</v>
      </c>
      <c r="I49" s="50">
        <f t="shared" si="14"/>
        <v>14.871794871794872</v>
      </c>
      <c r="J49" s="50">
        <f t="shared" si="14"/>
        <v>0</v>
      </c>
    </row>
    <row r="50" spans="1:10" x14ac:dyDescent="0.25">
      <c r="A50" s="2" t="s">
        <v>22</v>
      </c>
      <c r="B50" s="50">
        <f>B18/B19*100</f>
        <v>16.878090512756007</v>
      </c>
      <c r="C50" s="50">
        <f t="shared" ref="C50:J50" si="15">C18/C19*100</f>
        <v>18.030454508122993</v>
      </c>
      <c r="D50" s="50">
        <f t="shared" si="15"/>
        <v>19.696224806759378</v>
      </c>
      <c r="E50" s="50">
        <f t="shared" si="15"/>
        <v>15.176111111111112</v>
      </c>
      <c r="F50" s="50">
        <f t="shared" si="15"/>
        <v>9.3230243749999993</v>
      </c>
      <c r="G50" s="50" t="s">
        <v>162</v>
      </c>
      <c r="H50" s="50">
        <f t="shared" si="15"/>
        <v>9.3230243749999993</v>
      </c>
      <c r="I50" s="50">
        <f t="shared" si="15"/>
        <v>0.81589699999999998</v>
      </c>
      <c r="J50" s="50">
        <f t="shared" si="15"/>
        <v>0</v>
      </c>
    </row>
    <row r="51" spans="1:10" x14ac:dyDescent="0.25">
      <c r="A51" s="2" t="s">
        <v>23</v>
      </c>
      <c r="B51" s="50">
        <f>AVERAGE(B49:B50)</f>
        <v>13.448090937065476</v>
      </c>
      <c r="C51" s="50">
        <f t="shared" ref="C51:J51" si="16">AVERAGE(C49:C50)</f>
        <v>20.675495968073015</v>
      </c>
      <c r="D51" s="50">
        <f t="shared" si="16"/>
        <v>22.234130640461757</v>
      </c>
      <c r="E51" s="50">
        <f t="shared" si="16"/>
        <v>18.004722222222224</v>
      </c>
      <c r="F51" s="50">
        <f t="shared" si="16"/>
        <v>6.3085710110294118</v>
      </c>
      <c r="G51" s="50" t="s">
        <v>162</v>
      </c>
      <c r="H51" s="50">
        <f t="shared" si="16"/>
        <v>6.3085710110294118</v>
      </c>
      <c r="I51" s="50">
        <f t="shared" si="16"/>
        <v>7.843845935897436</v>
      </c>
      <c r="J51" s="50">
        <f t="shared" si="16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 t="shared" ref="B53" si="17"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>((B12/B10)-1)*100</f>
        <v>73.725490196078439</v>
      </c>
      <c r="C56" s="50">
        <f t="shared" ref="C56:E56" si="18">((C12/C10)-1)*100</f>
        <v>-4.705882352941182</v>
      </c>
      <c r="D56" s="50">
        <f t="shared" si="18"/>
        <v>-7.3863636363636349</v>
      </c>
      <c r="E56" s="50">
        <f t="shared" si="18"/>
        <v>1.2658227848101333</v>
      </c>
      <c r="F56" s="50" t="s">
        <v>162</v>
      </c>
      <c r="G56" s="50" t="s">
        <v>162</v>
      </c>
      <c r="H56" s="50" t="s">
        <v>162</v>
      </c>
      <c r="I56" s="50" t="s">
        <v>162</v>
      </c>
      <c r="J56" s="50" t="s">
        <v>162</v>
      </c>
    </row>
    <row r="57" spans="1:10" x14ac:dyDescent="0.25">
      <c r="A57" s="2" t="s">
        <v>27</v>
      </c>
      <c r="B57" s="50">
        <f>((B33/B32)-1)*100</f>
        <v>-10.359766840726714</v>
      </c>
      <c r="C57" s="50">
        <f t="shared" ref="C57:H57" si="19">((C33/C32)-1)*100</f>
        <v>-12.166789854737846</v>
      </c>
      <c r="D57" s="50">
        <f t="shared" si="19"/>
        <v>-12.681264182435459</v>
      </c>
      <c r="E57" s="50">
        <f t="shared" si="19"/>
        <v>-11.000633493800505</v>
      </c>
      <c r="F57" s="50">
        <f t="shared" si="19"/>
        <v>980.03061197944101</v>
      </c>
      <c r="G57" s="50" t="s">
        <v>162</v>
      </c>
      <c r="H57" s="50">
        <f t="shared" si="19"/>
        <v>980.03061197944101</v>
      </c>
      <c r="I57" s="50" t="s">
        <v>162</v>
      </c>
      <c r="J57" s="50" t="s">
        <v>162</v>
      </c>
    </row>
    <row r="58" spans="1:10" x14ac:dyDescent="0.25">
      <c r="A58" s="2" t="s">
        <v>28</v>
      </c>
      <c r="B58" s="50">
        <f>((B35/B34)-1)*100</f>
        <v>-48.401220190486036</v>
      </c>
      <c r="C58" s="50">
        <f t="shared" ref="C58:E58" si="20">((C35/C34)-1)*100</f>
        <v>-7.8293473784286078</v>
      </c>
      <c r="D58" s="50">
        <f t="shared" si="20"/>
        <v>-5.717193227660367</v>
      </c>
      <c r="E58" s="50">
        <f t="shared" si="20"/>
        <v>-12.113125575127992</v>
      </c>
      <c r="F58" s="50" t="s">
        <v>162</v>
      </c>
      <c r="G58" s="50" t="s">
        <v>162</v>
      </c>
      <c r="H58" s="50" t="s">
        <v>162</v>
      </c>
      <c r="I58" s="50" t="s">
        <v>162</v>
      </c>
      <c r="J58" s="50" t="s">
        <v>162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8">
        <f>B17/B11</f>
        <v>1324585.6881987578</v>
      </c>
      <c r="C61" s="58">
        <f t="shared" ref="C61:J61" si="21">C17/C11</f>
        <v>3750000</v>
      </c>
      <c r="D61" s="58">
        <f t="shared" si="21"/>
        <v>3750000</v>
      </c>
      <c r="E61" s="58">
        <f t="shared" si="21"/>
        <v>3750000</v>
      </c>
      <c r="F61" s="58">
        <f t="shared" si="21"/>
        <v>62745.1</v>
      </c>
      <c r="G61" s="50" t="s">
        <v>162</v>
      </c>
      <c r="H61" s="58">
        <f t="shared" si="21"/>
        <v>62745.1</v>
      </c>
      <c r="I61" s="58">
        <f t="shared" si="21"/>
        <v>128205.12946428571</v>
      </c>
      <c r="J61" s="58">
        <f t="shared" si="21"/>
        <v>2000000</v>
      </c>
    </row>
    <row r="62" spans="1:10" x14ac:dyDescent="0.25">
      <c r="A62" s="2" t="s">
        <v>31</v>
      </c>
      <c r="B62" s="58">
        <f t="shared" ref="B62" si="22">B18/B12</f>
        <v>1625889.6072234763</v>
      </c>
      <c r="C62" s="58">
        <f t="shared" ref="C62:I62" si="23">C18/C12</f>
        <v>2899326.5843621399</v>
      </c>
      <c r="D62" s="58">
        <f t="shared" si="23"/>
        <v>2981597.3006134969</v>
      </c>
      <c r="E62" s="58">
        <f t="shared" si="23"/>
        <v>2731700</v>
      </c>
      <c r="F62" s="58">
        <f t="shared" si="23"/>
        <v>177581.41666666666</v>
      </c>
      <c r="G62" s="50" t="s">
        <v>162</v>
      </c>
      <c r="H62" s="58">
        <f t="shared" si="23"/>
        <v>177581.41666666666</v>
      </c>
      <c r="I62" s="58">
        <f t="shared" si="23"/>
        <v>7033.5948275862065</v>
      </c>
      <c r="J62" s="50" t="s">
        <v>162</v>
      </c>
    </row>
    <row r="63" spans="1:10" x14ac:dyDescent="0.25">
      <c r="A63" s="2" t="s">
        <v>32</v>
      </c>
      <c r="B63" s="50">
        <f>(B62/B61)*B46</f>
        <v>75.231681917452946</v>
      </c>
      <c r="C63" s="50">
        <f t="shared" ref="C63:H63" si="24">(C62/C61)*C46</f>
        <v>63.818712278555779</v>
      </c>
      <c r="D63" s="50">
        <f t="shared" si="24"/>
        <v>70.498234860028276</v>
      </c>
      <c r="E63" s="50">
        <f t="shared" si="24"/>
        <v>52.462399674074078</v>
      </c>
      <c r="F63" s="50">
        <f t="shared" si="24"/>
        <v>151.76359726900685</v>
      </c>
      <c r="G63" s="50" t="s">
        <v>162</v>
      </c>
      <c r="H63" s="50">
        <f t="shared" si="24"/>
        <v>151.76359726900685</v>
      </c>
      <c r="I63" s="50" t="s">
        <v>162</v>
      </c>
      <c r="J63" s="50" t="s">
        <v>162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38" t="s">
        <v>1</v>
      </c>
      <c r="C65" s="38"/>
      <c r="D65" s="38" t="s">
        <v>69</v>
      </c>
      <c r="E65" s="38" t="s">
        <v>71</v>
      </c>
      <c r="F65" s="38"/>
      <c r="G65" s="38"/>
      <c r="H65" s="50"/>
      <c r="I65" s="50"/>
      <c r="J65" s="52"/>
    </row>
    <row r="66" spans="1:10" x14ac:dyDescent="0.25">
      <c r="A66" s="2" t="s">
        <v>34</v>
      </c>
      <c r="B66" s="50">
        <f>B24/B23*100</f>
        <v>86.762392668430948</v>
      </c>
      <c r="C66" s="50"/>
      <c r="D66" s="50">
        <f>D24/D23*100</f>
        <v>101.03272727272727</v>
      </c>
      <c r="E66" s="50">
        <f>E24/E23*100</f>
        <v>67.032892832711042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77.855145815768424</v>
      </c>
      <c r="C67" s="50"/>
      <c r="D67" s="54">
        <f>(D18+G18)/D24*100</f>
        <v>77.742643247912468</v>
      </c>
      <c r="E67" s="54">
        <f>(H18+E18+I18)/E24*100</f>
        <v>78.089578666666668</v>
      </c>
      <c r="F67" s="50"/>
      <c r="G67" s="50"/>
      <c r="H67" s="50"/>
      <c r="I67" s="50"/>
      <c r="J67" s="55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1" spans="1:1" x14ac:dyDescent="0.25">
      <c r="A81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pageSetup paperSize="9" orientation="portrait" r:id="rId1"/>
  <ignoredErrors>
    <ignoredError sqref="F10:F13 F16:F19" formulaRange="1"/>
    <ignoredError sqref="F2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J81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85546875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114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47"/>
      <c r="B7" s="46"/>
      <c r="C7" s="37"/>
      <c r="D7" s="37"/>
      <c r="E7" s="37"/>
      <c r="F7" s="37"/>
      <c r="G7" s="37"/>
      <c r="H7" s="46"/>
      <c r="I7" s="4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104</v>
      </c>
      <c r="B10" s="5">
        <f>+C10+F10+I10+J10</f>
        <v>588</v>
      </c>
      <c r="C10" s="5">
        <f>SUM(D10:E10)</f>
        <v>334</v>
      </c>
      <c r="D10" s="5">
        <v>190</v>
      </c>
      <c r="E10" s="5">
        <v>144</v>
      </c>
      <c r="F10" s="5">
        <f>SUM(G10:H10)</f>
        <v>254</v>
      </c>
      <c r="G10" s="5">
        <v>0</v>
      </c>
      <c r="H10" s="5">
        <v>254</v>
      </c>
      <c r="I10" s="5">
        <v>0</v>
      </c>
      <c r="J10" s="5">
        <v>0</v>
      </c>
    </row>
    <row r="11" spans="1:10" x14ac:dyDescent="0.25">
      <c r="A11" s="2" t="s">
        <v>105</v>
      </c>
      <c r="B11" s="5">
        <f t="shared" ref="B11:B13" si="0">+C11+F11+I11+J11</f>
        <v>2159</v>
      </c>
      <c r="C11" s="5">
        <f>SUM(D11:E11)</f>
        <v>332</v>
      </c>
      <c r="D11" s="5">
        <v>236</v>
      </c>
      <c r="E11" s="5">
        <v>96</v>
      </c>
      <c r="F11" s="5">
        <f t="shared" ref="F11:F13" si="1">SUM(G11:H11)</f>
        <v>1473</v>
      </c>
      <c r="G11" s="5">
        <v>0</v>
      </c>
      <c r="H11" s="5">
        <v>1473</v>
      </c>
      <c r="I11" s="5">
        <v>334</v>
      </c>
      <c r="J11" s="2">
        <v>20</v>
      </c>
    </row>
    <row r="12" spans="1:10" x14ac:dyDescent="0.25">
      <c r="A12" s="2" t="s">
        <v>106</v>
      </c>
      <c r="B12" s="5">
        <f t="shared" si="0"/>
        <v>391</v>
      </c>
      <c r="C12" s="5">
        <f>SUM(D12:E12)</f>
        <v>191</v>
      </c>
      <c r="D12" s="5">
        <v>58</v>
      </c>
      <c r="E12" s="5">
        <v>133</v>
      </c>
      <c r="F12" s="5">
        <f t="shared" si="1"/>
        <v>84</v>
      </c>
      <c r="G12" s="5">
        <v>0</v>
      </c>
      <c r="H12" s="5">
        <v>84</v>
      </c>
      <c r="I12" s="5">
        <v>116</v>
      </c>
      <c r="J12" s="5">
        <v>0</v>
      </c>
    </row>
    <row r="13" spans="1:10" x14ac:dyDescent="0.25">
      <c r="A13" s="2" t="s">
        <v>78</v>
      </c>
      <c r="B13" s="5">
        <f t="shared" si="0"/>
        <v>4422</v>
      </c>
      <c r="C13" s="5">
        <f>SUM(D13:E13)</f>
        <v>1042</v>
      </c>
      <c r="D13" s="5">
        <v>658</v>
      </c>
      <c r="E13" s="5">
        <v>384</v>
      </c>
      <c r="F13" s="5">
        <f t="shared" si="1"/>
        <v>2550</v>
      </c>
      <c r="G13" s="5">
        <v>0</v>
      </c>
      <c r="H13" s="5">
        <v>2550</v>
      </c>
      <c r="I13" s="5">
        <v>780</v>
      </c>
      <c r="J13" s="2">
        <v>50</v>
      </c>
    </row>
    <row r="14" spans="1:10" x14ac:dyDescent="0.25">
      <c r="B14" s="1"/>
      <c r="C14" s="5"/>
      <c r="D14" s="1"/>
      <c r="E14" s="1"/>
      <c r="F14" s="1"/>
      <c r="G14" s="1"/>
      <c r="H14" s="1"/>
      <c r="I14" s="1"/>
    </row>
    <row r="15" spans="1:10" x14ac:dyDescent="0.25">
      <c r="A15" s="2" t="s">
        <v>7</v>
      </c>
      <c r="B15" s="1"/>
      <c r="C15" s="5"/>
      <c r="D15" s="1"/>
      <c r="E15" s="1"/>
      <c r="F15" s="1"/>
      <c r="G15" s="1"/>
      <c r="H15" s="1"/>
      <c r="I15" s="1"/>
    </row>
    <row r="16" spans="1:10" x14ac:dyDescent="0.25">
      <c r="A16" s="2" t="s">
        <v>104</v>
      </c>
      <c r="B16" s="5">
        <f>+C16+F16+I16+J16</f>
        <v>855851201</v>
      </c>
      <c r="C16" s="5">
        <f>SUM(D16:E16)</f>
        <v>843581255</v>
      </c>
      <c r="D16" s="5">
        <v>567758550</v>
      </c>
      <c r="E16" s="5">
        <v>275822705</v>
      </c>
      <c r="F16" s="5">
        <f>SUM(G16:H16)</f>
        <v>12269946</v>
      </c>
      <c r="G16" s="5">
        <v>0</v>
      </c>
      <c r="H16" s="5">
        <v>12269946</v>
      </c>
      <c r="I16" s="5">
        <v>0</v>
      </c>
      <c r="J16" s="5">
        <v>0</v>
      </c>
    </row>
    <row r="17" spans="1:10" x14ac:dyDescent="0.25">
      <c r="A17" s="2" t="s">
        <v>105</v>
      </c>
      <c r="B17" s="5">
        <f t="shared" ref="B17:B20" si="2">+C17+F17+I17+J17</f>
        <v>1420244045</v>
      </c>
      <c r="C17" s="5">
        <f>SUM(D17:E17)</f>
        <v>1245000000</v>
      </c>
      <c r="D17" s="5">
        <v>885000000</v>
      </c>
      <c r="E17" s="5">
        <v>360000000</v>
      </c>
      <c r="F17" s="5">
        <f t="shared" ref="F17:F19" si="3">SUM(G17:H17)</f>
        <v>92423532</v>
      </c>
      <c r="G17" s="5">
        <v>0</v>
      </c>
      <c r="H17" s="5">
        <v>92423532</v>
      </c>
      <c r="I17" s="5">
        <v>42820513</v>
      </c>
      <c r="J17" s="5">
        <v>40000000</v>
      </c>
    </row>
    <row r="18" spans="1:10" x14ac:dyDescent="0.25">
      <c r="A18" s="2" t="s">
        <v>106</v>
      </c>
      <c r="B18" s="5">
        <f t="shared" si="2"/>
        <v>664159651</v>
      </c>
      <c r="C18" s="5">
        <f>SUM(D18:E18)</f>
        <v>639981296</v>
      </c>
      <c r="D18" s="5">
        <v>240786000</v>
      </c>
      <c r="E18" s="5">
        <v>399195296</v>
      </c>
      <c r="F18" s="5">
        <f t="shared" si="3"/>
        <v>10113609</v>
      </c>
      <c r="G18" s="5">
        <v>0</v>
      </c>
      <c r="H18" s="5">
        <v>10113609</v>
      </c>
      <c r="I18" s="5">
        <v>14064746</v>
      </c>
      <c r="J18" s="5">
        <v>0</v>
      </c>
    </row>
    <row r="19" spans="1:10" x14ac:dyDescent="0.25">
      <c r="A19" s="2" t="s">
        <v>78</v>
      </c>
      <c r="B19" s="5">
        <f t="shared" si="2"/>
        <v>4267479757</v>
      </c>
      <c r="C19" s="5">
        <f>SUM(D19:E19)</f>
        <v>3907479757</v>
      </c>
      <c r="D19" s="5">
        <v>2467479757</v>
      </c>
      <c r="E19" s="5">
        <v>1440000000</v>
      </c>
      <c r="F19" s="5">
        <f t="shared" si="3"/>
        <v>160000000</v>
      </c>
      <c r="G19" s="5">
        <v>0</v>
      </c>
      <c r="H19" s="5">
        <v>160000000</v>
      </c>
      <c r="I19" s="5">
        <v>100000000</v>
      </c>
      <c r="J19" s="5">
        <v>100000000</v>
      </c>
    </row>
    <row r="20" spans="1:10" x14ac:dyDescent="0.25">
      <c r="A20" s="2" t="s">
        <v>107</v>
      </c>
      <c r="B20" s="5">
        <f t="shared" si="2"/>
        <v>664159651</v>
      </c>
      <c r="C20" s="5">
        <f>SUM(D20:E20)</f>
        <v>639981296</v>
      </c>
      <c r="D20" s="5">
        <f>D18</f>
        <v>240786000</v>
      </c>
      <c r="E20" s="5">
        <f>E18</f>
        <v>399195296</v>
      </c>
      <c r="F20" s="5">
        <f>SUM(G20:H20)</f>
        <v>10113609</v>
      </c>
      <c r="G20" s="5">
        <f t="shared" ref="G20:J20" si="4">G18</f>
        <v>0</v>
      </c>
      <c r="H20" s="5">
        <f t="shared" si="4"/>
        <v>10113609</v>
      </c>
      <c r="I20" s="5">
        <f t="shared" si="4"/>
        <v>14064746</v>
      </c>
      <c r="J20" s="5">
        <f t="shared" si="4"/>
        <v>0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1"/>
      <c r="I22" s="1"/>
    </row>
    <row r="23" spans="1:10" x14ac:dyDescent="0.25">
      <c r="A23" s="2" t="s">
        <v>105</v>
      </c>
      <c r="B23" s="5">
        <f>B17</f>
        <v>1420244045</v>
      </c>
      <c r="C23" s="1"/>
      <c r="D23" s="5">
        <f>D17+G17</f>
        <v>885000000</v>
      </c>
      <c r="E23" s="5">
        <f>E17+H17+I17+J17</f>
        <v>535244045</v>
      </c>
      <c r="F23" s="5"/>
      <c r="G23" s="5"/>
      <c r="H23" s="1"/>
      <c r="I23" s="1"/>
    </row>
    <row r="24" spans="1:10" x14ac:dyDescent="0.25">
      <c r="A24" s="2" t="s">
        <v>106</v>
      </c>
      <c r="B24" s="5">
        <f>D24+E24</f>
        <v>1301312675.6800001</v>
      </c>
      <c r="C24" s="1"/>
      <c r="D24" s="5">
        <v>701312675.68000007</v>
      </c>
      <c r="E24" s="5">
        <v>600000000</v>
      </c>
      <c r="F24" s="5"/>
      <c r="G24" s="5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</v>
      </c>
      <c r="B26" s="1"/>
      <c r="C26" s="1"/>
      <c r="D26" s="1"/>
      <c r="E26" s="1"/>
      <c r="F26" s="1"/>
      <c r="G26" s="1"/>
      <c r="H26" s="1"/>
      <c r="I26" s="1"/>
    </row>
    <row r="27" spans="1:10" x14ac:dyDescent="0.25">
      <c r="A27" s="2" t="s">
        <v>108</v>
      </c>
      <c r="B27" s="49">
        <v>1.0123857379999999</v>
      </c>
      <c r="C27" s="49">
        <v>1.0123857379999999</v>
      </c>
      <c r="D27" s="49">
        <v>1.0123857379999999</v>
      </c>
      <c r="E27" s="49">
        <v>1.0123857379999999</v>
      </c>
      <c r="F27" s="49">
        <v>1.0123857379999999</v>
      </c>
      <c r="G27" s="49">
        <v>1.0123857379999999</v>
      </c>
      <c r="H27" s="49">
        <v>1.0123857379999999</v>
      </c>
      <c r="I27" s="49">
        <v>1.0123857379999999</v>
      </c>
      <c r="J27" s="49">
        <v>1.0123857379999999</v>
      </c>
    </row>
    <row r="28" spans="1:10" x14ac:dyDescent="0.25">
      <c r="A28" s="2" t="s">
        <v>109</v>
      </c>
      <c r="B28" s="49">
        <v>1.0303325644000001</v>
      </c>
      <c r="C28" s="49">
        <v>1.0303325644000001</v>
      </c>
      <c r="D28" s="49">
        <v>1.0303325644000001</v>
      </c>
      <c r="E28" s="49">
        <v>1.0303325644000001</v>
      </c>
      <c r="F28" s="49">
        <v>1.0303325644000001</v>
      </c>
      <c r="G28" s="49">
        <v>1.0303325644000001</v>
      </c>
      <c r="H28" s="49">
        <v>1.0303325644000001</v>
      </c>
      <c r="I28" s="49">
        <v>1.0303325644000001</v>
      </c>
      <c r="J28" s="49">
        <v>1.0303325644000001</v>
      </c>
    </row>
    <row r="29" spans="1:10" x14ac:dyDescent="0.25">
      <c r="A29" s="2" t="s">
        <v>10</v>
      </c>
      <c r="B29" s="5">
        <v>108639</v>
      </c>
      <c r="C29" s="5">
        <v>108639</v>
      </c>
      <c r="D29" s="5">
        <v>108639</v>
      </c>
      <c r="E29" s="5">
        <v>108639</v>
      </c>
      <c r="F29" s="5">
        <v>108639</v>
      </c>
      <c r="G29" s="5">
        <v>108639</v>
      </c>
      <c r="H29" s="5">
        <v>108639</v>
      </c>
      <c r="I29" s="5">
        <v>108639</v>
      </c>
      <c r="J29" s="5">
        <v>108639</v>
      </c>
    </row>
    <row r="30" spans="1:10" x14ac:dyDescent="0.25"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11</v>
      </c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2" t="s">
        <v>110</v>
      </c>
      <c r="B32" s="50">
        <f t="shared" ref="B32" si="5">B16/B27</f>
        <v>845380539.13201225</v>
      </c>
      <c r="C32" s="50">
        <f t="shared" ref="C32:J32" si="6">C16/C27</f>
        <v>833260706.20722246</v>
      </c>
      <c r="D32" s="50">
        <f t="shared" si="6"/>
        <v>560812473.63443208</v>
      </c>
      <c r="E32" s="50">
        <f t="shared" si="6"/>
        <v>272448232.57279038</v>
      </c>
      <c r="F32" s="50">
        <f t="shared" si="6"/>
        <v>12119832.924789781</v>
      </c>
      <c r="G32" s="50">
        <f t="shared" si="6"/>
        <v>0</v>
      </c>
      <c r="H32" s="50">
        <f t="shared" si="6"/>
        <v>12119832.924789781</v>
      </c>
      <c r="I32" s="50">
        <f t="shared" si="6"/>
        <v>0</v>
      </c>
      <c r="J32" s="50">
        <f t="shared" si="6"/>
        <v>0</v>
      </c>
    </row>
    <row r="33" spans="1:10" x14ac:dyDescent="0.25">
      <c r="A33" s="2" t="s">
        <v>111</v>
      </c>
      <c r="B33" s="50">
        <f t="shared" ref="B33" si="7">B18/B28</f>
        <v>644607065.66793239</v>
      </c>
      <c r="C33" s="50">
        <f t="shared" ref="C33:J33" si="8">C18/C28</f>
        <v>621140511.43543565</v>
      </c>
      <c r="D33" s="50">
        <f t="shared" si="8"/>
        <v>233697359.7842347</v>
      </c>
      <c r="E33" s="50">
        <f t="shared" si="8"/>
        <v>387443151.65120095</v>
      </c>
      <c r="F33" s="50">
        <f t="shared" si="8"/>
        <v>9815868.5355048645</v>
      </c>
      <c r="G33" s="50">
        <f t="shared" si="8"/>
        <v>0</v>
      </c>
      <c r="H33" s="50">
        <f t="shared" si="8"/>
        <v>9815868.5355048645</v>
      </c>
      <c r="I33" s="50">
        <f t="shared" si="8"/>
        <v>13650685.696991835</v>
      </c>
      <c r="J33" s="50">
        <f t="shared" si="8"/>
        <v>0</v>
      </c>
    </row>
    <row r="34" spans="1:10" x14ac:dyDescent="0.25">
      <c r="A34" s="2" t="s">
        <v>112</v>
      </c>
      <c r="B34" s="50">
        <f t="shared" ref="B34" si="9">B32/B10</f>
        <v>1437722.0053265514</v>
      </c>
      <c r="C34" s="50">
        <f t="shared" ref="C34:H34" si="10">C32/C10</f>
        <v>2494792.5335545582</v>
      </c>
      <c r="D34" s="50">
        <f t="shared" si="10"/>
        <v>2951644.5980759584</v>
      </c>
      <c r="E34" s="50">
        <f t="shared" si="10"/>
        <v>1892001.6150888221</v>
      </c>
      <c r="F34" s="50">
        <f t="shared" si="10"/>
        <v>47715.877656652679</v>
      </c>
      <c r="G34" s="50" t="s">
        <v>162</v>
      </c>
      <c r="H34" s="50">
        <f t="shared" si="10"/>
        <v>47715.877656652679</v>
      </c>
      <c r="I34" s="50" t="s">
        <v>162</v>
      </c>
      <c r="J34" s="50" t="s">
        <v>162</v>
      </c>
    </row>
    <row r="35" spans="1:10" x14ac:dyDescent="0.25">
      <c r="A35" s="2" t="s">
        <v>113</v>
      </c>
      <c r="B35" s="50">
        <f t="shared" ref="B35" si="11">B33/B12</f>
        <v>1648611.4211456073</v>
      </c>
      <c r="C35" s="50">
        <f t="shared" ref="C35:I35" si="12">C33/C12</f>
        <v>3252044.562489192</v>
      </c>
      <c r="D35" s="50">
        <f t="shared" si="12"/>
        <v>4029264.8238661154</v>
      </c>
      <c r="E35" s="50">
        <f t="shared" si="12"/>
        <v>2913106.4033924881</v>
      </c>
      <c r="F35" s="50">
        <f t="shared" si="12"/>
        <v>116855.57780362933</v>
      </c>
      <c r="G35" s="50" t="s">
        <v>162</v>
      </c>
      <c r="H35" s="50">
        <f t="shared" si="12"/>
        <v>116855.57780362933</v>
      </c>
      <c r="I35" s="50">
        <f t="shared" si="12"/>
        <v>117678.32497406754</v>
      </c>
      <c r="J35" s="50" t="s">
        <v>162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 t="shared" ref="B40" si="13">B11/B29*100</f>
        <v>1.987315788989221</v>
      </c>
      <c r="C40" s="50">
        <f t="shared" ref="C40:J40" si="14">C11/C29*100</f>
        <v>0.30559927834387285</v>
      </c>
      <c r="D40" s="50">
        <f t="shared" si="14"/>
        <v>0.21723322195528311</v>
      </c>
      <c r="E40" s="50">
        <f t="shared" si="14"/>
        <v>8.8366056388589742E-2</v>
      </c>
      <c r="F40" s="50">
        <f t="shared" si="14"/>
        <v>1.3558666777124238</v>
      </c>
      <c r="G40" s="50">
        <f t="shared" si="14"/>
        <v>0</v>
      </c>
      <c r="H40" s="50">
        <f t="shared" si="14"/>
        <v>1.3558666777124238</v>
      </c>
      <c r="I40" s="50">
        <f t="shared" si="14"/>
        <v>0.30744023785196845</v>
      </c>
      <c r="J40" s="50">
        <f t="shared" si="14"/>
        <v>1.8409595080956194E-2</v>
      </c>
    </row>
    <row r="41" spans="1:10" x14ac:dyDescent="0.25">
      <c r="A41" s="2" t="s">
        <v>15</v>
      </c>
      <c r="B41" s="50">
        <f t="shared" ref="B41" si="15">B12/B29*100</f>
        <v>0.35990758383269361</v>
      </c>
      <c r="C41" s="50">
        <f t="shared" ref="C41:J41" si="16">C12/C29*100</f>
        <v>0.17581163302313166</v>
      </c>
      <c r="D41" s="50">
        <f t="shared" si="16"/>
        <v>5.3387825734772958E-2</v>
      </c>
      <c r="E41" s="50">
        <f t="shared" si="16"/>
        <v>0.12242380728835868</v>
      </c>
      <c r="F41" s="50">
        <f t="shared" si="16"/>
        <v>7.732029934001601E-2</v>
      </c>
      <c r="G41" s="50">
        <f t="shared" si="16"/>
        <v>0</v>
      </c>
      <c r="H41" s="50">
        <f t="shared" si="16"/>
        <v>7.732029934001601E-2</v>
      </c>
      <c r="I41" s="50">
        <f t="shared" si="16"/>
        <v>0.10677565146954592</v>
      </c>
      <c r="J41" s="50">
        <f t="shared" si="16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 t="shared" ref="B44" si="17">B12/B11*100</f>
        <v>18.110236220472441</v>
      </c>
      <c r="C44" s="50">
        <f t="shared" ref="C44:J44" si="18">C12/C11*100</f>
        <v>57.530120481927717</v>
      </c>
      <c r="D44" s="50">
        <f t="shared" si="18"/>
        <v>24.576271186440678</v>
      </c>
      <c r="E44" s="50">
        <f t="shared" si="18"/>
        <v>138.54166666666669</v>
      </c>
      <c r="F44" s="50">
        <f t="shared" si="18"/>
        <v>5.7026476578411405</v>
      </c>
      <c r="G44" s="58" t="s">
        <v>162</v>
      </c>
      <c r="H44" s="50">
        <f t="shared" si="18"/>
        <v>5.7026476578411405</v>
      </c>
      <c r="I44" s="50">
        <f t="shared" si="18"/>
        <v>34.730538922155688</v>
      </c>
      <c r="J44" s="50">
        <f t="shared" si="18"/>
        <v>0</v>
      </c>
    </row>
    <row r="45" spans="1:10" x14ac:dyDescent="0.25">
      <c r="A45" s="2" t="s">
        <v>18</v>
      </c>
      <c r="B45" s="50">
        <f t="shared" ref="B45" si="19">B18/B17*100</f>
        <v>46.763769461888508</v>
      </c>
      <c r="C45" s="50">
        <f t="shared" ref="C45:J45" si="20">C18/C17*100</f>
        <v>51.404120160642577</v>
      </c>
      <c r="D45" s="50">
        <f t="shared" si="20"/>
        <v>27.207457627118643</v>
      </c>
      <c r="E45" s="50">
        <f t="shared" si="20"/>
        <v>110.88758222222222</v>
      </c>
      <c r="F45" s="50">
        <f t="shared" si="20"/>
        <v>10.942677455780418</v>
      </c>
      <c r="G45" s="58" t="s">
        <v>162</v>
      </c>
      <c r="H45" s="50">
        <f t="shared" si="20"/>
        <v>10.942677455780418</v>
      </c>
      <c r="I45" s="50">
        <f t="shared" si="20"/>
        <v>32.845813874298983</v>
      </c>
      <c r="J45" s="50">
        <f t="shared" si="20"/>
        <v>0</v>
      </c>
    </row>
    <row r="46" spans="1:10" x14ac:dyDescent="0.25">
      <c r="A46" s="2" t="s">
        <v>19</v>
      </c>
      <c r="B46" s="50">
        <f t="shared" ref="B46" si="21">AVERAGE(B44:B45)</f>
        <v>32.437002841180473</v>
      </c>
      <c r="C46" s="50">
        <f t="shared" ref="C46:J46" si="22">AVERAGE(C44:C45)</f>
        <v>54.467120321285151</v>
      </c>
      <c r="D46" s="50">
        <f t="shared" si="22"/>
        <v>25.891864406779661</v>
      </c>
      <c r="E46" s="50">
        <f t="shared" si="22"/>
        <v>124.71462444444445</v>
      </c>
      <c r="F46" s="50">
        <f t="shared" si="22"/>
        <v>8.3226625568107799</v>
      </c>
      <c r="G46" s="58" t="s">
        <v>162</v>
      </c>
      <c r="H46" s="50">
        <f t="shared" si="22"/>
        <v>8.3226625568107799</v>
      </c>
      <c r="I46" s="50">
        <f t="shared" si="22"/>
        <v>33.788176398227336</v>
      </c>
      <c r="J46" s="50">
        <f t="shared" si="22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 t="shared" ref="B49" si="23">B12/B13*100</f>
        <v>8.8421528720036182</v>
      </c>
      <c r="C49" s="50">
        <f t="shared" ref="C49:J49" si="24">C12/C13*100</f>
        <v>18.330134357005758</v>
      </c>
      <c r="D49" s="50">
        <f t="shared" si="24"/>
        <v>8.8145896656534948</v>
      </c>
      <c r="E49" s="50">
        <f t="shared" si="24"/>
        <v>34.635416666666671</v>
      </c>
      <c r="F49" s="50">
        <f t="shared" si="24"/>
        <v>3.2941176470588238</v>
      </c>
      <c r="G49" s="58" t="s">
        <v>162</v>
      </c>
      <c r="H49" s="50">
        <f t="shared" si="24"/>
        <v>3.2941176470588238</v>
      </c>
      <c r="I49" s="50">
        <f t="shared" si="24"/>
        <v>14.871794871794872</v>
      </c>
      <c r="J49" s="50">
        <f t="shared" si="24"/>
        <v>0</v>
      </c>
    </row>
    <row r="50" spans="1:10" x14ac:dyDescent="0.25">
      <c r="A50" s="2" t="s">
        <v>22</v>
      </c>
      <c r="B50" s="50">
        <f t="shared" ref="B50" si="25">B18/B19*100</f>
        <v>15.563275957210356</v>
      </c>
      <c r="C50" s="50">
        <f t="shared" ref="C50:J50" si="26">C18/C19*100</f>
        <v>16.378364976901402</v>
      </c>
      <c r="D50" s="50">
        <f t="shared" si="26"/>
        <v>9.7583779286096899</v>
      </c>
      <c r="E50" s="50">
        <f t="shared" si="26"/>
        <v>27.721895555555555</v>
      </c>
      <c r="F50" s="50">
        <f t="shared" si="26"/>
        <v>6.3210056249999997</v>
      </c>
      <c r="G50" s="58" t="s">
        <v>162</v>
      </c>
      <c r="H50" s="50">
        <f t="shared" si="26"/>
        <v>6.3210056249999997</v>
      </c>
      <c r="I50" s="50">
        <f t="shared" si="26"/>
        <v>14.064746</v>
      </c>
      <c r="J50" s="50">
        <f t="shared" si="26"/>
        <v>0</v>
      </c>
    </row>
    <row r="51" spans="1:10" x14ac:dyDescent="0.25">
      <c r="A51" s="2" t="s">
        <v>23</v>
      </c>
      <c r="B51" s="50">
        <f t="shared" ref="B51" si="27">AVERAGE(B49:B50)</f>
        <v>12.202714414606987</v>
      </c>
      <c r="C51" s="50">
        <f t="shared" ref="C51:J51" si="28">AVERAGE(C49:C50)</f>
        <v>17.354249666953578</v>
      </c>
      <c r="D51" s="50">
        <f t="shared" si="28"/>
        <v>9.2864837971315914</v>
      </c>
      <c r="E51" s="50">
        <f t="shared" si="28"/>
        <v>31.178656111111113</v>
      </c>
      <c r="F51" s="50">
        <f t="shared" si="28"/>
        <v>4.807561636029412</v>
      </c>
      <c r="G51" s="58" t="s">
        <v>162</v>
      </c>
      <c r="H51" s="50">
        <f t="shared" si="28"/>
        <v>4.807561636029412</v>
      </c>
      <c r="I51" s="50">
        <f t="shared" si="28"/>
        <v>14.468270435897436</v>
      </c>
      <c r="J51" s="50">
        <f t="shared" si="28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 t="shared" ref="B56" si="29">((B12/B10)-1)*100</f>
        <v>-33.503401360544217</v>
      </c>
      <c r="C56" s="50">
        <f t="shared" ref="C56:H56" si="30">((C12/C10)-1)*100</f>
        <v>-42.814371257485028</v>
      </c>
      <c r="D56" s="50">
        <f t="shared" si="30"/>
        <v>-69.473684210526315</v>
      </c>
      <c r="E56" s="50">
        <f t="shared" si="30"/>
        <v>-7.638888888888884</v>
      </c>
      <c r="F56" s="50">
        <f t="shared" si="30"/>
        <v>-66.929133858267704</v>
      </c>
      <c r="G56" s="58" t="s">
        <v>162</v>
      </c>
      <c r="H56" s="50">
        <f t="shared" si="30"/>
        <v>-66.929133858267704</v>
      </c>
      <c r="I56" s="58" t="s">
        <v>162</v>
      </c>
      <c r="J56" s="58" t="s">
        <v>162</v>
      </c>
    </row>
    <row r="57" spans="1:10" x14ac:dyDescent="0.25">
      <c r="A57" s="2" t="s">
        <v>27</v>
      </c>
      <c r="B57" s="50">
        <f>((B33/B32)-1)*100</f>
        <v>-23.749478982591967</v>
      </c>
      <c r="C57" s="50">
        <f t="shared" ref="C57:H57" si="31">((C33/C32)-1)*100</f>
        <v>-25.456641983911688</v>
      </c>
      <c r="D57" s="50">
        <f t="shared" si="31"/>
        <v>-58.328787113146262</v>
      </c>
      <c r="E57" s="50">
        <f t="shared" si="31"/>
        <v>42.207988648884779</v>
      </c>
      <c r="F57" s="50">
        <f t="shared" si="31"/>
        <v>-19.009869224949561</v>
      </c>
      <c r="G57" s="58" t="s">
        <v>162</v>
      </c>
      <c r="H57" s="50">
        <f t="shared" si="31"/>
        <v>-19.009869224949561</v>
      </c>
      <c r="I57" s="58" t="s">
        <v>162</v>
      </c>
      <c r="J57" s="58" t="s">
        <v>162</v>
      </c>
    </row>
    <row r="58" spans="1:10" x14ac:dyDescent="0.25">
      <c r="A58" s="2" t="s">
        <v>28</v>
      </c>
      <c r="B58" s="50">
        <f t="shared" ref="B58" si="32">((B35/B34)-1)*100</f>
        <v>14.668302706485758</v>
      </c>
      <c r="C58" s="50">
        <f t="shared" ref="C58:H58" si="33">((C35/C34)-1)*100</f>
        <v>30.353306687819369</v>
      </c>
      <c r="D58" s="50">
        <f t="shared" si="33"/>
        <v>36.509145663831212</v>
      </c>
      <c r="E58" s="50">
        <f t="shared" si="33"/>
        <v>53.969551619845156</v>
      </c>
      <c r="F58" s="50">
        <f t="shared" si="33"/>
        <v>144.89872877217636</v>
      </c>
      <c r="G58" s="58" t="s">
        <v>162</v>
      </c>
      <c r="H58" s="50">
        <f t="shared" si="33"/>
        <v>144.89872877217636</v>
      </c>
      <c r="I58" s="58" t="s">
        <v>162</v>
      </c>
      <c r="J58" s="58" t="s">
        <v>162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0">
        <f>B17/B11</f>
        <v>657824.93978693837</v>
      </c>
      <c r="C61" s="50">
        <f t="shared" ref="C61:J61" si="34">C17/C11</f>
        <v>3750000</v>
      </c>
      <c r="D61" s="50">
        <f t="shared" si="34"/>
        <v>3750000</v>
      </c>
      <c r="E61" s="50">
        <f t="shared" si="34"/>
        <v>3750000</v>
      </c>
      <c r="F61" s="50">
        <f t="shared" si="34"/>
        <v>62745.099796334012</v>
      </c>
      <c r="G61" s="58" t="s">
        <v>162</v>
      </c>
      <c r="H61" s="50">
        <f t="shared" si="34"/>
        <v>62745.099796334012</v>
      </c>
      <c r="I61" s="50">
        <f t="shared" si="34"/>
        <v>128205.12874251496</v>
      </c>
      <c r="J61" s="50">
        <f t="shared" si="34"/>
        <v>2000000</v>
      </c>
    </row>
    <row r="62" spans="1:10" x14ac:dyDescent="0.25">
      <c r="A62" s="2" t="s">
        <v>31</v>
      </c>
      <c r="B62" s="50">
        <f>B18/B12</f>
        <v>1698618.0332480818</v>
      </c>
      <c r="C62" s="50">
        <f t="shared" ref="C62:I62" si="35">C18/C12</f>
        <v>3350687.4136125655</v>
      </c>
      <c r="D62" s="50">
        <f t="shared" si="35"/>
        <v>4151482.7586206896</v>
      </c>
      <c r="E62" s="50">
        <f t="shared" si="35"/>
        <v>3001468.3909774437</v>
      </c>
      <c r="F62" s="50">
        <f t="shared" si="35"/>
        <v>120400.10714285714</v>
      </c>
      <c r="G62" s="58" t="s">
        <v>162</v>
      </c>
      <c r="H62" s="50">
        <f t="shared" si="35"/>
        <v>120400.10714285714</v>
      </c>
      <c r="I62" s="50">
        <f t="shared" si="35"/>
        <v>121247.81034482758</v>
      </c>
      <c r="J62" s="58" t="s">
        <v>162</v>
      </c>
    </row>
    <row r="63" spans="1:10" x14ac:dyDescent="0.25">
      <c r="A63" s="2" t="s">
        <v>32</v>
      </c>
      <c r="B63" s="50">
        <f>(B62/B61)*B46</f>
        <v>83.757964525324965</v>
      </c>
      <c r="C63" s="50">
        <f t="shared" ref="C63:I63" si="36">(C62/C61)*C46</f>
        <v>48.66727853766703</v>
      </c>
      <c r="D63" s="50">
        <f t="shared" si="36"/>
        <v>28.663900979544128</v>
      </c>
      <c r="E63" s="50">
        <f t="shared" si="36"/>
        <v>99.820534176699425</v>
      </c>
      <c r="F63" s="50">
        <f t="shared" si="36"/>
        <v>15.970162878160084</v>
      </c>
      <c r="G63" s="58" t="s">
        <v>162</v>
      </c>
      <c r="H63" s="50">
        <f t="shared" si="36"/>
        <v>15.970162878160084</v>
      </c>
      <c r="I63" s="50">
        <f t="shared" si="36"/>
        <v>31.954590615931412</v>
      </c>
      <c r="J63" s="58" t="s">
        <v>162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50" t="s">
        <v>1</v>
      </c>
      <c r="C65" s="50"/>
      <c r="D65" s="50" t="s">
        <v>69</v>
      </c>
      <c r="E65" s="50" t="s">
        <v>71</v>
      </c>
      <c r="F65" s="50"/>
      <c r="G65" s="50"/>
      <c r="H65" s="50"/>
      <c r="I65" s="50"/>
      <c r="J65" s="52"/>
    </row>
    <row r="66" spans="1:10" x14ac:dyDescent="0.25">
      <c r="A66" s="2" t="s">
        <v>34</v>
      </c>
      <c r="B66" s="50">
        <f>B24/B23*100</f>
        <v>91.625990635996644</v>
      </c>
      <c r="C66" s="50"/>
      <c r="D66" s="50">
        <f>D24/D23*100</f>
        <v>79.244370133333348</v>
      </c>
      <c r="E66" s="50">
        <f>E24/E23*100</f>
        <v>112.09839803075251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51.037668610500845</v>
      </c>
      <c r="C67" s="50"/>
      <c r="D67" s="50">
        <f>(D18+G18)/D24*100</f>
        <v>34.333615853518026</v>
      </c>
      <c r="E67" s="50">
        <f>(H18+E18+I18)/E24*100</f>
        <v>70.562275166666666</v>
      </c>
      <c r="F67" s="50"/>
      <c r="G67" s="50"/>
      <c r="H67" s="50"/>
      <c r="I67" s="50"/>
      <c r="J67" s="52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</row>
    <row r="71" spans="1:10" x14ac:dyDescent="0.25">
      <c r="A71" s="2" t="s">
        <v>89</v>
      </c>
      <c r="B71" s="43"/>
      <c r="C71" s="43"/>
      <c r="D71" s="43"/>
      <c r="E71" s="43"/>
      <c r="F71" s="43"/>
      <c r="G71" s="43"/>
      <c r="H71" s="43"/>
      <c r="I71" s="43"/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1" spans="1:1" x14ac:dyDescent="0.25">
      <c r="A81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ignoredErrors>
    <ignoredError sqref="F10:F13 F16:F19" formulaRange="1"/>
    <ignoredError sqref="F2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J82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1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137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47"/>
      <c r="B7" s="46"/>
      <c r="C7" s="37"/>
      <c r="D7" s="37"/>
      <c r="E7" s="37"/>
      <c r="F7" s="37"/>
      <c r="G7" s="37"/>
      <c r="H7" s="46"/>
      <c r="I7" s="4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115</v>
      </c>
      <c r="B10" s="5">
        <f>+C10+F10+I10+J10</f>
        <v>1002</v>
      </c>
      <c r="C10" s="5">
        <f>SUM(D10:E10)</f>
        <v>214</v>
      </c>
      <c r="D10" s="5">
        <v>126</v>
      </c>
      <c r="E10" s="5">
        <v>88</v>
      </c>
      <c r="F10" s="5">
        <f>SUM(G10:H10)</f>
        <v>788</v>
      </c>
      <c r="G10" s="5">
        <v>72</v>
      </c>
      <c r="H10" s="5">
        <v>716</v>
      </c>
      <c r="I10" s="5">
        <v>0</v>
      </c>
      <c r="J10" s="2">
        <v>0</v>
      </c>
    </row>
    <row r="11" spans="1:10" x14ac:dyDescent="0.25">
      <c r="A11" s="2" t="s">
        <v>116</v>
      </c>
      <c r="B11" s="5">
        <f t="shared" ref="B11:B13" si="0">+C11+F11+I11+J11</f>
        <v>1008</v>
      </c>
      <c r="C11" s="5">
        <f>SUM(D11:E11)</f>
        <v>233</v>
      </c>
      <c r="D11" s="5">
        <v>137</v>
      </c>
      <c r="E11" s="5">
        <v>96</v>
      </c>
      <c r="F11" s="5">
        <f t="shared" ref="F11:F13" si="1">SUM(G11:H11)</f>
        <v>665</v>
      </c>
      <c r="G11" s="5">
        <v>0</v>
      </c>
      <c r="H11" s="5">
        <v>665</v>
      </c>
      <c r="I11" s="5">
        <v>110</v>
      </c>
      <c r="J11" s="2">
        <v>0</v>
      </c>
    </row>
    <row r="12" spans="1:10" x14ac:dyDescent="0.25">
      <c r="A12" s="2" t="s">
        <v>117</v>
      </c>
      <c r="B12" s="5">
        <f t="shared" si="0"/>
        <v>621</v>
      </c>
      <c r="C12" s="5">
        <f>SUM(D12:E12)</f>
        <v>179</v>
      </c>
      <c r="D12" s="5">
        <v>93</v>
      </c>
      <c r="E12" s="5">
        <v>86</v>
      </c>
      <c r="F12" s="5">
        <f t="shared" si="1"/>
        <v>338</v>
      </c>
      <c r="G12" s="5">
        <v>0</v>
      </c>
      <c r="H12" s="5">
        <v>338</v>
      </c>
      <c r="I12" s="5">
        <v>104</v>
      </c>
      <c r="J12" s="2">
        <v>0</v>
      </c>
    </row>
    <row r="13" spans="1:10" x14ac:dyDescent="0.25">
      <c r="A13" s="2" t="s">
        <v>78</v>
      </c>
      <c r="B13" s="5">
        <f t="shared" si="0"/>
        <v>4422</v>
      </c>
      <c r="C13" s="5">
        <f>SUM(D13:E13)</f>
        <v>1042</v>
      </c>
      <c r="D13" s="5">
        <v>658</v>
      </c>
      <c r="E13" s="5">
        <v>384</v>
      </c>
      <c r="F13" s="5">
        <f t="shared" si="1"/>
        <v>2550</v>
      </c>
      <c r="G13" s="5">
        <v>0</v>
      </c>
      <c r="H13" s="5">
        <v>2550</v>
      </c>
      <c r="I13" s="5">
        <v>780</v>
      </c>
      <c r="J13" s="2">
        <v>50</v>
      </c>
    </row>
    <row r="14" spans="1:10" x14ac:dyDescent="0.25">
      <c r="B14" s="1"/>
      <c r="C14" s="5"/>
      <c r="D14" s="1"/>
      <c r="E14" s="1"/>
      <c r="F14" s="1"/>
      <c r="G14" s="1"/>
      <c r="H14" s="1"/>
      <c r="I14" s="1"/>
    </row>
    <row r="15" spans="1:10" x14ac:dyDescent="0.25">
      <c r="A15" s="2" t="s">
        <v>7</v>
      </c>
      <c r="B15" s="1"/>
      <c r="C15" s="5"/>
      <c r="D15" s="1"/>
      <c r="E15" s="1"/>
      <c r="F15" s="1"/>
      <c r="G15" s="1"/>
      <c r="H15" s="1"/>
      <c r="I15" s="1"/>
    </row>
    <row r="16" spans="1:10" x14ac:dyDescent="0.25">
      <c r="A16" s="2" t="s">
        <v>115</v>
      </c>
      <c r="B16" s="5">
        <f>+C16+F16+I16+J16</f>
        <v>776630360.39999998</v>
      </c>
      <c r="C16" s="5">
        <f>SUM(D16:E16)</f>
        <v>728097000</v>
      </c>
      <c r="D16" s="5">
        <v>442985000</v>
      </c>
      <c r="E16" s="5">
        <v>285112000</v>
      </c>
      <c r="F16" s="5">
        <f>SUM(G16:H16)</f>
        <v>48533360.399999999</v>
      </c>
      <c r="G16" s="5">
        <v>4159561</v>
      </c>
      <c r="H16" s="5">
        <v>44373799.399999999</v>
      </c>
      <c r="I16" s="5">
        <v>0</v>
      </c>
      <c r="J16" s="2">
        <v>0</v>
      </c>
    </row>
    <row r="17" spans="1:10" x14ac:dyDescent="0.25">
      <c r="A17" s="2" t="s">
        <v>116</v>
      </c>
      <c r="B17" s="5">
        <f t="shared" ref="B17:B20" si="2">+C17+F17+I17+J17</f>
        <v>929557812</v>
      </c>
      <c r="C17" s="5">
        <f>SUM(D17:E17)</f>
        <v>873729757</v>
      </c>
      <c r="D17" s="5">
        <v>513729757</v>
      </c>
      <c r="E17" s="5">
        <v>360000000</v>
      </c>
      <c r="F17" s="5">
        <f t="shared" ref="F17:F19" si="3">SUM(G17:H17)</f>
        <v>41725491</v>
      </c>
      <c r="G17" s="5">
        <v>0</v>
      </c>
      <c r="H17" s="5">
        <v>41725491</v>
      </c>
      <c r="I17" s="5">
        <v>14102564</v>
      </c>
      <c r="J17" s="2">
        <v>0</v>
      </c>
    </row>
    <row r="18" spans="1:10" x14ac:dyDescent="0.25">
      <c r="A18" s="2" t="s">
        <v>117</v>
      </c>
      <c r="B18" s="5">
        <f t="shared" si="2"/>
        <v>684858024</v>
      </c>
      <c r="C18" s="5">
        <f>SUM(D18:E18)</f>
        <v>650381078</v>
      </c>
      <c r="D18" s="5">
        <v>366139078</v>
      </c>
      <c r="E18" s="5">
        <v>284242000</v>
      </c>
      <c r="F18" s="5">
        <f t="shared" si="3"/>
        <v>28263428</v>
      </c>
      <c r="G18" s="5">
        <v>0</v>
      </c>
      <c r="H18" s="5">
        <v>28263428</v>
      </c>
      <c r="I18" s="5">
        <v>6213518</v>
      </c>
      <c r="J18" s="2">
        <v>0</v>
      </c>
    </row>
    <row r="19" spans="1:10" x14ac:dyDescent="0.25">
      <c r="A19" s="2" t="s">
        <v>78</v>
      </c>
      <c r="B19" s="5">
        <f t="shared" si="2"/>
        <v>4267479757</v>
      </c>
      <c r="C19" s="5">
        <f>SUM(D19:E19)</f>
        <v>3907479757</v>
      </c>
      <c r="D19" s="5">
        <v>2467479757</v>
      </c>
      <c r="E19" s="5">
        <v>1440000000</v>
      </c>
      <c r="F19" s="5">
        <f t="shared" si="3"/>
        <v>160000000</v>
      </c>
      <c r="G19" s="5">
        <v>0</v>
      </c>
      <c r="H19" s="5">
        <v>160000000</v>
      </c>
      <c r="I19" s="5">
        <v>100000000</v>
      </c>
      <c r="J19" s="5">
        <v>100000000</v>
      </c>
    </row>
    <row r="20" spans="1:10" x14ac:dyDescent="0.25">
      <c r="A20" s="2" t="s">
        <v>118</v>
      </c>
      <c r="B20" s="5">
        <f t="shared" si="2"/>
        <v>684858024</v>
      </c>
      <c r="C20" s="5">
        <f>SUM(D20:E20)</f>
        <v>650381078</v>
      </c>
      <c r="D20" s="5">
        <f>D18</f>
        <v>366139078</v>
      </c>
      <c r="E20" s="5">
        <f>E18</f>
        <v>284242000</v>
      </c>
      <c r="F20" s="5">
        <f>SUM(G20:H20)</f>
        <v>28263428</v>
      </c>
      <c r="G20" s="5">
        <f t="shared" ref="G20:J20" si="4">G18</f>
        <v>0</v>
      </c>
      <c r="H20" s="5">
        <f t="shared" si="4"/>
        <v>28263428</v>
      </c>
      <c r="I20" s="5">
        <f t="shared" si="4"/>
        <v>6213518</v>
      </c>
      <c r="J20" s="2">
        <f t="shared" si="4"/>
        <v>0</v>
      </c>
    </row>
    <row r="21" spans="1:10" x14ac:dyDescent="0.25">
      <c r="B21" s="5"/>
      <c r="C21" s="5"/>
      <c r="D21" s="5"/>
      <c r="E21" s="5"/>
      <c r="F21" s="5"/>
      <c r="G21" s="5"/>
      <c r="H21" s="5"/>
      <c r="I21" s="5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5"/>
      <c r="I22" s="5"/>
    </row>
    <row r="23" spans="1:10" x14ac:dyDescent="0.25">
      <c r="A23" s="2" t="s">
        <v>116</v>
      </c>
      <c r="B23" s="5">
        <f>B17</f>
        <v>929557812</v>
      </c>
      <c r="C23" s="5"/>
      <c r="D23" s="5">
        <f>D17+G17</f>
        <v>513729757</v>
      </c>
      <c r="E23" s="5">
        <f>E17+H17+I17+J17</f>
        <v>415828055</v>
      </c>
      <c r="F23" s="5"/>
      <c r="G23" s="5"/>
      <c r="H23" s="5"/>
      <c r="I23" s="5"/>
    </row>
    <row r="24" spans="1:10" x14ac:dyDescent="0.25">
      <c r="A24" s="2" t="s">
        <v>117</v>
      </c>
      <c r="B24" s="5">
        <f>D24+E24</f>
        <v>595960000</v>
      </c>
      <c r="C24" s="1"/>
      <c r="D24" s="5">
        <v>445960000</v>
      </c>
      <c r="E24" s="5">
        <v>150000000</v>
      </c>
      <c r="F24" s="5"/>
      <c r="G24" s="5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</v>
      </c>
      <c r="B26" s="1"/>
      <c r="C26" s="1"/>
      <c r="D26" s="1"/>
      <c r="E26" s="1"/>
      <c r="F26" s="1"/>
      <c r="G26" s="1"/>
      <c r="H26" s="1"/>
      <c r="I26" s="1"/>
    </row>
    <row r="27" spans="1:10" x14ac:dyDescent="0.25">
      <c r="A27" s="2" t="s">
        <v>119</v>
      </c>
      <c r="B27" s="49">
        <v>1.0245</v>
      </c>
      <c r="C27" s="49">
        <v>1.0245</v>
      </c>
      <c r="D27" s="49">
        <v>1.0245</v>
      </c>
      <c r="E27" s="49">
        <v>1.0245</v>
      </c>
      <c r="F27" s="49">
        <v>1.0245</v>
      </c>
      <c r="G27" s="49">
        <v>1.0245</v>
      </c>
      <c r="H27" s="49">
        <v>1.0245</v>
      </c>
      <c r="I27" s="49">
        <v>1.0245</v>
      </c>
      <c r="J27" s="49">
        <v>1.0245</v>
      </c>
    </row>
    <row r="28" spans="1:10" x14ac:dyDescent="0.25">
      <c r="A28" s="2" t="s">
        <v>120</v>
      </c>
      <c r="B28" s="49">
        <v>1.0451999999999999</v>
      </c>
      <c r="C28" s="49">
        <v>1.0451999999999999</v>
      </c>
      <c r="D28" s="49">
        <v>1.0451999999999999</v>
      </c>
      <c r="E28" s="49">
        <v>1.0451999999999999</v>
      </c>
      <c r="F28" s="49">
        <v>1.0451999999999999</v>
      </c>
      <c r="G28" s="49">
        <v>1.0451999999999999</v>
      </c>
      <c r="H28" s="49">
        <v>1.0451999999999999</v>
      </c>
      <c r="I28" s="49">
        <v>1.0451999999999999</v>
      </c>
      <c r="J28" s="49">
        <v>1.0451999999999999</v>
      </c>
    </row>
    <row r="29" spans="1:10" x14ac:dyDescent="0.25">
      <c r="A29" s="2" t="s">
        <v>10</v>
      </c>
      <c r="B29" s="5">
        <v>108639</v>
      </c>
      <c r="C29" s="5">
        <v>108639</v>
      </c>
      <c r="D29" s="5">
        <v>108639</v>
      </c>
      <c r="E29" s="5">
        <v>108639</v>
      </c>
      <c r="F29" s="5">
        <v>108639</v>
      </c>
      <c r="G29" s="5">
        <v>108639</v>
      </c>
      <c r="H29" s="5">
        <v>108639</v>
      </c>
      <c r="I29" s="5">
        <v>108639</v>
      </c>
      <c r="J29" s="5">
        <v>108639</v>
      </c>
    </row>
    <row r="30" spans="1:10" x14ac:dyDescent="0.25"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11</v>
      </c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2" t="s">
        <v>121</v>
      </c>
      <c r="B32" s="50">
        <f t="shared" ref="B32" si="5">B16/B27</f>
        <v>758057940.84919477</v>
      </c>
      <c r="C32" s="50">
        <f t="shared" ref="C32:J32" si="6">C16/C27</f>
        <v>710685212.29868233</v>
      </c>
      <c r="D32" s="50">
        <f t="shared" si="6"/>
        <v>432391410.4441191</v>
      </c>
      <c r="E32" s="50">
        <f t="shared" si="6"/>
        <v>278293801.85456324</v>
      </c>
      <c r="F32" s="50">
        <f t="shared" si="6"/>
        <v>47372728.550512448</v>
      </c>
      <c r="G32" s="50">
        <f t="shared" si="6"/>
        <v>4060088.8238164959</v>
      </c>
      <c r="H32" s="50">
        <f t="shared" si="6"/>
        <v>43312639.726695947</v>
      </c>
      <c r="I32" s="50">
        <f t="shared" si="6"/>
        <v>0</v>
      </c>
      <c r="J32" s="50">
        <f t="shared" si="6"/>
        <v>0</v>
      </c>
    </row>
    <row r="33" spans="1:10" x14ac:dyDescent="0.25">
      <c r="A33" s="2" t="s">
        <v>122</v>
      </c>
      <c r="B33" s="50">
        <f t="shared" ref="B33" si="7">B18/B28</f>
        <v>655241125.1435132</v>
      </c>
      <c r="C33" s="50">
        <f t="shared" ref="C33:J33" si="8">C18/C28</f>
        <v>622255145.42671263</v>
      </c>
      <c r="D33" s="50">
        <f t="shared" si="8"/>
        <v>350305279.37236893</v>
      </c>
      <c r="E33" s="50">
        <f t="shared" si="8"/>
        <v>271949866.0543437</v>
      </c>
      <c r="F33" s="50">
        <f t="shared" si="8"/>
        <v>27041167.240719482</v>
      </c>
      <c r="G33" s="50">
        <f t="shared" si="8"/>
        <v>0</v>
      </c>
      <c r="H33" s="50">
        <f t="shared" si="8"/>
        <v>27041167.240719482</v>
      </c>
      <c r="I33" s="50">
        <f t="shared" si="8"/>
        <v>5944812.4760811329</v>
      </c>
      <c r="J33" s="50">
        <f t="shared" si="8"/>
        <v>0</v>
      </c>
    </row>
    <row r="34" spans="1:10" x14ac:dyDescent="0.25">
      <c r="A34" s="2" t="s">
        <v>123</v>
      </c>
      <c r="B34" s="50">
        <f t="shared" ref="B34" si="9">B32/B10</f>
        <v>756544.85114690091</v>
      </c>
      <c r="C34" s="50">
        <f t="shared" ref="C34:H34" si="10">C32/C10</f>
        <v>3320958.9359751511</v>
      </c>
      <c r="D34" s="50">
        <f t="shared" si="10"/>
        <v>3431677.8606676119</v>
      </c>
      <c r="E34" s="50">
        <f t="shared" si="10"/>
        <v>3162429.5665291278</v>
      </c>
      <c r="F34" s="50">
        <f t="shared" si="10"/>
        <v>60117.675825523409</v>
      </c>
      <c r="G34" s="50">
        <f t="shared" si="10"/>
        <v>56390.122553006891</v>
      </c>
      <c r="H34" s="50">
        <f t="shared" si="10"/>
        <v>60492.513584770873</v>
      </c>
      <c r="I34" s="50" t="s">
        <v>162</v>
      </c>
      <c r="J34" s="50" t="s">
        <v>162</v>
      </c>
    </row>
    <row r="35" spans="1:10" x14ac:dyDescent="0.25">
      <c r="A35" s="2" t="s">
        <v>124</v>
      </c>
      <c r="B35" s="50">
        <f t="shared" ref="B35" si="11">B33/B12</f>
        <v>1055138.6878317443</v>
      </c>
      <c r="C35" s="50">
        <f t="shared" ref="C35:I35" si="12">C33/C12</f>
        <v>3476285.7286408525</v>
      </c>
      <c r="D35" s="50">
        <f t="shared" si="12"/>
        <v>3766723.4341114941</v>
      </c>
      <c r="E35" s="50">
        <f t="shared" si="12"/>
        <v>3162207.7448179498</v>
      </c>
      <c r="F35" s="50">
        <f t="shared" si="12"/>
        <v>80003.453374909717</v>
      </c>
      <c r="G35" s="50" t="s">
        <v>162</v>
      </c>
      <c r="H35" s="50">
        <f t="shared" si="12"/>
        <v>80003.453374909717</v>
      </c>
      <c r="I35" s="50">
        <f t="shared" si="12"/>
        <v>57161.65842385705</v>
      </c>
      <c r="J35" s="50" t="s">
        <v>162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 t="shared" ref="B40" si="13">B11/B29*100</f>
        <v>0.92784359208019218</v>
      </c>
      <c r="C40" s="50">
        <f t="shared" ref="C40:J40" si="14">C11/C29*100</f>
        <v>0.21447178269313966</v>
      </c>
      <c r="D40" s="50">
        <f t="shared" si="14"/>
        <v>0.12610572630454994</v>
      </c>
      <c r="E40" s="50">
        <f t="shared" si="14"/>
        <v>8.8366056388589742E-2</v>
      </c>
      <c r="F40" s="50">
        <f t="shared" si="14"/>
        <v>0.61211903644179344</v>
      </c>
      <c r="G40" s="50">
        <f t="shared" si="14"/>
        <v>0</v>
      </c>
      <c r="H40" s="50">
        <f t="shared" si="14"/>
        <v>0.61211903644179344</v>
      </c>
      <c r="I40" s="50">
        <f t="shared" si="14"/>
        <v>0.10125277294525906</v>
      </c>
      <c r="J40" s="50">
        <f t="shared" si="14"/>
        <v>0</v>
      </c>
    </row>
    <row r="41" spans="1:10" x14ac:dyDescent="0.25">
      <c r="A41" s="2" t="s">
        <v>15</v>
      </c>
      <c r="B41" s="50">
        <f t="shared" ref="B41" si="15">B12/B29*100</f>
        <v>0.57161792726368987</v>
      </c>
      <c r="C41" s="50">
        <f t="shared" ref="C41:J41" si="16">C12/C29*100</f>
        <v>0.16476587597455794</v>
      </c>
      <c r="D41" s="50">
        <f t="shared" si="16"/>
        <v>8.5604617126446306E-2</v>
      </c>
      <c r="E41" s="50">
        <f t="shared" si="16"/>
        <v>7.9161258848111635E-2</v>
      </c>
      <c r="F41" s="50">
        <f t="shared" si="16"/>
        <v>0.31112215686815969</v>
      </c>
      <c r="G41" s="50">
        <f t="shared" si="16"/>
        <v>0</v>
      </c>
      <c r="H41" s="50">
        <f t="shared" si="16"/>
        <v>0.31112215686815969</v>
      </c>
      <c r="I41" s="50">
        <f t="shared" si="16"/>
        <v>9.5729894420972211E-2</v>
      </c>
      <c r="J41" s="50">
        <f t="shared" si="16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 t="shared" ref="B44" si="17">B12/B11*100</f>
        <v>61.607142857142861</v>
      </c>
      <c r="C44" s="50">
        <f t="shared" ref="C44:I44" si="18">C12/C11*100</f>
        <v>76.824034334763951</v>
      </c>
      <c r="D44" s="50">
        <f t="shared" si="18"/>
        <v>67.883211678832112</v>
      </c>
      <c r="E44" s="50">
        <f t="shared" si="18"/>
        <v>89.583333333333343</v>
      </c>
      <c r="F44" s="50">
        <f t="shared" si="18"/>
        <v>50.827067669172934</v>
      </c>
      <c r="G44" s="50" t="s">
        <v>162</v>
      </c>
      <c r="H44" s="50">
        <f t="shared" si="18"/>
        <v>50.827067669172934</v>
      </c>
      <c r="I44" s="50">
        <f t="shared" si="18"/>
        <v>94.545454545454547</v>
      </c>
      <c r="J44" s="50" t="s">
        <v>162</v>
      </c>
    </row>
    <row r="45" spans="1:10" x14ac:dyDescent="0.25">
      <c r="A45" s="2" t="s">
        <v>18</v>
      </c>
      <c r="B45" s="50">
        <f t="shared" ref="B45" si="19">B18/B17*100</f>
        <v>73.675678388037696</v>
      </c>
      <c r="C45" s="50">
        <f t="shared" ref="C45:I45" si="20">C18/C17*100</f>
        <v>74.437327192920591</v>
      </c>
      <c r="D45" s="50">
        <f t="shared" si="20"/>
        <v>71.270755297127948</v>
      </c>
      <c r="E45" s="50">
        <f t="shared" si="20"/>
        <v>78.956111111111113</v>
      </c>
      <c r="F45" s="50">
        <f t="shared" si="20"/>
        <v>67.736597755074939</v>
      </c>
      <c r="G45" s="50" t="s">
        <v>162</v>
      </c>
      <c r="H45" s="50">
        <f t="shared" si="20"/>
        <v>67.736597755074939</v>
      </c>
      <c r="I45" s="50">
        <f t="shared" si="20"/>
        <v>44.05949159315994</v>
      </c>
      <c r="J45" s="50" t="s">
        <v>162</v>
      </c>
    </row>
    <row r="46" spans="1:10" x14ac:dyDescent="0.25">
      <c r="A46" s="2" t="s">
        <v>19</v>
      </c>
      <c r="B46" s="50">
        <f t="shared" ref="B46" si="21">AVERAGE(B44:B45)</f>
        <v>67.641410622590286</v>
      </c>
      <c r="C46" s="50">
        <f t="shared" ref="C46:I46" si="22">AVERAGE(C44:C45)</f>
        <v>75.630680763842264</v>
      </c>
      <c r="D46" s="50">
        <f t="shared" si="22"/>
        <v>69.57698348798003</v>
      </c>
      <c r="E46" s="50">
        <f t="shared" si="22"/>
        <v>84.269722222222228</v>
      </c>
      <c r="F46" s="50">
        <f t="shared" si="22"/>
        <v>59.281832712123936</v>
      </c>
      <c r="G46" s="50" t="s">
        <v>162</v>
      </c>
      <c r="H46" s="50">
        <f t="shared" si="22"/>
        <v>59.281832712123936</v>
      </c>
      <c r="I46" s="50">
        <f t="shared" si="22"/>
        <v>69.30247306930724</v>
      </c>
      <c r="J46" s="50" t="s">
        <v>162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 t="shared" ref="B49" si="23">B12/B13*100</f>
        <v>14.043419267299864</v>
      </c>
      <c r="C49" s="50">
        <f t="shared" ref="C49:J49" si="24">C12/C13*100</f>
        <v>17.178502879078692</v>
      </c>
      <c r="D49" s="50">
        <f t="shared" si="24"/>
        <v>14.133738601823708</v>
      </c>
      <c r="E49" s="50">
        <f t="shared" si="24"/>
        <v>22.395833333333336</v>
      </c>
      <c r="F49" s="50">
        <f t="shared" si="24"/>
        <v>13.254901960784313</v>
      </c>
      <c r="G49" s="50" t="s">
        <v>162</v>
      </c>
      <c r="H49" s="50">
        <f t="shared" si="24"/>
        <v>13.254901960784313</v>
      </c>
      <c r="I49" s="50">
        <f t="shared" si="24"/>
        <v>13.333333333333334</v>
      </c>
      <c r="J49" s="50">
        <f t="shared" si="24"/>
        <v>0</v>
      </c>
    </row>
    <row r="50" spans="1:10" x14ac:dyDescent="0.25">
      <c r="A50" s="2" t="s">
        <v>22</v>
      </c>
      <c r="B50" s="50">
        <f t="shared" ref="B50" si="25">B18/B19*100</f>
        <v>16.048301644000045</v>
      </c>
      <c r="C50" s="50">
        <f t="shared" ref="C50:J50" si="26">C18/C19*100</f>
        <v>16.644515607147646</v>
      </c>
      <c r="D50" s="50">
        <f t="shared" si="26"/>
        <v>14.838584874356073</v>
      </c>
      <c r="E50" s="50">
        <f t="shared" si="26"/>
        <v>19.739027777777778</v>
      </c>
      <c r="F50" s="50">
        <f t="shared" si="26"/>
        <v>17.664642499999999</v>
      </c>
      <c r="G50" s="50" t="s">
        <v>162</v>
      </c>
      <c r="H50" s="50">
        <f t="shared" si="26"/>
        <v>17.664642499999999</v>
      </c>
      <c r="I50" s="50">
        <f t="shared" si="26"/>
        <v>6.2135179999999997</v>
      </c>
      <c r="J50" s="50">
        <f t="shared" si="26"/>
        <v>0</v>
      </c>
    </row>
    <row r="51" spans="1:10" x14ac:dyDescent="0.25">
      <c r="A51" s="2" t="s">
        <v>23</v>
      </c>
      <c r="B51" s="50">
        <f t="shared" ref="B51" si="27">AVERAGE(B49:B50)</f>
        <v>15.045860455649954</v>
      </c>
      <c r="C51" s="50">
        <f t="shared" ref="C51:J51" si="28">AVERAGE(C49:C50)</f>
        <v>16.911509243113169</v>
      </c>
      <c r="D51" s="50">
        <f t="shared" si="28"/>
        <v>14.486161738089891</v>
      </c>
      <c r="E51" s="50">
        <f t="shared" si="28"/>
        <v>21.067430555555557</v>
      </c>
      <c r="F51" s="50">
        <f t="shared" si="28"/>
        <v>15.459772230392156</v>
      </c>
      <c r="G51" s="50" t="s">
        <v>162</v>
      </c>
      <c r="H51" s="50">
        <f t="shared" si="28"/>
        <v>15.459772230392156</v>
      </c>
      <c r="I51" s="50">
        <f t="shared" si="28"/>
        <v>9.7734256666666663</v>
      </c>
      <c r="J51" s="50">
        <f t="shared" si="28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 t="shared" ref="B53" si="29"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 t="shared" ref="B56" si="30">((B12/B10)-1)*100</f>
        <v>-38.02395209580839</v>
      </c>
      <c r="C56" s="50">
        <f t="shared" ref="C56:H56" si="31">((C12/C10)-1)*100</f>
        <v>-16.355140186915882</v>
      </c>
      <c r="D56" s="50">
        <f t="shared" si="31"/>
        <v>-26.190476190476186</v>
      </c>
      <c r="E56" s="50">
        <f t="shared" si="31"/>
        <v>-2.2727272727272707</v>
      </c>
      <c r="F56" s="50">
        <f t="shared" si="31"/>
        <v>-57.106598984771573</v>
      </c>
      <c r="G56" s="50">
        <f t="shared" si="31"/>
        <v>-100</v>
      </c>
      <c r="H56" s="50">
        <f t="shared" si="31"/>
        <v>-52.793296089385478</v>
      </c>
      <c r="I56" s="50" t="s">
        <v>162</v>
      </c>
      <c r="J56" s="50" t="s">
        <v>162</v>
      </c>
    </row>
    <row r="57" spans="1:10" x14ac:dyDescent="0.25">
      <c r="A57" s="2" t="s">
        <v>27</v>
      </c>
      <c r="B57" s="50">
        <f t="shared" ref="B57" si="32">((B33/B32)-1)*100</f>
        <v>-13.56318694986609</v>
      </c>
      <c r="C57" s="50">
        <f t="shared" ref="C57:H57" si="33">((C33/C32)-1)*100</f>
        <v>-12.442930476342152</v>
      </c>
      <c r="D57" s="50">
        <f t="shared" si="33"/>
        <v>-18.984218716888389</v>
      </c>
      <c r="E57" s="50">
        <f t="shared" si="33"/>
        <v>-2.2795821387121218</v>
      </c>
      <c r="F57" s="50">
        <f t="shared" si="33"/>
        <v>-42.918282167584863</v>
      </c>
      <c r="G57" s="50">
        <f t="shared" si="33"/>
        <v>-100</v>
      </c>
      <c r="H57" s="50">
        <f t="shared" si="33"/>
        <v>-37.567492050011133</v>
      </c>
      <c r="I57" s="50" t="s">
        <v>162</v>
      </c>
      <c r="J57" s="50" t="s">
        <v>162</v>
      </c>
    </row>
    <row r="58" spans="1:10" x14ac:dyDescent="0.25">
      <c r="A58" s="2" t="s">
        <v>28</v>
      </c>
      <c r="B58" s="50">
        <f t="shared" ref="B58" si="34">((B35/B34)-1)*100</f>
        <v>39.468094486689509</v>
      </c>
      <c r="C58" s="50">
        <f t="shared" ref="C58:H58" si="35">((C35/C34)-1)*100</f>
        <v>4.6771669165518226</v>
      </c>
      <c r="D58" s="50">
        <f t="shared" si="35"/>
        <v>9.7633165771189532</v>
      </c>
      <c r="E58" s="50">
        <f t="shared" si="35"/>
        <v>-7.0142814728835212E-3</v>
      </c>
      <c r="F58" s="50">
        <f t="shared" si="35"/>
        <v>33.078087727642405</v>
      </c>
      <c r="G58" s="50" t="s">
        <v>162</v>
      </c>
      <c r="H58" s="50">
        <f t="shared" si="35"/>
        <v>32.253478379266376</v>
      </c>
      <c r="I58" s="50" t="s">
        <v>162</v>
      </c>
      <c r="J58" s="50" t="s">
        <v>162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0">
        <f>B17/B11</f>
        <v>922180.36904761905</v>
      </c>
      <c r="C61" s="50">
        <f t="shared" ref="C61:I61" si="36">C17/C11</f>
        <v>3749913.1201716736</v>
      </c>
      <c r="D61" s="50">
        <f t="shared" si="36"/>
        <v>3749852.2408759124</v>
      </c>
      <c r="E61" s="50">
        <f t="shared" si="36"/>
        <v>3750000</v>
      </c>
      <c r="F61" s="50">
        <f t="shared" si="36"/>
        <v>62745.099248120299</v>
      </c>
      <c r="G61" s="50" t="s">
        <v>162</v>
      </c>
      <c r="H61" s="50">
        <f t="shared" si="36"/>
        <v>62745.099248120299</v>
      </c>
      <c r="I61" s="50">
        <f t="shared" si="36"/>
        <v>128205.12727272727</v>
      </c>
      <c r="J61" s="50" t="s">
        <v>162</v>
      </c>
    </row>
    <row r="62" spans="1:10" x14ac:dyDescent="0.25">
      <c r="A62" s="2" t="s">
        <v>31</v>
      </c>
      <c r="B62" s="50">
        <f>B18/B12</f>
        <v>1102830.956521739</v>
      </c>
      <c r="C62" s="50">
        <f t="shared" ref="C62:I62" si="37">C18/C12</f>
        <v>3633413.8435754189</v>
      </c>
      <c r="D62" s="50">
        <f t="shared" si="37"/>
        <v>3936979.3333333335</v>
      </c>
      <c r="E62" s="50">
        <f t="shared" si="37"/>
        <v>3305139.5348837208</v>
      </c>
      <c r="F62" s="50">
        <f t="shared" si="37"/>
        <v>83619.609467455623</v>
      </c>
      <c r="G62" s="50" t="s">
        <v>162</v>
      </c>
      <c r="H62" s="50">
        <f t="shared" si="37"/>
        <v>83619.609467455623</v>
      </c>
      <c r="I62" s="50">
        <f t="shared" si="37"/>
        <v>59745.365384615383</v>
      </c>
      <c r="J62" s="50" t="s">
        <v>162</v>
      </c>
    </row>
    <row r="63" spans="1:10" x14ac:dyDescent="0.25">
      <c r="A63" s="2" t="s">
        <v>32</v>
      </c>
      <c r="B63" s="50">
        <f>(B62/B61)*B46</f>
        <v>80.892029456700527</v>
      </c>
      <c r="C63" s="50">
        <f>(C62/C61)*C46</f>
        <v>73.281047768327284</v>
      </c>
      <c r="D63" s="50">
        <f t="shared" ref="D63:F63" si="38">(D62/D61)*D46</f>
        <v>73.0490505950889</v>
      </c>
      <c r="E63" s="50">
        <f t="shared" si="38"/>
        <v>74.272850802756238</v>
      </c>
      <c r="F63" s="50">
        <f t="shared" si="38"/>
        <v>79.004157445034934</v>
      </c>
      <c r="G63" s="50" t="s">
        <v>162</v>
      </c>
      <c r="H63" s="50">
        <f t="shared" ref="H63" si="39">(H62/H61)*H46</f>
        <v>79.004157445034934</v>
      </c>
      <c r="I63" s="50">
        <f t="shared" ref="I63" si="40">(I62/I61)*I46</f>
        <v>32.295912524428545</v>
      </c>
      <c r="J63" s="50" t="s">
        <v>162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51" t="s">
        <v>1</v>
      </c>
      <c r="C65" s="51"/>
      <c r="D65" s="51" t="s">
        <v>69</v>
      </c>
      <c r="E65" s="51" t="s">
        <v>71</v>
      </c>
      <c r="F65" s="51"/>
      <c r="G65" s="51"/>
      <c r="H65" s="50"/>
      <c r="I65" s="50"/>
      <c r="J65" s="52"/>
    </row>
    <row r="66" spans="1:10" x14ac:dyDescent="0.25">
      <c r="A66" s="2" t="s">
        <v>34</v>
      </c>
      <c r="B66" s="50">
        <f>B24/B23*100</f>
        <v>64.112203921750265</v>
      </c>
      <c r="C66" s="50"/>
      <c r="D66" s="50">
        <f>D24/D23*100</f>
        <v>86.808286637754563</v>
      </c>
      <c r="E66" s="50">
        <f>E24/E23*100</f>
        <v>36.07260217206845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114.91677696489697</v>
      </c>
      <c r="C67" s="50"/>
      <c r="D67" s="50">
        <f>(D18+G18)/D24*100</f>
        <v>82.10132702484529</v>
      </c>
      <c r="E67" s="50">
        <f>(E18+H18+I18)/E24*100</f>
        <v>212.47929733333334</v>
      </c>
      <c r="F67" s="50"/>
      <c r="G67" s="50"/>
      <c r="H67" s="50"/>
      <c r="I67" s="50"/>
      <c r="J67" s="52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2" spans="1:1" x14ac:dyDescent="0.25">
      <c r="A82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pageSetup orientation="portrait" r:id="rId1"/>
  <ignoredErrors>
    <ignoredError sqref="F10:F19" formulaRange="1"/>
    <ignoredError sqref="F2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82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140625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125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35"/>
      <c r="B7" s="36"/>
      <c r="C7" s="37"/>
      <c r="D7" s="37"/>
      <c r="E7" s="37"/>
      <c r="F7" s="37"/>
      <c r="G7" s="37"/>
      <c r="H7" s="36"/>
      <c r="I7" s="3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126</v>
      </c>
      <c r="B10" s="58">
        <f>+C10+F10+I10+J10</f>
        <v>462</v>
      </c>
      <c r="C10" s="58">
        <f>'I trimestre'!C10+'II Trimestre'!C10</f>
        <v>462</v>
      </c>
      <c r="D10" s="58">
        <f>'I trimestre'!D10+'II Trimestre'!D10</f>
        <v>224</v>
      </c>
      <c r="E10" s="58">
        <f>'I trimestre'!E10+'II Trimestre'!E10</f>
        <v>238</v>
      </c>
      <c r="F10" s="58">
        <f>'I trimestre'!F10+'II Trimestre'!F10</f>
        <v>0</v>
      </c>
      <c r="G10" s="58">
        <f>'I trimestre'!G10+'II Trimestre'!G10</f>
        <v>0</v>
      </c>
      <c r="H10" s="58">
        <f>'I trimestre'!H10+'II Trimestre'!H10</f>
        <v>0</v>
      </c>
      <c r="I10" s="58">
        <f>'I trimestre'!I10+'II Trimestre'!I10</f>
        <v>0</v>
      </c>
      <c r="J10" s="58">
        <f>'I trimestre'!J10+'II Trimestre'!J10</f>
        <v>0</v>
      </c>
    </row>
    <row r="11" spans="1:10" x14ac:dyDescent="0.25">
      <c r="A11" s="2" t="s">
        <v>127</v>
      </c>
      <c r="B11" s="58">
        <f>+C11+F11+I11+J11</f>
        <v>1255</v>
      </c>
      <c r="C11" s="58">
        <f>'I trimestre'!C11+'II Trimestre'!C11</f>
        <v>477</v>
      </c>
      <c r="D11" s="58">
        <f>'I trimestre'!D11+'II Trimestre'!D11</f>
        <v>285</v>
      </c>
      <c r="E11" s="58">
        <f>'I trimestre'!E11+'II Trimestre'!E11</f>
        <v>192</v>
      </c>
      <c r="F11" s="58">
        <f>'I trimestre'!F11+'II Trimestre'!F11</f>
        <v>412</v>
      </c>
      <c r="G11" s="58">
        <f>'I trimestre'!G11+'II Trimestre'!G11</f>
        <v>0</v>
      </c>
      <c r="H11" s="58">
        <f>'I trimestre'!H11+'II Trimestre'!H11</f>
        <v>412</v>
      </c>
      <c r="I11" s="58">
        <f>'I trimestre'!I11+'II Trimestre'!I11</f>
        <v>336</v>
      </c>
      <c r="J11" s="58">
        <f>'I trimestre'!J11+'II Trimestre'!J11</f>
        <v>30</v>
      </c>
    </row>
    <row r="12" spans="1:10" x14ac:dyDescent="0.25">
      <c r="A12" s="2" t="s">
        <v>128</v>
      </c>
      <c r="B12" s="58">
        <f>+C12+F12+I12+J12</f>
        <v>921</v>
      </c>
      <c r="C12" s="58">
        <f>'I trimestre'!C12+'II Trimestre'!C12</f>
        <v>404</v>
      </c>
      <c r="D12" s="58">
        <f>'I trimestre'!D12+'II Trimestre'!D12</f>
        <v>265</v>
      </c>
      <c r="E12" s="58">
        <f>'I trimestre'!E12+'II Trimestre'!E12</f>
        <v>139</v>
      </c>
      <c r="F12" s="58">
        <f>'I trimestre'!F12+'II Trimestre'!F12</f>
        <v>401</v>
      </c>
      <c r="G12" s="58">
        <f>'I trimestre'!G12+'II Trimestre'!G12</f>
        <v>0</v>
      </c>
      <c r="H12" s="58">
        <f>'I trimestre'!H12+'II Trimestre'!H12</f>
        <v>401</v>
      </c>
      <c r="I12" s="58">
        <f>'I trimestre'!I12+'II Trimestre'!I12</f>
        <v>116</v>
      </c>
      <c r="J12" s="58">
        <f>'I trimestre'!J12+'II Trimestre'!J12</f>
        <v>0</v>
      </c>
    </row>
    <row r="13" spans="1:10" x14ac:dyDescent="0.25">
      <c r="A13" s="2" t="s">
        <v>78</v>
      </c>
      <c r="B13" s="58">
        <f>+C13+F13+I13+J13</f>
        <v>4422</v>
      </c>
      <c r="C13" s="58">
        <f>'II Trimestre'!C13</f>
        <v>1042</v>
      </c>
      <c r="D13" s="58">
        <f>'II Trimestre'!D13</f>
        <v>658</v>
      </c>
      <c r="E13" s="58">
        <f>'II Trimestre'!E13</f>
        <v>384</v>
      </c>
      <c r="F13" s="58">
        <f>'II Trimestre'!F13</f>
        <v>2550</v>
      </c>
      <c r="G13" s="58">
        <f>'II Trimestre'!G13</f>
        <v>0</v>
      </c>
      <c r="H13" s="58">
        <f>'II Trimestre'!H13</f>
        <v>2550</v>
      </c>
      <c r="I13" s="58">
        <f>'II Trimestre'!I13</f>
        <v>780</v>
      </c>
      <c r="J13" s="58">
        <f>'II Trimestre'!J13</f>
        <v>50</v>
      </c>
    </row>
    <row r="14" spans="1:10" x14ac:dyDescent="0.25">
      <c r="B14" s="50"/>
      <c r="C14" s="50"/>
      <c r="D14" s="50"/>
      <c r="E14" s="50"/>
      <c r="F14" s="50"/>
      <c r="G14" s="50"/>
      <c r="H14" s="50"/>
      <c r="I14" s="50"/>
      <c r="J14" s="52"/>
    </row>
    <row r="15" spans="1:10" x14ac:dyDescent="0.25">
      <c r="A15" s="2" t="s">
        <v>7</v>
      </c>
      <c r="B15" s="50"/>
      <c r="C15" s="50"/>
      <c r="D15" s="50"/>
      <c r="E15" s="50"/>
      <c r="F15" s="50"/>
      <c r="G15" s="50"/>
      <c r="H15" s="50"/>
      <c r="I15" s="50"/>
      <c r="J15" s="52"/>
    </row>
    <row r="16" spans="1:10" x14ac:dyDescent="0.25">
      <c r="A16" s="2" t="s">
        <v>129</v>
      </c>
      <c r="B16" s="58">
        <f>+C16+F16+I16+J16</f>
        <v>1413913644.26</v>
      </c>
      <c r="C16" s="58">
        <f>'I trimestre'!C16+'II Trimestre'!C16</f>
        <v>1390959999</v>
      </c>
      <c r="D16" s="58">
        <f>'I trimestre'!D16+'II Trimestre'!D16</f>
        <v>692082000</v>
      </c>
      <c r="E16" s="58">
        <f>'I trimestre'!E16+'II Trimestre'!E16</f>
        <v>698877999</v>
      </c>
      <c r="F16" s="58">
        <f>'I trimestre'!F16+'II Trimestre'!F16</f>
        <v>22953645.259999998</v>
      </c>
      <c r="G16" s="58">
        <f>'I trimestre'!G16+'II Trimestre'!G16</f>
        <v>0</v>
      </c>
      <c r="H16" s="58">
        <f>'I trimestre'!H16+'II Trimestre'!H16</f>
        <v>22953645.259999998</v>
      </c>
      <c r="I16" s="58">
        <f>'I trimestre'!I16+'II Trimestre'!I16</f>
        <v>0</v>
      </c>
      <c r="J16" s="58">
        <f>'I trimestre'!J16+'II Trimestre'!J16</f>
        <v>0</v>
      </c>
    </row>
    <row r="17" spans="1:10" x14ac:dyDescent="0.25">
      <c r="A17" s="2" t="s">
        <v>127</v>
      </c>
      <c r="B17" s="58">
        <f>+C17+F17+I17+J17</f>
        <v>1917677900</v>
      </c>
      <c r="C17" s="58">
        <f>'I trimestre'!C17+'II Trimestre'!C17</f>
        <v>1788750000</v>
      </c>
      <c r="D17" s="58">
        <f>'I trimestre'!D17+'II Trimestre'!D17</f>
        <v>1068750000</v>
      </c>
      <c r="E17" s="58">
        <f>'I trimestre'!E17+'II Trimestre'!E17</f>
        <v>720000000</v>
      </c>
      <c r="F17" s="58">
        <f>'I trimestre'!F17+'II Trimestre'!F17</f>
        <v>25850977</v>
      </c>
      <c r="G17" s="58">
        <f>'I trimestre'!G17+'II Trimestre'!G17</f>
        <v>0</v>
      </c>
      <c r="H17" s="58">
        <f>'I trimestre'!H17+'II Trimestre'!H17</f>
        <v>25850977</v>
      </c>
      <c r="I17" s="58">
        <f>'I trimestre'!I17+'II Trimestre'!I17</f>
        <v>43076923</v>
      </c>
      <c r="J17" s="58">
        <f>'I trimestre'!J17+'II Trimestre'!J17</f>
        <v>60000000</v>
      </c>
    </row>
    <row r="18" spans="1:10" x14ac:dyDescent="0.25">
      <c r="A18" s="2" t="s">
        <v>128</v>
      </c>
      <c r="B18" s="58">
        <f>+C18+F18+I18+J18</f>
        <v>1357326729</v>
      </c>
      <c r="C18" s="58">
        <f>'I trimestre'!C18+'II Trimestre'!C18</f>
        <v>1304502975</v>
      </c>
      <c r="D18" s="58">
        <f>'I trimestre'!D18+'II Trimestre'!D18</f>
        <v>847468360</v>
      </c>
      <c r="E18" s="58">
        <f>'I trimestre'!E18+'II Trimestre'!E18</f>
        <v>457034615</v>
      </c>
      <c r="F18" s="58">
        <f>'I trimestre'!F18+'II Trimestre'!F18</f>
        <v>50010010</v>
      </c>
      <c r="G18" s="58">
        <f>'I trimestre'!G18+'II Trimestre'!G18</f>
        <v>10016000</v>
      </c>
      <c r="H18" s="58">
        <f>'I trimestre'!H18+'II Trimestre'!H18</f>
        <v>39994010</v>
      </c>
      <c r="I18" s="58">
        <f>'I trimestre'!I18+'II Trimestre'!I18</f>
        <v>2813744</v>
      </c>
      <c r="J18" s="58">
        <f>'I trimestre'!J18+'II Trimestre'!J18</f>
        <v>0</v>
      </c>
    </row>
    <row r="19" spans="1:10" x14ac:dyDescent="0.25">
      <c r="A19" s="2" t="s">
        <v>78</v>
      </c>
      <c r="B19" s="58">
        <f>+C19+F19+I19+J19</f>
        <v>4267479757</v>
      </c>
      <c r="C19" s="58">
        <f>'II Trimestre'!C19</f>
        <v>3907479757</v>
      </c>
      <c r="D19" s="58">
        <f>'II Trimestre'!D19</f>
        <v>2467479757</v>
      </c>
      <c r="E19" s="58">
        <f>'II Trimestre'!E19</f>
        <v>1440000000</v>
      </c>
      <c r="F19" s="58">
        <f>'II Trimestre'!F19</f>
        <v>160000000</v>
      </c>
      <c r="G19" s="58">
        <f>'II Trimestre'!G19</f>
        <v>0</v>
      </c>
      <c r="H19" s="58">
        <f>'II Trimestre'!H19</f>
        <v>160000000</v>
      </c>
      <c r="I19" s="58">
        <f>'II Trimestre'!I19</f>
        <v>100000000</v>
      </c>
      <c r="J19" s="58">
        <f>'II Trimestre'!J19</f>
        <v>100000000</v>
      </c>
    </row>
    <row r="20" spans="1:10" x14ac:dyDescent="0.25">
      <c r="A20" s="2" t="s">
        <v>130</v>
      </c>
      <c r="B20" s="58">
        <f>+C20+F20+I20+J20</f>
        <v>1357326729</v>
      </c>
      <c r="C20" s="58">
        <f>C18</f>
        <v>1304502975</v>
      </c>
      <c r="D20" s="58">
        <f>D18</f>
        <v>847468360</v>
      </c>
      <c r="E20" s="58">
        <f>E18</f>
        <v>457034615</v>
      </c>
      <c r="F20" s="59">
        <f>SUM(G20:H20)</f>
        <v>50010010</v>
      </c>
      <c r="G20" s="58">
        <f t="shared" ref="G20:J20" si="0">G18</f>
        <v>10016000</v>
      </c>
      <c r="H20" s="58">
        <f t="shared" si="0"/>
        <v>39994010</v>
      </c>
      <c r="I20" s="58">
        <f t="shared" si="0"/>
        <v>2813744</v>
      </c>
      <c r="J20" s="58">
        <f t="shared" si="0"/>
        <v>0</v>
      </c>
    </row>
    <row r="21" spans="1:10" x14ac:dyDescent="0.25">
      <c r="B21" s="58"/>
      <c r="C21" s="58"/>
      <c r="D21" s="58"/>
      <c r="E21" s="58"/>
      <c r="F21" s="58"/>
      <c r="G21" s="58"/>
      <c r="H21" s="58"/>
      <c r="I21" s="58"/>
      <c r="J21" s="52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58"/>
      <c r="I22" s="58"/>
      <c r="J22" s="52"/>
    </row>
    <row r="23" spans="1:10" x14ac:dyDescent="0.25">
      <c r="A23" s="2" t="s">
        <v>127</v>
      </c>
      <c r="B23" s="58">
        <f>B17</f>
        <v>1917677900</v>
      </c>
      <c r="C23" s="58"/>
      <c r="D23" s="59">
        <f>D17+G17</f>
        <v>1068750000</v>
      </c>
      <c r="E23" s="58">
        <f>H17+E17+I17+J17</f>
        <v>848927900</v>
      </c>
      <c r="F23" s="60"/>
      <c r="G23" s="58"/>
      <c r="H23" s="58"/>
      <c r="I23" s="58"/>
      <c r="J23" s="52"/>
    </row>
    <row r="24" spans="1:10" x14ac:dyDescent="0.25">
      <c r="A24" s="2" t="s">
        <v>128</v>
      </c>
      <c r="B24" s="58">
        <f>D24+E24</f>
        <v>1988639999.99</v>
      </c>
      <c r="C24" s="58"/>
      <c r="D24" s="58">
        <f>'I trimestre'!D24+'II Trimestre'!D24</f>
        <v>1238640000</v>
      </c>
      <c r="E24" s="58">
        <f>'I trimestre'!E24+'II Trimestre'!E24</f>
        <v>749999999.99000001</v>
      </c>
      <c r="F24" s="58"/>
      <c r="G24" s="58"/>
      <c r="H24" s="58"/>
      <c r="I24" s="50"/>
      <c r="J24" s="52"/>
    </row>
    <row r="25" spans="1:10" x14ac:dyDescent="0.25">
      <c r="B25" s="50"/>
      <c r="C25" s="50"/>
      <c r="D25" s="50"/>
      <c r="E25" s="50"/>
      <c r="F25" s="50"/>
      <c r="G25" s="50"/>
      <c r="H25" s="50"/>
      <c r="I25" s="50"/>
      <c r="J25" s="52"/>
    </row>
    <row r="26" spans="1:10" x14ac:dyDescent="0.25">
      <c r="A26" s="2" t="s">
        <v>9</v>
      </c>
      <c r="B26" s="50"/>
      <c r="C26" s="50"/>
      <c r="D26" s="50"/>
      <c r="E26" s="50"/>
      <c r="F26" s="50"/>
      <c r="G26" s="50"/>
      <c r="H26" s="50"/>
      <c r="I26" s="50"/>
      <c r="J26" s="52"/>
    </row>
    <row r="27" spans="1:10" x14ac:dyDescent="0.25">
      <c r="A27" s="2" t="s">
        <v>131</v>
      </c>
      <c r="B27" s="61">
        <v>1.0088033727000001</v>
      </c>
      <c r="C27" s="61">
        <v>1.0088033727000001</v>
      </c>
      <c r="D27" s="61">
        <v>1.0088033727000001</v>
      </c>
      <c r="E27" s="61">
        <v>1.0088033727000001</v>
      </c>
      <c r="F27" s="61">
        <v>1.0088033727000001</v>
      </c>
      <c r="G27" s="61">
        <v>1.0088033727000001</v>
      </c>
      <c r="H27" s="61">
        <v>1.0088033727000001</v>
      </c>
      <c r="I27" s="61">
        <v>1.0088033727000001</v>
      </c>
      <c r="J27" s="61">
        <v>1.0088033727000001</v>
      </c>
    </row>
    <row r="28" spans="1:10" x14ac:dyDescent="0.25">
      <c r="A28" s="2" t="s">
        <v>132</v>
      </c>
      <c r="B28" s="61">
        <v>1.0303325644000001</v>
      </c>
      <c r="C28" s="61">
        <v>1.0303325644000001</v>
      </c>
      <c r="D28" s="61">
        <v>1.0303325644000001</v>
      </c>
      <c r="E28" s="61">
        <v>1.0303325644000001</v>
      </c>
      <c r="F28" s="61">
        <v>1.0303325644000001</v>
      </c>
      <c r="G28" s="61">
        <v>1.0303325644000001</v>
      </c>
      <c r="H28" s="61">
        <v>1.0303325644000001</v>
      </c>
      <c r="I28" s="61">
        <v>1.0303325644000001</v>
      </c>
      <c r="J28" s="61">
        <v>1.0303325644000001</v>
      </c>
    </row>
    <row r="29" spans="1:10" x14ac:dyDescent="0.25">
      <c r="A29" s="2" t="s">
        <v>10</v>
      </c>
      <c r="B29" s="58">
        <v>108639</v>
      </c>
      <c r="C29" s="58">
        <v>108639</v>
      </c>
      <c r="D29" s="58">
        <v>108639</v>
      </c>
      <c r="E29" s="58">
        <v>108639</v>
      </c>
      <c r="F29" s="58">
        <v>108639</v>
      </c>
      <c r="G29" s="58">
        <v>108639</v>
      </c>
      <c r="H29" s="58">
        <v>108639</v>
      </c>
      <c r="I29" s="58">
        <v>108639</v>
      </c>
      <c r="J29" s="58">
        <v>108639</v>
      </c>
    </row>
    <row r="30" spans="1:10" x14ac:dyDescent="0.25">
      <c r="B30" s="50"/>
      <c r="C30" s="50"/>
      <c r="D30" s="50"/>
      <c r="E30" s="50"/>
      <c r="F30" s="50"/>
      <c r="G30" s="50"/>
      <c r="H30" s="50"/>
      <c r="I30" s="50"/>
      <c r="J30" s="52"/>
    </row>
    <row r="31" spans="1:10" x14ac:dyDescent="0.25">
      <c r="A31" s="2" t="s">
        <v>11</v>
      </c>
      <c r="B31" s="50"/>
      <c r="C31" s="50"/>
      <c r="D31" s="50"/>
      <c r="E31" s="50"/>
      <c r="F31" s="50"/>
      <c r="G31" s="50"/>
      <c r="H31" s="50"/>
      <c r="I31" s="50"/>
      <c r="J31" s="52"/>
    </row>
    <row r="32" spans="1:10" x14ac:dyDescent="0.25">
      <c r="A32" s="2" t="s">
        <v>133</v>
      </c>
      <c r="B32" s="50">
        <f>B16/B27</f>
        <v>1401575056.6691179</v>
      </c>
      <c r="C32" s="50">
        <f t="shared" ref="C32:J32" si="1">C16/C27</f>
        <v>1378821717.5336967</v>
      </c>
      <c r="D32" s="50">
        <f t="shared" si="1"/>
        <v>686042512.07813191</v>
      </c>
      <c r="E32" s="50">
        <f t="shared" si="1"/>
        <v>692779205.45556474</v>
      </c>
      <c r="F32" s="50">
        <f t="shared" si="1"/>
        <v>22753339.135421384</v>
      </c>
      <c r="G32" s="50">
        <f t="shared" si="1"/>
        <v>0</v>
      </c>
      <c r="H32" s="50">
        <f t="shared" si="1"/>
        <v>22753339.135421384</v>
      </c>
      <c r="I32" s="50">
        <f t="shared" si="1"/>
        <v>0</v>
      </c>
      <c r="J32" s="50">
        <f t="shared" si="1"/>
        <v>0</v>
      </c>
    </row>
    <row r="33" spans="1:10" x14ac:dyDescent="0.25">
      <c r="A33" s="2" t="s">
        <v>134</v>
      </c>
      <c r="B33" s="50">
        <f>B18/B28</f>
        <v>1317367591.6866903</v>
      </c>
      <c r="C33" s="50">
        <f t="shared" ref="C33:J33" si="2">C18/C28</f>
        <v>1266098947.1488357</v>
      </c>
      <c r="D33" s="50">
        <f t="shared" si="2"/>
        <v>822519242.11821008</v>
      </c>
      <c r="E33" s="50">
        <f t="shared" si="2"/>
        <v>443579705.03062552</v>
      </c>
      <c r="F33" s="50">
        <f t="shared" si="2"/>
        <v>48537735.997039594</v>
      </c>
      <c r="G33" s="50">
        <f t="shared" si="2"/>
        <v>9721133.1040795352</v>
      </c>
      <c r="H33" s="50">
        <f t="shared" si="2"/>
        <v>38816602.892960057</v>
      </c>
      <c r="I33" s="50">
        <f t="shared" si="2"/>
        <v>2730908.5408152123</v>
      </c>
      <c r="J33" s="50">
        <f t="shared" si="2"/>
        <v>0</v>
      </c>
    </row>
    <row r="34" spans="1:10" x14ac:dyDescent="0.25">
      <c r="A34" s="2" t="s">
        <v>135</v>
      </c>
      <c r="B34" s="50">
        <f>B32/B10</f>
        <v>3033712.2438725499</v>
      </c>
      <c r="C34" s="50">
        <f t="shared" ref="C34:E34" si="3">C32/C10</f>
        <v>2984462.5920642787</v>
      </c>
      <c r="D34" s="50">
        <f t="shared" si="3"/>
        <v>3062689.786063089</v>
      </c>
      <c r="E34" s="50">
        <f t="shared" si="3"/>
        <v>2910836.9977124571</v>
      </c>
      <c r="F34" s="50" t="s">
        <v>161</v>
      </c>
      <c r="G34" s="50" t="s">
        <v>161</v>
      </c>
      <c r="H34" s="50" t="s">
        <v>161</v>
      </c>
      <c r="I34" s="50" t="s">
        <v>161</v>
      </c>
      <c r="J34" s="50" t="s">
        <v>161</v>
      </c>
    </row>
    <row r="35" spans="1:10" x14ac:dyDescent="0.25">
      <c r="A35" s="2" t="s">
        <v>136</v>
      </c>
      <c r="B35" s="50">
        <f>B33/B12</f>
        <v>1430366.5490626388</v>
      </c>
      <c r="C35" s="50">
        <f t="shared" ref="C35:I35" si="4">C33/C12</f>
        <v>3133908.2850218704</v>
      </c>
      <c r="D35" s="50">
        <f t="shared" si="4"/>
        <v>3103846.1966724908</v>
      </c>
      <c r="E35" s="50">
        <f t="shared" si="4"/>
        <v>3191220.8995009032</v>
      </c>
      <c r="F35" s="50">
        <f t="shared" si="4"/>
        <v>121041.73565346532</v>
      </c>
      <c r="G35" s="50" t="s">
        <v>161</v>
      </c>
      <c r="H35" s="50">
        <f t="shared" si="4"/>
        <v>96799.508461247024</v>
      </c>
      <c r="I35" s="50">
        <f t="shared" si="4"/>
        <v>23542.315007027693</v>
      </c>
      <c r="J35" s="50" t="s">
        <v>161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>B11/B29*100</f>
        <v>1.1552020913300012</v>
      </c>
      <c r="C40" s="50">
        <f t="shared" ref="C40:J40" si="5">C11/C29*100</f>
        <v>0.43906884268080526</v>
      </c>
      <c r="D40" s="50">
        <f t="shared" si="5"/>
        <v>0.26233672990362578</v>
      </c>
      <c r="E40" s="50">
        <f t="shared" si="5"/>
        <v>0.17673211277717948</v>
      </c>
      <c r="F40" s="50">
        <f t="shared" si="5"/>
        <v>0.3792376586676976</v>
      </c>
      <c r="G40" s="50">
        <f t="shared" si="5"/>
        <v>0</v>
      </c>
      <c r="H40" s="50">
        <f t="shared" si="5"/>
        <v>0.3792376586676976</v>
      </c>
      <c r="I40" s="50">
        <f t="shared" si="5"/>
        <v>0.30928119736006404</v>
      </c>
      <c r="J40" s="50">
        <f t="shared" si="5"/>
        <v>2.7614392621434291E-2</v>
      </c>
    </row>
    <row r="41" spans="1:10" x14ac:dyDescent="0.25">
      <c r="A41" s="2" t="s">
        <v>15</v>
      </c>
      <c r="B41" s="50">
        <f>B12/B29*100</f>
        <v>0.84776185347803268</v>
      </c>
      <c r="C41" s="50">
        <f t="shared" ref="C41:J41" si="6">C12/C29*100</f>
        <v>0.3718738206353151</v>
      </c>
      <c r="D41" s="50">
        <f t="shared" si="6"/>
        <v>0.24392713482266956</v>
      </c>
      <c r="E41" s="50">
        <f t="shared" si="6"/>
        <v>0.12794668581264554</v>
      </c>
      <c r="F41" s="50">
        <f t="shared" si="6"/>
        <v>0.36911238137317171</v>
      </c>
      <c r="G41" s="50">
        <f t="shared" si="6"/>
        <v>0</v>
      </c>
      <c r="H41" s="50">
        <f t="shared" si="6"/>
        <v>0.36911238137317171</v>
      </c>
      <c r="I41" s="50">
        <f t="shared" si="6"/>
        <v>0.10677565146954592</v>
      </c>
      <c r="J41" s="50">
        <f t="shared" si="6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>B12/B11*100</f>
        <v>73.386454183266935</v>
      </c>
      <c r="C44" s="50">
        <f t="shared" ref="C44:J44" si="7">C12/C11*100</f>
        <v>84.696016771488473</v>
      </c>
      <c r="D44" s="50">
        <f t="shared" si="7"/>
        <v>92.982456140350877</v>
      </c>
      <c r="E44" s="50">
        <f t="shared" si="7"/>
        <v>72.395833333333343</v>
      </c>
      <c r="F44" s="50">
        <f t="shared" si="7"/>
        <v>97.330097087378647</v>
      </c>
      <c r="G44" s="50" t="s">
        <v>161</v>
      </c>
      <c r="H44" s="50">
        <f t="shared" si="7"/>
        <v>97.330097087378647</v>
      </c>
      <c r="I44" s="50">
        <f t="shared" si="7"/>
        <v>34.523809523809526</v>
      </c>
      <c r="J44" s="50">
        <f t="shared" si="7"/>
        <v>0</v>
      </c>
    </row>
    <row r="45" spans="1:10" x14ac:dyDescent="0.25">
      <c r="A45" s="2" t="s">
        <v>18</v>
      </c>
      <c r="B45" s="50">
        <f>B18/B17*100</f>
        <v>70.779703358942598</v>
      </c>
      <c r="C45" s="50">
        <f t="shared" ref="C45:J45" si="8">C18/C17*100</f>
        <v>72.928188679245281</v>
      </c>
      <c r="D45" s="50">
        <f t="shared" si="8"/>
        <v>79.295285146198836</v>
      </c>
      <c r="E45" s="50">
        <f t="shared" si="8"/>
        <v>63.477029861111113</v>
      </c>
      <c r="F45" s="50">
        <f t="shared" si="8"/>
        <v>193.45500945670256</v>
      </c>
      <c r="G45" s="50" t="s">
        <v>161</v>
      </c>
      <c r="H45" s="50">
        <f t="shared" si="8"/>
        <v>154.70985874150907</v>
      </c>
      <c r="I45" s="50">
        <f t="shared" si="8"/>
        <v>6.531905725949831</v>
      </c>
      <c r="J45" s="50">
        <f t="shared" si="8"/>
        <v>0</v>
      </c>
    </row>
    <row r="46" spans="1:10" x14ac:dyDescent="0.25">
      <c r="A46" s="2" t="s">
        <v>19</v>
      </c>
      <c r="B46" s="50">
        <f>AVERAGE(B44:B45)</f>
        <v>72.083078771104766</v>
      </c>
      <c r="C46" s="50">
        <f t="shared" ref="C46:J46" si="9">AVERAGE(C44:C45)</f>
        <v>78.812102725366884</v>
      </c>
      <c r="D46" s="50">
        <f t="shared" si="9"/>
        <v>86.138870643274856</v>
      </c>
      <c r="E46" s="50">
        <f t="shared" si="9"/>
        <v>67.936431597222224</v>
      </c>
      <c r="F46" s="50">
        <f t="shared" si="9"/>
        <v>145.3925532720406</v>
      </c>
      <c r="G46" s="50" t="s">
        <v>161</v>
      </c>
      <c r="H46" s="50">
        <f t="shared" si="9"/>
        <v>126.01997791444386</v>
      </c>
      <c r="I46" s="50">
        <f t="shared" si="9"/>
        <v>20.52785762487968</v>
      </c>
      <c r="J46" s="50">
        <f t="shared" si="9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1" x14ac:dyDescent="0.25">
      <c r="A49" s="2" t="s">
        <v>21</v>
      </c>
      <c r="B49" s="50">
        <f>B12/B13*100</f>
        <v>20.827679782903662</v>
      </c>
      <c r="C49" s="50">
        <f t="shared" ref="C49:J49" si="10">C12/C13*100</f>
        <v>38.771593090211134</v>
      </c>
      <c r="D49" s="50">
        <f t="shared" si="10"/>
        <v>40.273556231003042</v>
      </c>
      <c r="E49" s="50">
        <f t="shared" si="10"/>
        <v>36.197916666666671</v>
      </c>
      <c r="F49" s="50">
        <f t="shared" si="10"/>
        <v>15.725490196078432</v>
      </c>
      <c r="G49" s="50" t="s">
        <v>161</v>
      </c>
      <c r="H49" s="50">
        <f t="shared" si="10"/>
        <v>15.725490196078432</v>
      </c>
      <c r="I49" s="50">
        <f t="shared" si="10"/>
        <v>14.871794871794872</v>
      </c>
      <c r="J49" s="50">
        <f t="shared" si="10"/>
        <v>0</v>
      </c>
    </row>
    <row r="50" spans="1:11" x14ac:dyDescent="0.25">
      <c r="A50" s="2" t="s">
        <v>22</v>
      </c>
      <c r="B50" s="50">
        <f>B18/B19*100</f>
        <v>31.806283949526886</v>
      </c>
      <c r="C50" s="50">
        <f t="shared" ref="C50:J50" si="11">C18/C19*100</f>
        <v>33.384766041668321</v>
      </c>
      <c r="D50" s="50">
        <f t="shared" si="11"/>
        <v>34.345504055132153</v>
      </c>
      <c r="E50" s="50">
        <f t="shared" si="11"/>
        <v>31.738514930555557</v>
      </c>
      <c r="F50" s="50">
        <f t="shared" si="11"/>
        <v>31.256256249999996</v>
      </c>
      <c r="G50" s="50" t="s">
        <v>161</v>
      </c>
      <c r="H50" s="50">
        <f t="shared" si="11"/>
        <v>24.996256250000002</v>
      </c>
      <c r="I50" s="50">
        <f t="shared" si="11"/>
        <v>2.8137439999999998</v>
      </c>
      <c r="J50" s="50">
        <f t="shared" si="11"/>
        <v>0</v>
      </c>
    </row>
    <row r="51" spans="1:11" x14ac:dyDescent="0.25">
      <c r="A51" s="2" t="s">
        <v>23</v>
      </c>
      <c r="B51" s="50">
        <f>AVERAGE(B49:B50)</f>
        <v>26.316981866215272</v>
      </c>
      <c r="C51" s="50">
        <f t="shared" ref="C51:J51" si="12">AVERAGE(C49:C50)</f>
        <v>36.078179565939728</v>
      </c>
      <c r="D51" s="50">
        <f t="shared" si="12"/>
        <v>37.309530143067597</v>
      </c>
      <c r="E51" s="50">
        <f t="shared" si="12"/>
        <v>33.968215798611112</v>
      </c>
      <c r="F51" s="50">
        <f t="shared" si="12"/>
        <v>23.490873223039216</v>
      </c>
      <c r="G51" s="50" t="s">
        <v>161</v>
      </c>
      <c r="H51" s="50">
        <f t="shared" si="12"/>
        <v>20.360873223039217</v>
      </c>
      <c r="I51" s="50">
        <f t="shared" si="12"/>
        <v>8.842769435897436</v>
      </c>
      <c r="J51" s="50">
        <f t="shared" si="12"/>
        <v>0</v>
      </c>
    </row>
    <row r="52" spans="1:11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1" x14ac:dyDescent="0.25">
      <c r="A53" s="2" t="s">
        <v>24</v>
      </c>
      <c r="B53" s="50">
        <f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1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1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1" x14ac:dyDescent="0.25">
      <c r="A56" s="2" t="s">
        <v>26</v>
      </c>
      <c r="B56" s="50">
        <f>((B12/B10)-1)*100</f>
        <v>99.350649350649348</v>
      </c>
      <c r="C56" s="50">
        <f t="shared" ref="C56:E56" si="13">((C12/C10)-1)*100</f>
        <v>-12.554112554112551</v>
      </c>
      <c r="D56" s="50">
        <f t="shared" si="13"/>
        <v>18.30357142857142</v>
      </c>
      <c r="E56" s="50">
        <f t="shared" si="13"/>
        <v>-41.596638655462179</v>
      </c>
      <c r="F56" s="50" t="s">
        <v>161</v>
      </c>
      <c r="G56" s="50" t="s">
        <v>161</v>
      </c>
      <c r="H56" s="50" t="s">
        <v>161</v>
      </c>
      <c r="I56" s="50" t="s">
        <v>161</v>
      </c>
      <c r="J56" s="50" t="s">
        <v>161</v>
      </c>
    </row>
    <row r="57" spans="1:11" x14ac:dyDescent="0.25">
      <c r="A57" s="2" t="s">
        <v>27</v>
      </c>
      <c r="B57" s="50">
        <f>((B33/B32)-1)*100</f>
        <v>-6.0080596170531848</v>
      </c>
      <c r="C57" s="50">
        <f t="shared" ref="C57:H57" si="14">((C33/C32)-1)*100</f>
        <v>-8.1752969910053768</v>
      </c>
      <c r="D57" s="50">
        <f t="shared" si="14"/>
        <v>19.893334252227078</v>
      </c>
      <c r="E57" s="50">
        <f t="shared" si="14"/>
        <v>-35.970984472761145</v>
      </c>
      <c r="F57" s="50">
        <f t="shared" si="14"/>
        <v>113.32137541728198</v>
      </c>
      <c r="G57" s="50" t="s">
        <v>161</v>
      </c>
      <c r="H57" s="50">
        <f t="shared" si="14"/>
        <v>70.597390835405349</v>
      </c>
      <c r="I57" s="50" t="s">
        <v>161</v>
      </c>
      <c r="J57" s="50" t="s">
        <v>161</v>
      </c>
    </row>
    <row r="58" spans="1:11" x14ac:dyDescent="0.25">
      <c r="A58" s="2" t="s">
        <v>28</v>
      </c>
      <c r="B58" s="50">
        <f>((B35/B34)-1)*100</f>
        <v>-52.850948472398017</v>
      </c>
      <c r="C58" s="50">
        <f t="shared" ref="C58:E58" si="15">((C35/C34)-1)*100</f>
        <v>5.0074574013750262</v>
      </c>
      <c r="D58" s="50">
        <f t="shared" si="15"/>
        <v>1.3437995188636531</v>
      </c>
      <c r="E58" s="50">
        <f t="shared" si="15"/>
        <v>9.6324150754161675</v>
      </c>
      <c r="F58" s="50" t="s">
        <v>161</v>
      </c>
      <c r="G58" s="50" t="s">
        <v>161</v>
      </c>
      <c r="H58" s="50" t="s">
        <v>161</v>
      </c>
      <c r="I58" s="50" t="s">
        <v>161</v>
      </c>
      <c r="J58" s="50" t="s">
        <v>161</v>
      </c>
    </row>
    <row r="59" spans="1:11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1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1" x14ac:dyDescent="0.25">
      <c r="A61" s="2" t="s">
        <v>30</v>
      </c>
      <c r="B61" s="50">
        <f>B17/B11</f>
        <v>1528030.1992031874</v>
      </c>
      <c r="C61" s="50">
        <f t="shared" ref="C61:J61" si="16">C17/C11</f>
        <v>3750000</v>
      </c>
      <c r="D61" s="50">
        <f t="shared" si="16"/>
        <v>3750000</v>
      </c>
      <c r="E61" s="50">
        <f t="shared" si="16"/>
        <v>3750000</v>
      </c>
      <c r="F61" s="50">
        <f t="shared" si="16"/>
        <v>62745.089805825242</v>
      </c>
      <c r="G61" s="50" t="s">
        <v>161</v>
      </c>
      <c r="H61" s="50">
        <f t="shared" si="16"/>
        <v>62745.089805825242</v>
      </c>
      <c r="I61" s="50">
        <f t="shared" si="16"/>
        <v>128205.12797619047</v>
      </c>
      <c r="J61" s="50">
        <f t="shared" si="16"/>
        <v>2000000</v>
      </c>
      <c r="K61" s="1"/>
    </row>
    <row r="62" spans="1:11" x14ac:dyDescent="0.25">
      <c r="A62" s="2" t="s">
        <v>31</v>
      </c>
      <c r="B62" s="50">
        <f>B18/B12</f>
        <v>1473753.2345276873</v>
      </c>
      <c r="C62" s="50">
        <f t="shared" ref="C62:I62" si="17">C18/C12</f>
        <v>3228967.7599009899</v>
      </c>
      <c r="D62" s="50">
        <f t="shared" si="17"/>
        <v>3197993.8113207547</v>
      </c>
      <c r="E62" s="50">
        <f t="shared" si="17"/>
        <v>3288018.8129496402</v>
      </c>
      <c r="F62" s="50">
        <f t="shared" si="17"/>
        <v>124713.24189526185</v>
      </c>
      <c r="G62" s="50" t="s">
        <v>161</v>
      </c>
      <c r="H62" s="50">
        <f t="shared" si="17"/>
        <v>99735.68578553616</v>
      </c>
      <c r="I62" s="50">
        <f t="shared" si="17"/>
        <v>24256.413793103449</v>
      </c>
      <c r="J62" s="50" t="s">
        <v>161</v>
      </c>
      <c r="K62" s="1"/>
    </row>
    <row r="63" spans="1:11" x14ac:dyDescent="0.25">
      <c r="A63" s="2" t="s">
        <v>32</v>
      </c>
      <c r="B63" s="50">
        <f>(B62/B61)*B46</f>
        <v>69.522624977586318</v>
      </c>
      <c r="C63" s="50">
        <f>(C62/C61)*C46</f>
        <v>67.86179701072389</v>
      </c>
      <c r="D63" s="50">
        <f t="shared" ref="D63:F63" si="18">(D62/D61)*D46</f>
        <v>73.459086728360546</v>
      </c>
      <c r="E63" s="50">
        <f t="shared" si="18"/>
        <v>59.567004047022145</v>
      </c>
      <c r="F63" s="50">
        <f t="shared" si="18"/>
        <v>288.98479103463387</v>
      </c>
      <c r="G63" s="50" t="s">
        <v>161</v>
      </c>
      <c r="H63" s="50">
        <f t="shared" ref="H63" si="19">(H62/H61)*H46</f>
        <v>200.3135059471746</v>
      </c>
      <c r="I63" s="50">
        <f t="shared" ref="I63" si="20">(I62/I61)*I46</f>
        <v>3.8838712358484475</v>
      </c>
      <c r="J63" s="50" t="s">
        <v>161</v>
      </c>
      <c r="K63" s="1"/>
    </row>
    <row r="64" spans="1:11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38" t="s">
        <v>1</v>
      </c>
      <c r="C65" s="38"/>
      <c r="D65" s="38" t="s">
        <v>69</v>
      </c>
      <c r="E65" s="38" t="s">
        <v>71</v>
      </c>
      <c r="F65" s="38"/>
      <c r="G65" s="38"/>
      <c r="H65" s="50"/>
      <c r="I65" s="50"/>
      <c r="J65" s="52"/>
    </row>
    <row r="66" spans="1:10" x14ac:dyDescent="0.25">
      <c r="A66" s="2" t="s">
        <v>34</v>
      </c>
      <c r="B66" s="50">
        <f>B24/B23*100</f>
        <v>103.70041809367466</v>
      </c>
      <c r="C66" s="50"/>
      <c r="D66" s="50">
        <f>D24/D23*100</f>
        <v>115.89614035087719</v>
      </c>
      <c r="E66" s="50">
        <f>E24/E23*100</f>
        <v>88.34672532143189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68.254019279850823</v>
      </c>
      <c r="C67" s="50"/>
      <c r="D67" s="54">
        <f>(D18+G18)/D24*100</f>
        <v>69.22789188141833</v>
      </c>
      <c r="E67" s="54">
        <f>(H18+E18+I18)/E24*100</f>
        <v>66.645649200888613</v>
      </c>
      <c r="F67" s="50"/>
      <c r="G67" s="50"/>
      <c r="H67" s="50"/>
      <c r="I67" s="50"/>
      <c r="J67" s="55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2" spans="1:1" x14ac:dyDescent="0.25">
      <c r="A82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ignoredErrors>
    <ignoredError sqref="F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82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5703125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138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</v>
      </c>
      <c r="D6" s="34" t="s">
        <v>69</v>
      </c>
      <c r="E6" s="34" t="s">
        <v>71</v>
      </c>
      <c r="F6" s="34" t="s">
        <v>1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35"/>
      <c r="B7" s="36"/>
      <c r="C7" s="37"/>
      <c r="D7" s="37"/>
      <c r="E7" s="37"/>
      <c r="F7" s="37"/>
      <c r="G7" s="37"/>
      <c r="H7" s="36"/>
      <c r="I7" s="3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139</v>
      </c>
      <c r="B10" s="58">
        <f>+C10+F10+I10+J10</f>
        <v>1050</v>
      </c>
      <c r="C10" s="62">
        <f>D10+E10</f>
        <v>796</v>
      </c>
      <c r="D10" s="58">
        <f>'I trimestre'!D10+'II Trimestre'!D10+'III Trimestre'!D10</f>
        <v>414</v>
      </c>
      <c r="E10" s="58">
        <f>'I trimestre'!E10+'II Trimestre'!E10+'III Trimestre'!E10</f>
        <v>382</v>
      </c>
      <c r="F10" s="58">
        <f>'I trimestre'!F10+'II Trimestre'!F10+'III Trimestre'!F10</f>
        <v>254</v>
      </c>
      <c r="G10" s="58">
        <f>'I trimestre'!G10+'II Trimestre'!G10+'III Trimestre'!G10</f>
        <v>0</v>
      </c>
      <c r="H10" s="58">
        <f>'I trimestre'!H10+'II Trimestre'!H10+'III Trimestre'!H10</f>
        <v>254</v>
      </c>
      <c r="I10" s="58">
        <f>'I trimestre'!I10+'II Trimestre'!I10+'III Trimestre'!I10</f>
        <v>0</v>
      </c>
      <c r="J10" s="58">
        <f>'I trimestre'!J10+'II Trimestre'!J10+'III Trimestre'!J10</f>
        <v>0</v>
      </c>
    </row>
    <row r="11" spans="1:10" x14ac:dyDescent="0.25">
      <c r="A11" s="2" t="s">
        <v>140</v>
      </c>
      <c r="B11" s="58">
        <f>+C11+F11+I11+J11</f>
        <v>3414</v>
      </c>
      <c r="C11" s="62">
        <f t="shared" ref="C11:C13" si="0">D11+E11</f>
        <v>809</v>
      </c>
      <c r="D11" s="58">
        <f>'I trimestre'!D11+'II Trimestre'!D11+'III Trimestre'!D11</f>
        <v>521</v>
      </c>
      <c r="E11" s="58">
        <f>'I trimestre'!E11+'II Trimestre'!E11+'III Trimestre'!E11</f>
        <v>288</v>
      </c>
      <c r="F11" s="58">
        <f>'I trimestre'!F11+'II Trimestre'!F11+'III Trimestre'!F11</f>
        <v>1885</v>
      </c>
      <c r="G11" s="58">
        <f>'I trimestre'!G11+'II Trimestre'!G11+'III Trimestre'!G11</f>
        <v>0</v>
      </c>
      <c r="H11" s="58">
        <f>'I trimestre'!H11+'II Trimestre'!H11+'III Trimestre'!H11</f>
        <v>1885</v>
      </c>
      <c r="I11" s="58">
        <f>'I trimestre'!I11+'II Trimestre'!I11+'III Trimestre'!I11</f>
        <v>670</v>
      </c>
      <c r="J11" s="58">
        <f>'I trimestre'!J11+'II Trimestre'!J11+'III Trimestre'!J11</f>
        <v>50</v>
      </c>
    </row>
    <row r="12" spans="1:10" x14ac:dyDescent="0.25">
      <c r="A12" s="2" t="s">
        <v>141</v>
      </c>
      <c r="B12" s="58">
        <f>+C12+F12+I12+J12</f>
        <v>1312</v>
      </c>
      <c r="C12" s="62">
        <f t="shared" si="0"/>
        <v>595</v>
      </c>
      <c r="D12" s="58">
        <f>'I trimestre'!D12+'II Trimestre'!D12+'III Trimestre'!D12</f>
        <v>323</v>
      </c>
      <c r="E12" s="58">
        <f>'I trimestre'!E12+'II Trimestre'!E12+'III Trimestre'!E12</f>
        <v>272</v>
      </c>
      <c r="F12" s="58">
        <f>'I trimestre'!F12+'II Trimestre'!F12+'III Trimestre'!F12</f>
        <v>485</v>
      </c>
      <c r="G12" s="58">
        <f>'I trimestre'!G12+'II Trimestre'!G12+'III Trimestre'!G12</f>
        <v>0</v>
      </c>
      <c r="H12" s="58">
        <f>'I trimestre'!H12+'II Trimestre'!H12+'III Trimestre'!H12</f>
        <v>485</v>
      </c>
      <c r="I12" s="58">
        <f>'I trimestre'!I12+'II Trimestre'!I12+'III Trimestre'!I12</f>
        <v>232</v>
      </c>
      <c r="J12" s="58">
        <f>'I trimestre'!J12+'II Trimestre'!J12+'III Trimestre'!J12</f>
        <v>0</v>
      </c>
    </row>
    <row r="13" spans="1:10" x14ac:dyDescent="0.25">
      <c r="A13" s="2" t="s">
        <v>78</v>
      </c>
      <c r="B13" s="58">
        <f>+C13+F13+I13+J13</f>
        <v>4422</v>
      </c>
      <c r="C13" s="62">
        <f t="shared" si="0"/>
        <v>1042</v>
      </c>
      <c r="D13" s="58">
        <f>'III Trimestre'!D13</f>
        <v>658</v>
      </c>
      <c r="E13" s="58">
        <f>'III Trimestre'!E13</f>
        <v>384</v>
      </c>
      <c r="F13" s="58">
        <f>'III Trimestre'!F13</f>
        <v>2550</v>
      </c>
      <c r="G13" s="58">
        <f>'III Trimestre'!G13</f>
        <v>0</v>
      </c>
      <c r="H13" s="58">
        <f>'III Trimestre'!H13</f>
        <v>2550</v>
      </c>
      <c r="I13" s="58">
        <f>'III Trimestre'!I13</f>
        <v>780</v>
      </c>
      <c r="J13" s="58">
        <f>'III Trimestre'!J13</f>
        <v>50</v>
      </c>
    </row>
    <row r="14" spans="1:10" x14ac:dyDescent="0.25">
      <c r="B14" s="50"/>
      <c r="C14" s="50"/>
      <c r="D14" s="50"/>
      <c r="E14" s="50"/>
      <c r="F14" s="50"/>
      <c r="G14" s="50"/>
      <c r="H14" s="50"/>
      <c r="I14" s="50"/>
      <c r="J14" s="52"/>
    </row>
    <row r="15" spans="1:10" x14ac:dyDescent="0.25">
      <c r="A15" s="2" t="s">
        <v>7</v>
      </c>
      <c r="B15" s="50"/>
      <c r="C15" s="50"/>
      <c r="D15" s="50"/>
      <c r="E15" s="50"/>
      <c r="F15" s="50"/>
      <c r="G15" s="50"/>
      <c r="H15" s="50"/>
      <c r="I15" s="50"/>
      <c r="J15" s="52"/>
    </row>
    <row r="16" spans="1:10" x14ac:dyDescent="0.25">
      <c r="A16" s="2" t="s">
        <v>142</v>
      </c>
      <c r="B16" s="58">
        <f>+C16+F16+I16+J16</f>
        <v>2269764845.2600002</v>
      </c>
      <c r="C16" s="62">
        <f>D16+E16</f>
        <v>2234541254</v>
      </c>
      <c r="D16" s="58">
        <f>'I trimestre'!D16+'II Trimestre'!D16+'III Trimestre'!D16</f>
        <v>1259840550</v>
      </c>
      <c r="E16" s="58">
        <f>'I trimestre'!E16+'II Trimestre'!E16+'III Trimestre'!E16</f>
        <v>974700704</v>
      </c>
      <c r="F16" s="58">
        <f>'I trimestre'!F16+'II Trimestre'!F16+'III Trimestre'!F16</f>
        <v>35223591.259999998</v>
      </c>
      <c r="G16" s="58">
        <f>'I trimestre'!G16+'II Trimestre'!G16+'III Trimestre'!G16</f>
        <v>0</v>
      </c>
      <c r="H16" s="58">
        <f>'I trimestre'!H16+'II Trimestre'!H16+'III Trimestre'!H16</f>
        <v>35223591.259999998</v>
      </c>
      <c r="I16" s="58">
        <f>'I trimestre'!I16+'II Trimestre'!I16+'III Trimestre'!I16</f>
        <v>0</v>
      </c>
      <c r="J16" s="58">
        <f>'I trimestre'!J16+'II Trimestre'!J16+'III Trimestre'!J16</f>
        <v>0</v>
      </c>
    </row>
    <row r="17" spans="1:11" x14ac:dyDescent="0.25">
      <c r="A17" s="2" t="s">
        <v>140</v>
      </c>
      <c r="B17" s="58">
        <f>+C17+F17+I17+J17</f>
        <v>3337921945</v>
      </c>
      <c r="C17" s="62">
        <f t="shared" ref="C17:C19" si="1">D17+E17</f>
        <v>3033750000</v>
      </c>
      <c r="D17" s="58">
        <f>'I trimestre'!D17+'II Trimestre'!D17+'III Trimestre'!D17</f>
        <v>1953750000</v>
      </c>
      <c r="E17" s="58">
        <f>'I trimestre'!E17+'II Trimestre'!E17+'III Trimestre'!E17</f>
        <v>1080000000</v>
      </c>
      <c r="F17" s="58">
        <f>'I trimestre'!F17+'II Trimestre'!F17+'III Trimestre'!F17</f>
        <v>118274509</v>
      </c>
      <c r="G17" s="58">
        <f>'I trimestre'!G17+'II Trimestre'!G17+'III Trimestre'!G17</f>
        <v>0</v>
      </c>
      <c r="H17" s="58">
        <f>'I trimestre'!H17+'II Trimestre'!H17+'III Trimestre'!H17</f>
        <v>118274509</v>
      </c>
      <c r="I17" s="58">
        <f>'I trimestre'!I17+'II Trimestre'!I17+'III Trimestre'!I17</f>
        <v>85897436</v>
      </c>
      <c r="J17" s="58">
        <f>'I trimestre'!J17+'II Trimestre'!J17+'III Trimestre'!J17</f>
        <v>100000000</v>
      </c>
    </row>
    <row r="18" spans="1:11" x14ac:dyDescent="0.25">
      <c r="A18" s="2" t="s">
        <v>141</v>
      </c>
      <c r="B18" s="58">
        <f>+C18+F18+I18+J18</f>
        <v>2021486380</v>
      </c>
      <c r="C18" s="62">
        <f t="shared" si="1"/>
        <v>1944484271</v>
      </c>
      <c r="D18" s="58">
        <f>'I trimestre'!D18+'II Trimestre'!D18+'III Trimestre'!D18</f>
        <v>1088254360</v>
      </c>
      <c r="E18" s="58">
        <f>'I trimestre'!E18+'II Trimestre'!E18+'III Trimestre'!E18</f>
        <v>856229911</v>
      </c>
      <c r="F18" s="58">
        <f>'I trimestre'!F18+'II Trimestre'!F18+'III Trimestre'!F18</f>
        <v>60123619</v>
      </c>
      <c r="G18" s="58">
        <f>'I trimestre'!G18+'II Trimestre'!G18+'III Trimestre'!G18</f>
        <v>10016000</v>
      </c>
      <c r="H18" s="58">
        <f>'I trimestre'!H18+'II Trimestre'!H18+'III Trimestre'!H18</f>
        <v>50107619</v>
      </c>
      <c r="I18" s="58">
        <f>'I trimestre'!I18+'II Trimestre'!I18+'III Trimestre'!I18</f>
        <v>16878490</v>
      </c>
      <c r="J18" s="58">
        <f>'I trimestre'!J18+'II Trimestre'!J18+'III Trimestre'!J18</f>
        <v>0</v>
      </c>
      <c r="K18" s="5"/>
    </row>
    <row r="19" spans="1:11" x14ac:dyDescent="0.25">
      <c r="A19" s="2" t="s">
        <v>78</v>
      </c>
      <c r="B19" s="58">
        <f>+C19+F19+I19+J19</f>
        <v>4267479757</v>
      </c>
      <c r="C19" s="62">
        <f t="shared" si="1"/>
        <v>3907479757</v>
      </c>
      <c r="D19" s="58">
        <f>'III Trimestre'!D19</f>
        <v>2467479757</v>
      </c>
      <c r="E19" s="58">
        <f>'III Trimestre'!E19</f>
        <v>1440000000</v>
      </c>
      <c r="F19" s="58">
        <f>'III Trimestre'!F19</f>
        <v>160000000</v>
      </c>
      <c r="G19" s="58">
        <f>'III Trimestre'!G19</f>
        <v>0</v>
      </c>
      <c r="H19" s="58">
        <f>'III Trimestre'!H19</f>
        <v>160000000</v>
      </c>
      <c r="I19" s="58">
        <f>'III Trimestre'!I19</f>
        <v>100000000</v>
      </c>
      <c r="J19" s="58">
        <f>'III Trimestre'!J19</f>
        <v>100000000</v>
      </c>
    </row>
    <row r="20" spans="1:11" x14ac:dyDescent="0.25">
      <c r="A20" s="2" t="s">
        <v>143</v>
      </c>
      <c r="B20" s="58">
        <f>+C20+F20+I20+J20</f>
        <v>2021486380</v>
      </c>
      <c r="C20" s="62">
        <f>C18</f>
        <v>1944484271</v>
      </c>
      <c r="D20" s="58">
        <f>D18</f>
        <v>1088254360</v>
      </c>
      <c r="E20" s="58">
        <f>E18</f>
        <v>856229911</v>
      </c>
      <c r="F20" s="58">
        <f>SUM(G20:H20)</f>
        <v>60123619</v>
      </c>
      <c r="G20" s="58">
        <f t="shared" ref="G20:J20" si="2">G18</f>
        <v>10016000</v>
      </c>
      <c r="H20" s="58">
        <f t="shared" si="2"/>
        <v>50107619</v>
      </c>
      <c r="I20" s="58">
        <f t="shared" si="2"/>
        <v>16878490</v>
      </c>
      <c r="J20" s="58">
        <f t="shared" si="2"/>
        <v>0</v>
      </c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2"/>
    </row>
    <row r="22" spans="1:11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50"/>
      <c r="I22" s="50"/>
      <c r="J22" s="52"/>
    </row>
    <row r="23" spans="1:11" x14ac:dyDescent="0.25">
      <c r="A23" s="2" t="s">
        <v>140</v>
      </c>
      <c r="B23" s="58">
        <f>B17</f>
        <v>3337921945</v>
      </c>
      <c r="C23" s="58"/>
      <c r="D23" s="58">
        <f>D17+G17</f>
        <v>1953750000</v>
      </c>
      <c r="E23" s="58">
        <f>+E17+H17+I17+J17</f>
        <v>1384171945</v>
      </c>
      <c r="F23" s="58"/>
      <c r="G23" s="58"/>
      <c r="H23" s="50"/>
      <c r="I23" s="50"/>
      <c r="J23" s="52"/>
    </row>
    <row r="24" spans="1:11" x14ac:dyDescent="0.25">
      <c r="A24" s="2" t="s">
        <v>141</v>
      </c>
      <c r="B24" s="62">
        <f>D24+E24</f>
        <v>3289952675.6700001</v>
      </c>
      <c r="C24" s="58"/>
      <c r="D24" s="58">
        <f>'I trimestre'!D24+'II Trimestre'!D24+'III Trimestre'!D24</f>
        <v>1939952675.6800001</v>
      </c>
      <c r="E24" s="58">
        <f>'I trimestre'!E24+'II Trimestre'!E24+'III Trimestre'!E24</f>
        <v>1349999999.99</v>
      </c>
      <c r="F24" s="58"/>
      <c r="G24" s="58"/>
      <c r="H24" s="50"/>
      <c r="I24" s="50"/>
      <c r="J24" s="60"/>
    </row>
    <row r="25" spans="1:11" x14ac:dyDescent="0.25">
      <c r="B25" s="50"/>
      <c r="C25" s="50"/>
      <c r="D25" s="50"/>
      <c r="E25" s="50"/>
      <c r="F25" s="50"/>
      <c r="G25" s="50"/>
      <c r="H25" s="50"/>
      <c r="I25" s="50"/>
      <c r="J25" s="52"/>
    </row>
    <row r="26" spans="1:11" x14ac:dyDescent="0.25">
      <c r="A26" s="2" t="s">
        <v>9</v>
      </c>
      <c r="B26" s="50"/>
      <c r="C26" s="50"/>
      <c r="D26" s="50"/>
      <c r="E26" s="50"/>
      <c r="F26" s="50"/>
      <c r="G26" s="50"/>
      <c r="H26" s="50"/>
      <c r="I26" s="50"/>
      <c r="J26" s="52"/>
    </row>
    <row r="27" spans="1:11" x14ac:dyDescent="0.25">
      <c r="A27" s="2" t="s">
        <v>144</v>
      </c>
      <c r="B27" s="63">
        <v>1.0123857379999999</v>
      </c>
      <c r="C27" s="63">
        <v>1.0123857379999999</v>
      </c>
      <c r="D27" s="63">
        <v>1.0123857379999999</v>
      </c>
      <c r="E27" s="63">
        <v>1.0123857379999999</v>
      </c>
      <c r="F27" s="63">
        <v>1.0123857379999999</v>
      </c>
      <c r="G27" s="63">
        <v>1.0123857379999999</v>
      </c>
      <c r="H27" s="63">
        <v>1.0123857379999999</v>
      </c>
      <c r="I27" s="63">
        <v>1.0123857380000001</v>
      </c>
      <c r="J27" s="63">
        <v>1.0123857380000001</v>
      </c>
    </row>
    <row r="28" spans="1:11" x14ac:dyDescent="0.25">
      <c r="A28" s="2" t="s">
        <v>145</v>
      </c>
      <c r="B28" s="63">
        <v>1.0303325644000001</v>
      </c>
      <c r="C28" s="63">
        <v>1.0303325644000001</v>
      </c>
      <c r="D28" s="63">
        <v>1.0303325644000001</v>
      </c>
      <c r="E28" s="63">
        <v>1.0303325644000001</v>
      </c>
      <c r="F28" s="63">
        <v>1.0303325644000001</v>
      </c>
      <c r="G28" s="63">
        <v>1.0303325644000001</v>
      </c>
      <c r="H28" s="63">
        <v>1.0303325644000001</v>
      </c>
      <c r="I28" s="63">
        <v>1.0303325644000001</v>
      </c>
      <c r="J28" s="63">
        <v>1.0303325644000001</v>
      </c>
    </row>
    <row r="29" spans="1:11" x14ac:dyDescent="0.25">
      <c r="A29" s="2" t="s">
        <v>10</v>
      </c>
      <c r="B29" s="58">
        <v>108639</v>
      </c>
      <c r="C29" s="58">
        <v>108639</v>
      </c>
      <c r="D29" s="58">
        <v>108639</v>
      </c>
      <c r="E29" s="58">
        <v>108639</v>
      </c>
      <c r="F29" s="58">
        <v>108639</v>
      </c>
      <c r="G29" s="58">
        <v>108639</v>
      </c>
      <c r="H29" s="58">
        <v>108639</v>
      </c>
      <c r="I29" s="58">
        <v>108639</v>
      </c>
      <c r="J29" s="58">
        <v>108639</v>
      </c>
    </row>
    <row r="30" spans="1:11" x14ac:dyDescent="0.25">
      <c r="B30" s="50"/>
      <c r="C30" s="50"/>
      <c r="D30" s="50"/>
      <c r="E30" s="50"/>
      <c r="F30" s="50"/>
      <c r="G30" s="50"/>
      <c r="H30" s="50"/>
      <c r="I30" s="50"/>
      <c r="J30" s="52"/>
    </row>
    <row r="31" spans="1:11" x14ac:dyDescent="0.25">
      <c r="A31" s="2" t="s">
        <v>11</v>
      </c>
      <c r="B31" s="50"/>
      <c r="C31" s="50"/>
      <c r="D31" s="50"/>
      <c r="E31" s="50"/>
      <c r="F31" s="50"/>
      <c r="G31" s="50"/>
      <c r="H31" s="50"/>
      <c r="I31" s="50"/>
      <c r="J31" s="52"/>
    </row>
    <row r="32" spans="1:11" x14ac:dyDescent="0.25">
      <c r="A32" s="2" t="s">
        <v>146</v>
      </c>
      <c r="B32" s="50">
        <f t="shared" ref="B32" si="3">B16/B27</f>
        <v>2241996069.3480263</v>
      </c>
      <c r="C32" s="50">
        <f t="shared" ref="C32:J32" si="4">C16/C27</f>
        <v>2207203410.8406219</v>
      </c>
      <c r="D32" s="50">
        <f t="shared" si="4"/>
        <v>1244427398.2848227</v>
      </c>
      <c r="E32" s="50">
        <f t="shared" si="4"/>
        <v>962776012.55579925</v>
      </c>
      <c r="F32" s="50">
        <f t="shared" si="4"/>
        <v>34792658.507403828</v>
      </c>
      <c r="G32" s="50">
        <f t="shared" si="4"/>
        <v>0</v>
      </c>
      <c r="H32" s="50">
        <f t="shared" si="4"/>
        <v>34792658.507403828</v>
      </c>
      <c r="I32" s="50">
        <f t="shared" si="4"/>
        <v>0</v>
      </c>
      <c r="J32" s="50">
        <f t="shared" si="4"/>
        <v>0</v>
      </c>
    </row>
    <row r="33" spans="1:10" x14ac:dyDescent="0.25">
      <c r="A33" s="2" t="s">
        <v>147</v>
      </c>
      <c r="B33" s="50">
        <f t="shared" ref="B33" si="5">B18/B28</f>
        <v>1961974657.3546228</v>
      </c>
      <c r="C33" s="50">
        <f t="shared" ref="C33:J33" si="6">C18/C28</f>
        <v>1887239458.5842712</v>
      </c>
      <c r="D33" s="50">
        <f t="shared" si="6"/>
        <v>1056216601.9024448</v>
      </c>
      <c r="E33" s="50">
        <f t="shared" si="6"/>
        <v>831022856.68182647</v>
      </c>
      <c r="F33" s="50">
        <f t="shared" si="6"/>
        <v>58353604.532544456</v>
      </c>
      <c r="G33" s="50">
        <f t="shared" si="6"/>
        <v>9721133.1040795352</v>
      </c>
      <c r="H33" s="50">
        <f t="shared" si="6"/>
        <v>48632471.428464927</v>
      </c>
      <c r="I33" s="50">
        <f t="shared" si="6"/>
        <v>16381594.237807047</v>
      </c>
      <c r="J33" s="50">
        <f t="shared" si="6"/>
        <v>0</v>
      </c>
    </row>
    <row r="34" spans="1:10" x14ac:dyDescent="0.25">
      <c r="A34" s="2" t="s">
        <v>148</v>
      </c>
      <c r="B34" s="50">
        <f t="shared" ref="B34" si="7">B32/B10</f>
        <v>2135234.3517600251</v>
      </c>
      <c r="C34" s="50">
        <f t="shared" ref="C34:H34" si="8">C32/C10</f>
        <v>2772868.6065836959</v>
      </c>
      <c r="D34" s="50">
        <f t="shared" si="8"/>
        <v>3005863.2808812144</v>
      </c>
      <c r="E34" s="50">
        <f t="shared" si="8"/>
        <v>2520356.0538109927</v>
      </c>
      <c r="F34" s="50">
        <f t="shared" si="8"/>
        <v>136978.97050158988</v>
      </c>
      <c r="G34" s="50" t="s">
        <v>162</v>
      </c>
      <c r="H34" s="50">
        <f t="shared" si="8"/>
        <v>136978.97050158988</v>
      </c>
      <c r="I34" s="50" t="s">
        <v>162</v>
      </c>
      <c r="J34" s="50" t="s">
        <v>162</v>
      </c>
    </row>
    <row r="35" spans="1:10" x14ac:dyDescent="0.25">
      <c r="A35" s="2" t="s">
        <v>149</v>
      </c>
      <c r="B35" s="50">
        <f t="shared" ref="B35" si="9">B33/B12</f>
        <v>1495407.513227609</v>
      </c>
      <c r="C35" s="50">
        <f t="shared" ref="C35:I35" si="10">C33/C12</f>
        <v>3171831.022830708</v>
      </c>
      <c r="D35" s="50">
        <f t="shared" si="10"/>
        <v>3270020.4393264544</v>
      </c>
      <c r="E35" s="50">
        <f t="shared" si="10"/>
        <v>3055231.0907420092</v>
      </c>
      <c r="F35" s="50">
        <f t="shared" si="10"/>
        <v>120316.71037638032</v>
      </c>
      <c r="G35" s="50" t="s">
        <v>162</v>
      </c>
      <c r="H35" s="50">
        <f t="shared" si="10"/>
        <v>100273.13696590706</v>
      </c>
      <c r="I35" s="50">
        <f t="shared" si="10"/>
        <v>70610.319990547621</v>
      </c>
      <c r="J35" s="50" t="s">
        <v>162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 t="shared" ref="B40" si="11">B11/B29*100</f>
        <v>3.1425178803192226</v>
      </c>
      <c r="C40" s="50">
        <f t="shared" ref="C40:J40" si="12">C11/C29*100</f>
        <v>0.74466812102467805</v>
      </c>
      <c r="D40" s="50">
        <f t="shared" si="12"/>
        <v>0.47956995185890888</v>
      </c>
      <c r="E40" s="50">
        <f t="shared" si="12"/>
        <v>0.26509816916576917</v>
      </c>
      <c r="F40" s="50">
        <f t="shared" si="12"/>
        <v>1.7351043363801215</v>
      </c>
      <c r="G40" s="50">
        <f t="shared" si="12"/>
        <v>0</v>
      </c>
      <c r="H40" s="50">
        <f t="shared" si="12"/>
        <v>1.7351043363801215</v>
      </c>
      <c r="I40" s="50">
        <f t="shared" si="12"/>
        <v>0.61672143521203249</v>
      </c>
      <c r="J40" s="50">
        <f t="shared" si="12"/>
        <v>4.6023987702390488E-2</v>
      </c>
    </row>
    <row r="41" spans="1:10" x14ac:dyDescent="0.25">
      <c r="A41" s="2" t="s">
        <v>15</v>
      </c>
      <c r="B41" s="50">
        <f t="shared" ref="B41" si="13">B12/B29*100</f>
        <v>1.2076694373107262</v>
      </c>
      <c r="C41" s="50">
        <f t="shared" ref="C41:J41" si="14">C12/C29*100</f>
        <v>0.54768545365844679</v>
      </c>
      <c r="D41" s="50">
        <f t="shared" si="14"/>
        <v>0.29731496055744255</v>
      </c>
      <c r="E41" s="50">
        <f t="shared" si="14"/>
        <v>0.25037049310100423</v>
      </c>
      <c r="F41" s="50">
        <f t="shared" si="14"/>
        <v>0.4464326807131877</v>
      </c>
      <c r="G41" s="50">
        <f t="shared" si="14"/>
        <v>0</v>
      </c>
      <c r="H41" s="50">
        <f t="shared" si="14"/>
        <v>0.4464326807131877</v>
      </c>
      <c r="I41" s="50">
        <f t="shared" si="14"/>
        <v>0.21355130293909183</v>
      </c>
      <c r="J41" s="50">
        <f t="shared" si="14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 t="shared" ref="B44" si="15">B12/B11*100</f>
        <v>38.429994141769185</v>
      </c>
      <c r="C44" s="50">
        <f t="shared" ref="C44:J44" si="16">C12/C11*100</f>
        <v>73.547589616810882</v>
      </c>
      <c r="D44" s="50">
        <f t="shared" si="16"/>
        <v>61.996161228406912</v>
      </c>
      <c r="E44" s="50">
        <f t="shared" si="16"/>
        <v>94.444444444444443</v>
      </c>
      <c r="F44" s="50">
        <f t="shared" si="16"/>
        <v>25.72944297082228</v>
      </c>
      <c r="G44" s="50" t="s">
        <v>162</v>
      </c>
      <c r="H44" s="50">
        <f t="shared" si="16"/>
        <v>25.72944297082228</v>
      </c>
      <c r="I44" s="50">
        <f t="shared" si="16"/>
        <v>34.626865671641795</v>
      </c>
      <c r="J44" s="50">
        <f t="shared" si="16"/>
        <v>0</v>
      </c>
    </row>
    <row r="45" spans="1:10" x14ac:dyDescent="0.25">
      <c r="A45" s="2" t="s">
        <v>18</v>
      </c>
      <c r="B45" s="50">
        <f t="shared" ref="B45" si="17">B18/B17*100</f>
        <v>60.561223818551582</v>
      </c>
      <c r="C45" s="50">
        <f t="shared" ref="C45:J45" si="18">C18/C17*100</f>
        <v>64.095072797692623</v>
      </c>
      <c r="D45" s="50">
        <f t="shared" si="18"/>
        <v>55.700798976327569</v>
      </c>
      <c r="E45" s="50">
        <f t="shared" si="18"/>
        <v>79.280547314814825</v>
      </c>
      <c r="F45" s="50">
        <f t="shared" si="18"/>
        <v>50.833962033188406</v>
      </c>
      <c r="G45" s="50" t="s">
        <v>162</v>
      </c>
      <c r="H45" s="50">
        <f t="shared" si="18"/>
        <v>42.365526962365152</v>
      </c>
      <c r="I45" s="50">
        <f t="shared" si="18"/>
        <v>19.649585349672137</v>
      </c>
      <c r="J45" s="50">
        <f t="shared" si="18"/>
        <v>0</v>
      </c>
    </row>
    <row r="46" spans="1:10" x14ac:dyDescent="0.25">
      <c r="A46" s="2" t="s">
        <v>19</v>
      </c>
      <c r="B46" s="50">
        <f t="shared" ref="B46" si="19">AVERAGE(B44:B45)</f>
        <v>49.495608980160384</v>
      </c>
      <c r="C46" s="50">
        <f t="shared" ref="C46:J46" si="20">AVERAGE(C44:C45)</f>
        <v>68.821331207251745</v>
      </c>
      <c r="D46" s="50">
        <f t="shared" si="20"/>
        <v>58.84848010236724</v>
      </c>
      <c r="E46" s="50">
        <f t="shared" si="20"/>
        <v>86.862495879629634</v>
      </c>
      <c r="F46" s="50">
        <f t="shared" si="20"/>
        <v>38.281702502005345</v>
      </c>
      <c r="G46" s="50" t="s">
        <v>162</v>
      </c>
      <c r="H46" s="50">
        <f t="shared" si="20"/>
        <v>34.047484966593714</v>
      </c>
      <c r="I46" s="50">
        <f t="shared" si="20"/>
        <v>27.138225510656966</v>
      </c>
      <c r="J46" s="50">
        <f t="shared" si="20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 t="shared" ref="B49" si="21">B12/B13*100</f>
        <v>29.669832654907282</v>
      </c>
      <c r="C49" s="50">
        <f t="shared" ref="C49:J49" si="22">C12/C13*100</f>
        <v>57.101727447216888</v>
      </c>
      <c r="D49" s="50">
        <f t="shared" si="22"/>
        <v>49.088145896656535</v>
      </c>
      <c r="E49" s="50">
        <f t="shared" si="22"/>
        <v>70.833333333333343</v>
      </c>
      <c r="F49" s="50">
        <f t="shared" si="22"/>
        <v>19.019607843137255</v>
      </c>
      <c r="G49" s="50" t="s">
        <v>162</v>
      </c>
      <c r="H49" s="50">
        <f t="shared" si="22"/>
        <v>19.019607843137255</v>
      </c>
      <c r="I49" s="50">
        <f t="shared" si="22"/>
        <v>29.743589743589745</v>
      </c>
      <c r="J49" s="50">
        <f t="shared" si="22"/>
        <v>0</v>
      </c>
    </row>
    <row r="50" spans="1:10" x14ac:dyDescent="0.25">
      <c r="A50" s="2" t="s">
        <v>22</v>
      </c>
      <c r="B50" s="50">
        <f t="shared" ref="B50" si="23">B18/B19*100</f>
        <v>47.369559906737244</v>
      </c>
      <c r="C50" s="50">
        <f t="shared" ref="C50:J50" si="24">C18/C19*100</f>
        <v>49.76313101856973</v>
      </c>
      <c r="D50" s="50">
        <f t="shared" si="24"/>
        <v>44.103881983741843</v>
      </c>
      <c r="E50" s="50">
        <f t="shared" si="24"/>
        <v>59.460410486111115</v>
      </c>
      <c r="F50" s="50">
        <f t="shared" si="24"/>
        <v>37.577261874999998</v>
      </c>
      <c r="G50" s="50" t="s">
        <v>162</v>
      </c>
      <c r="H50" s="50">
        <f t="shared" si="24"/>
        <v>31.317261875000003</v>
      </c>
      <c r="I50" s="50">
        <f t="shared" si="24"/>
        <v>16.878489999999999</v>
      </c>
      <c r="J50" s="50">
        <f t="shared" si="24"/>
        <v>0</v>
      </c>
    </row>
    <row r="51" spans="1:10" x14ac:dyDescent="0.25">
      <c r="A51" s="2" t="s">
        <v>23</v>
      </c>
      <c r="B51" s="50">
        <f t="shared" ref="B51" si="25">AVERAGE(B49:B50)</f>
        <v>38.519696280822259</v>
      </c>
      <c r="C51" s="50">
        <f t="shared" ref="C51:J51" si="26">AVERAGE(C49:C50)</f>
        <v>53.432429232893313</v>
      </c>
      <c r="D51" s="50">
        <f t="shared" si="26"/>
        <v>46.596013940199185</v>
      </c>
      <c r="E51" s="50">
        <f t="shared" si="26"/>
        <v>65.146871909722222</v>
      </c>
      <c r="F51" s="50">
        <f t="shared" si="26"/>
        <v>28.298434859068628</v>
      </c>
      <c r="G51" s="50" t="s">
        <v>162</v>
      </c>
      <c r="H51" s="50">
        <f t="shared" si="26"/>
        <v>25.168434859068629</v>
      </c>
      <c r="I51" s="50">
        <f t="shared" si="26"/>
        <v>23.311039871794872</v>
      </c>
      <c r="J51" s="50">
        <f t="shared" si="26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 t="shared" ref="B53" si="27"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 t="shared" ref="B56" si="28">((B12/B10)-1)*100</f>
        <v>24.952380952380949</v>
      </c>
      <c r="C56" s="50">
        <f t="shared" ref="C56:H56" si="29">((C12/C10)-1)*100</f>
        <v>-25.251256281407031</v>
      </c>
      <c r="D56" s="50">
        <f t="shared" si="29"/>
        <v>-21.980676328502412</v>
      </c>
      <c r="E56" s="50">
        <f t="shared" si="29"/>
        <v>-28.795811518324609</v>
      </c>
      <c r="F56" s="50">
        <f t="shared" si="29"/>
        <v>90.944881889763778</v>
      </c>
      <c r="G56" s="50" t="s">
        <v>162</v>
      </c>
      <c r="H56" s="50">
        <f t="shared" si="29"/>
        <v>90.944881889763778</v>
      </c>
      <c r="I56" s="50" t="s">
        <v>162</v>
      </c>
      <c r="J56" s="50" t="s">
        <v>162</v>
      </c>
    </row>
    <row r="57" spans="1:10" x14ac:dyDescent="0.25">
      <c r="A57" s="2" t="s">
        <v>27</v>
      </c>
      <c r="B57" s="50">
        <f t="shared" ref="B57" si="30">((B33/B32)-1)*100</f>
        <v>-12.489826178635266</v>
      </c>
      <c r="C57" s="50">
        <f t="shared" ref="C57:H57" si="31">((C33/C32)-1)*100</f>
        <v>-14.496350933713497</v>
      </c>
      <c r="D57" s="50">
        <f t="shared" si="31"/>
        <v>-15.124289021744964</v>
      </c>
      <c r="E57" s="50">
        <f t="shared" si="31"/>
        <v>-13.684715256274293</v>
      </c>
      <c r="F57" s="50">
        <f t="shared" si="31"/>
        <v>67.718153874694266</v>
      </c>
      <c r="G57" s="50" t="s">
        <v>162</v>
      </c>
      <c r="H57" s="50">
        <f t="shared" si="31"/>
        <v>39.777969016411909</v>
      </c>
      <c r="I57" s="50" t="s">
        <v>162</v>
      </c>
      <c r="J57" s="50" t="s">
        <v>162</v>
      </c>
    </row>
    <row r="58" spans="1:10" x14ac:dyDescent="0.25">
      <c r="A58" s="2" t="s">
        <v>28</v>
      </c>
      <c r="B58" s="50">
        <f t="shared" ref="B58" si="32">((B35/B34)-1)*100</f>
        <v>-29.965181011865116</v>
      </c>
      <c r="C58" s="50">
        <f t="shared" ref="C58:H58" si="33">((C35/C34)-1)*100</f>
        <v>14.388075053384974</v>
      </c>
      <c r="D58" s="50">
        <f t="shared" si="33"/>
        <v>8.7880629876086136</v>
      </c>
      <c r="E58" s="50">
        <f t="shared" si="33"/>
        <v>21.22220136802655</v>
      </c>
      <c r="F58" s="50">
        <f t="shared" si="33"/>
        <v>-12.164100857376624</v>
      </c>
      <c r="G58" s="50" t="s">
        <v>162</v>
      </c>
      <c r="H58" s="50">
        <f t="shared" si="33"/>
        <v>-26.796692515116238</v>
      </c>
      <c r="I58" s="50" t="s">
        <v>162</v>
      </c>
      <c r="J58" s="50" t="s">
        <v>162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0">
        <f>B17/B11</f>
        <v>977715.85969537206</v>
      </c>
      <c r="C61" s="50">
        <f t="shared" ref="C61:J61" si="34">C17/C11</f>
        <v>3750000</v>
      </c>
      <c r="D61" s="50">
        <f t="shared" si="34"/>
        <v>3750000</v>
      </c>
      <c r="E61" s="50">
        <f t="shared" si="34"/>
        <v>3750000</v>
      </c>
      <c r="F61" s="50">
        <f t="shared" si="34"/>
        <v>62745.097612732097</v>
      </c>
      <c r="G61" s="50" t="s">
        <v>162</v>
      </c>
      <c r="H61" s="50">
        <f t="shared" si="34"/>
        <v>62745.097612732097</v>
      </c>
      <c r="I61" s="50">
        <f t="shared" si="34"/>
        <v>128205.12835820895</v>
      </c>
      <c r="J61" s="50">
        <f t="shared" si="34"/>
        <v>2000000</v>
      </c>
    </row>
    <row r="62" spans="1:10" x14ac:dyDescent="0.25">
      <c r="A62" s="2" t="s">
        <v>31</v>
      </c>
      <c r="B62" s="50">
        <f>B18/B12</f>
        <v>1540767.0579268292</v>
      </c>
      <c r="C62" s="50">
        <f t="shared" ref="C62:I62" si="35">C18/C12</f>
        <v>3268040.7915966385</v>
      </c>
      <c r="D62" s="50">
        <f t="shared" si="35"/>
        <v>3369208.544891641</v>
      </c>
      <c r="E62" s="50">
        <f t="shared" si="35"/>
        <v>3147904.0845588236</v>
      </c>
      <c r="F62" s="50">
        <f t="shared" si="35"/>
        <v>123966.22474226804</v>
      </c>
      <c r="G62" s="50" t="s">
        <v>162</v>
      </c>
      <c r="H62" s="50">
        <f t="shared" si="35"/>
        <v>103314.67835051546</v>
      </c>
      <c r="I62" s="50">
        <f t="shared" si="35"/>
        <v>72752.112068965522</v>
      </c>
      <c r="J62" s="50" t="s">
        <v>162</v>
      </c>
    </row>
    <row r="63" spans="1:10" x14ac:dyDescent="0.25">
      <c r="A63" s="2" t="s">
        <v>32</v>
      </c>
      <c r="B63" s="50">
        <f>(B62/B61)*B46</f>
        <v>77.999352339870242</v>
      </c>
      <c r="C63" s="50">
        <f t="shared" ref="C63:F63" si="36">(C62/C61)*C46</f>
        <v>59.976244724608385</v>
      </c>
      <c r="D63" s="50">
        <f t="shared" si="36"/>
        <v>52.872747203941707</v>
      </c>
      <c r="E63" s="50">
        <f t="shared" si="36"/>
        <v>72.915948153189362</v>
      </c>
      <c r="F63" s="50">
        <f t="shared" si="36"/>
        <v>75.633608304679171</v>
      </c>
      <c r="G63" s="50" t="s">
        <v>162</v>
      </c>
      <c r="H63" s="50">
        <f t="shared" ref="H63" si="37">(H62/H61)*H46</f>
        <v>56.061829398666134</v>
      </c>
      <c r="I63" s="50">
        <f t="shared" ref="I63" si="38">(I62/I61)*I46</f>
        <v>15.400033126504463</v>
      </c>
      <c r="J63" s="50" t="s">
        <v>162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51" t="s">
        <v>1</v>
      </c>
      <c r="C65" s="51"/>
      <c r="D65" s="51" t="s">
        <v>69</v>
      </c>
      <c r="E65" s="51" t="s">
        <v>71</v>
      </c>
      <c r="F65" s="51"/>
      <c r="G65" s="51"/>
      <c r="H65" s="50"/>
      <c r="I65" s="50"/>
      <c r="J65" s="52"/>
    </row>
    <row r="66" spans="1:10" x14ac:dyDescent="0.25">
      <c r="A66" s="2" t="s">
        <v>34</v>
      </c>
      <c r="B66" s="50">
        <f>B24/B23*100</f>
        <v>98.562900207961576</v>
      </c>
      <c r="C66" s="50"/>
      <c r="D66" s="50">
        <f>D24/D23*100</f>
        <v>99.293802977863095</v>
      </c>
      <c r="E66" s="50">
        <f>E24/E23*100</f>
        <v>97.531235542416667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61.444238847244925</v>
      </c>
      <c r="C67" s="50"/>
      <c r="D67" s="50">
        <f>(D18+G18)/D24*100</f>
        <v>56.613255249385396</v>
      </c>
      <c r="E67" s="50">
        <f>(H18+E18+I18)/E24*100</f>
        <v>68.386371852358423</v>
      </c>
      <c r="F67" s="50"/>
      <c r="G67" s="50"/>
      <c r="H67" s="50"/>
      <c r="I67" s="50"/>
      <c r="J67" s="52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2" t="s">
        <v>72</v>
      </c>
      <c r="B70" s="43"/>
      <c r="C70" s="43"/>
      <c r="D70" s="43"/>
      <c r="E70" s="43"/>
      <c r="F70" s="43"/>
      <c r="G70" s="43"/>
      <c r="H70" s="43"/>
      <c r="I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2" spans="1:1" x14ac:dyDescent="0.25">
      <c r="A82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ignoredErrors>
    <ignoredError sqref="F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J82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7109375" style="2" customWidth="1"/>
    <col min="2" max="10" width="17.7109375" style="2" customWidth="1"/>
    <col min="11" max="16384" width="11.42578125" style="2"/>
  </cols>
  <sheetData>
    <row r="2" spans="1:10" x14ac:dyDescent="0.25">
      <c r="A2" s="68" t="s">
        <v>165</v>
      </c>
      <c r="B2" s="68"/>
      <c r="C2" s="68"/>
      <c r="D2" s="68"/>
      <c r="E2" s="68"/>
      <c r="F2" s="68"/>
      <c r="G2" s="68"/>
      <c r="H2" s="68"/>
      <c r="I2" s="68"/>
      <c r="J2" s="68"/>
    </row>
    <row r="4" spans="1:10" x14ac:dyDescent="0.25">
      <c r="A4" s="70" t="s">
        <v>0</v>
      </c>
      <c r="B4" s="64" t="s">
        <v>36</v>
      </c>
      <c r="C4" s="66" t="s">
        <v>2</v>
      </c>
      <c r="D4" s="66"/>
      <c r="E4" s="66"/>
      <c r="F4" s="66"/>
      <c r="G4" s="66"/>
      <c r="H4" s="66"/>
      <c r="I4" s="66"/>
      <c r="J4" s="66"/>
    </row>
    <row r="5" spans="1:10" ht="15.75" thickBot="1" x14ac:dyDescent="0.3">
      <c r="A5" s="71"/>
      <c r="B5" s="67"/>
      <c r="C5" s="69" t="s">
        <v>3</v>
      </c>
      <c r="D5" s="69"/>
      <c r="E5" s="69"/>
      <c r="F5" s="69" t="s">
        <v>4</v>
      </c>
      <c r="G5" s="69"/>
      <c r="H5" s="69"/>
      <c r="I5" s="64" t="s">
        <v>84</v>
      </c>
      <c r="J5" s="64" t="s">
        <v>83</v>
      </c>
    </row>
    <row r="6" spans="1:10" ht="16.5" thickTop="1" thickBot="1" x14ac:dyDescent="0.3">
      <c r="A6" s="72"/>
      <c r="B6" s="65"/>
      <c r="C6" s="34" t="s">
        <v>163</v>
      </c>
      <c r="D6" s="34" t="s">
        <v>69</v>
      </c>
      <c r="E6" s="34" t="s">
        <v>71</v>
      </c>
      <c r="F6" s="34" t="s">
        <v>164</v>
      </c>
      <c r="G6" s="34" t="s">
        <v>69</v>
      </c>
      <c r="H6" s="34" t="s">
        <v>71</v>
      </c>
      <c r="I6" s="65"/>
      <c r="J6" s="65"/>
    </row>
    <row r="7" spans="1:10" ht="15.75" thickTop="1" x14ac:dyDescent="0.25">
      <c r="A7" s="35"/>
      <c r="B7" s="36"/>
      <c r="C7" s="37"/>
      <c r="D7" s="37"/>
      <c r="E7" s="37"/>
      <c r="F7" s="37"/>
      <c r="G7" s="37"/>
      <c r="H7" s="36"/>
      <c r="I7" s="36"/>
    </row>
    <row r="8" spans="1:10" x14ac:dyDescent="0.25">
      <c r="A8" s="4" t="s">
        <v>5</v>
      </c>
    </row>
    <row r="9" spans="1:10" x14ac:dyDescent="0.25">
      <c r="A9" s="2" t="s">
        <v>6</v>
      </c>
    </row>
    <row r="10" spans="1:10" x14ac:dyDescent="0.25">
      <c r="A10" s="2" t="s">
        <v>150</v>
      </c>
      <c r="B10" s="58">
        <f>+C10+F10+I10+J10</f>
        <v>2052</v>
      </c>
      <c r="C10" s="62">
        <f>D10+E10</f>
        <v>1010</v>
      </c>
      <c r="D10" s="58">
        <f>'I trimestre'!D10+'II Trimestre'!D10+'III Trimestre'!D10+'IV Trimestre'!D10</f>
        <v>540</v>
      </c>
      <c r="E10" s="58">
        <f>'I trimestre'!E10+'II Trimestre'!E10+'III Trimestre'!E10+'IV Trimestre'!E10</f>
        <v>470</v>
      </c>
      <c r="F10" s="58">
        <f>G10+H10</f>
        <v>1042</v>
      </c>
      <c r="G10" s="58">
        <f>'I trimestre'!G10+'II Trimestre'!G10+'III Trimestre'!G10+'IV Trimestre'!G10</f>
        <v>72</v>
      </c>
      <c r="H10" s="58">
        <f>'I trimestre'!H10+'II Trimestre'!H10+'III Trimestre'!H10+'IV Trimestre'!H10</f>
        <v>970</v>
      </c>
      <c r="I10" s="58">
        <f>'I trimestre'!I10+'II Trimestre'!I10+'III Trimestre'!I10+'IV Trimestre'!I10</f>
        <v>0</v>
      </c>
      <c r="J10" s="58">
        <f>'I trimestre'!J10+'II Trimestre'!J10+'III Trimestre'!J10+'IV Trimestre'!J10</f>
        <v>0</v>
      </c>
    </row>
    <row r="11" spans="1:10" x14ac:dyDescent="0.25">
      <c r="A11" s="2" t="s">
        <v>151</v>
      </c>
      <c r="B11" s="58">
        <f>+C11+F11+I11+J11</f>
        <v>4422</v>
      </c>
      <c r="C11" s="62">
        <f t="shared" ref="C11:C13" si="0">D11+E11</f>
        <v>1042</v>
      </c>
      <c r="D11" s="58">
        <f>'I trimestre'!D11+'II Trimestre'!D11+'III Trimestre'!D11+'IV Trimestre'!D11</f>
        <v>658</v>
      </c>
      <c r="E11" s="58">
        <f>'I trimestre'!E11+'II Trimestre'!E11+'III Trimestre'!E11+'IV Trimestre'!E11</f>
        <v>384</v>
      </c>
      <c r="F11" s="58">
        <f t="shared" ref="F11:F13" si="1">G11+H11</f>
        <v>2550</v>
      </c>
      <c r="G11" s="58">
        <f>'I trimestre'!G11+'II Trimestre'!G11+'III Trimestre'!G11+'IV Trimestre'!G11</f>
        <v>0</v>
      </c>
      <c r="H11" s="58">
        <f>'I trimestre'!H11+'II Trimestre'!H11+'III Trimestre'!H11+'IV Trimestre'!H11</f>
        <v>2550</v>
      </c>
      <c r="I11" s="58">
        <f>'I trimestre'!I11+'II Trimestre'!I11+'III Trimestre'!I11+'IV Trimestre'!I11</f>
        <v>780</v>
      </c>
      <c r="J11" s="58">
        <f>'I trimestre'!J11+'II Trimestre'!J11+'III Trimestre'!J11+'IV Trimestre'!J11</f>
        <v>50</v>
      </c>
    </row>
    <row r="12" spans="1:10" x14ac:dyDescent="0.25">
      <c r="A12" s="2" t="s">
        <v>152</v>
      </c>
      <c r="B12" s="58">
        <f>+C12+F12+I12+J12</f>
        <v>1933</v>
      </c>
      <c r="C12" s="62">
        <f t="shared" si="0"/>
        <v>774</v>
      </c>
      <c r="D12" s="58">
        <f>'I trimestre'!D12+'II Trimestre'!D12+'III Trimestre'!D12+'IV Trimestre'!D12</f>
        <v>416</v>
      </c>
      <c r="E12" s="58">
        <f>'I trimestre'!E12+'II Trimestre'!E12+'III Trimestre'!E12+'IV Trimestre'!E12</f>
        <v>358</v>
      </c>
      <c r="F12" s="58">
        <f t="shared" si="1"/>
        <v>823</v>
      </c>
      <c r="G12" s="58">
        <f>'I trimestre'!G12+'II Trimestre'!G12+'III Trimestre'!G12+'IV Trimestre'!G12</f>
        <v>0</v>
      </c>
      <c r="H12" s="58">
        <f>'I trimestre'!H12+'II Trimestre'!H12+'III Trimestre'!H12+'IV Trimestre'!H12</f>
        <v>823</v>
      </c>
      <c r="I12" s="58">
        <f>'I trimestre'!I12+'II Trimestre'!I12+'III Trimestre'!I12+'IV Trimestre'!I12</f>
        <v>336</v>
      </c>
      <c r="J12" s="58">
        <f>'I trimestre'!J12+'II Trimestre'!J12+'III Trimestre'!J12+'IV Trimestre'!J12</f>
        <v>0</v>
      </c>
    </row>
    <row r="13" spans="1:10" x14ac:dyDescent="0.25">
      <c r="A13" s="2" t="s">
        <v>78</v>
      </c>
      <c r="B13" s="58">
        <f>+C13+F13+I13+J13</f>
        <v>4422</v>
      </c>
      <c r="C13" s="62">
        <f t="shared" si="0"/>
        <v>1042</v>
      </c>
      <c r="D13" s="58">
        <f>'IV Trimestre'!D13</f>
        <v>658</v>
      </c>
      <c r="E13" s="58">
        <f>'IV Trimestre'!E13</f>
        <v>384</v>
      </c>
      <c r="F13" s="58">
        <f t="shared" si="1"/>
        <v>2550</v>
      </c>
      <c r="G13" s="58">
        <f>'IV Trimestre'!G13</f>
        <v>0</v>
      </c>
      <c r="H13" s="58">
        <f>'IV Trimestre'!H13</f>
        <v>2550</v>
      </c>
      <c r="I13" s="58">
        <f>'IV Trimestre'!I13</f>
        <v>780</v>
      </c>
      <c r="J13" s="58">
        <f>'IV Trimestre'!J13</f>
        <v>50</v>
      </c>
    </row>
    <row r="14" spans="1:10" x14ac:dyDescent="0.25">
      <c r="B14" s="50"/>
      <c r="C14" s="50"/>
      <c r="D14" s="50"/>
      <c r="E14" s="50"/>
      <c r="F14" s="50"/>
      <c r="G14" s="50"/>
      <c r="H14" s="50"/>
      <c r="I14" s="50"/>
      <c r="J14" s="52"/>
    </row>
    <row r="15" spans="1:10" x14ac:dyDescent="0.25">
      <c r="A15" s="2" t="s">
        <v>7</v>
      </c>
      <c r="B15" s="50"/>
      <c r="C15" s="50"/>
      <c r="D15" s="50"/>
      <c r="E15" s="50"/>
      <c r="F15" s="50"/>
      <c r="G15" s="50"/>
      <c r="H15" s="50"/>
      <c r="I15" s="50"/>
      <c r="J15" s="52"/>
    </row>
    <row r="16" spans="1:10" x14ac:dyDescent="0.25">
      <c r="A16" s="2" t="s">
        <v>153</v>
      </c>
      <c r="B16" s="58">
        <f>+C16+F16+I16+J16</f>
        <v>3046395205.6599998</v>
      </c>
      <c r="C16" s="62">
        <f>D16+E16</f>
        <v>2962638254</v>
      </c>
      <c r="D16" s="58">
        <f>'I trimestre'!D16+'II Trimestre'!D16+'III Trimestre'!D16+'IV Trimestre'!D16</f>
        <v>1702825550</v>
      </c>
      <c r="E16" s="58">
        <f>'I trimestre'!E16+'II Trimestre'!E16+'III Trimestre'!E16+'IV Trimestre'!E16</f>
        <v>1259812704</v>
      </c>
      <c r="F16" s="58">
        <f>'I trimestre'!F16+'II Trimestre'!F16+'III Trimestre'!F16+'IV Trimestre'!F16</f>
        <v>83756951.659999996</v>
      </c>
      <c r="G16" s="58">
        <f>'I trimestre'!G16+'II Trimestre'!G16+'III Trimestre'!G16+'IV Trimestre'!G16</f>
        <v>4159561</v>
      </c>
      <c r="H16" s="58">
        <f>'I trimestre'!H16+'II Trimestre'!H16+'III Trimestre'!H16+'IV Trimestre'!H16</f>
        <v>79597390.659999996</v>
      </c>
      <c r="I16" s="58">
        <f>'I trimestre'!I16+'II Trimestre'!I16+'III Trimestre'!I16+'IV Trimestre'!I16</f>
        <v>0</v>
      </c>
      <c r="J16" s="58">
        <f>'I trimestre'!J16+'II Trimestre'!J16+'III Trimestre'!J16+'IV Trimestre'!J16</f>
        <v>0</v>
      </c>
    </row>
    <row r="17" spans="1:10" x14ac:dyDescent="0.25">
      <c r="A17" s="2" t="s">
        <v>151</v>
      </c>
      <c r="B17" s="58">
        <f>+C17+F17+I17+J17</f>
        <v>4267479757</v>
      </c>
      <c r="C17" s="62">
        <f t="shared" ref="C17:C19" si="2">D17+E17</f>
        <v>3907479757</v>
      </c>
      <c r="D17" s="58">
        <f>'I trimestre'!D17+'II Trimestre'!D17+'III Trimestre'!D17+'IV Trimestre'!D17</f>
        <v>2467479757</v>
      </c>
      <c r="E17" s="58">
        <f>'I trimestre'!E17+'II Trimestre'!E17+'III Trimestre'!E17+'IV Trimestre'!E17</f>
        <v>1440000000</v>
      </c>
      <c r="F17" s="58">
        <f>'I trimestre'!F17+'II Trimestre'!F17+'III Trimestre'!F17+'IV Trimestre'!F17</f>
        <v>160000000</v>
      </c>
      <c r="G17" s="58">
        <f>'I trimestre'!G17+'II Trimestre'!G17+'III Trimestre'!G17+'IV Trimestre'!G17</f>
        <v>0</v>
      </c>
      <c r="H17" s="58">
        <f>'I trimestre'!H17+'II Trimestre'!H17+'III Trimestre'!H17+'IV Trimestre'!H17</f>
        <v>160000000</v>
      </c>
      <c r="I17" s="58">
        <f>'I trimestre'!I17+'II Trimestre'!I17+'III Trimestre'!I17+'IV Trimestre'!I17</f>
        <v>100000000</v>
      </c>
      <c r="J17" s="58">
        <f>'I trimestre'!J17+'II Trimestre'!J17+'III Trimestre'!J17+'IV Trimestre'!J17</f>
        <v>100000000</v>
      </c>
    </row>
    <row r="18" spans="1:10" x14ac:dyDescent="0.25">
      <c r="A18" s="2" t="s">
        <v>152</v>
      </c>
      <c r="B18" s="58">
        <f>+C18+F18+I18+J18</f>
        <v>2706344404</v>
      </c>
      <c r="C18" s="62">
        <f t="shared" si="2"/>
        <v>2594865349</v>
      </c>
      <c r="D18" s="58">
        <f>'I trimestre'!D18+'II Trimestre'!D18+'III Trimestre'!D18+'IV Trimestre'!D18</f>
        <v>1454393438</v>
      </c>
      <c r="E18" s="58">
        <f>'I trimestre'!E18+'II Trimestre'!E18+'III Trimestre'!E18+'IV Trimestre'!E18</f>
        <v>1140471911</v>
      </c>
      <c r="F18" s="58">
        <f>'I trimestre'!F18+'II Trimestre'!F18+'III Trimestre'!F18+'IV Trimestre'!F18</f>
        <v>88387047</v>
      </c>
      <c r="G18" s="58">
        <f>'I trimestre'!G18+'II Trimestre'!G18+'III Trimestre'!G18+'IV Trimestre'!G18</f>
        <v>10016000</v>
      </c>
      <c r="H18" s="58">
        <f>'I trimestre'!H18+'II Trimestre'!H18+'III Trimestre'!H18+'IV Trimestre'!H18</f>
        <v>78371047</v>
      </c>
      <c r="I18" s="58">
        <f>'I trimestre'!I18+'II Trimestre'!I18+'III Trimestre'!I18+'IV Trimestre'!I18</f>
        <v>23092008</v>
      </c>
      <c r="J18" s="58">
        <f>'I trimestre'!J18+'II Trimestre'!J18+'III Trimestre'!J18+'IV Trimestre'!J18</f>
        <v>0</v>
      </c>
    </row>
    <row r="19" spans="1:10" x14ac:dyDescent="0.25">
      <c r="A19" s="2" t="s">
        <v>78</v>
      </c>
      <c r="B19" s="58">
        <f>+C19+F19+I19+J19</f>
        <v>4267479757</v>
      </c>
      <c r="C19" s="62">
        <f t="shared" si="2"/>
        <v>3907479757</v>
      </c>
      <c r="D19" s="58">
        <f>'IV Trimestre'!D19</f>
        <v>2467479757</v>
      </c>
      <c r="E19" s="58">
        <f>'IV Trimestre'!E19</f>
        <v>1440000000</v>
      </c>
      <c r="F19" s="58">
        <f>'IV Trimestre'!F19</f>
        <v>160000000</v>
      </c>
      <c r="G19" s="58">
        <f>'IV Trimestre'!G19</f>
        <v>0</v>
      </c>
      <c r="H19" s="58">
        <f>'IV Trimestre'!H19</f>
        <v>160000000</v>
      </c>
      <c r="I19" s="58">
        <f>'IV Trimestre'!I19</f>
        <v>100000000</v>
      </c>
      <c r="J19" s="58">
        <f>'IV Trimestre'!J19</f>
        <v>100000000</v>
      </c>
    </row>
    <row r="20" spans="1:10" x14ac:dyDescent="0.25">
      <c r="A20" s="2" t="s">
        <v>154</v>
      </c>
      <c r="B20" s="58">
        <f>+C20+F20+I20+J20</f>
        <v>2706344404</v>
      </c>
      <c r="C20" s="62">
        <f>C18</f>
        <v>2594865349</v>
      </c>
      <c r="D20" s="58">
        <f>D18</f>
        <v>1454393438</v>
      </c>
      <c r="E20" s="58">
        <f>E18</f>
        <v>1140471911</v>
      </c>
      <c r="F20" s="58">
        <f>SUM(G20:H20)</f>
        <v>88387047</v>
      </c>
      <c r="G20" s="58">
        <f t="shared" ref="G20:J20" si="3">G18</f>
        <v>10016000</v>
      </c>
      <c r="H20" s="58">
        <f t="shared" si="3"/>
        <v>78371047</v>
      </c>
      <c r="I20" s="58">
        <f t="shared" si="3"/>
        <v>23092008</v>
      </c>
      <c r="J20" s="58">
        <f t="shared" si="3"/>
        <v>0</v>
      </c>
    </row>
    <row r="21" spans="1:10" x14ac:dyDescent="0.25">
      <c r="B21" s="58"/>
      <c r="C21" s="58"/>
      <c r="D21" s="58"/>
      <c r="E21" s="58"/>
      <c r="F21" s="58"/>
      <c r="G21" s="58"/>
      <c r="H21" s="58"/>
      <c r="I21" s="58"/>
      <c r="J21" s="52"/>
    </row>
    <row r="22" spans="1:10" x14ac:dyDescent="0.25">
      <c r="A22" s="2" t="s">
        <v>8</v>
      </c>
      <c r="B22" s="38" t="s">
        <v>1</v>
      </c>
      <c r="C22" s="38"/>
      <c r="D22" s="38" t="s">
        <v>69</v>
      </c>
      <c r="E22" s="38" t="s">
        <v>71</v>
      </c>
      <c r="F22" s="38"/>
      <c r="G22" s="38"/>
      <c r="H22" s="58"/>
      <c r="I22" s="58"/>
      <c r="J22" s="52"/>
    </row>
    <row r="23" spans="1:10" x14ac:dyDescent="0.25">
      <c r="A23" s="2" t="s">
        <v>151</v>
      </c>
      <c r="B23" s="58">
        <f>B17</f>
        <v>4267479757</v>
      </c>
      <c r="C23" s="58"/>
      <c r="D23" s="58">
        <f>D17+G17</f>
        <v>2467479757</v>
      </c>
      <c r="E23" s="58">
        <f>E17+H17+I17+J17</f>
        <v>1800000000</v>
      </c>
      <c r="F23" s="58"/>
      <c r="G23" s="58"/>
      <c r="H23" s="58"/>
      <c r="I23" s="58"/>
      <c r="J23" s="52"/>
    </row>
    <row r="24" spans="1:10" x14ac:dyDescent="0.25">
      <c r="A24" s="2" t="s">
        <v>152</v>
      </c>
      <c r="B24" s="62">
        <f>D24+E24</f>
        <v>3885912675.6700001</v>
      </c>
      <c r="C24" s="58"/>
      <c r="D24" s="58">
        <f>'I trimestre'!D24+'II Trimestre'!D24+'III Trimestre'!D24+'IV Trimestre'!D24</f>
        <v>2385912675.6800003</v>
      </c>
      <c r="E24" s="58">
        <f>'I trimestre'!E24+'II Trimestre'!E24+'III Trimestre'!E24+'IV Trimestre'!E24</f>
        <v>1499999999.99</v>
      </c>
      <c r="F24" s="58"/>
      <c r="G24" s="58"/>
      <c r="H24" s="58"/>
      <c r="I24" s="50"/>
      <c r="J24" s="60"/>
    </row>
    <row r="25" spans="1:10" x14ac:dyDescent="0.25">
      <c r="B25" s="50"/>
      <c r="C25" s="50"/>
      <c r="D25" s="50"/>
      <c r="E25" s="50"/>
      <c r="F25" s="50"/>
      <c r="G25" s="50"/>
      <c r="H25" s="50"/>
      <c r="I25" s="50"/>
      <c r="J25" s="52"/>
    </row>
    <row r="26" spans="1:10" x14ac:dyDescent="0.25">
      <c r="A26" s="2" t="s">
        <v>9</v>
      </c>
      <c r="B26" s="50"/>
      <c r="C26" s="50"/>
      <c r="D26" s="50"/>
      <c r="E26" s="50"/>
      <c r="F26" s="50"/>
      <c r="G26" s="50"/>
      <c r="H26" s="50"/>
      <c r="I26" s="50"/>
      <c r="J26" s="52"/>
    </row>
    <row r="27" spans="1:10" x14ac:dyDescent="0.25">
      <c r="A27" s="2" t="s">
        <v>155</v>
      </c>
      <c r="B27" s="63">
        <v>1.0245</v>
      </c>
      <c r="C27" s="63">
        <v>1.0245</v>
      </c>
      <c r="D27" s="63">
        <v>1.0245</v>
      </c>
      <c r="E27" s="63">
        <v>1.0245</v>
      </c>
      <c r="F27" s="63">
        <v>1.0245</v>
      </c>
      <c r="G27" s="63">
        <v>1.0245</v>
      </c>
      <c r="H27" s="63">
        <v>1.0245</v>
      </c>
      <c r="I27" s="63">
        <v>1.0245</v>
      </c>
      <c r="J27" s="63">
        <v>1.0245</v>
      </c>
    </row>
    <row r="28" spans="1:10" x14ac:dyDescent="0.25">
      <c r="A28" s="2" t="s">
        <v>156</v>
      </c>
      <c r="B28" s="63">
        <v>1.0451999999999999</v>
      </c>
      <c r="C28" s="63">
        <v>1.0451999999999999</v>
      </c>
      <c r="D28" s="63">
        <v>1.0451999999999999</v>
      </c>
      <c r="E28" s="63">
        <v>1.0451999999999999</v>
      </c>
      <c r="F28" s="63">
        <v>1.0451999999999999</v>
      </c>
      <c r="G28" s="63">
        <v>1.0451999999999999</v>
      </c>
      <c r="H28" s="63">
        <v>1.0451999999999999</v>
      </c>
      <c r="I28" s="63">
        <v>1.0451999999999999</v>
      </c>
      <c r="J28" s="63">
        <v>1.0451999999999999</v>
      </c>
    </row>
    <row r="29" spans="1:10" x14ac:dyDescent="0.25">
      <c r="A29" s="2" t="s">
        <v>10</v>
      </c>
      <c r="B29" s="58">
        <v>108639</v>
      </c>
      <c r="C29" s="58">
        <v>108639</v>
      </c>
      <c r="D29" s="58">
        <v>108639</v>
      </c>
      <c r="E29" s="58">
        <v>108639</v>
      </c>
      <c r="F29" s="58">
        <v>108639</v>
      </c>
      <c r="G29" s="58">
        <v>108639</v>
      </c>
      <c r="H29" s="58">
        <v>108639</v>
      </c>
      <c r="I29" s="58">
        <v>108639</v>
      </c>
      <c r="J29" s="58">
        <v>108639</v>
      </c>
    </row>
    <row r="30" spans="1:10" x14ac:dyDescent="0.25">
      <c r="B30" s="50"/>
      <c r="C30" s="50"/>
      <c r="D30" s="50"/>
      <c r="E30" s="50"/>
      <c r="F30" s="50"/>
      <c r="G30" s="50"/>
      <c r="H30" s="50"/>
      <c r="I30" s="50"/>
      <c r="J30" s="52"/>
    </row>
    <row r="31" spans="1:10" x14ac:dyDescent="0.25">
      <c r="A31" s="2" t="s">
        <v>11</v>
      </c>
      <c r="B31" s="50"/>
      <c r="C31" s="50"/>
      <c r="D31" s="50"/>
      <c r="E31" s="50"/>
      <c r="F31" s="50"/>
      <c r="G31" s="50"/>
      <c r="H31" s="50"/>
      <c r="I31" s="50"/>
      <c r="J31" s="52"/>
    </row>
    <row r="32" spans="1:10" x14ac:dyDescent="0.25">
      <c r="A32" s="2" t="s">
        <v>157</v>
      </c>
      <c r="B32" s="50">
        <f t="shared" ref="B32" si="4">B16/B27</f>
        <v>2973543392.5427036</v>
      </c>
      <c r="C32" s="50">
        <f t="shared" ref="C32:J32" si="5">C16/C27</f>
        <v>2891789413.3723769</v>
      </c>
      <c r="D32" s="50">
        <f t="shared" si="5"/>
        <v>1662104001.9521718</v>
      </c>
      <c r="E32" s="50">
        <f t="shared" si="5"/>
        <v>1229685411.4202051</v>
      </c>
      <c r="F32" s="50">
        <f t="shared" si="5"/>
        <v>81753979.170326993</v>
      </c>
      <c r="G32" s="50">
        <f t="shared" si="5"/>
        <v>4060088.8238164959</v>
      </c>
      <c r="H32" s="50">
        <f t="shared" si="5"/>
        <v>77693890.346510485</v>
      </c>
      <c r="I32" s="50">
        <f t="shared" si="5"/>
        <v>0</v>
      </c>
      <c r="J32" s="50">
        <f t="shared" si="5"/>
        <v>0</v>
      </c>
    </row>
    <row r="33" spans="1:10" x14ac:dyDescent="0.25">
      <c r="A33" s="2" t="s">
        <v>158</v>
      </c>
      <c r="B33" s="50">
        <f t="shared" ref="B33" si="6">B18/B28</f>
        <v>2589307696.1347113</v>
      </c>
      <c r="C33" s="50">
        <f t="shared" ref="C33:J33" si="7">C18/C28</f>
        <v>2482649587.6387296</v>
      </c>
      <c r="D33" s="50">
        <f t="shared" si="7"/>
        <v>1391497740.1454268</v>
      </c>
      <c r="E33" s="50">
        <f t="shared" si="7"/>
        <v>1091151847.4933028</v>
      </c>
      <c r="F33" s="50">
        <f t="shared" si="7"/>
        <v>84564721.584385768</v>
      </c>
      <c r="G33" s="50">
        <f t="shared" si="7"/>
        <v>9582854.9559892844</v>
      </c>
      <c r="H33" s="50">
        <f t="shared" si="7"/>
        <v>74981866.628396481</v>
      </c>
      <c r="I33" s="50">
        <f t="shared" si="7"/>
        <v>22093386.91159587</v>
      </c>
      <c r="J33" s="50">
        <f t="shared" si="7"/>
        <v>0</v>
      </c>
    </row>
    <row r="34" spans="1:10" x14ac:dyDescent="0.25">
      <c r="A34" s="2" t="s">
        <v>159</v>
      </c>
      <c r="B34" s="50">
        <f t="shared" ref="B34" si="8">B32/B10</f>
        <v>1449095.2205373798</v>
      </c>
      <c r="C34" s="50">
        <f t="shared" ref="C34:H34" si="9">C32/C10</f>
        <v>2863157.8350221552</v>
      </c>
      <c r="D34" s="50">
        <f t="shared" si="9"/>
        <v>3077970.3739855033</v>
      </c>
      <c r="E34" s="50">
        <f t="shared" si="9"/>
        <v>2616351.9391919258</v>
      </c>
      <c r="F34" s="50">
        <f t="shared" si="9"/>
        <v>78458.713215285024</v>
      </c>
      <c r="G34" s="50">
        <f t="shared" si="9"/>
        <v>56390.122553006891</v>
      </c>
      <c r="H34" s="50">
        <f t="shared" si="9"/>
        <v>80096.794171660295</v>
      </c>
      <c r="I34" s="50" t="s">
        <v>161</v>
      </c>
      <c r="J34" s="50" t="s">
        <v>161</v>
      </c>
    </row>
    <row r="35" spans="1:10" x14ac:dyDescent="0.25">
      <c r="A35" s="2" t="s">
        <v>160</v>
      </c>
      <c r="B35" s="50">
        <f t="shared" ref="B35" si="10">B33/B12</f>
        <v>1339528.0373174916</v>
      </c>
      <c r="C35" s="50">
        <f t="shared" ref="C35:I35" si="11">C33/C12</f>
        <v>3207557.6067683846</v>
      </c>
      <c r="D35" s="50">
        <f t="shared" si="11"/>
        <v>3344946.4907341991</v>
      </c>
      <c r="E35" s="50">
        <f t="shared" si="11"/>
        <v>3047910.188528779</v>
      </c>
      <c r="F35" s="50">
        <f t="shared" si="11"/>
        <v>102751.78807337274</v>
      </c>
      <c r="G35" s="50" t="s">
        <v>161</v>
      </c>
      <c r="H35" s="50">
        <f t="shared" si="11"/>
        <v>91107.978892340805</v>
      </c>
      <c r="I35" s="50">
        <f t="shared" si="11"/>
        <v>65754.12771308294</v>
      </c>
      <c r="J35" s="50" t="s">
        <v>161</v>
      </c>
    </row>
    <row r="36" spans="1:10" x14ac:dyDescent="0.25">
      <c r="B36" s="50"/>
      <c r="C36" s="50"/>
      <c r="D36" s="50"/>
      <c r="E36" s="50"/>
      <c r="F36" s="50"/>
      <c r="G36" s="50"/>
      <c r="H36" s="50"/>
      <c r="I36" s="50"/>
      <c r="J36" s="52"/>
    </row>
    <row r="37" spans="1:10" x14ac:dyDescent="0.25">
      <c r="A37" s="2" t="s">
        <v>12</v>
      </c>
      <c r="B37" s="50"/>
      <c r="C37" s="50"/>
      <c r="D37" s="50"/>
      <c r="E37" s="50"/>
      <c r="F37" s="50"/>
      <c r="G37" s="50"/>
      <c r="H37" s="50"/>
      <c r="I37" s="50"/>
      <c r="J37" s="52"/>
    </row>
    <row r="38" spans="1:10" x14ac:dyDescent="0.25">
      <c r="B38" s="50"/>
      <c r="C38" s="50"/>
      <c r="D38" s="50"/>
      <c r="E38" s="50"/>
      <c r="F38" s="50"/>
      <c r="G38" s="50"/>
      <c r="H38" s="50"/>
      <c r="I38" s="50"/>
      <c r="J38" s="52"/>
    </row>
    <row r="39" spans="1:10" x14ac:dyDescent="0.25">
      <c r="A39" s="2" t="s">
        <v>13</v>
      </c>
      <c r="B39" s="50"/>
      <c r="C39" s="50"/>
      <c r="D39" s="50"/>
      <c r="E39" s="50"/>
      <c r="F39" s="50"/>
      <c r="G39" s="50"/>
      <c r="H39" s="50"/>
      <c r="I39" s="50"/>
      <c r="J39" s="52"/>
    </row>
    <row r="40" spans="1:10" x14ac:dyDescent="0.25">
      <c r="A40" s="2" t="s">
        <v>14</v>
      </c>
      <c r="B40" s="50">
        <f t="shared" ref="B40" si="12">B11/B29*100</f>
        <v>4.0703614723994148</v>
      </c>
      <c r="C40" s="50">
        <f t="shared" ref="C40:J40" si="13">C11/C29*100</f>
        <v>0.95913990371781777</v>
      </c>
      <c r="D40" s="50">
        <f t="shared" si="13"/>
        <v>0.6056756781634588</v>
      </c>
      <c r="E40" s="50">
        <f t="shared" si="13"/>
        <v>0.35346422555435897</v>
      </c>
      <c r="F40" s="50">
        <f t="shared" si="13"/>
        <v>2.3472233728219147</v>
      </c>
      <c r="G40" s="50">
        <f t="shared" si="13"/>
        <v>0</v>
      </c>
      <c r="H40" s="50">
        <f t="shared" si="13"/>
        <v>2.3472233728219147</v>
      </c>
      <c r="I40" s="50">
        <f t="shared" si="13"/>
        <v>0.71797420815729163</v>
      </c>
      <c r="J40" s="50">
        <f t="shared" si="13"/>
        <v>4.6023987702390488E-2</v>
      </c>
    </row>
    <row r="41" spans="1:10" x14ac:dyDescent="0.25">
      <c r="A41" s="2" t="s">
        <v>15</v>
      </c>
      <c r="B41" s="50">
        <f t="shared" ref="B41" si="14">B12/B29*100</f>
        <v>1.7792873645744161</v>
      </c>
      <c r="C41" s="50">
        <f t="shared" ref="C41:J41" si="15">C12/C29*100</f>
        <v>0.71245132963300473</v>
      </c>
      <c r="D41" s="50">
        <f t="shared" si="15"/>
        <v>0.38291957768388885</v>
      </c>
      <c r="E41" s="50">
        <f t="shared" si="15"/>
        <v>0.32953175194911588</v>
      </c>
      <c r="F41" s="50">
        <f t="shared" si="15"/>
        <v>0.75755483758134734</v>
      </c>
      <c r="G41" s="50">
        <f t="shared" si="15"/>
        <v>0</v>
      </c>
      <c r="H41" s="50">
        <f t="shared" si="15"/>
        <v>0.75755483758134734</v>
      </c>
      <c r="I41" s="50">
        <f t="shared" si="15"/>
        <v>0.30928119736006404</v>
      </c>
      <c r="J41" s="50">
        <f t="shared" si="15"/>
        <v>0</v>
      </c>
    </row>
    <row r="42" spans="1:10" x14ac:dyDescent="0.25">
      <c r="B42" s="50"/>
      <c r="C42" s="50"/>
      <c r="D42" s="50"/>
      <c r="E42" s="50"/>
      <c r="F42" s="50"/>
      <c r="G42" s="50"/>
      <c r="H42" s="50"/>
      <c r="I42" s="50"/>
      <c r="J42" s="52"/>
    </row>
    <row r="43" spans="1:10" x14ac:dyDescent="0.25">
      <c r="A43" s="2" t="s">
        <v>16</v>
      </c>
      <c r="B43" s="50"/>
      <c r="C43" s="50"/>
      <c r="D43" s="50"/>
      <c r="E43" s="50"/>
      <c r="F43" s="50"/>
      <c r="G43" s="50"/>
      <c r="H43" s="50"/>
      <c r="I43" s="50"/>
      <c r="J43" s="52"/>
    </row>
    <row r="44" spans="1:10" x14ac:dyDescent="0.25">
      <c r="A44" s="2" t="s">
        <v>17</v>
      </c>
      <c r="B44" s="50">
        <f t="shared" ref="B44" si="16">B12/B11*100</f>
        <v>43.713251922207149</v>
      </c>
      <c r="C44" s="50">
        <f t="shared" ref="C44:J44" si="17">C12/C11*100</f>
        <v>74.28023032629558</v>
      </c>
      <c r="D44" s="50">
        <f t="shared" si="17"/>
        <v>63.221884498480243</v>
      </c>
      <c r="E44" s="50">
        <f t="shared" si="17"/>
        <v>93.229166666666657</v>
      </c>
      <c r="F44" s="50">
        <f t="shared" si="17"/>
        <v>32.274509803921568</v>
      </c>
      <c r="G44" s="50" t="s">
        <v>161</v>
      </c>
      <c r="H44" s="50">
        <f t="shared" si="17"/>
        <v>32.274509803921568</v>
      </c>
      <c r="I44" s="50">
        <f t="shared" si="17"/>
        <v>43.07692307692308</v>
      </c>
      <c r="J44" s="50">
        <f t="shared" si="17"/>
        <v>0</v>
      </c>
    </row>
    <row r="45" spans="1:10" x14ac:dyDescent="0.25">
      <c r="A45" s="2" t="s">
        <v>18</v>
      </c>
      <c r="B45" s="50">
        <f t="shared" ref="B45" si="18">B18/B17*100</f>
        <v>63.417861550737285</v>
      </c>
      <c r="C45" s="50">
        <f t="shared" ref="C45:J45" si="19">C18/C17*100</f>
        <v>66.407646625717376</v>
      </c>
      <c r="D45" s="50">
        <f t="shared" si="19"/>
        <v>58.942466858097916</v>
      </c>
      <c r="E45" s="50">
        <f t="shared" si="19"/>
        <v>79.199438263888894</v>
      </c>
      <c r="F45" s="50">
        <f t="shared" si="19"/>
        <v>55.241904374999997</v>
      </c>
      <c r="G45" s="50" t="s">
        <v>161</v>
      </c>
      <c r="H45" s="50">
        <f t="shared" si="19"/>
        <v>48.981904374999999</v>
      </c>
      <c r="I45" s="50">
        <f t="shared" si="19"/>
        <v>23.092008</v>
      </c>
      <c r="J45" s="50">
        <f t="shared" si="19"/>
        <v>0</v>
      </c>
    </row>
    <row r="46" spans="1:10" x14ac:dyDescent="0.25">
      <c r="A46" s="2" t="s">
        <v>19</v>
      </c>
      <c r="B46" s="50">
        <f t="shared" ref="B46" si="20">AVERAGE(B44:B45)</f>
        <v>53.565556736472217</v>
      </c>
      <c r="C46" s="50">
        <f t="shared" ref="C46:J46" si="21">AVERAGE(C44:C45)</f>
        <v>70.343938476006485</v>
      </c>
      <c r="D46" s="50">
        <f t="shared" si="21"/>
        <v>61.082175678289076</v>
      </c>
      <c r="E46" s="50">
        <f t="shared" si="21"/>
        <v>86.214302465277768</v>
      </c>
      <c r="F46" s="50">
        <f t="shared" si="21"/>
        <v>43.758207089460782</v>
      </c>
      <c r="G46" s="50" t="s">
        <v>161</v>
      </c>
      <c r="H46" s="50">
        <f t="shared" si="21"/>
        <v>40.628207089460787</v>
      </c>
      <c r="I46" s="50">
        <f t="shared" si="21"/>
        <v>33.084465538461544</v>
      </c>
      <c r="J46" s="50">
        <f t="shared" si="21"/>
        <v>0</v>
      </c>
    </row>
    <row r="47" spans="1:10" x14ac:dyDescent="0.25">
      <c r="B47" s="50"/>
      <c r="C47" s="50"/>
      <c r="D47" s="50"/>
      <c r="E47" s="50"/>
      <c r="F47" s="50"/>
      <c r="G47" s="50"/>
      <c r="H47" s="50"/>
      <c r="I47" s="50"/>
      <c r="J47" s="52"/>
    </row>
    <row r="48" spans="1:10" x14ac:dyDescent="0.25">
      <c r="A48" s="2" t="s">
        <v>20</v>
      </c>
      <c r="B48" s="50"/>
      <c r="C48" s="50"/>
      <c r="D48" s="50"/>
      <c r="E48" s="50"/>
      <c r="F48" s="50"/>
      <c r="G48" s="50"/>
      <c r="H48" s="50"/>
      <c r="I48" s="50"/>
      <c r="J48" s="52"/>
    </row>
    <row r="49" spans="1:10" x14ac:dyDescent="0.25">
      <c r="A49" s="2" t="s">
        <v>21</v>
      </c>
      <c r="B49" s="50">
        <f t="shared" ref="B49" si="22">B12/B13*100</f>
        <v>43.713251922207149</v>
      </c>
      <c r="C49" s="50">
        <f t="shared" ref="C49:J49" si="23">C12/C13*100</f>
        <v>74.28023032629558</v>
      </c>
      <c r="D49" s="50">
        <f t="shared" si="23"/>
        <v>63.221884498480243</v>
      </c>
      <c r="E49" s="50">
        <f t="shared" si="23"/>
        <v>93.229166666666657</v>
      </c>
      <c r="F49" s="50">
        <f t="shared" si="23"/>
        <v>32.274509803921568</v>
      </c>
      <c r="G49" s="50" t="s">
        <v>161</v>
      </c>
      <c r="H49" s="50">
        <f t="shared" si="23"/>
        <v>32.274509803921568</v>
      </c>
      <c r="I49" s="50">
        <f t="shared" si="23"/>
        <v>43.07692307692308</v>
      </c>
      <c r="J49" s="50">
        <f t="shared" si="23"/>
        <v>0</v>
      </c>
    </row>
    <row r="50" spans="1:10" x14ac:dyDescent="0.25">
      <c r="A50" s="2" t="s">
        <v>22</v>
      </c>
      <c r="B50" s="50">
        <f t="shared" ref="B50" si="24">B18/B19*100</f>
        <v>63.417861550737285</v>
      </c>
      <c r="C50" s="50">
        <f t="shared" ref="C50:J50" si="25">C18/C19*100</f>
        <v>66.407646625717376</v>
      </c>
      <c r="D50" s="50">
        <f t="shared" si="25"/>
        <v>58.942466858097916</v>
      </c>
      <c r="E50" s="50">
        <f t="shared" si="25"/>
        <v>79.199438263888894</v>
      </c>
      <c r="F50" s="50">
        <f t="shared" si="25"/>
        <v>55.241904374999997</v>
      </c>
      <c r="G50" s="50" t="s">
        <v>161</v>
      </c>
      <c r="H50" s="50">
        <f t="shared" si="25"/>
        <v>48.981904374999999</v>
      </c>
      <c r="I50" s="50">
        <f t="shared" si="25"/>
        <v>23.092008</v>
      </c>
      <c r="J50" s="50">
        <f t="shared" si="25"/>
        <v>0</v>
      </c>
    </row>
    <row r="51" spans="1:10" x14ac:dyDescent="0.25">
      <c r="A51" s="2" t="s">
        <v>23</v>
      </c>
      <c r="B51" s="50">
        <f t="shared" ref="B51" si="26">AVERAGE(B49:B50)</f>
        <v>53.565556736472217</v>
      </c>
      <c r="C51" s="50">
        <f t="shared" ref="C51:J51" si="27">AVERAGE(C49:C50)</f>
        <v>70.343938476006485</v>
      </c>
      <c r="D51" s="50">
        <f t="shared" si="27"/>
        <v>61.082175678289076</v>
      </c>
      <c r="E51" s="50">
        <f t="shared" si="27"/>
        <v>86.214302465277768</v>
      </c>
      <c r="F51" s="50">
        <f t="shared" si="27"/>
        <v>43.758207089460782</v>
      </c>
      <c r="G51" s="50" t="s">
        <v>161</v>
      </c>
      <c r="H51" s="50">
        <f t="shared" si="27"/>
        <v>40.628207089460787</v>
      </c>
      <c r="I51" s="50">
        <f t="shared" si="27"/>
        <v>33.084465538461544</v>
      </c>
      <c r="J51" s="50">
        <f t="shared" si="27"/>
        <v>0</v>
      </c>
    </row>
    <row r="52" spans="1:10" x14ac:dyDescent="0.25">
      <c r="B52" s="50"/>
      <c r="C52" s="50"/>
      <c r="D52" s="50"/>
      <c r="E52" s="50"/>
      <c r="F52" s="50"/>
      <c r="G52" s="50"/>
      <c r="H52" s="50"/>
      <c r="I52" s="50"/>
      <c r="J52" s="52"/>
    </row>
    <row r="53" spans="1:10" x14ac:dyDescent="0.25">
      <c r="A53" s="2" t="s">
        <v>24</v>
      </c>
      <c r="B53" s="50">
        <f t="shared" ref="B53" si="28">B20/B18*100</f>
        <v>100</v>
      </c>
      <c r="C53" s="50"/>
      <c r="D53" s="50"/>
      <c r="E53" s="50"/>
      <c r="F53" s="50"/>
      <c r="G53" s="50"/>
      <c r="H53" s="50"/>
      <c r="I53" s="50"/>
      <c r="J53" s="50"/>
    </row>
    <row r="54" spans="1:10" x14ac:dyDescent="0.25">
      <c r="B54" s="50"/>
      <c r="C54" s="50"/>
      <c r="D54" s="50"/>
      <c r="E54" s="50"/>
      <c r="F54" s="50"/>
      <c r="G54" s="50"/>
      <c r="H54" s="50"/>
      <c r="I54" s="50"/>
      <c r="J54" s="52"/>
    </row>
    <row r="55" spans="1:10" x14ac:dyDescent="0.25">
      <c r="A55" s="2" t="s">
        <v>25</v>
      </c>
      <c r="B55" s="50"/>
      <c r="C55" s="50"/>
      <c r="D55" s="50"/>
      <c r="E55" s="50"/>
      <c r="F55" s="50"/>
      <c r="G55" s="50"/>
      <c r="H55" s="50"/>
      <c r="I55" s="50"/>
      <c r="J55" s="52"/>
    </row>
    <row r="56" spans="1:10" x14ac:dyDescent="0.25">
      <c r="A56" s="2" t="s">
        <v>26</v>
      </c>
      <c r="B56" s="50">
        <f t="shared" ref="B56" si="29">((B12/B10)-1)*100</f>
        <v>-5.7992202729044813</v>
      </c>
      <c r="C56" s="50">
        <f t="shared" ref="C56:H56" si="30">((C12/C10)-1)*100</f>
        <v>-23.366336633663366</v>
      </c>
      <c r="D56" s="50">
        <f t="shared" si="30"/>
        <v>-22.962962962962962</v>
      </c>
      <c r="E56" s="50">
        <f t="shared" si="30"/>
        <v>-23.829787234042556</v>
      </c>
      <c r="F56" s="50">
        <f t="shared" si="30"/>
        <v>-21.0172744721689</v>
      </c>
      <c r="G56" s="50">
        <f t="shared" si="30"/>
        <v>-100</v>
      </c>
      <c r="H56" s="50">
        <f t="shared" si="30"/>
        <v>-15.154639175257733</v>
      </c>
      <c r="I56" s="50" t="s">
        <v>161</v>
      </c>
      <c r="J56" s="50" t="s">
        <v>161</v>
      </c>
    </row>
    <row r="57" spans="1:10" x14ac:dyDescent="0.25">
      <c r="A57" s="2" t="s">
        <v>27</v>
      </c>
      <c r="B57" s="50">
        <f t="shared" ref="B57" si="31">((B33/B32)-1)*100</f>
        <v>-12.921812318986504</v>
      </c>
      <c r="C57" s="50">
        <f t="shared" ref="C57:H57" si="32">((C33/C32)-1)*100</f>
        <v>-14.1483271168253</v>
      </c>
      <c r="D57" s="50">
        <f t="shared" si="32"/>
        <v>-16.280946408221929</v>
      </c>
      <c r="E57" s="50">
        <f t="shared" si="32"/>
        <v>-11.265772744827895</v>
      </c>
      <c r="F57" s="50">
        <f t="shared" si="32"/>
        <v>3.4380496736468924</v>
      </c>
      <c r="G57" s="50">
        <f t="shared" si="32"/>
        <v>136.02574652495832</v>
      </c>
      <c r="H57" s="50">
        <f t="shared" si="32"/>
        <v>-3.4906524902003522</v>
      </c>
      <c r="I57" s="50" t="s">
        <v>161</v>
      </c>
      <c r="J57" s="50" t="s">
        <v>161</v>
      </c>
    </row>
    <row r="58" spans="1:10" x14ac:dyDescent="0.25">
      <c r="A58" s="2" t="s">
        <v>28</v>
      </c>
      <c r="B58" s="50">
        <f t="shared" ref="B58" si="33">((B35/B34)-1)*100</f>
        <v>-7.5610754674393714</v>
      </c>
      <c r="C58" s="50">
        <f t="shared" ref="C58:H58" si="34">((C35/C34)-1)*100</f>
        <v>12.028668749362348</v>
      </c>
      <c r="D58" s="50">
        <f t="shared" si="34"/>
        <v>8.6737714893273079</v>
      </c>
      <c r="E58" s="50">
        <f t="shared" si="34"/>
        <v>16.494655893661701</v>
      </c>
      <c r="F58" s="50">
        <f t="shared" si="34"/>
        <v>30.962876986561415</v>
      </c>
      <c r="G58" s="50" t="s">
        <v>161</v>
      </c>
      <c r="H58" s="50">
        <f t="shared" si="34"/>
        <v>13.747347611793014</v>
      </c>
      <c r="I58" s="50" t="s">
        <v>161</v>
      </c>
      <c r="J58" s="50" t="s">
        <v>161</v>
      </c>
    </row>
    <row r="59" spans="1:10" x14ac:dyDescent="0.25">
      <c r="B59" s="50"/>
      <c r="C59" s="50"/>
      <c r="D59" s="50"/>
      <c r="E59" s="50"/>
      <c r="F59" s="50"/>
      <c r="G59" s="50"/>
      <c r="H59" s="50"/>
      <c r="I59" s="50"/>
      <c r="J59" s="52"/>
    </row>
    <row r="60" spans="1:10" x14ac:dyDescent="0.25">
      <c r="A60" s="2" t="s">
        <v>29</v>
      </c>
      <c r="B60" s="50"/>
      <c r="C60" s="50"/>
      <c r="D60" s="50"/>
      <c r="E60" s="50"/>
      <c r="F60" s="50"/>
      <c r="G60" s="50"/>
      <c r="H60" s="50"/>
      <c r="I60" s="50"/>
      <c r="J60" s="52"/>
    </row>
    <row r="61" spans="1:10" x14ac:dyDescent="0.25">
      <c r="A61" s="2" t="s">
        <v>30</v>
      </c>
      <c r="B61" s="50">
        <f>B17/B11</f>
        <v>965056.48055178649</v>
      </c>
      <c r="C61" s="50">
        <f t="shared" ref="C61:J61" si="35">C17/C11</f>
        <v>3749980.5729366601</v>
      </c>
      <c r="D61" s="50">
        <f t="shared" si="35"/>
        <v>3749969.2355623101</v>
      </c>
      <c r="E61" s="50">
        <f t="shared" si="35"/>
        <v>3750000</v>
      </c>
      <c r="F61" s="50">
        <f t="shared" si="35"/>
        <v>62745.098039215685</v>
      </c>
      <c r="G61" s="50" t="s">
        <v>161</v>
      </c>
      <c r="H61" s="50">
        <f t="shared" si="35"/>
        <v>62745.098039215685</v>
      </c>
      <c r="I61" s="50">
        <f t="shared" si="35"/>
        <v>128205.1282051282</v>
      </c>
      <c r="J61" s="50">
        <f t="shared" si="35"/>
        <v>2000000</v>
      </c>
    </row>
    <row r="62" spans="1:10" x14ac:dyDescent="0.25">
      <c r="A62" s="2" t="s">
        <v>31</v>
      </c>
      <c r="B62" s="50">
        <f>B18/B12</f>
        <v>1400074.704604242</v>
      </c>
      <c r="C62" s="50">
        <f t="shared" ref="C62:I62" si="36">C18/C12</f>
        <v>3352539.2105943151</v>
      </c>
      <c r="D62" s="50">
        <f t="shared" si="36"/>
        <v>3496138.0721153845</v>
      </c>
      <c r="E62" s="50">
        <f t="shared" si="36"/>
        <v>3185675.7290502791</v>
      </c>
      <c r="F62" s="50">
        <f t="shared" si="36"/>
        <v>107396.16889428919</v>
      </c>
      <c r="G62" s="50" t="s">
        <v>161</v>
      </c>
      <c r="H62" s="50">
        <f t="shared" si="36"/>
        <v>95226.059538274611</v>
      </c>
      <c r="I62" s="50">
        <f t="shared" si="36"/>
        <v>68726.21428571429</v>
      </c>
      <c r="J62" s="50" t="s">
        <v>161</v>
      </c>
    </row>
    <row r="63" spans="1:10" x14ac:dyDescent="0.25">
      <c r="A63" s="2" t="s">
        <v>32</v>
      </c>
      <c r="B63" s="50">
        <f>(B62/B61)*B46</f>
        <v>77.711286889548759</v>
      </c>
      <c r="C63" s="50">
        <f>(C62/C61)*C46</f>
        <v>62.888542322170906</v>
      </c>
      <c r="D63" s="50">
        <f t="shared" ref="D63:F63" si="37">(D62/D61)*D46</f>
        <v>56.947592500578104</v>
      </c>
      <c r="E63" s="50">
        <f t="shared" si="37"/>
        <v>73.240216229502664</v>
      </c>
      <c r="F63" s="50">
        <f t="shared" si="37"/>
        <v>74.897704298013025</v>
      </c>
      <c r="G63" s="50" t="s">
        <v>161</v>
      </c>
      <c r="H63" s="50">
        <f t="shared" ref="H63" si="38">(H62/H61)*H46</f>
        <v>61.660021071547348</v>
      </c>
      <c r="I63" s="50">
        <f t="shared" ref="I63" si="39">(I62/I61)*I46</f>
        <v>17.735406531372178</v>
      </c>
      <c r="J63" s="50" t="s">
        <v>161</v>
      </c>
    </row>
    <row r="64" spans="1:10" x14ac:dyDescent="0.25">
      <c r="B64" s="50"/>
      <c r="C64" s="50"/>
      <c r="D64" s="50"/>
      <c r="E64" s="50"/>
      <c r="F64" s="50"/>
      <c r="G64" s="50"/>
      <c r="H64" s="50"/>
      <c r="I64" s="50"/>
      <c r="J64" s="52"/>
    </row>
    <row r="65" spans="1:10" x14ac:dyDescent="0.25">
      <c r="A65" s="2" t="s">
        <v>33</v>
      </c>
      <c r="B65" s="51" t="s">
        <v>1</v>
      </c>
      <c r="C65" s="51"/>
      <c r="D65" s="51" t="s">
        <v>69</v>
      </c>
      <c r="E65" s="51" t="s">
        <v>71</v>
      </c>
      <c r="F65" s="51"/>
      <c r="G65" s="51"/>
      <c r="H65" s="50"/>
      <c r="I65" s="50"/>
      <c r="J65" s="52"/>
    </row>
    <row r="66" spans="1:10" x14ac:dyDescent="0.25">
      <c r="A66" s="2" t="s">
        <v>34</v>
      </c>
      <c r="B66" s="50">
        <f>B24/B23*100</f>
        <v>91.058725452555208</v>
      </c>
      <c r="C66" s="50"/>
      <c r="D66" s="50">
        <f>D24/D23*100</f>
        <v>96.694316089580795</v>
      </c>
      <c r="E66" s="50">
        <f>E24/E23*100</f>
        <v>83.333333332777784</v>
      </c>
      <c r="F66" s="50"/>
      <c r="G66" s="50"/>
      <c r="H66" s="50"/>
      <c r="I66" s="50"/>
      <c r="J66" s="52"/>
    </row>
    <row r="67" spans="1:10" x14ac:dyDescent="0.25">
      <c r="A67" s="2" t="s">
        <v>35</v>
      </c>
      <c r="B67" s="50">
        <f>B18/B24*100</f>
        <v>69.64501340816615</v>
      </c>
      <c r="C67" s="50"/>
      <c r="D67" s="50">
        <f>(D18+G18)/D24*100</f>
        <v>61.377327549619309</v>
      </c>
      <c r="E67" s="50">
        <f>(E18+H18+I18)/E24*100</f>
        <v>82.795664400551971</v>
      </c>
      <c r="F67" s="50"/>
      <c r="G67" s="50"/>
      <c r="H67" s="50"/>
      <c r="I67" s="50"/>
      <c r="J67" s="52"/>
    </row>
    <row r="68" spans="1:10" x14ac:dyDescent="0.25">
      <c r="B68" s="1"/>
      <c r="C68" s="1"/>
      <c r="D68" s="1"/>
      <c r="E68" s="1"/>
      <c r="F68" s="1"/>
      <c r="G68" s="1"/>
      <c r="H68" s="1"/>
      <c r="I68" s="44"/>
      <c r="J68" s="45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3"/>
    </row>
    <row r="70" spans="1:10" x14ac:dyDescent="0.25">
      <c r="A70" s="43" t="s">
        <v>72</v>
      </c>
      <c r="B70" s="43"/>
      <c r="C70" s="43"/>
      <c r="D70" s="43"/>
      <c r="E70" s="43"/>
      <c r="F70" s="43"/>
      <c r="G70" s="43"/>
      <c r="H70" s="43"/>
      <c r="I70" s="43"/>
    </row>
    <row r="71" spans="1:10" x14ac:dyDescent="0.25">
      <c r="A71" s="2" t="s">
        <v>89</v>
      </c>
    </row>
    <row r="72" spans="1:10" x14ac:dyDescent="0.25">
      <c r="A72" s="2" t="s">
        <v>73</v>
      </c>
    </row>
    <row r="73" spans="1:10" x14ac:dyDescent="0.25">
      <c r="A73" s="2" t="s">
        <v>74</v>
      </c>
    </row>
    <row r="74" spans="1:10" x14ac:dyDescent="0.25">
      <c r="A74" s="2" t="s">
        <v>90</v>
      </c>
    </row>
    <row r="75" spans="1:10" x14ac:dyDescent="0.25">
      <c r="A75" s="41" t="s">
        <v>91</v>
      </c>
    </row>
    <row r="82" spans="1:1" x14ac:dyDescent="0.25">
      <c r="A82" s="41"/>
    </row>
  </sheetData>
  <mergeCells count="8">
    <mergeCell ref="A2:J2"/>
    <mergeCell ref="I5:I6"/>
    <mergeCell ref="C5:E5"/>
    <mergeCell ref="A4:A6"/>
    <mergeCell ref="B4:B6"/>
    <mergeCell ref="F5:H5"/>
    <mergeCell ref="C4:J4"/>
    <mergeCell ref="J5:J6"/>
  </mergeCells>
  <pageMargins left="0.7" right="0.7" top="0.75" bottom="0.75" header="0.3" footer="0.3"/>
  <pageSetup orientation="portrait" r:id="rId1"/>
  <ignoredErrors>
    <ignoredError sqref="F2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73" t="s">
        <v>36</v>
      </c>
      <c r="C2" s="75" t="s">
        <v>2</v>
      </c>
      <c r="D2" s="75"/>
      <c r="E2" s="75"/>
      <c r="F2" s="75"/>
      <c r="G2" s="27"/>
    </row>
    <row r="3" spans="1:13" ht="15.75" thickBot="1" x14ac:dyDescent="0.3">
      <c r="B3" s="74"/>
      <c r="C3" s="3" t="s">
        <v>37</v>
      </c>
      <c r="D3" s="3"/>
      <c r="E3" s="3"/>
      <c r="F3" s="3" t="s">
        <v>38</v>
      </c>
      <c r="G3" s="28"/>
    </row>
    <row r="4" spans="1:13" ht="15.75" thickTop="1" x14ac:dyDescent="0.25">
      <c r="A4" s="6" t="s">
        <v>40</v>
      </c>
      <c r="C4" t="s">
        <v>1</v>
      </c>
      <c r="D4" t="s">
        <v>69</v>
      </c>
      <c r="E4" t="s">
        <v>70</v>
      </c>
    </row>
    <row r="6" spans="1:13" x14ac:dyDescent="0.25">
      <c r="A6" t="s">
        <v>41</v>
      </c>
      <c r="B6" s="5">
        <f>C6+F6</f>
        <v>203500000</v>
      </c>
      <c r="C6" s="5">
        <v>163500000</v>
      </c>
      <c r="D6" s="5">
        <f>D14*C7</f>
        <v>58860000</v>
      </c>
      <c r="E6" s="5">
        <f>E14*C7</f>
        <v>156960000</v>
      </c>
      <c r="F6" s="5">
        <v>40000000</v>
      </c>
      <c r="G6" s="5"/>
      <c r="I6" s="5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42</v>
      </c>
      <c r="B8" s="5">
        <f>C8+F8</f>
        <v>427500000</v>
      </c>
      <c r="C8" s="8">
        <v>367500000</v>
      </c>
      <c r="D8" s="8">
        <f>D14*C9</f>
        <v>132300000</v>
      </c>
      <c r="E8" s="8">
        <f>E14*C9</f>
        <v>352800000</v>
      </c>
      <c r="F8" s="5">
        <v>60000000</v>
      </c>
      <c r="G8" s="5"/>
      <c r="I8" s="5">
        <v>34</v>
      </c>
      <c r="K8" s="5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39</v>
      </c>
      <c r="B10" s="5">
        <f>C10+F10</f>
        <v>492000000</v>
      </c>
      <c r="C10" s="8">
        <v>432000000</v>
      </c>
      <c r="D10" s="8">
        <f>D14*C11</f>
        <v>155520000</v>
      </c>
      <c r="E10" s="8">
        <f>E14*C11</f>
        <v>414720000</v>
      </c>
      <c r="F10" s="5">
        <v>60000000</v>
      </c>
      <c r="G10" s="5"/>
      <c r="H10" s="5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5"/>
      <c r="I11" s="76" t="s">
        <v>56</v>
      </c>
      <c r="J11" s="76"/>
      <c r="K11" s="76"/>
      <c r="L11" s="76"/>
    </row>
    <row r="12" spans="1:13" x14ac:dyDescent="0.25">
      <c r="A12" t="s">
        <v>43</v>
      </c>
      <c r="B12" s="5">
        <f>C12+F12</f>
        <v>326500000</v>
      </c>
      <c r="C12" s="5">
        <v>286500000</v>
      </c>
      <c r="D12" s="5">
        <f>D14*C13</f>
        <v>103140000</v>
      </c>
      <c r="E12" s="5">
        <f>E14*C13</f>
        <v>275040000</v>
      </c>
      <c r="F12" s="5">
        <v>40000000</v>
      </c>
      <c r="G12" s="5"/>
      <c r="H12" s="5"/>
      <c r="I12" s="76"/>
      <c r="J12" s="76"/>
      <c r="K12" s="76"/>
      <c r="L12" s="76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5"/>
      <c r="I13" s="12"/>
      <c r="K13" s="5"/>
    </row>
    <row r="14" spans="1:13" x14ac:dyDescent="0.25">
      <c r="A14" t="s">
        <v>44</v>
      </c>
      <c r="B14" s="5">
        <f>C14+F14</f>
        <v>1450000000</v>
      </c>
      <c r="C14" s="8">
        <v>1250000000</v>
      </c>
      <c r="D14" s="8">
        <v>450000000</v>
      </c>
      <c r="E14" s="8">
        <v>1200000000</v>
      </c>
      <c r="F14" s="5">
        <v>200000000</v>
      </c>
      <c r="G14" s="5"/>
      <c r="I14" s="12"/>
      <c r="K14" s="5"/>
    </row>
    <row r="15" spans="1:13" x14ac:dyDescent="0.25">
      <c r="I15" s="12"/>
      <c r="K15" s="5"/>
    </row>
    <row r="16" spans="1:13" x14ac:dyDescent="0.25">
      <c r="I16" s="12"/>
      <c r="K16" s="5"/>
    </row>
    <row r="17" spans="1:14" x14ac:dyDescent="0.25">
      <c r="A17" s="7" t="s">
        <v>45</v>
      </c>
      <c r="B17" s="5">
        <f>SUM(C17:F17)</f>
        <v>1450000000</v>
      </c>
      <c r="C17" s="8">
        <v>1250000000</v>
      </c>
      <c r="D17" s="8"/>
      <c r="E17" s="8"/>
      <c r="F17" s="5">
        <v>200000000</v>
      </c>
      <c r="G17" s="5"/>
      <c r="I17" s="13" t="s">
        <v>57</v>
      </c>
      <c r="K17" s="5"/>
    </row>
    <row r="18" spans="1:14" x14ac:dyDescent="0.25">
      <c r="A18" s="9" t="s">
        <v>46</v>
      </c>
      <c r="B18" s="5">
        <f>SUM(C18:F18)</f>
        <v>0</v>
      </c>
      <c r="C18" s="10">
        <f>C17-C14</f>
        <v>0</v>
      </c>
      <c r="D18" s="10"/>
      <c r="E18" s="10"/>
      <c r="F18" s="10">
        <f>F17-F14</f>
        <v>0</v>
      </c>
      <c r="G18" s="10"/>
      <c r="I18" s="20" t="s">
        <v>58</v>
      </c>
      <c r="J18" s="18"/>
      <c r="K18" s="19" t="s">
        <v>59</v>
      </c>
      <c r="L18" s="18"/>
      <c r="M18" s="19" t="s">
        <v>4</v>
      </c>
      <c r="N18" s="18"/>
    </row>
    <row r="19" spans="1:14" x14ac:dyDescent="0.25">
      <c r="A19" s="9" t="s">
        <v>47</v>
      </c>
      <c r="B19" s="5">
        <f>SUM(C19:F19)</f>
        <v>0</v>
      </c>
      <c r="C19" s="10">
        <f>C18*L19/100</f>
        <v>0</v>
      </c>
      <c r="D19" s="10"/>
      <c r="E19" s="10"/>
      <c r="F19" s="10">
        <f>F18*N19/100</f>
        <v>0</v>
      </c>
      <c r="G19" s="10"/>
      <c r="I19" s="21">
        <v>29</v>
      </c>
      <c r="J19" s="16">
        <f>I19*J20/I20</f>
        <v>33.720930232558139</v>
      </c>
      <c r="K19" s="17">
        <v>29</v>
      </c>
      <c r="L19" s="16">
        <f>K19*L20/K20</f>
        <v>33.333333333333336</v>
      </c>
      <c r="M19" s="17">
        <v>30</v>
      </c>
      <c r="N19" s="16">
        <f>M19*N20/M20</f>
        <v>37.5</v>
      </c>
    </row>
    <row r="20" spans="1:14" x14ac:dyDescent="0.25">
      <c r="A20" t="s">
        <v>48</v>
      </c>
      <c r="B20" s="5">
        <f>SUM(C20:F20)</f>
        <v>427500000</v>
      </c>
      <c r="C20" s="10">
        <f>C8+C19</f>
        <v>367500000</v>
      </c>
      <c r="D20" s="10"/>
      <c r="E20" s="10"/>
      <c r="F20" s="10">
        <f>F8+F19</f>
        <v>60000000</v>
      </c>
      <c r="G20" s="10"/>
      <c r="I20" s="22">
        <f>100-I6</f>
        <v>86</v>
      </c>
      <c r="J20" s="23">
        <v>100</v>
      </c>
      <c r="K20" s="24">
        <f>100-K6</f>
        <v>87</v>
      </c>
      <c r="L20" s="23">
        <v>100</v>
      </c>
      <c r="M20" s="24">
        <f>100-M6</f>
        <v>80</v>
      </c>
      <c r="N20" s="25">
        <v>100</v>
      </c>
    </row>
    <row r="21" spans="1:14" x14ac:dyDescent="0.25">
      <c r="A21" t="s">
        <v>49</v>
      </c>
      <c r="B21" s="10">
        <f>B20+B6</f>
        <v>631000000</v>
      </c>
      <c r="C21" s="10">
        <f>C20+C6</f>
        <v>531000000</v>
      </c>
      <c r="D21" s="10"/>
      <c r="E21" s="10"/>
      <c r="F21" s="10">
        <f>F20+F6</f>
        <v>100000000</v>
      </c>
      <c r="G21" s="10"/>
      <c r="I21" s="14"/>
      <c r="J21" s="15"/>
      <c r="K21" s="15"/>
      <c r="L21" s="15"/>
      <c r="M21" s="15"/>
      <c r="N21" s="15"/>
    </row>
    <row r="22" spans="1:14" x14ac:dyDescent="0.25">
      <c r="B22" s="10"/>
      <c r="C22" s="10"/>
      <c r="D22" s="10"/>
      <c r="E22" s="10"/>
      <c r="F22" s="10"/>
      <c r="G22" s="10"/>
    </row>
    <row r="23" spans="1:14" x14ac:dyDescent="0.25">
      <c r="A23" s="7" t="s">
        <v>50</v>
      </c>
      <c r="B23" s="5">
        <f>SUM(C23:F23)</f>
        <v>2600000000</v>
      </c>
      <c r="C23" s="5">
        <v>2300000000</v>
      </c>
      <c r="D23" s="5"/>
      <c r="E23" s="5"/>
      <c r="F23" s="11">
        <v>300000000</v>
      </c>
      <c r="G23" s="11"/>
      <c r="H23" s="5"/>
      <c r="I23" s="13" t="s">
        <v>39</v>
      </c>
      <c r="K23" s="5"/>
    </row>
    <row r="24" spans="1:14" x14ac:dyDescent="0.25">
      <c r="A24" s="9" t="s">
        <v>46</v>
      </c>
      <c r="B24" s="5">
        <f>SUM(C24:F24)</f>
        <v>1150000000</v>
      </c>
      <c r="C24" s="10">
        <f>C23-C17</f>
        <v>1050000000</v>
      </c>
      <c r="D24" s="10"/>
      <c r="E24" s="10"/>
      <c r="F24" s="10">
        <f>F23-F17</f>
        <v>100000000</v>
      </c>
      <c r="G24" s="10"/>
      <c r="H24" s="10"/>
      <c r="I24" s="20" t="s">
        <v>58</v>
      </c>
      <c r="J24" s="18"/>
      <c r="K24" s="19" t="s">
        <v>59</v>
      </c>
      <c r="L24" s="18"/>
      <c r="M24" s="19" t="s">
        <v>4</v>
      </c>
      <c r="N24" s="18"/>
    </row>
    <row r="25" spans="1:14" x14ac:dyDescent="0.25">
      <c r="A25" s="9" t="s">
        <v>60</v>
      </c>
      <c r="B25" s="5">
        <f>SUM(C25:F25)</f>
        <v>693620689.65517247</v>
      </c>
      <c r="C25" s="10">
        <f>C24*L25/100</f>
        <v>633620689.65517247</v>
      </c>
      <c r="D25" s="10"/>
      <c r="E25" s="10"/>
      <c r="F25" s="10">
        <f>F24*N25/100</f>
        <v>60000000</v>
      </c>
      <c r="G25" s="10"/>
      <c r="H25" s="29" t="s">
        <v>61</v>
      </c>
      <c r="I25" s="26">
        <v>34</v>
      </c>
      <c r="J25" s="16">
        <f>I25*J26/I26</f>
        <v>59.649122807017541</v>
      </c>
      <c r="K25" s="17">
        <v>35</v>
      </c>
      <c r="L25" s="16">
        <f>K25*L26/K26</f>
        <v>60.344827586206897</v>
      </c>
      <c r="M25" s="17">
        <v>30</v>
      </c>
      <c r="N25" s="16">
        <f>M25*N26/M26</f>
        <v>60</v>
      </c>
    </row>
    <row r="26" spans="1:14" x14ac:dyDescent="0.25">
      <c r="A26" s="6" t="s">
        <v>51</v>
      </c>
      <c r="B26" s="32">
        <f>SUM(C26:F26)</f>
        <v>1185620689.6551723</v>
      </c>
      <c r="C26" s="31">
        <f>C10+C25</f>
        <v>1065620689.6551725</v>
      </c>
      <c r="D26" s="31"/>
      <c r="E26" s="31"/>
      <c r="F26" s="30">
        <f>F10+F25</f>
        <v>120000000</v>
      </c>
      <c r="G26" s="10"/>
      <c r="H26" s="10"/>
      <c r="I26" s="22">
        <f>100-I6-I7</f>
        <v>57</v>
      </c>
      <c r="J26" s="25">
        <v>100</v>
      </c>
      <c r="K26" s="24">
        <f>100-K6-K7</f>
        <v>58</v>
      </c>
      <c r="L26" s="25">
        <v>100</v>
      </c>
      <c r="M26" s="24">
        <f>100-M6-M7</f>
        <v>50</v>
      </c>
      <c r="N26" s="25">
        <v>100</v>
      </c>
    </row>
    <row r="27" spans="1:14" x14ac:dyDescent="0.25">
      <c r="A27" t="s">
        <v>52</v>
      </c>
      <c r="B27" s="10">
        <f>B26+B21</f>
        <v>1816620689.6551723</v>
      </c>
      <c r="C27" s="10">
        <f>C26+C21</f>
        <v>1596620689.6551723</v>
      </c>
      <c r="D27" s="10"/>
      <c r="E27" s="10"/>
      <c r="F27" s="10">
        <f>F26+F21</f>
        <v>220000000</v>
      </c>
      <c r="G27" s="10"/>
      <c r="H27" s="29" t="s">
        <v>62</v>
      </c>
      <c r="I27" s="26">
        <v>23</v>
      </c>
      <c r="J27" s="16">
        <f>I27*J28/I28</f>
        <v>40.350877192982459</v>
      </c>
      <c r="K27" s="17">
        <v>23</v>
      </c>
      <c r="L27" s="16">
        <f>K27*L28/K28</f>
        <v>39.655172413793103</v>
      </c>
      <c r="M27" s="17">
        <v>20</v>
      </c>
      <c r="N27" s="16">
        <f>M27*N28/M28</f>
        <v>40</v>
      </c>
    </row>
    <row r="28" spans="1:14" x14ac:dyDescent="0.25">
      <c r="H28" s="10"/>
      <c r="I28" s="22">
        <f>100-I6-I7</f>
        <v>57</v>
      </c>
      <c r="J28" s="25">
        <v>100</v>
      </c>
      <c r="K28" s="24">
        <f>100-K6-K7</f>
        <v>58</v>
      </c>
      <c r="L28" s="25">
        <v>100</v>
      </c>
      <c r="M28" s="24">
        <f>100-M6-M7</f>
        <v>50</v>
      </c>
      <c r="N28" s="25">
        <v>100</v>
      </c>
    </row>
    <row r="29" spans="1:14" x14ac:dyDescent="0.25">
      <c r="A29" s="7" t="s">
        <v>53</v>
      </c>
      <c r="B29" s="5">
        <f>SUM(C29:F29)</f>
        <v>2600000000</v>
      </c>
      <c r="C29" s="5">
        <v>2300000000</v>
      </c>
      <c r="D29" s="5"/>
      <c r="E29" s="5"/>
      <c r="F29" s="8">
        <v>300000000</v>
      </c>
      <c r="G29" s="10"/>
    </row>
    <row r="30" spans="1:14" x14ac:dyDescent="0.25">
      <c r="A30" s="9" t="s">
        <v>46</v>
      </c>
      <c r="B30" s="5">
        <f>SUM(C30:F30)</f>
        <v>1150000000</v>
      </c>
      <c r="C30" s="10">
        <f>C29-C17</f>
        <v>1050000000</v>
      </c>
      <c r="D30" s="10"/>
      <c r="E30" s="10"/>
      <c r="F30" s="10">
        <f>F29-F17</f>
        <v>100000000</v>
      </c>
      <c r="G30" s="10"/>
      <c r="H30" s="77" t="s">
        <v>63</v>
      </c>
      <c r="I30" s="77"/>
      <c r="J30" s="77"/>
      <c r="K30" s="77"/>
      <c r="L30" s="77"/>
      <c r="M30" s="77"/>
      <c r="N30" s="77"/>
    </row>
    <row r="31" spans="1:14" x14ac:dyDescent="0.25">
      <c r="A31" t="s">
        <v>66</v>
      </c>
      <c r="B31" s="5">
        <f>SUM(C31:F31)</f>
        <v>456379310.34482759</v>
      </c>
      <c r="C31" s="10">
        <f>C30*L27/100</f>
        <v>416379310.34482759</v>
      </c>
      <c r="D31" s="10"/>
      <c r="E31" s="10"/>
      <c r="F31" s="10">
        <f>F30*N27/100</f>
        <v>40000000</v>
      </c>
      <c r="G31" s="10"/>
      <c r="H31" s="77"/>
      <c r="I31" s="77"/>
      <c r="J31" s="77"/>
      <c r="K31" s="77"/>
      <c r="L31" s="77"/>
      <c r="M31" s="77"/>
      <c r="N31" s="77"/>
    </row>
    <row r="32" spans="1:14" x14ac:dyDescent="0.25">
      <c r="A32" s="6" t="s">
        <v>54</v>
      </c>
      <c r="B32" s="32">
        <f>SUM(C32:F32)</f>
        <v>782879310.34482765</v>
      </c>
      <c r="C32" s="30">
        <f>C12+C31</f>
        <v>702879310.34482765</v>
      </c>
      <c r="D32" s="30"/>
      <c r="E32" s="30"/>
      <c r="F32" s="30">
        <f>F12+F31</f>
        <v>80000000</v>
      </c>
      <c r="G32" s="10"/>
      <c r="H32" s="77"/>
      <c r="I32" s="77"/>
      <c r="J32" s="77"/>
      <c r="K32" s="77"/>
      <c r="L32" s="77"/>
      <c r="M32" s="77"/>
      <c r="N32" s="77"/>
    </row>
    <row r="33" spans="1:14" x14ac:dyDescent="0.25">
      <c r="A33" t="s">
        <v>55</v>
      </c>
      <c r="B33" s="10">
        <f>B32+B27</f>
        <v>2599500000</v>
      </c>
      <c r="C33" s="10">
        <f>C32+C27</f>
        <v>2299500000</v>
      </c>
      <c r="D33" s="10"/>
      <c r="E33" s="10"/>
      <c r="F33" s="10">
        <f>F32+F27</f>
        <v>300000000</v>
      </c>
      <c r="G33" s="10"/>
      <c r="H33" s="10"/>
    </row>
    <row r="34" spans="1:14" x14ac:dyDescent="0.25">
      <c r="H34" s="78" t="s">
        <v>64</v>
      </c>
      <c r="I34" s="78"/>
      <c r="J34" s="78"/>
      <c r="K34" s="78"/>
      <c r="L34" s="78"/>
      <c r="M34" s="78"/>
      <c r="N34" s="78"/>
    </row>
    <row r="35" spans="1:14" x14ac:dyDescent="0.25">
      <c r="A35" t="s">
        <v>65</v>
      </c>
      <c r="H35" s="78"/>
      <c r="I35" s="78"/>
      <c r="J35" s="78"/>
      <c r="K35" s="78"/>
      <c r="L35" s="78"/>
      <c r="M35" s="78"/>
      <c r="N35" s="78"/>
    </row>
    <row r="36" spans="1:14" x14ac:dyDescent="0.25">
      <c r="H36" s="78"/>
      <c r="I36" s="78"/>
      <c r="J36" s="78"/>
      <c r="K36" s="78"/>
      <c r="L36" s="78"/>
      <c r="M36" s="78"/>
      <c r="N36" s="78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73" t="s">
        <v>36</v>
      </c>
      <c r="C2" s="75" t="s">
        <v>2</v>
      </c>
      <c r="D2" s="75"/>
      <c r="E2" s="27"/>
    </row>
    <row r="3" spans="1:11" ht="15.75" thickBot="1" x14ac:dyDescent="0.3">
      <c r="B3" s="74"/>
      <c r="C3" s="3" t="s">
        <v>37</v>
      </c>
      <c r="D3" s="3" t="s">
        <v>38</v>
      </c>
      <c r="E3" s="28"/>
    </row>
    <row r="4" spans="1:11" ht="15.75" thickTop="1" x14ac:dyDescent="0.25">
      <c r="A4" s="6" t="s">
        <v>67</v>
      </c>
    </row>
    <row r="6" spans="1:11" x14ac:dyDescent="0.25">
      <c r="A6" t="s">
        <v>41</v>
      </c>
      <c r="B6" s="5">
        <f>SUM(C6:D6)</f>
        <v>459</v>
      </c>
      <c r="C6" s="5">
        <v>109</v>
      </c>
      <c r="D6" s="5">
        <v>350</v>
      </c>
      <c r="E6" s="5"/>
      <c r="G6" s="5">
        <v>18</v>
      </c>
      <c r="I6">
        <v>13</v>
      </c>
      <c r="K6">
        <v>20</v>
      </c>
    </row>
    <row r="7" spans="1:11" x14ac:dyDescent="0.25">
      <c r="B7" s="33">
        <f>B6/B14</f>
        <v>0.17770034843205576</v>
      </c>
      <c r="C7" s="33">
        <f>C6/C14</f>
        <v>0.13085234093637454</v>
      </c>
      <c r="D7" s="33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42</v>
      </c>
      <c r="B8" s="5">
        <f>SUM(C8:D8)</f>
        <v>770</v>
      </c>
      <c r="C8" s="5">
        <v>245</v>
      </c>
      <c r="D8" s="5">
        <v>525</v>
      </c>
      <c r="E8" s="5"/>
      <c r="G8" s="5">
        <v>31</v>
      </c>
      <c r="I8" s="5">
        <v>35</v>
      </c>
      <c r="K8">
        <v>30</v>
      </c>
    </row>
    <row r="9" spans="1:11" x14ac:dyDescent="0.25">
      <c r="B9" s="33">
        <f>B8/B14</f>
        <v>0.29810298102981031</v>
      </c>
      <c r="C9" s="33">
        <f>C8/C14</f>
        <v>0.29411764705882354</v>
      </c>
      <c r="D9" s="33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39</v>
      </c>
      <c r="B10" s="5">
        <f>SUM(C10:D10)</f>
        <v>813</v>
      </c>
      <c r="C10" s="5">
        <v>288</v>
      </c>
      <c r="D10" s="5">
        <v>525</v>
      </c>
      <c r="E10" s="5"/>
      <c r="F10" s="5"/>
    </row>
    <row r="11" spans="1:11" x14ac:dyDescent="0.25">
      <c r="B11" s="33">
        <f>B10/B14</f>
        <v>0.31475029036004648</v>
      </c>
      <c r="C11" s="33">
        <f>C10/C14</f>
        <v>0.34573829531812728</v>
      </c>
      <c r="D11" s="33">
        <f>D10/D14</f>
        <v>0.3</v>
      </c>
      <c r="E11" s="1"/>
      <c r="F11" s="5"/>
      <c r="G11" s="76" t="s">
        <v>68</v>
      </c>
      <c r="H11" s="76"/>
      <c r="I11" s="76"/>
      <c r="J11" s="76"/>
    </row>
    <row r="12" spans="1:11" x14ac:dyDescent="0.25">
      <c r="A12" t="s">
        <v>43</v>
      </c>
      <c r="B12" s="5">
        <f>SUM(C12:D12)</f>
        <v>541</v>
      </c>
      <c r="C12" s="5">
        <v>191</v>
      </c>
      <c r="D12" s="5">
        <v>350</v>
      </c>
      <c r="E12" s="5"/>
      <c r="F12" s="5"/>
      <c r="G12" s="76"/>
      <c r="H12" s="76"/>
      <c r="I12" s="76"/>
      <c r="J12" s="76"/>
    </row>
    <row r="13" spans="1:11" x14ac:dyDescent="0.25">
      <c r="B13" s="33">
        <f>B12/B14</f>
        <v>0.2094463801780875</v>
      </c>
      <c r="C13" s="33">
        <f>C12/C14</f>
        <v>0.22929171668667467</v>
      </c>
      <c r="D13" s="33">
        <f>D12/D14</f>
        <v>0.2</v>
      </c>
      <c r="E13" s="1"/>
      <c r="F13" s="5"/>
      <c r="G13" s="12"/>
      <c r="I13" s="5"/>
    </row>
    <row r="14" spans="1:11" x14ac:dyDescent="0.25">
      <c r="A14" t="s">
        <v>44</v>
      </c>
      <c r="B14" s="5">
        <f>SUM(C14:D14)</f>
        <v>2583</v>
      </c>
      <c r="C14" s="8">
        <v>833</v>
      </c>
      <c r="D14" s="5">
        <v>1750</v>
      </c>
      <c r="E14" s="5"/>
      <c r="G14" s="12"/>
      <c r="I14" s="5"/>
    </row>
    <row r="15" spans="1:11" x14ac:dyDescent="0.25">
      <c r="G15" s="12"/>
      <c r="I15" s="5"/>
    </row>
    <row r="16" spans="1:11" x14ac:dyDescent="0.25">
      <c r="G16" s="12"/>
      <c r="I16" s="5"/>
    </row>
    <row r="17" spans="1:12" x14ac:dyDescent="0.25">
      <c r="A17" s="7" t="s">
        <v>45</v>
      </c>
      <c r="B17" s="5">
        <f>SUM(C17:D17)</f>
        <v>2583</v>
      </c>
      <c r="C17" s="8">
        <v>833</v>
      </c>
      <c r="D17" s="5">
        <v>1750</v>
      </c>
      <c r="E17" s="5"/>
      <c r="G17" s="13" t="s">
        <v>57</v>
      </c>
      <c r="I17" s="5"/>
    </row>
    <row r="18" spans="1:12" x14ac:dyDescent="0.25">
      <c r="A18" s="9" t="s">
        <v>46</v>
      </c>
      <c r="B18" s="5">
        <f>SUM(C18:D18)</f>
        <v>0</v>
      </c>
      <c r="C18" s="10">
        <f>C17-C14</f>
        <v>0</v>
      </c>
      <c r="D18" s="10">
        <f>D17-D14</f>
        <v>0</v>
      </c>
      <c r="E18" s="10"/>
      <c r="G18" s="20" t="s">
        <v>58</v>
      </c>
      <c r="H18" s="18"/>
      <c r="I18" s="19" t="s">
        <v>59</v>
      </c>
      <c r="J18" s="18"/>
      <c r="K18" s="19" t="s">
        <v>4</v>
      </c>
      <c r="L18" s="18"/>
    </row>
    <row r="19" spans="1:12" x14ac:dyDescent="0.25">
      <c r="A19" s="9" t="s">
        <v>47</v>
      </c>
      <c r="B19" s="5">
        <f>SUM(C19:D19)</f>
        <v>0</v>
      </c>
      <c r="C19" s="10">
        <f>C18*J19/100</f>
        <v>0</v>
      </c>
      <c r="D19" s="10">
        <f>D18*L19/100</f>
        <v>0</v>
      </c>
      <c r="E19" s="10"/>
      <c r="G19" s="21">
        <v>29</v>
      </c>
      <c r="H19" s="16">
        <f>G19*H20/G20</f>
        <v>35.365853658536587</v>
      </c>
      <c r="I19" s="17">
        <v>29</v>
      </c>
      <c r="J19" s="16">
        <f>I19*J20/I20</f>
        <v>33.333333333333336</v>
      </c>
      <c r="K19" s="17">
        <v>30</v>
      </c>
      <c r="L19" s="16">
        <f>K19*L20/K20</f>
        <v>37.5</v>
      </c>
    </row>
    <row r="20" spans="1:12" x14ac:dyDescent="0.25">
      <c r="A20" t="s">
        <v>48</v>
      </c>
      <c r="B20" s="32">
        <f>SUM(C20:D20)</f>
        <v>770</v>
      </c>
      <c r="C20" s="30">
        <f>C8+C19</f>
        <v>245</v>
      </c>
      <c r="D20" s="30">
        <f>D8+D19</f>
        <v>525</v>
      </c>
      <c r="E20" s="10"/>
      <c r="G20" s="22">
        <f>100-G6</f>
        <v>82</v>
      </c>
      <c r="H20" s="23">
        <v>100</v>
      </c>
      <c r="I20" s="24">
        <f>100-I6</f>
        <v>87</v>
      </c>
      <c r="J20" s="23">
        <v>100</v>
      </c>
      <c r="K20" s="24">
        <f>100-K6</f>
        <v>80</v>
      </c>
      <c r="L20" s="25">
        <v>100</v>
      </c>
    </row>
    <row r="21" spans="1:12" x14ac:dyDescent="0.25">
      <c r="A21" t="s">
        <v>49</v>
      </c>
      <c r="B21" s="10">
        <f>B20+B6</f>
        <v>1229</v>
      </c>
      <c r="C21" s="10">
        <f>C20+C6</f>
        <v>354</v>
      </c>
      <c r="D21" s="10">
        <f>D20+D6</f>
        <v>875</v>
      </c>
      <c r="E21" s="10"/>
      <c r="G21" s="14"/>
      <c r="H21" s="15"/>
      <c r="I21" s="15"/>
      <c r="J21" s="15"/>
      <c r="K21" s="15"/>
      <c r="L21" s="15"/>
    </row>
    <row r="22" spans="1:12" x14ac:dyDescent="0.25">
      <c r="B22" s="10"/>
      <c r="C22" s="10"/>
      <c r="D22" s="10"/>
      <c r="E22" s="10"/>
    </row>
    <row r="23" spans="1:12" x14ac:dyDescent="0.25">
      <c r="A23" s="7" t="s">
        <v>50</v>
      </c>
      <c r="B23" s="5">
        <f>SUM(C23:D23)</f>
        <v>4033</v>
      </c>
      <c r="C23" s="5">
        <v>1533</v>
      </c>
      <c r="D23" s="5">
        <v>2500</v>
      </c>
      <c r="E23" s="11"/>
      <c r="F23" s="5"/>
      <c r="G23" s="13" t="s">
        <v>39</v>
      </c>
      <c r="I23" s="5"/>
    </row>
    <row r="24" spans="1:12" x14ac:dyDescent="0.25">
      <c r="A24" s="9" t="s">
        <v>46</v>
      </c>
      <c r="B24" s="5">
        <f>SUM(C24:D24)</f>
        <v>1450</v>
      </c>
      <c r="C24" s="10">
        <f>C23-C17</f>
        <v>700</v>
      </c>
      <c r="D24" s="10">
        <f>D23-D17</f>
        <v>750</v>
      </c>
      <c r="E24" s="10"/>
      <c r="F24" s="10"/>
      <c r="G24" s="20" t="s">
        <v>58</v>
      </c>
      <c r="H24" s="18"/>
      <c r="I24" s="19" t="s">
        <v>59</v>
      </c>
      <c r="J24" s="18"/>
      <c r="K24" s="19" t="s">
        <v>4</v>
      </c>
      <c r="L24" s="18"/>
    </row>
    <row r="25" spans="1:12" x14ac:dyDescent="0.25">
      <c r="A25" s="9" t="s">
        <v>60</v>
      </c>
      <c r="B25" s="5">
        <f>SUM(C25:D25)</f>
        <v>872.41379310344826</v>
      </c>
      <c r="C25" s="10">
        <f>C24*J25/100</f>
        <v>422.41379310344826</v>
      </c>
      <c r="D25" s="10">
        <f>D24*L25/100</f>
        <v>450</v>
      </c>
      <c r="E25" s="10"/>
      <c r="F25" s="29" t="s">
        <v>61</v>
      </c>
      <c r="G25" s="26">
        <v>34</v>
      </c>
      <c r="H25" s="16">
        <f>G25*H26/G26</f>
        <v>65.384615384615387</v>
      </c>
      <c r="I25" s="17">
        <v>35</v>
      </c>
      <c r="J25" s="16">
        <f>I25*J26/I26</f>
        <v>60.344827586206897</v>
      </c>
      <c r="K25" s="17">
        <v>30</v>
      </c>
      <c r="L25" s="16">
        <f>K25*L26/K26</f>
        <v>60</v>
      </c>
    </row>
    <row r="26" spans="1:12" x14ac:dyDescent="0.25">
      <c r="A26" s="6" t="s">
        <v>51</v>
      </c>
      <c r="B26" s="32">
        <f>SUM(C26:D26)</f>
        <v>1685.4137931034484</v>
      </c>
      <c r="C26" s="30">
        <f>C10+C25</f>
        <v>710.41379310344826</v>
      </c>
      <c r="D26" s="30">
        <f>D10+D25</f>
        <v>975</v>
      </c>
      <c r="E26" s="10"/>
      <c r="F26" s="10"/>
      <c r="G26" s="22">
        <f>100-G6-G7</f>
        <v>52</v>
      </c>
      <c r="H26" s="25">
        <v>100</v>
      </c>
      <c r="I26" s="24">
        <f>100-I6-I7</f>
        <v>58</v>
      </c>
      <c r="J26" s="25">
        <v>100</v>
      </c>
      <c r="K26" s="24">
        <f>100-K6-K7</f>
        <v>50</v>
      </c>
      <c r="L26" s="25">
        <v>100</v>
      </c>
    </row>
    <row r="27" spans="1:12" x14ac:dyDescent="0.25">
      <c r="A27" t="s">
        <v>52</v>
      </c>
      <c r="B27" s="10">
        <f>B26+B21</f>
        <v>2914.4137931034484</v>
      </c>
      <c r="C27" s="10">
        <f>C26+C21</f>
        <v>1064.4137931034484</v>
      </c>
      <c r="D27" s="10">
        <f>D26+D21</f>
        <v>1850</v>
      </c>
      <c r="E27" s="10"/>
      <c r="F27" s="29" t="s">
        <v>62</v>
      </c>
      <c r="G27" s="26">
        <v>23</v>
      </c>
      <c r="H27" s="16">
        <f>G27*H28/G28</f>
        <v>44.230769230769234</v>
      </c>
      <c r="I27" s="17">
        <v>23</v>
      </c>
      <c r="J27" s="16">
        <f>I27*J28/I28</f>
        <v>39.655172413793103</v>
      </c>
      <c r="K27" s="17">
        <v>20</v>
      </c>
      <c r="L27" s="16">
        <f>K27*L28/K28</f>
        <v>40</v>
      </c>
    </row>
    <row r="28" spans="1:12" x14ac:dyDescent="0.25">
      <c r="F28" s="10"/>
      <c r="G28" s="22">
        <f>100-G6-G7</f>
        <v>52</v>
      </c>
      <c r="H28" s="25">
        <v>100</v>
      </c>
      <c r="I28" s="24">
        <f>100-I6-I7</f>
        <v>58</v>
      </c>
      <c r="J28" s="25">
        <v>100</v>
      </c>
      <c r="K28" s="24">
        <f>100-K6-K7</f>
        <v>50</v>
      </c>
      <c r="L28" s="25">
        <v>100</v>
      </c>
    </row>
    <row r="29" spans="1:12" x14ac:dyDescent="0.25">
      <c r="A29" s="7" t="s">
        <v>53</v>
      </c>
      <c r="B29" s="5">
        <f>SUM(C29:D29)</f>
        <v>4033</v>
      </c>
      <c r="C29" s="5">
        <v>1533</v>
      </c>
      <c r="D29" s="5">
        <v>2500</v>
      </c>
      <c r="E29" s="10"/>
    </row>
    <row r="30" spans="1:12" x14ac:dyDescent="0.25">
      <c r="A30" s="9" t="s">
        <v>46</v>
      </c>
      <c r="B30" s="5">
        <f>SUM(C30:D30)</f>
        <v>1450</v>
      </c>
      <c r="C30" s="10">
        <f>C29-C17</f>
        <v>700</v>
      </c>
      <c r="D30" s="10">
        <f>D29-D17</f>
        <v>750</v>
      </c>
      <c r="E30" s="10"/>
      <c r="F30" s="77" t="s">
        <v>63</v>
      </c>
      <c r="G30" s="77"/>
      <c r="H30" s="77"/>
      <c r="I30" s="77"/>
      <c r="J30" s="77"/>
      <c r="K30" s="77"/>
      <c r="L30" s="77"/>
    </row>
    <row r="31" spans="1:12" x14ac:dyDescent="0.25">
      <c r="A31" t="s">
        <v>66</v>
      </c>
      <c r="B31" s="5">
        <f>SUM(C31:D31)</f>
        <v>577.58620689655174</v>
      </c>
      <c r="C31" s="10">
        <f>C30*J27/100</f>
        <v>277.58620689655174</v>
      </c>
      <c r="D31" s="10">
        <f>D30*L27/100</f>
        <v>300</v>
      </c>
      <c r="E31" s="10"/>
      <c r="F31" s="77"/>
      <c r="G31" s="77"/>
      <c r="H31" s="77"/>
      <c r="I31" s="77"/>
      <c r="J31" s="77"/>
      <c r="K31" s="77"/>
      <c r="L31" s="77"/>
    </row>
    <row r="32" spans="1:12" x14ac:dyDescent="0.25">
      <c r="A32" s="6" t="s">
        <v>54</v>
      </c>
      <c r="B32" s="32">
        <f>SUM(C32:D32)</f>
        <v>1118.5862068965516</v>
      </c>
      <c r="C32" s="30">
        <f>C12+C31</f>
        <v>468.58620689655174</v>
      </c>
      <c r="D32" s="30">
        <f>D12+D31</f>
        <v>650</v>
      </c>
      <c r="E32" s="10"/>
      <c r="F32" s="77"/>
      <c r="G32" s="77"/>
      <c r="H32" s="77"/>
      <c r="I32" s="77"/>
      <c r="J32" s="77"/>
      <c r="K32" s="77"/>
      <c r="L32" s="77"/>
    </row>
    <row r="33" spans="1:12" x14ac:dyDescent="0.25">
      <c r="A33" t="s">
        <v>55</v>
      </c>
      <c r="B33" s="10">
        <f>B32+B27</f>
        <v>4033</v>
      </c>
      <c r="C33" s="10">
        <f>C32+C27</f>
        <v>1533</v>
      </c>
      <c r="D33" s="10">
        <f>D32+D27</f>
        <v>2500</v>
      </c>
      <c r="E33" s="10"/>
      <c r="F33" s="10"/>
    </row>
    <row r="34" spans="1:12" x14ac:dyDescent="0.25">
      <c r="F34" s="78" t="s">
        <v>64</v>
      </c>
      <c r="G34" s="78"/>
      <c r="H34" s="78"/>
      <c r="I34" s="78"/>
      <c r="J34" s="78"/>
      <c r="K34" s="78"/>
      <c r="L34" s="78"/>
    </row>
    <row r="35" spans="1:12" x14ac:dyDescent="0.25">
      <c r="A35" t="s">
        <v>65</v>
      </c>
      <c r="F35" s="78"/>
      <c r="G35" s="78"/>
      <c r="H35" s="78"/>
      <c r="I35" s="78"/>
      <c r="J35" s="78"/>
      <c r="K35" s="78"/>
      <c r="L35" s="78"/>
    </row>
    <row r="36" spans="1:12" x14ac:dyDescent="0.25">
      <c r="F36" s="78"/>
      <c r="G36" s="78"/>
      <c r="H36" s="78"/>
      <c r="I36" s="78"/>
      <c r="J36" s="78"/>
      <c r="K36" s="78"/>
      <c r="L36" s="78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dcterms:created xsi:type="dcterms:W3CDTF">2012-02-07T15:57:09Z</dcterms:created>
  <dcterms:modified xsi:type="dcterms:W3CDTF">2019-06-14T18:00:25Z</dcterms:modified>
</cp:coreProperties>
</file>