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PANI\"/>
    </mc:Choice>
  </mc:AlternateContent>
  <bookViews>
    <workbookView xWindow="0" yWindow="0" windowWidth="28800" windowHeight="12330" tabRatio="738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</sheets>
  <calcPr calcId="162913"/>
</workbook>
</file>

<file path=xl/calcChain.xml><?xml version="1.0" encoding="utf-8"?>
<calcChain xmlns="http://schemas.openxmlformats.org/spreadsheetml/2006/main">
  <c r="C66" i="5" l="1"/>
  <c r="D66" i="5"/>
  <c r="E66" i="5"/>
  <c r="F66" i="5"/>
  <c r="G66" i="5"/>
  <c r="C65" i="5"/>
  <c r="D65" i="5"/>
  <c r="E65" i="5"/>
  <c r="F65" i="5"/>
  <c r="G65" i="5"/>
  <c r="C64" i="5"/>
  <c r="D64" i="5"/>
  <c r="E64" i="5"/>
  <c r="F64" i="5"/>
  <c r="G64" i="5"/>
  <c r="B64" i="5"/>
  <c r="B63" i="5"/>
  <c r="B62" i="5"/>
  <c r="C65" i="1" l="1"/>
  <c r="C62" i="1"/>
  <c r="C62" i="5"/>
  <c r="D62" i="5"/>
  <c r="E62" i="5"/>
  <c r="F62" i="5"/>
  <c r="G62" i="5"/>
  <c r="C63" i="5"/>
  <c r="D63" i="5"/>
  <c r="E63" i="5"/>
  <c r="F63" i="5"/>
  <c r="G63" i="5"/>
  <c r="B66" i="5"/>
  <c r="B65" i="5"/>
  <c r="C62" i="7"/>
  <c r="C64" i="7" s="1"/>
  <c r="D62" i="7"/>
  <c r="D64" i="7" s="1"/>
  <c r="E62" i="7"/>
  <c r="F62" i="7"/>
  <c r="G62" i="7"/>
  <c r="C63" i="7"/>
  <c r="D63" i="7"/>
  <c r="E63" i="7"/>
  <c r="E64" i="7" s="1"/>
  <c r="F63" i="7"/>
  <c r="F64" i="7" s="1"/>
  <c r="G63" i="7"/>
  <c r="G64" i="7"/>
  <c r="C65" i="7"/>
  <c r="D65" i="7"/>
  <c r="E65" i="7"/>
  <c r="F65" i="7"/>
  <c r="G65" i="7"/>
  <c r="C66" i="7"/>
  <c r="D66" i="7"/>
  <c r="E66" i="7"/>
  <c r="F66" i="7"/>
  <c r="G66" i="7"/>
  <c r="B63" i="7"/>
  <c r="B62" i="7"/>
  <c r="B66" i="7"/>
  <c r="B65" i="7"/>
  <c r="C62" i="6"/>
  <c r="D62" i="6"/>
  <c r="E62" i="6"/>
  <c r="F62" i="6"/>
  <c r="G62" i="6"/>
  <c r="C63" i="6"/>
  <c r="C64" i="6" s="1"/>
  <c r="D63" i="6"/>
  <c r="D64" i="6" s="1"/>
  <c r="E63" i="6"/>
  <c r="E64" i="6"/>
  <c r="C65" i="6"/>
  <c r="D65" i="6"/>
  <c r="E65" i="6"/>
  <c r="F65" i="6"/>
  <c r="G65" i="6"/>
  <c r="C66" i="6"/>
  <c r="D66" i="6"/>
  <c r="E66" i="6"/>
  <c r="C62" i="4"/>
  <c r="C64" i="4" s="1"/>
  <c r="D62" i="4"/>
  <c r="E62" i="4"/>
  <c r="F62" i="4"/>
  <c r="G62" i="4"/>
  <c r="C63" i="4"/>
  <c r="D63" i="4"/>
  <c r="E63" i="4"/>
  <c r="E64" i="4" s="1"/>
  <c r="F63" i="4"/>
  <c r="F64" i="4" s="1"/>
  <c r="G63" i="4"/>
  <c r="G64" i="4"/>
  <c r="C65" i="4"/>
  <c r="D65" i="4"/>
  <c r="E65" i="4"/>
  <c r="F65" i="4"/>
  <c r="G65" i="4"/>
  <c r="C66" i="4"/>
  <c r="D66" i="4"/>
  <c r="E66" i="4"/>
  <c r="F66" i="4"/>
  <c r="G66" i="4"/>
  <c r="C62" i="3"/>
  <c r="C64" i="3" s="1"/>
  <c r="D62" i="3"/>
  <c r="E62" i="3"/>
  <c r="F62" i="3"/>
  <c r="G62" i="3"/>
  <c r="C63" i="3"/>
  <c r="D63" i="3"/>
  <c r="E63" i="3"/>
  <c r="E64" i="3" s="1"/>
  <c r="F63" i="3"/>
  <c r="F64" i="3" s="1"/>
  <c r="G63" i="3"/>
  <c r="G64" i="3"/>
  <c r="C65" i="3"/>
  <c r="D65" i="3"/>
  <c r="E65" i="3"/>
  <c r="F65" i="3"/>
  <c r="G65" i="3"/>
  <c r="C66" i="3"/>
  <c r="D66" i="3"/>
  <c r="E66" i="3"/>
  <c r="F66" i="3"/>
  <c r="G66" i="3"/>
  <c r="C62" i="2"/>
  <c r="D62" i="2"/>
  <c r="E62" i="2"/>
  <c r="F62" i="2"/>
  <c r="G62" i="2"/>
  <c r="C63" i="2"/>
  <c r="D63" i="2"/>
  <c r="E63" i="2"/>
  <c r="C65" i="2"/>
  <c r="D65" i="2"/>
  <c r="E65" i="2"/>
  <c r="F65" i="2"/>
  <c r="G65" i="2"/>
  <c r="C66" i="2"/>
  <c r="D66" i="2"/>
  <c r="E66" i="2"/>
  <c r="C64" i="1"/>
  <c r="D62" i="1"/>
  <c r="D64" i="1" s="1"/>
  <c r="E62" i="1"/>
  <c r="C63" i="1"/>
  <c r="D63" i="1"/>
  <c r="E63" i="1"/>
  <c r="E64" i="1" s="1"/>
  <c r="D65" i="1"/>
  <c r="E65" i="1"/>
  <c r="C66" i="1"/>
  <c r="D66" i="1"/>
  <c r="E66" i="1"/>
  <c r="B66" i="4"/>
  <c r="B65" i="4"/>
  <c r="B63" i="4"/>
  <c r="B62" i="4"/>
  <c r="B64" i="4" s="1"/>
  <c r="B66" i="3"/>
  <c r="B65" i="3"/>
  <c r="B64" i="3"/>
  <c r="B63" i="3"/>
  <c r="B62" i="3"/>
  <c r="B66" i="1"/>
  <c r="B65" i="1"/>
  <c r="B63" i="1"/>
  <c r="B62" i="1"/>
  <c r="B64" i="7" l="1"/>
  <c r="B64" i="1"/>
  <c r="B54" i="1"/>
  <c r="C12" i="5"/>
  <c r="C10" i="5"/>
  <c r="C12" i="7"/>
  <c r="C11" i="7"/>
  <c r="C10" i="7"/>
  <c r="C12" i="6"/>
  <c r="C11" i="6"/>
  <c r="C10" i="6"/>
  <c r="B20" i="4" l="1"/>
  <c r="B11" i="4"/>
  <c r="B12" i="4"/>
  <c r="B13" i="4"/>
  <c r="B10" i="4"/>
  <c r="B20" i="3"/>
  <c r="B11" i="3"/>
  <c r="B12" i="3"/>
  <c r="B13" i="3"/>
  <c r="B10" i="3"/>
  <c r="B20" i="2"/>
  <c r="B11" i="2"/>
  <c r="B12" i="2"/>
  <c r="B13" i="2"/>
  <c r="B10" i="2"/>
  <c r="B20" i="1"/>
  <c r="B11" i="1"/>
  <c r="B12" i="1"/>
  <c r="B13" i="1"/>
  <c r="B10" i="1"/>
  <c r="F11" i="5" l="1"/>
  <c r="G11" i="5"/>
  <c r="H11" i="5"/>
  <c r="C11" i="5"/>
  <c r="H13" i="5"/>
  <c r="H12" i="5"/>
  <c r="H10" i="5"/>
  <c r="H16" i="7"/>
  <c r="H13" i="7"/>
  <c r="H12" i="7"/>
  <c r="H11" i="7"/>
  <c r="H10" i="7"/>
  <c r="H13" i="6"/>
  <c r="H12" i="6"/>
  <c r="H11" i="6"/>
  <c r="H10" i="6"/>
  <c r="B18" i="4"/>
  <c r="B16" i="4" l="1"/>
  <c r="B16" i="3" l="1"/>
  <c r="B16" i="2" l="1"/>
  <c r="B19" i="2" l="1"/>
  <c r="B18" i="2"/>
  <c r="B66" i="2" l="1"/>
  <c r="B63" i="2"/>
  <c r="B17" i="1"/>
  <c r="B18" i="1"/>
  <c r="B70" i="1" s="1"/>
  <c r="B19" i="1"/>
  <c r="B16" i="1"/>
  <c r="C49" i="4" l="1"/>
  <c r="D49" i="4"/>
  <c r="E49" i="4"/>
  <c r="F49" i="4"/>
  <c r="G49" i="4"/>
  <c r="C49" i="3"/>
  <c r="D49" i="3"/>
  <c r="E49" i="3"/>
  <c r="F49" i="3"/>
  <c r="G49" i="3"/>
  <c r="C49" i="2"/>
  <c r="D49" i="2"/>
  <c r="E49" i="2"/>
  <c r="F49" i="2"/>
  <c r="G49" i="2"/>
  <c r="B49" i="4" l="1"/>
  <c r="B49" i="2"/>
  <c r="B49" i="3"/>
  <c r="H57" i="5" l="1"/>
  <c r="G19" i="5"/>
  <c r="H19" i="5"/>
  <c r="G18" i="5"/>
  <c r="H18" i="5"/>
  <c r="G17" i="5"/>
  <c r="H17" i="5"/>
  <c r="F16" i="5"/>
  <c r="F32" i="5" s="1"/>
  <c r="G16" i="5"/>
  <c r="G32" i="5" s="1"/>
  <c r="H16" i="5"/>
  <c r="H32" i="5" s="1"/>
  <c r="H34" i="5" s="1"/>
  <c r="F13" i="5"/>
  <c r="G13" i="5"/>
  <c r="F12" i="5"/>
  <c r="G12" i="5"/>
  <c r="F10" i="5"/>
  <c r="G10" i="5"/>
  <c r="H57" i="7"/>
  <c r="G19" i="7"/>
  <c r="H19" i="7"/>
  <c r="G18" i="7"/>
  <c r="H18" i="7"/>
  <c r="G17" i="7"/>
  <c r="H17" i="7"/>
  <c r="G16" i="7"/>
  <c r="G32" i="7" s="1"/>
  <c r="H32" i="7"/>
  <c r="H34" i="7" s="1"/>
  <c r="G20" i="7" l="1"/>
  <c r="H20" i="7"/>
  <c r="H20" i="5"/>
  <c r="F34" i="5"/>
  <c r="G49" i="5"/>
  <c r="G50" i="5"/>
  <c r="F49" i="5"/>
  <c r="G34" i="5"/>
  <c r="F57" i="5"/>
  <c r="G33" i="7"/>
  <c r="G58" i="7" s="1"/>
  <c r="H33" i="5"/>
  <c r="G45" i="5"/>
  <c r="H33" i="7"/>
  <c r="G45" i="7"/>
  <c r="G33" i="5"/>
  <c r="G57" i="5"/>
  <c r="G44" i="5"/>
  <c r="G46" i="5" s="1"/>
  <c r="G50" i="7"/>
  <c r="G20" i="5"/>
  <c r="F44" i="5"/>
  <c r="F13" i="7"/>
  <c r="G13" i="7"/>
  <c r="F12" i="7"/>
  <c r="G12" i="7"/>
  <c r="F11" i="7"/>
  <c r="G11" i="7"/>
  <c r="D11" i="7"/>
  <c r="E11" i="7"/>
  <c r="F10" i="7"/>
  <c r="G10" i="7"/>
  <c r="G34" i="7" s="1"/>
  <c r="D10" i="7"/>
  <c r="E10" i="7"/>
  <c r="B11" i="7" l="1"/>
  <c r="B10" i="7"/>
  <c r="G49" i="7"/>
  <c r="G51" i="7" s="1"/>
  <c r="F49" i="7"/>
  <c r="G51" i="5"/>
  <c r="H58" i="5"/>
  <c r="F44" i="7"/>
  <c r="F57" i="7"/>
  <c r="G35" i="5"/>
  <c r="G59" i="5" s="1"/>
  <c r="G58" i="5"/>
  <c r="G57" i="7"/>
  <c r="G44" i="7"/>
  <c r="G46" i="7" s="1"/>
  <c r="G35" i="7"/>
  <c r="G59" i="7" s="1"/>
  <c r="H58" i="7"/>
  <c r="G19" i="6"/>
  <c r="H19" i="6"/>
  <c r="G18" i="6"/>
  <c r="H18" i="6"/>
  <c r="G17" i="6"/>
  <c r="H17" i="6"/>
  <c r="G16" i="6"/>
  <c r="G32" i="6" s="1"/>
  <c r="H16" i="6"/>
  <c r="H32" i="6" s="1"/>
  <c r="F13" i="6"/>
  <c r="G13" i="6"/>
  <c r="F12" i="6"/>
  <c r="G12" i="6"/>
  <c r="F11" i="6"/>
  <c r="G11" i="6"/>
  <c r="F10" i="6"/>
  <c r="G10" i="6"/>
  <c r="G20" i="6" l="1"/>
  <c r="H20" i="6"/>
  <c r="G49" i="6"/>
  <c r="F49" i="6"/>
  <c r="G34" i="6"/>
  <c r="G44" i="6"/>
  <c r="G57" i="6"/>
  <c r="H33" i="6"/>
  <c r="F44" i="6"/>
  <c r="G45" i="6"/>
  <c r="G50" i="6"/>
  <c r="G33" i="6"/>
  <c r="F57" i="4"/>
  <c r="G57" i="4"/>
  <c r="H57" i="4"/>
  <c r="F50" i="4"/>
  <c r="F51" i="4" s="1"/>
  <c r="G50" i="4"/>
  <c r="G51" i="4" s="1"/>
  <c r="F45" i="4"/>
  <c r="G45" i="4"/>
  <c r="F44" i="4"/>
  <c r="G44" i="4"/>
  <c r="E33" i="4"/>
  <c r="F33" i="4"/>
  <c r="G33" i="4"/>
  <c r="H33" i="4"/>
  <c r="E32" i="4"/>
  <c r="E34" i="4" s="1"/>
  <c r="F32" i="4"/>
  <c r="F34" i="4" s="1"/>
  <c r="G32" i="4"/>
  <c r="G34" i="4" s="1"/>
  <c r="H32" i="4"/>
  <c r="H34" i="4" s="1"/>
  <c r="B17" i="4"/>
  <c r="B19" i="4"/>
  <c r="B49" i="1"/>
  <c r="F46" i="4" l="1"/>
  <c r="G46" i="4"/>
  <c r="G35" i="4"/>
  <c r="G59" i="4" s="1"/>
  <c r="G58" i="4"/>
  <c r="F35" i="4"/>
  <c r="F59" i="4" s="1"/>
  <c r="F58" i="4"/>
  <c r="H58" i="4"/>
  <c r="E58" i="4"/>
  <c r="G46" i="6"/>
  <c r="H58" i="6"/>
  <c r="G58" i="6"/>
  <c r="G51" i="6"/>
  <c r="F57" i="3"/>
  <c r="G57" i="3"/>
  <c r="H57" i="3"/>
  <c r="F50" i="3"/>
  <c r="F51" i="3" s="1"/>
  <c r="G50" i="3"/>
  <c r="G51" i="3" s="1"/>
  <c r="G45" i="3"/>
  <c r="F44" i="3"/>
  <c r="G44" i="3"/>
  <c r="G33" i="3"/>
  <c r="H33" i="3"/>
  <c r="F32" i="3"/>
  <c r="F34" i="3" s="1"/>
  <c r="G32" i="3"/>
  <c r="G34" i="3" s="1"/>
  <c r="H32" i="3"/>
  <c r="H34" i="3" s="1"/>
  <c r="G46" i="3" l="1"/>
  <c r="H58" i="3"/>
  <c r="G35" i="3"/>
  <c r="G59" i="3" s="1"/>
  <c r="G58" i="3"/>
  <c r="B17" i="3"/>
  <c r="B18" i="3"/>
  <c r="B19" i="3"/>
  <c r="B17" i="2"/>
  <c r="B65" i="2" l="1"/>
  <c r="B62" i="2"/>
  <c r="G57" i="2"/>
  <c r="G50" i="2"/>
  <c r="G51" i="2" s="1"/>
  <c r="G45" i="2"/>
  <c r="F44" i="2"/>
  <c r="G44" i="2"/>
  <c r="G33" i="2"/>
  <c r="H33" i="2"/>
  <c r="E32" i="2"/>
  <c r="F32" i="2"/>
  <c r="G32" i="2"/>
  <c r="G34" i="2" s="1"/>
  <c r="H32" i="2"/>
  <c r="G46" i="2" l="1"/>
  <c r="H58" i="2"/>
  <c r="G58" i="2"/>
  <c r="F50" i="1"/>
  <c r="G50" i="1"/>
  <c r="F49" i="1"/>
  <c r="G49" i="1"/>
  <c r="G51" i="1" l="1"/>
  <c r="F51" i="1"/>
  <c r="D33" i="1" l="1"/>
  <c r="D35" i="1" s="1"/>
  <c r="E33" i="1"/>
  <c r="E35" i="1" s="1"/>
  <c r="F33" i="1"/>
  <c r="G33" i="1"/>
  <c r="H33" i="1"/>
  <c r="D32" i="1"/>
  <c r="D34" i="1" s="1"/>
  <c r="E32" i="1"/>
  <c r="E34" i="1" s="1"/>
  <c r="F32" i="1"/>
  <c r="G32" i="1"/>
  <c r="H32" i="1"/>
  <c r="G58" i="1" l="1"/>
  <c r="F58" i="1"/>
  <c r="D44" i="2" l="1"/>
  <c r="D45" i="2"/>
  <c r="F50" i="2"/>
  <c r="F51" i="2" s="1"/>
  <c r="F45" i="2"/>
  <c r="F46" i="2" s="1"/>
  <c r="F33" i="2"/>
  <c r="F45" i="3"/>
  <c r="F46" i="3" s="1"/>
  <c r="D44" i="3"/>
  <c r="D45" i="3"/>
  <c r="F33" i="3"/>
  <c r="D44" i="4"/>
  <c r="D45" i="4"/>
  <c r="F16" i="6"/>
  <c r="F32" i="6" s="1"/>
  <c r="F17" i="6"/>
  <c r="F18" i="6"/>
  <c r="F19" i="6"/>
  <c r="F16" i="7"/>
  <c r="F32" i="7" s="1"/>
  <c r="F34" i="7" s="1"/>
  <c r="F17" i="7"/>
  <c r="F18" i="7"/>
  <c r="F19" i="7"/>
  <c r="F17" i="5"/>
  <c r="F18" i="5"/>
  <c r="F19" i="5"/>
  <c r="E13" i="7"/>
  <c r="D13" i="7"/>
  <c r="C13" i="7"/>
  <c r="B13" i="7" s="1"/>
  <c r="D12" i="7"/>
  <c r="E12" i="7"/>
  <c r="B12" i="7" l="1"/>
  <c r="F35" i="3"/>
  <c r="F59" i="3" s="1"/>
  <c r="F58" i="3"/>
  <c r="E49" i="7"/>
  <c r="D49" i="7"/>
  <c r="C49" i="7"/>
  <c r="F58" i="2"/>
  <c r="F33" i="5"/>
  <c r="F35" i="5" s="1"/>
  <c r="F59" i="5" s="1"/>
  <c r="F20" i="5"/>
  <c r="F33" i="7"/>
  <c r="F35" i="7" s="1"/>
  <c r="F59" i="7" s="1"/>
  <c r="F20" i="7"/>
  <c r="F50" i="7"/>
  <c r="F51" i="7" s="1"/>
  <c r="F20" i="6"/>
  <c r="D46" i="4"/>
  <c r="D46" i="2"/>
  <c r="D64" i="2" s="1"/>
  <c r="D46" i="3"/>
  <c r="F50" i="6"/>
  <c r="F51" i="6" s="1"/>
  <c r="F45" i="6"/>
  <c r="F46" i="6" s="1"/>
  <c r="F33" i="6"/>
  <c r="F50" i="5"/>
  <c r="F51" i="5" s="1"/>
  <c r="F45" i="7"/>
  <c r="F46" i="7" s="1"/>
  <c r="F45" i="5"/>
  <c r="F46" i="5" s="1"/>
  <c r="D13" i="5"/>
  <c r="E13" i="5"/>
  <c r="C13" i="5"/>
  <c r="B13" i="5" s="1"/>
  <c r="D11" i="5"/>
  <c r="E11" i="5"/>
  <c r="D12" i="5"/>
  <c r="E12" i="5"/>
  <c r="E10" i="5"/>
  <c r="D10" i="5"/>
  <c r="B10" i="5" s="1"/>
  <c r="B12" i="5" l="1"/>
  <c r="B11" i="5"/>
  <c r="F58" i="7"/>
  <c r="B49" i="7"/>
  <c r="F58" i="6"/>
  <c r="F58" i="5"/>
  <c r="B23" i="3"/>
  <c r="B23" i="4"/>
  <c r="E12" i="6"/>
  <c r="E11" i="6"/>
  <c r="E10" i="6"/>
  <c r="D12" i="6"/>
  <c r="D11" i="6"/>
  <c r="D10" i="6"/>
  <c r="D13" i="6"/>
  <c r="E13" i="6"/>
  <c r="C13" i="6"/>
  <c r="B13" i="6" s="1"/>
  <c r="B10" i="6" l="1"/>
  <c r="B11" i="6"/>
  <c r="B12" i="6"/>
  <c r="E49" i="6"/>
  <c r="D49" i="6"/>
  <c r="C49" i="6"/>
  <c r="B49" i="6" l="1"/>
  <c r="C49" i="1" l="1"/>
  <c r="E49" i="1"/>
  <c r="D49" i="1" l="1"/>
  <c r="C17" i="5" l="1"/>
  <c r="E17" i="5"/>
  <c r="C18" i="5"/>
  <c r="D18" i="5"/>
  <c r="E18" i="5"/>
  <c r="C16" i="5"/>
  <c r="D16" i="5"/>
  <c r="E16" i="5"/>
  <c r="E32" i="5" s="1"/>
  <c r="D19" i="5"/>
  <c r="E19" i="5"/>
  <c r="C19" i="5"/>
  <c r="C19" i="7"/>
  <c r="D19" i="7"/>
  <c r="E19" i="7"/>
  <c r="C19" i="6"/>
  <c r="D19" i="6"/>
  <c r="E19" i="6"/>
  <c r="B16" i="5" l="1"/>
  <c r="B19" i="5"/>
  <c r="B19" i="6"/>
  <c r="B19" i="7"/>
  <c r="B18" i="5"/>
  <c r="E20" i="5"/>
  <c r="D20" i="5"/>
  <c r="C20" i="5"/>
  <c r="C17" i="7"/>
  <c r="E17" i="7"/>
  <c r="C18" i="7"/>
  <c r="D18" i="7"/>
  <c r="E18" i="7"/>
  <c r="C16" i="7"/>
  <c r="D16" i="7"/>
  <c r="E16" i="7"/>
  <c r="C17" i="6"/>
  <c r="E17" i="6"/>
  <c r="C18" i="6"/>
  <c r="D18" i="6"/>
  <c r="E18" i="6"/>
  <c r="C16" i="6"/>
  <c r="D16" i="6"/>
  <c r="E16" i="6"/>
  <c r="D17" i="5"/>
  <c r="B17" i="5" l="1"/>
  <c r="B20" i="5"/>
  <c r="B16" i="7"/>
  <c r="B18" i="6"/>
  <c r="B16" i="6"/>
  <c r="B18" i="7"/>
  <c r="D20" i="6"/>
  <c r="E20" i="7"/>
  <c r="D20" i="7"/>
  <c r="E20" i="6"/>
  <c r="C20" i="6"/>
  <c r="C20" i="7"/>
  <c r="B23" i="2"/>
  <c r="D17" i="7"/>
  <c r="D17" i="6"/>
  <c r="B23" i="1"/>
  <c r="B63" i="6" l="1"/>
  <c r="B66" i="6"/>
  <c r="B17" i="7"/>
  <c r="B20" i="6"/>
  <c r="B20" i="7"/>
  <c r="B17" i="6"/>
  <c r="B65" i="6" l="1"/>
  <c r="B62" i="6"/>
  <c r="B32" i="4"/>
  <c r="B24" i="5"/>
  <c r="B23" i="5"/>
  <c r="B24" i="7"/>
  <c r="B23" i="7"/>
  <c r="B24" i="6"/>
  <c r="B23" i="6"/>
  <c r="D33" i="2"/>
  <c r="D33" i="3"/>
  <c r="D33" i="4"/>
  <c r="D35" i="3" l="1"/>
  <c r="D44" i="1"/>
  <c r="D35" i="4"/>
  <c r="D35" i="2"/>
  <c r="D45" i="1"/>
  <c r="D50" i="1"/>
  <c r="D50" i="4"/>
  <c r="D50" i="3"/>
  <c r="D50" i="2"/>
  <c r="D51" i="2" l="1"/>
  <c r="D51" i="1"/>
  <c r="D51" i="4"/>
  <c r="D51" i="3"/>
  <c r="D50" i="6"/>
  <c r="D33" i="6"/>
  <c r="D45" i="6"/>
  <c r="D45" i="5"/>
  <c r="D50" i="5"/>
  <c r="D33" i="5"/>
  <c r="D44" i="6"/>
  <c r="D49" i="5"/>
  <c r="D44" i="5"/>
  <c r="D33" i="7"/>
  <c r="D45" i="7"/>
  <c r="D50" i="7"/>
  <c r="D46" i="1"/>
  <c r="D44" i="7"/>
  <c r="D46" i="6" l="1"/>
  <c r="D51" i="6"/>
  <c r="D51" i="7"/>
  <c r="D46" i="7"/>
  <c r="D35" i="7"/>
  <c r="D35" i="5"/>
  <c r="D46" i="5"/>
  <c r="D51" i="5"/>
  <c r="D35" i="6"/>
  <c r="D32" i="6" l="1"/>
  <c r="D32" i="5"/>
  <c r="D32" i="7"/>
  <c r="D32" i="2"/>
  <c r="D58" i="2" s="1"/>
  <c r="D32" i="3"/>
  <c r="D32" i="4"/>
  <c r="B69" i="1"/>
  <c r="E50" i="4"/>
  <c r="C50" i="4"/>
  <c r="E45" i="4"/>
  <c r="C45" i="4"/>
  <c r="E50" i="3"/>
  <c r="C50" i="3"/>
  <c r="E45" i="3"/>
  <c r="C45" i="3"/>
  <c r="C50" i="2"/>
  <c r="E50" i="2"/>
  <c r="C45" i="2"/>
  <c r="E45" i="2"/>
  <c r="C50" i="1"/>
  <c r="E50" i="1"/>
  <c r="C45" i="1"/>
  <c r="E45" i="1"/>
  <c r="D58" i="1" l="1"/>
  <c r="D58" i="5"/>
  <c r="D58" i="7"/>
  <c r="D58" i="6"/>
  <c r="E32" i="6"/>
  <c r="C32" i="6" l="1"/>
  <c r="B32" i="6"/>
  <c r="B69" i="6"/>
  <c r="C33" i="6" l="1"/>
  <c r="C58" i="6" s="1"/>
  <c r="C45" i="6"/>
  <c r="C50" i="6"/>
  <c r="E33" i="6"/>
  <c r="E58" i="6" s="1"/>
  <c r="E45" i="6"/>
  <c r="E50" i="6"/>
  <c r="E32" i="7" l="1"/>
  <c r="C32" i="7"/>
  <c r="B32" i="7"/>
  <c r="B69" i="7"/>
  <c r="E33" i="7"/>
  <c r="C33" i="7"/>
  <c r="C50" i="7" l="1"/>
  <c r="C51" i="7" s="1"/>
  <c r="E50" i="7"/>
  <c r="E51" i="7" s="1"/>
  <c r="E50" i="5"/>
  <c r="E45" i="5"/>
  <c r="C50" i="5"/>
  <c r="C45" i="5"/>
  <c r="B70" i="5"/>
  <c r="E45" i="7"/>
  <c r="C45" i="7"/>
  <c r="C58" i="7"/>
  <c r="E58" i="7"/>
  <c r="C32" i="5" l="1"/>
  <c r="B32" i="5"/>
  <c r="B69" i="5"/>
  <c r="E33" i="5"/>
  <c r="C33" i="5"/>
  <c r="C33" i="4"/>
  <c r="C32" i="4"/>
  <c r="B69" i="4"/>
  <c r="E33" i="3"/>
  <c r="C33" i="3"/>
  <c r="E32" i="3"/>
  <c r="C32" i="3"/>
  <c r="B32" i="3"/>
  <c r="B69" i="3"/>
  <c r="E33" i="2"/>
  <c r="E58" i="2" s="1"/>
  <c r="C33" i="2"/>
  <c r="C32" i="2"/>
  <c r="B32" i="2"/>
  <c r="B69" i="2"/>
  <c r="C33" i="1"/>
  <c r="C32" i="1"/>
  <c r="B32" i="1"/>
  <c r="C58" i="4" l="1"/>
  <c r="C58" i="3"/>
  <c r="E58" i="3"/>
  <c r="C58" i="2"/>
  <c r="B57" i="3"/>
  <c r="B44" i="3"/>
  <c r="E51" i="1"/>
  <c r="E44" i="1"/>
  <c r="E46" i="1" s="1"/>
  <c r="E35" i="5"/>
  <c r="B34" i="6"/>
  <c r="B34" i="7"/>
  <c r="B34" i="5"/>
  <c r="C57" i="1"/>
  <c r="C51" i="1"/>
  <c r="C44" i="1"/>
  <c r="C46" i="1" s="1"/>
  <c r="B34" i="1"/>
  <c r="C34" i="2"/>
  <c r="C57" i="2"/>
  <c r="C51" i="2"/>
  <c r="C44" i="2"/>
  <c r="C46" i="2" s="1"/>
  <c r="C64" i="2" s="1"/>
  <c r="B45" i="2"/>
  <c r="B70" i="2"/>
  <c r="B50" i="2"/>
  <c r="B54" i="2"/>
  <c r="E34" i="2"/>
  <c r="E35" i="2"/>
  <c r="E51" i="3"/>
  <c r="E44" i="3"/>
  <c r="E46" i="3" s="1"/>
  <c r="C57" i="4"/>
  <c r="C51" i="4"/>
  <c r="C44" i="4"/>
  <c r="C46" i="4" s="1"/>
  <c r="B50" i="4"/>
  <c r="B51" i="4" s="1"/>
  <c r="B45" i="4"/>
  <c r="B70" i="4"/>
  <c r="B44" i="2"/>
  <c r="B57" i="2"/>
  <c r="E57" i="2"/>
  <c r="E51" i="2"/>
  <c r="E44" i="2"/>
  <c r="E46" i="2" s="1"/>
  <c r="E64" i="2" s="1"/>
  <c r="C35" i="2"/>
  <c r="C34" i="3"/>
  <c r="E57" i="3"/>
  <c r="C51" i="3"/>
  <c r="C44" i="3"/>
  <c r="C46" i="3" s="1"/>
  <c r="B50" i="3"/>
  <c r="B45" i="3"/>
  <c r="B70" i="3"/>
  <c r="B57" i="4"/>
  <c r="B44" i="4"/>
  <c r="B46" i="4" s="1"/>
  <c r="E51" i="4"/>
  <c r="E44" i="4"/>
  <c r="E46" i="4" s="1"/>
  <c r="C34" i="4"/>
  <c r="C58" i="5"/>
  <c r="E58" i="5"/>
  <c r="B34" i="4"/>
  <c r="B34" i="3"/>
  <c r="B34" i="2"/>
  <c r="C58" i="1"/>
  <c r="E58" i="1"/>
  <c r="C35" i="5"/>
  <c r="B54" i="5"/>
  <c r="B33" i="5"/>
  <c r="B45" i="5"/>
  <c r="B50" i="5"/>
  <c r="B54" i="4"/>
  <c r="B33" i="4"/>
  <c r="B58" i="4" s="1"/>
  <c r="C35" i="4"/>
  <c r="E35" i="4"/>
  <c r="B54" i="3"/>
  <c r="B33" i="3"/>
  <c r="B58" i="3" s="1"/>
  <c r="C35" i="3"/>
  <c r="E35" i="3"/>
  <c r="B33" i="2"/>
  <c r="B58" i="2" s="1"/>
  <c r="B33" i="1"/>
  <c r="C35" i="1"/>
  <c r="B45" i="1"/>
  <c r="B50" i="1"/>
  <c r="E59" i="2" l="1"/>
  <c r="C59" i="2"/>
  <c r="B46" i="2"/>
  <c r="B64" i="2" s="1"/>
  <c r="D57" i="4"/>
  <c r="D34" i="4"/>
  <c r="D57" i="2"/>
  <c r="D34" i="2"/>
  <c r="D59" i="2" s="1"/>
  <c r="E59" i="1"/>
  <c r="E57" i="4"/>
  <c r="E59" i="4"/>
  <c r="E34" i="5"/>
  <c r="E59" i="5" s="1"/>
  <c r="E34" i="6"/>
  <c r="C34" i="7"/>
  <c r="E34" i="3"/>
  <c r="E59" i="3" s="1"/>
  <c r="C57" i="3"/>
  <c r="C59" i="3"/>
  <c r="C59" i="4"/>
  <c r="C35" i="7"/>
  <c r="C44" i="7"/>
  <c r="C46" i="7" s="1"/>
  <c r="E34" i="7"/>
  <c r="C34" i="5"/>
  <c r="C59" i="5" s="1"/>
  <c r="C34" i="6"/>
  <c r="E44" i="7"/>
  <c r="E46" i="7" s="1"/>
  <c r="E35" i="7"/>
  <c r="E57" i="1"/>
  <c r="B51" i="3"/>
  <c r="B51" i="2"/>
  <c r="C49" i="5"/>
  <c r="C51" i="5" s="1"/>
  <c r="C57" i="5"/>
  <c r="C44" i="5"/>
  <c r="C46" i="5" s="1"/>
  <c r="C57" i="6"/>
  <c r="C44" i="6"/>
  <c r="C46" i="6" s="1"/>
  <c r="C51" i="6"/>
  <c r="C35" i="6"/>
  <c r="C34" i="1"/>
  <c r="C59" i="1" s="1"/>
  <c r="E57" i="5"/>
  <c r="E44" i="5"/>
  <c r="E46" i="5" s="1"/>
  <c r="E49" i="5"/>
  <c r="E51" i="5" s="1"/>
  <c r="E57" i="6"/>
  <c r="E44" i="6"/>
  <c r="E46" i="6" s="1"/>
  <c r="E51" i="6"/>
  <c r="E35" i="6"/>
  <c r="B46" i="3"/>
  <c r="B70" i="6"/>
  <c r="B54" i="6"/>
  <c r="B45" i="6"/>
  <c r="B50" i="6"/>
  <c r="B33" i="6"/>
  <c r="B70" i="7"/>
  <c r="B50" i="7"/>
  <c r="B33" i="7"/>
  <c r="B45" i="7"/>
  <c r="B54" i="7"/>
  <c r="B58" i="5"/>
  <c r="B35" i="5"/>
  <c r="B59" i="5" s="1"/>
  <c r="B35" i="4"/>
  <c r="B59" i="4" s="1"/>
  <c r="B35" i="3"/>
  <c r="B59" i="3" s="1"/>
  <c r="B35" i="2"/>
  <c r="B59" i="2" s="1"/>
  <c r="B58" i="1"/>
  <c r="B35" i="1"/>
  <c r="B59" i="1" s="1"/>
  <c r="B44" i="1"/>
  <c r="B46" i="1" s="1"/>
  <c r="B57" i="1"/>
  <c r="B51" i="1"/>
  <c r="C59" i="6" l="1"/>
  <c r="E59" i="6"/>
  <c r="D57" i="1"/>
  <c r="D59" i="1"/>
  <c r="D57" i="3"/>
  <c r="D34" i="3"/>
  <c r="E59" i="7"/>
  <c r="E57" i="7"/>
  <c r="B57" i="5"/>
  <c r="C59" i="7"/>
  <c r="C57" i="7"/>
  <c r="B49" i="5"/>
  <c r="B51" i="5" s="1"/>
  <c r="B44" i="5"/>
  <c r="B46" i="5" s="1"/>
  <c r="B35" i="7"/>
  <c r="B59" i="7" s="1"/>
  <c r="B58" i="7"/>
  <c r="B44" i="6"/>
  <c r="B46" i="6" s="1"/>
  <c r="B64" i="6" s="1"/>
  <c r="B57" i="6"/>
  <c r="B51" i="6"/>
  <c r="B58" i="6"/>
  <c r="B35" i="6"/>
  <c r="B59" i="6" s="1"/>
  <c r="B44" i="7"/>
  <c r="B46" i="7" s="1"/>
  <c r="B51" i="7"/>
  <c r="B57" i="7"/>
  <c r="D57" i="7" l="1"/>
  <c r="D34" i="7"/>
  <c r="D59" i="7" s="1"/>
  <c r="D57" i="6"/>
  <c r="D34" i="6"/>
  <c r="D59" i="6" s="1"/>
  <c r="D57" i="5"/>
  <c r="D34" i="5"/>
  <c r="D59" i="5" s="1"/>
</calcChain>
</file>

<file path=xl/sharedStrings.xml><?xml version="1.0" encoding="utf-8"?>
<sst xmlns="http://schemas.openxmlformats.org/spreadsheetml/2006/main" count="761" uniqueCount="135">
  <si>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</si>
  <si>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</si>
  <si>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</si>
  <si>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</si>
  <si>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</si>
  <si>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</si>
  <si>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</si>
  <si>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</si>
  <si>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</si>
  <si>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</si>
  <si>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</si>
  <si>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</si>
  <si>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</si>
  <si>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</si>
  <si>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</si>
  <si>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</si>
  <si>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</si>
  <si>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</si>
  <si>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</si>
  <si>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</si>
  <si>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</si>
  <si>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</si>
  <si>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</si>
  <si>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</si>
  <si>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</si>
  <si>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</si>
  <si>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</si>
  <si>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</si>
  <si>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</si>
  <si>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</si>
  <si>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</si>
  <si>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</si>
  <si>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</si>
  <si>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</si>
  <si>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programado mensual por beneficiario (GPB) </t>
  </si>
  <si>
    <t xml:space="preserve">Gasto efectivo mensual por beneficiario (GEB) </t>
  </si>
  <si>
    <t>n.a.</t>
  </si>
  <si>
    <t>n.d.</t>
  </si>
  <si>
    <t xml:space="preserve">Gasto programado anual por beneficiario (GPB) </t>
  </si>
  <si>
    <t xml:space="preserve">Gasto efectivo anual por beneficiario (GEB) </t>
  </si>
  <si>
    <t>Atención de 
denuncias</t>
  </si>
  <si>
    <t xml:space="preserve">Juntas  de Protección de niñez y adolescencia - Promoción </t>
  </si>
  <si>
    <t>Juntas  de Protección de niñez y adolescencia - Prevención</t>
  </si>
  <si>
    <t xml:space="preserve">Productos </t>
  </si>
  <si>
    <t>Indicadores propuestos aplicados a PANI. Primer trimestre 2018</t>
  </si>
  <si>
    <t>Efectivos 1T 2017</t>
  </si>
  <si>
    <t>Programados 1T 2018</t>
  </si>
  <si>
    <t>Efectivos 1T 2018</t>
  </si>
  <si>
    <t>Programados año 2018</t>
  </si>
  <si>
    <t>En transferencias 1T 2018</t>
  </si>
  <si>
    <t>IPC (1T 2017)</t>
  </si>
  <si>
    <t>IPC (1T 2018)</t>
  </si>
  <si>
    <t>Gasto efectivo real 1T 2017</t>
  </si>
  <si>
    <t>Gasto efectivo real 1T 2018</t>
  </si>
  <si>
    <t>Gasto efectivo real por beneficiario 1T 2017</t>
  </si>
  <si>
    <t>Gasto efectivo real por beneficiario 1T 2018</t>
  </si>
  <si>
    <t>Informes Trimestrales PANI 2017 y 2018</t>
  </si>
  <si>
    <t>Metas y Modificaciones 2018, DESAF</t>
  </si>
  <si>
    <t>IPC, INEC 2017 y 2018</t>
  </si>
  <si>
    <t>Fecha de actualización: 11/03/2019</t>
  </si>
  <si>
    <t>Indicadores propuestos aplicados a PANI. Segundo trimestre 2018</t>
  </si>
  <si>
    <t>Efectivos 2T 2017</t>
  </si>
  <si>
    <t>Programados 2T 2018</t>
  </si>
  <si>
    <t>Efectivos 2T 2018</t>
  </si>
  <si>
    <t>En transferencias 2T 2018</t>
  </si>
  <si>
    <t>IPC (2T 2017)</t>
  </si>
  <si>
    <t>IPC (2T 2018)</t>
  </si>
  <si>
    <t>Gasto efectivo real 2T 2017</t>
  </si>
  <si>
    <t>Gasto efectivo real 2T 2018</t>
  </si>
  <si>
    <t>Gasto efectivo real por beneficiario 2T 2017</t>
  </si>
  <si>
    <t>Gasto efectivo real por beneficiario 2T 2018</t>
  </si>
  <si>
    <t>Indicadores propuestos aplicados a PANI. Tercer trimestre 2018</t>
  </si>
  <si>
    <t>Efectivos 3T 2017</t>
  </si>
  <si>
    <t>Programados 3T 2018</t>
  </si>
  <si>
    <t>Efectivos 3T 2018</t>
  </si>
  <si>
    <t>En transferencias 3T 2018</t>
  </si>
  <si>
    <t>IPC (3T 2017)</t>
  </si>
  <si>
    <t>IPC (3T 2018)</t>
  </si>
  <si>
    <t>Gasto efectivo real 3T 2017</t>
  </si>
  <si>
    <t>Gasto efectivo real 3T 2018</t>
  </si>
  <si>
    <t>Gasto efectivo real por beneficiario 3T 2017</t>
  </si>
  <si>
    <t>Gasto efectivo real por beneficiario 3T 2018</t>
  </si>
  <si>
    <t>Indicadores propuestos aplicados a PANI. Cuarto trimestre 2018</t>
  </si>
  <si>
    <t>Efectivos 4T 2017</t>
  </si>
  <si>
    <t>Programados 4T 2018</t>
  </si>
  <si>
    <t>Efectivos 4T 2018</t>
  </si>
  <si>
    <t>En transferencias 4T 2018</t>
  </si>
  <si>
    <t>IPC (4T 2017)</t>
  </si>
  <si>
    <t>IPC (4T 2018)</t>
  </si>
  <si>
    <t>Gasto efectivo real 4T 2017</t>
  </si>
  <si>
    <t>Gasto efectivo real 4T 2018</t>
  </si>
  <si>
    <t>Gasto efectivo real por beneficiario 4T 2017</t>
  </si>
  <si>
    <t>Gasto efectivo real por beneficiario 4T 2018</t>
  </si>
  <si>
    <t>Indicadores propuestos aplicados a PANI.  2018</t>
  </si>
  <si>
    <t>Efectivos 1S 2017</t>
  </si>
  <si>
    <t>Programados 1S 2018</t>
  </si>
  <si>
    <t>Efectivos 1S 2018</t>
  </si>
  <si>
    <t>En transferencias 1S 2018</t>
  </si>
  <si>
    <t>IPC (1S 2017)</t>
  </si>
  <si>
    <t>IPC (1S 2018)</t>
  </si>
  <si>
    <t>Gasto efectivo real 1S 2017</t>
  </si>
  <si>
    <t>Gasto efectivo real 1S 2018</t>
  </si>
  <si>
    <t>Gasto efectivo real por beneficiario 1S 2017</t>
  </si>
  <si>
    <t>Gasto efectivo real por beneficiario 1S 2018</t>
  </si>
  <si>
    <t>Efectivos 3TA 2017</t>
  </si>
  <si>
    <t>Programados 3TA 2018</t>
  </si>
  <si>
    <t>Efectivos 3TA 2018</t>
  </si>
  <si>
    <t>En transferencias 3TA 2018</t>
  </si>
  <si>
    <t>IPC (3TA 2017)</t>
  </si>
  <si>
    <t>IPC (3TA 2018)</t>
  </si>
  <si>
    <t>Gasto efectivo real 3TA 2017</t>
  </si>
  <si>
    <t>Gasto efectivo real 3TA 2018</t>
  </si>
  <si>
    <t>Gasto efectivo real por beneficiario 3TA 2017</t>
  </si>
  <si>
    <t>Gasto efectivo real por beneficiario 3TA 2018</t>
  </si>
  <si>
    <t>Efectivos  2017</t>
  </si>
  <si>
    <t>Programados  2018</t>
  </si>
  <si>
    <t>Efectivos  2018</t>
  </si>
  <si>
    <t>En transferencias  2018</t>
  </si>
  <si>
    <t>IPC ( 2017)</t>
  </si>
  <si>
    <t>IPC ( 2018)</t>
  </si>
  <si>
    <t>Gasto efectivo real  2017</t>
  </si>
  <si>
    <t>Gasto efectivo real  2018</t>
  </si>
  <si>
    <t>Gasto efectivo real por beneficiario  2017</t>
  </si>
  <si>
    <t>Gasto efectivo real por beneficiario  2018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</si>
  <si>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</si>
  <si>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</si>
  <si>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</si>
  <si>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</si>
  <si>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</si>
  <si>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</si>
  <si>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</si>
  <si>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</si>
  <si>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>Centros de Atención Infantil-
Guarderías</t>
  </si>
  <si>
    <t>Construcciones y Remodelaciones - Obra Pública</t>
  </si>
  <si>
    <t>Protección y apoyo a los niños, niñas 
y adolescentes en los Albergues 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</si>
</sst>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0.0000"/>
    <numFmt numFmtId="169" formatCode="_(* #,##0.0000_);_(* \(#,##0.0000\);_(* &quot;-&quot;??_);_(@_)"/>
    <numFmt numFmtId="170" formatCode="#,##0____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167" fontId="0" fillId="0" borderId="0" xfId="1" applyNumberFormat="1" applyFont="1"/>
    <xf numFmtId="3" fontId="0" fillId="0" borderId="0" xfId="0" applyNumberFormat="1" applyFont="1" applyFill="1"/>
    <xf numFmtId="169" fontId="0" fillId="0" borderId="0" xfId="1" applyNumberFormat="1" applyFont="1"/>
    <xf numFmtId="0" fontId="0" fillId="0" borderId="0" xfId="0" applyFont="1" applyFill="1"/>
    <xf numFmtId="0" fontId="0" fillId="0" borderId="0" xfId="0" applyFont="1"/>
    <xf numFmtId="0" fontId="0" fillId="0" borderId="0" xfId="0" applyFont="1" applyBorder="1" applyAlignmen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3" fontId="0" fillId="0" borderId="0" xfId="0" applyNumberFormat="1" applyFont="1"/>
    <xf numFmtId="0" fontId="0" fillId="0" borderId="0" xfId="0" applyFont="1" applyFill="1" applyAlignment="1">
      <alignment horizontal="left" indent="1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168" fontId="0" fillId="0" borderId="0" xfId="0" applyNumberFormat="1" applyFont="1" applyAlignment="1">
      <alignment horizontal="right"/>
    </xf>
    <xf numFmtId="4" fontId="0" fillId="0" borderId="0" xfId="0" applyNumberFormat="1" applyFont="1" applyFill="1"/>
    <xf numFmtId="4" fontId="0" fillId="0" borderId="0" xfId="0" applyNumberFormat="1" applyFont="1"/>
    <xf numFmtId="165" fontId="0" fillId="0" borderId="0" xfId="0" applyNumberFormat="1" applyFont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ont="1"/>
    <xf numFmtId="0" fontId="0" fillId="0" borderId="3" xfId="0" applyFont="1" applyBorder="1"/>
    <xf numFmtId="166" fontId="0" fillId="0" borderId="0" xfId="0" applyNumberFormat="1" applyFont="1"/>
    <xf numFmtId="169" fontId="0" fillId="0" borderId="0" xfId="0" applyNumberFormat="1" applyFont="1" applyAlignment="1">
      <alignment horizontal="right"/>
    </xf>
    <xf numFmtId="168" fontId="0" fillId="0" borderId="0" xfId="0" applyNumberFormat="1" applyFont="1" applyFill="1"/>
    <xf numFmtId="3" fontId="0" fillId="0" borderId="0" xfId="0" applyNumberFormat="1" applyFont="1" applyAlignment="1">
      <alignment horizontal="right"/>
    </xf>
    <xf numFmtId="0" fontId="2" fillId="0" borderId="0" xfId="0" applyFont="1" applyFill="1"/>
    <xf numFmtId="0" fontId="0" fillId="0" borderId="0" xfId="0" applyFont="1" applyFill="1" applyAlignment="1">
      <alignment horizontal="left"/>
    </xf>
    <xf numFmtId="169" fontId="0" fillId="0" borderId="0" xfId="1" applyNumberFormat="1" applyFont="1" applyFill="1"/>
    <xf numFmtId="169" fontId="0" fillId="0" borderId="0" xfId="0" applyNumberFormat="1" applyFont="1" applyFill="1" applyAlignment="1">
      <alignment horizontal="right"/>
    </xf>
    <xf numFmtId="167" fontId="0" fillId="0" borderId="0" xfId="1" applyNumberFormat="1" applyFont="1" applyFill="1"/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/>
    <xf numFmtId="0" fontId="0" fillId="0" borderId="3" xfId="0" applyFont="1" applyFill="1" applyBorder="1"/>
    <xf numFmtId="0" fontId="0" fillId="0" borderId="0" xfId="0" applyFont="1" applyFill="1" applyAlignment="1">
      <alignment wrapText="1"/>
    </xf>
    <xf numFmtId="0" fontId="4" fillId="0" borderId="0" xfId="0" applyFont="1" applyFill="1"/>
    <xf numFmtId="4" fontId="0" fillId="0" borderId="0" xfId="0" applyNumberFormat="1" applyFont="1" applyFill="1" applyAlignment="1">
      <alignment horizontal="right"/>
    </xf>
    <xf numFmtId="170" fontId="0" fillId="0" borderId="0" xfId="0" applyNumberFormat="1" applyFont="1" applyFill="1"/>
    <xf numFmtId="170" fontId="0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ysClr val="windowText" lastClr="000000"/>
                </a:solidFill>
              </a:rPr>
              <a:t>PANI: Indicadores de Resultado 2018</a:t>
            </a:r>
          </a:p>
        </c:rich>
      </c:tx>
      <c:layout>
        <c:manualLayout>
          <c:xMode val="edge"/>
          <c:yMode val="edge"/>
          <c:x val="0.3011596675415573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(Anual!$B$4,Anual!$C$5,Anual!$D$5,Anual!$E$5,Anual!$F$5,Anual!$G$5,Anual!$H$5)</c15:sqref>
                  </c15:fullRef>
                </c:ext>
              </c:extLst>
              <c:f>(Anual!$B$4,Anual!$C$5,Anual!$D$5,Anual!$E$5,Anual!$F$5,Anual!$G$5)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(Anual!$B$44,Anual!$C$44:$D$44,Anual!$E$44,Anual!$F$44:$G$44,Anual!$H$44)</c15:sqref>
                  </c15:fullRef>
                </c:ext>
              </c:extLst>
              <c:f>(Anual!$B$44,Anual!$C$44:$D$44,Anual!$E$44,Anual!$F$44:$G$44)</c:f>
              <c:numCache>
                <c:formatCode>#.##0\.0____</c:formatCode>
                <c:ptCount val="6"/>
                <c:pt idx="0">
                  <c:v>98.42606772162668</c:v>
                </c:pt>
                <c:pt idx="1">
                  <c:v>103.6144578313253</c:v>
                </c:pt>
                <c:pt idx="2">
                  <c:v>269.82984293193721</c:v>
                </c:pt>
                <c:pt idx="3">
                  <c:v>104.07608695652173</c:v>
                </c:pt>
                <c:pt idx="4">
                  <c:v>18.87777777777778</c:v>
                </c:pt>
                <c:pt idx="5">
                  <c:v>46.25714285714286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F-496E-976F-6D352FFDCED0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(Anual!$B$4,Anual!$C$5,Anual!$D$5,Anual!$E$5,Anual!$F$5,Anual!$G$5,Anual!$H$5)</c15:sqref>
                  </c15:fullRef>
                </c:ext>
              </c:extLst>
              <c:f>(Anual!$B$4,Anual!$C$5,Anual!$D$5,Anual!$E$5,Anual!$F$5,Anual!$G$5)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(Anual!$B$45,Anual!$C$45:$D$45,Anual!$E$45,Anual!$F$45:$G$45,Anual!$H$45)</c15:sqref>
                  </c15:fullRef>
                </c:ext>
              </c:extLst>
              <c:f>(Anual!$B$45,Anual!$C$45:$D$45,Anual!$E$45,Anual!$F$45:$G$45)</c:f>
              <c:numCache>
                <c:formatCode>#.##0\.0____</c:formatCode>
                <c:ptCount val="6"/>
                <c:pt idx="0">
                  <c:v>85.705208939822811</c:v>
                </c:pt>
                <c:pt idx="1">
                  <c:v>83.444250242997711</c:v>
                </c:pt>
                <c:pt idx="2">
                  <c:v>99.996260701103623</c:v>
                </c:pt>
                <c:pt idx="3">
                  <c:v>90.554455781858678</c:v>
                </c:pt>
                <c:pt idx="4">
                  <c:v>71.387225045532716</c:v>
                </c:pt>
                <c:pt idx="5">
                  <c:v>66.326354767998367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F-496E-976F-6D352FFDCED0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(Anual!$B$4,Anual!$C$5,Anual!$D$5,Anual!$E$5,Anual!$F$5,Anual!$G$5,Anual!$H$5)</c15:sqref>
                  </c15:fullRef>
                </c:ext>
              </c:extLst>
              <c:f>(Anual!$B$4,Anual!$C$5,Anual!$D$5,Anual!$E$5,Anual!$F$5,Anual!$G$5)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(Anual!$B$46,Anual!$C$46:$D$46,Anual!$E$46,Anual!$F$46:$G$46,Anual!$H$46)</c15:sqref>
                  </c15:fullRef>
                </c:ext>
              </c:extLst>
              <c:f>(Anual!$B$46,Anual!$C$46:$D$46,Anual!$E$46,Anual!$F$46:$G$46)</c:f>
              <c:numCache>
                <c:formatCode>#.##0\.0____</c:formatCode>
                <c:ptCount val="6"/>
                <c:pt idx="0">
                  <c:v>92.065638330724738</c:v>
                </c:pt>
                <c:pt idx="1">
                  <c:v>93.529354037161511</c:v>
                </c:pt>
                <c:pt idx="2">
                  <c:v>184.91305181652041</c:v>
                </c:pt>
                <c:pt idx="3">
                  <c:v>97.315271369190214</c:v>
                </c:pt>
                <c:pt idx="4">
                  <c:v>45.132501411655248</c:v>
                </c:pt>
                <c:pt idx="5">
                  <c:v>56.291748812570617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F-496E-976F-6D352FFD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6423776"/>
        <c:axId val="246424168"/>
      </c:barChart>
      <c:catAx>
        <c:axId val="246423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6424168"/>
        <c:crosses val="autoZero"/>
        <c:auto val="1"/>
        <c:lblAlgn val="ctr"/>
        <c:lblOffset val="100"/>
        <c:noMultiLvlLbl val="0"/>
      </c:catAx>
      <c:valAx>
        <c:axId val="24642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642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400"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PANI: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(Anual!$C$5,Anual!$B$4,Anual!$D$5,Anual!$E$5:$G$5)</c:f>
              <c:strCache>
                <c:ptCount val="6"/>
                <c:pt idx="0">
                  <c:v>Atención de 
denuncias</c:v>
                </c:pt>
                <c:pt idx="1">
                  <c:v>Total programa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f>(Anual!$C$57,Anual!$B$57,Anual!$D$57,Anual!$E$57:$G$57)</c:f>
              <c:numCache>
                <c:formatCode>#.##0\.0____</c:formatCode>
                <c:ptCount val="6"/>
                <c:pt idx="0">
                  <c:v>6.3866513233601818</c:v>
                </c:pt>
                <c:pt idx="1">
                  <c:v>9.2364373248886356</c:v>
                </c:pt>
                <c:pt idx="2">
                  <c:v>28.799028115237757</c:v>
                </c:pt>
                <c:pt idx="3">
                  <c:v>0.41950707918196883</c:v>
                </c:pt>
                <c:pt idx="4">
                  <c:v>24.195906432748536</c:v>
                </c:pt>
                <c:pt idx="5">
                  <c:v>91.070023603461834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5-4135-8F0A-F233885B319E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(Anual!$C$5,Anual!$B$4,Anual!$D$5,Anual!$E$5:$G$5)</c:f>
              <c:strCache>
                <c:ptCount val="6"/>
                <c:pt idx="0">
                  <c:v>Atención de 
denuncias</c:v>
                </c:pt>
                <c:pt idx="1">
                  <c:v>Total programa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f>(Anual!$C$58,Anual!$B$58,Anual!$D$58,Anual!$E$58:$G$58)</c:f>
              <c:numCache>
                <c:formatCode>#.##0\.0____</c:formatCode>
                <c:ptCount val="6"/>
                <c:pt idx="0">
                  <c:v>3.6861424590775904</c:v>
                </c:pt>
                <c:pt idx="1">
                  <c:v>2.254373602362536</c:v>
                </c:pt>
                <c:pt idx="2">
                  <c:v>3.4383160761677578</c:v>
                </c:pt>
                <c:pt idx="3">
                  <c:v>-0.9509357211805014</c:v>
                </c:pt>
                <c:pt idx="4">
                  <c:v>-3.5789457463193841</c:v>
                </c:pt>
                <c:pt idx="5">
                  <c:v>-16.56193020340061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5-4135-8F0A-F233885B319E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(Anual!$C$5,Anual!$B$4,Anual!$D$5,Anual!$E$5:$G$5)</c:f>
              <c:strCache>
                <c:ptCount val="6"/>
                <c:pt idx="0">
                  <c:v>Atención de 
denuncias</c:v>
                </c:pt>
                <c:pt idx="1">
                  <c:v>Total programa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f>(Anual!$C$59,Anual!$B$59,Anual!$D$59,Anual!$E$59:$G$59)</c:f>
              <c:numCache>
                <c:formatCode>#.##0\.0____</c:formatCode>
                <c:ptCount val="6"/>
                <c:pt idx="0">
                  <c:v>-2.5383907009860152</c:v>
                </c:pt>
                <c:pt idx="1">
                  <c:v>-6.3916984968671269</c:v>
                </c:pt>
                <c:pt idx="2">
                  <c:v>-19.690142394847509</c:v>
                </c:pt>
                <c:pt idx="3">
                  <c:v>-1.3647177129457955</c:v>
                </c:pt>
                <c:pt idx="4">
                  <c:v>-22.363742072374883</c:v>
                </c:pt>
                <c:pt idx="5">
                  <c:v>-56.331156388108781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5-4135-8F0A-F233885B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46424952"/>
        <c:axId val="246425344"/>
      </c:barChart>
      <c:catAx>
        <c:axId val="246424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12700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6425344"/>
        <c:crosses val="autoZero"/>
        <c:auto val="1"/>
        <c:lblAlgn val="ctr"/>
        <c:lblOffset val="100"/>
        <c:noMultiLvlLbl val="0"/>
      </c:catAx>
      <c:valAx>
        <c:axId val="2464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24642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027139316637986E-2"/>
          <c:y val="0.86220814452595562"/>
          <c:w val="0.98348021476136116"/>
          <c:h val="0.1174614896982141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es-CR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ysClr val="windowText" lastClr="000000"/>
                </a:solidFill>
              </a:rPr>
              <a:t>PANI: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DF-4F5A-AC88-8C4483AF6676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DF-4F5A-AC88-8C4483AF6676}"/>
              </c:ext>
            </c:extLst>
          </c:dPt>
          <c:dLbls>
            <c:dLbl>
              <c:idx val="0"/>
              <c:layout>
                <c:manualLayout>
                  <c:x val="1.1425301915852202E-3"/>
                  <c:y val="-3.439438040057373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100%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259885135232407E-2"/>
                      <c:h val="6.55001034531508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EDF-4F5A-AC88-8C4483AF6676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86%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263318123587583E-2"/>
                      <c:h val="7.9948655685463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EDF-4F5A-AC88-8C4483AF667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#\ ##0.0____</c:formatCode>
                <c:ptCount val="2"/>
                <c:pt idx="0">
                  <c:v>99.96113629342338</c:v>
                </c:pt>
                <c:pt idx="1">
                  <c:v>85.738530110588087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B-4B03-A2DA-CEF03390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0335600"/>
        <c:axId val="490335928"/>
      </c:barChart>
      <c:valAx>
        <c:axId val="4903359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0335600"/>
        <c:crossBetween val="between"/>
      </c:valAx>
      <c:catAx>
        <c:axId val="490335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03359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0-42C3-A07D-8B60FFB1891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0-42C3-A07D-8B60FFB1891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0-42C3-A07D-8B60FFB1891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0-42C3-A07D-8B60FFB1891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0-42C3-A07D-8B60FFB1891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0-42C3-A07D-8B60FFB18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(Anual!$B$4,Anual!$C$5,Anual!$D$5,Anual!$E$5,Anual!$F$5,Anual!$G$5)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f>(Anual!$B$64,Anual!$C$64:$D$64,Anual!$E$64:$G$64)</c:f>
              <c:numCache>
                <c:formatCode>#.##0\.0</c:formatCode>
                <c:ptCount val="6"/>
                <c:pt idx="0">
                  <c:v>80.166819136056802</c:v>
                </c:pt>
                <c:pt idx="1">
                  <c:v>75.32237282993664</c:v>
                </c:pt>
                <c:pt idx="2">
                  <c:v>68.526941036487187</c:v>
                </c:pt>
                <c:pt idx="3">
                  <c:v>84.672009640238542</c:v>
                </c:pt>
                <c:pt idx="4">
                  <c:v>170.67072581680344</c:v>
                </c:pt>
                <c:pt idx="5">
                  <c:v>80.714593933833427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D-458E-9F88-533C057E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gapDepth val="0"/>
        <c:shape val="box"/>
        <c:axId val="248352616"/>
        <c:axId val="248353008"/>
        <c:axId val="0"/>
      </c:bar3DChart>
      <c:catAx>
        <c:axId val="24835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3008"/>
        <c:crosses val="autoZero"/>
        <c:auto val="1"/>
        <c:lblAlgn val="ctr"/>
        <c:lblOffset val="100"/>
        <c:noMultiLvlLbl val="0"/>
      </c:catAx>
      <c:valAx>
        <c:axId val="24835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26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32730293605836"/>
          <c:y val="0.17171296296296296"/>
          <c:w val="0.86211714150838614"/>
          <c:h val="0.49383300920565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(Anual!$B$4,Anual!$C$5:$H$5)</c15:sqref>
                  </c15:fullRef>
                </c:ext>
              </c:extLst>
              <c:f>(Anual!$B$4,Anual!$C$5:$G$5)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(Anual!$B$65,Anual!$C$65:$D$65,Anual!$E$65:$G$65,Anual!$H$65:$H$65)</c15:sqref>
                  </c15:fullRef>
                </c:ext>
              </c:extLst>
              <c:f>(Anual!$B$65,Anual!$C$65:$D$65,Anual!$E$65:$G$65)</c:f>
              <c:numCache>
                <c:formatCode>#,##0</c:formatCode>
                <c:ptCount val="6"/>
                <c:pt idx="0">
                  <c:v>310285.77823889739</c:v>
                </c:pt>
                <c:pt idx="1">
                  <c:v>276499.79965022882</c:v>
                </c:pt>
                <c:pt idx="2">
                  <c:v>1280405.4000000001</c:v>
                </c:pt>
                <c:pt idx="3">
                  <c:v>4318805.284782609</c:v>
                </c:pt>
                <c:pt idx="4">
                  <c:v>65974.559999999998</c:v>
                </c:pt>
                <c:pt idx="5">
                  <c:v>88641.06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D58-8C04-DFDAF3735ACC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(Anual!$B$4,Anual!$C$5:$H$5)</c15:sqref>
                  </c15:fullRef>
                </c:ext>
              </c:extLst>
              <c:f>(Anual!$B$4,Anual!$C$5:$G$5)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(Anual!$B$66,Anual!$C$66:$D$66,Anual!$E$66:$G$66,Anual!$H$66:$H$66)</c15:sqref>
                  </c15:fullRef>
                </c:ext>
              </c:extLst>
              <c:f>(Anual!$B$66,Anual!$C$66:$D$66,Anual!$E$66:$G$66)</c:f>
              <c:numCache>
                <c:formatCode>#,##0</c:formatCode>
                <c:ptCount val="6"/>
                <c:pt idx="0">
                  <c:v>270183.58114470367</c:v>
                </c:pt>
                <c:pt idx="1">
                  <c:v>222674.70155286643</c:v>
                </c:pt>
                <c:pt idx="2">
                  <c:v>474505.52833697147</c:v>
                </c:pt>
                <c:pt idx="3">
                  <c:v>3757703.3651801567</c:v>
                </c:pt>
                <c:pt idx="4">
                  <c:v>249485.97326662744</c:v>
                </c:pt>
                <c:pt idx="5">
                  <c:v>127099.03875231625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E-4D58-8C04-DFDAF3735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48353792"/>
        <c:axId val="248354184"/>
      </c:barChart>
      <c:catAx>
        <c:axId val="2483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4184"/>
        <c:crosses val="autoZero"/>
        <c:auto val="1"/>
        <c:lblAlgn val="ctr"/>
        <c:lblOffset val="100"/>
        <c:noMultiLvlLbl val="0"/>
      </c:catAx>
      <c:valAx>
        <c:axId val="248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4835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24979636417491"/>
          <c:y val="0.86962894205903241"/>
          <c:w val="0.7252360034802271"/>
          <c:h val="0.10763998250218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PANI: Indicadores de Avance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4.6609831225317887E-2"/>
          <c:y val="0.1258629772405033"/>
          <c:w val="0.93684363131235004"/>
          <c:h val="0.5636474776110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(Anual!$B$4,Anual!$C$5:$D$5,Anual!$E$5:$G$5,Anual!$H$5)</c15:sqref>
                  </c15:fullRef>
                </c:ext>
              </c:extLst>
              <c:f>(Anual!$B$4,Anual!$C$5:$D$5,Anual!$E$5:$G$5)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(Anual!$B$49,Anual!$C$49:$D$49,Anual!$E$49:$G$49,Anual!$H$49)</c15:sqref>
                  </c15:fullRef>
                </c:ext>
              </c:extLst>
              <c:f>(Anual!$B$49,Anual!$C$49:$D$49,Anual!$E$49:$G$49)</c:f>
              <c:numCache>
                <c:formatCode>#.##0\.0____</c:formatCode>
                <c:ptCount val="6"/>
                <c:pt idx="0">
                  <c:v>98.42606772162668</c:v>
                </c:pt>
                <c:pt idx="1">
                  <c:v>103.6144578313253</c:v>
                </c:pt>
                <c:pt idx="2">
                  <c:v>269.82984293193721</c:v>
                </c:pt>
                <c:pt idx="3">
                  <c:v>104.07608695652173</c:v>
                </c:pt>
                <c:pt idx="4">
                  <c:v>18.87777777777778</c:v>
                </c:pt>
                <c:pt idx="5">
                  <c:v>46.25714285714286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4-404D-BF2B-FBC3470BF25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(Anual!$B$4,Anual!$C$5:$D$5,Anual!$E$5:$G$5,Anual!$H$5)</c15:sqref>
                  </c15:fullRef>
                </c:ext>
              </c:extLst>
              <c:f>(Anual!$B$4,Anual!$C$5:$D$5,Anual!$E$5:$G$5)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(Anual!$B$50,Anual!$C$50:$D$50,Anual!$E$50:$G$50,Anual!$H$50)</c15:sqref>
                  </c15:fullRef>
                </c:ext>
              </c:extLst>
              <c:f>(Anual!$B$50,Anual!$C$50:$D$50,Anual!$E$50:$G$50)</c:f>
              <c:numCache>
                <c:formatCode>#.##0\.0____</c:formatCode>
                <c:ptCount val="6"/>
                <c:pt idx="0">
                  <c:v>85.705208941991998</c:v>
                </c:pt>
                <c:pt idx="1">
                  <c:v>83.444250242997711</c:v>
                </c:pt>
                <c:pt idx="2">
                  <c:v>99.996260728362742</c:v>
                </c:pt>
                <c:pt idx="3">
                  <c:v>90.554455781858678</c:v>
                </c:pt>
                <c:pt idx="4">
                  <c:v>71.387225045532716</c:v>
                </c:pt>
                <c:pt idx="5">
                  <c:v>66.326354767998367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4-404D-BF2B-FBC3470BF25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(Anual!$B$4,Anual!$C$5:$D$5,Anual!$E$5:$G$5,Anual!$H$5)</c15:sqref>
                  </c15:fullRef>
                </c:ext>
              </c:extLst>
              <c:f>(Anual!$B$4,Anual!$C$5:$D$5,Anual!$E$5:$G$5)</c:f>
              <c:strCache>
                <c:ptCount val="6"/>
                <c:pt idx="0">
                  <c:v>Total programa</c:v>
                </c:pt>
                <c:pt idx="1">
                  <c:v>Atención de 
denuncias</c:v>
                </c:pt>
                <c:pt idx="2">
                  <c:v>Centros de Atención Infantil-
Guarderías</c:v>
                </c:pt>
                <c:pt idx="3">
                  <c:v>Protección y apoyo a los niños, niñas 
y adolescentes en los Albergues PANI</c:v>
                </c:pt>
                <c:pt idx="4">
                  <c:v>Juntas  de Protección de niñez y adolescencia - Promoción </c:v>
                </c:pt>
                <c:pt idx="5">
                  <c:v>Juntas  de Protección de niñez y adolescencia - Prevención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(Anual!$B$51,Anual!$C$51:$D$51,Anual!$E$51:$G$51,Anual!$H$51)</c15:sqref>
                  </c15:fullRef>
                </c:ext>
              </c:extLst>
              <c:f>(Anual!$B$51,Anual!$C$51:$D$51,Anual!$E$51:$G$51)</c:f>
              <c:numCache>
                <c:formatCode>#.##0\.0____</c:formatCode>
                <c:ptCount val="6"/>
                <c:pt idx="0">
                  <c:v>92.065638331809339</c:v>
                </c:pt>
                <c:pt idx="1">
                  <c:v>93.529354037161511</c:v>
                </c:pt>
                <c:pt idx="2">
                  <c:v>184.91305183014998</c:v>
                </c:pt>
                <c:pt idx="3">
                  <c:v>97.315271369190214</c:v>
                </c:pt>
                <c:pt idx="4">
                  <c:v>45.132501411655248</c:v>
                </c:pt>
                <c:pt idx="5">
                  <c:v>56.291748812570617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4-404D-BF2B-FBC3470B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"/>
        <c:axId val="548439192"/>
        <c:axId val="548439584"/>
      </c:barChart>
      <c:catAx>
        <c:axId val="54843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8439584"/>
        <c:crosses val="autoZero"/>
        <c:auto val="1"/>
        <c:lblAlgn val="ctr"/>
        <c:lblOffset val="100"/>
        <c:tickLblSkip val="1"/>
        <c:noMultiLvlLbl val="0"/>
      </c:catAx>
      <c:valAx>
        <c:axId val="5484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843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43564107587314"/>
          <c:y val="0.93274073497722132"/>
          <c:w val="0.60112859940489316"/>
          <c:h val="5.7106983464038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333375</xdr:colOff>
      <xdr:row>3</xdr:row>
      <xdr:rowOff>85724</xdr:rowOff>
    </xdr:from>
    <xdr:to>
      <xdr:col>32</xdr:col>
      <xdr:colOff>571500</xdr:colOff>
      <xdr:row>20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204257</xdr:colOff>
      <xdr:row>3</xdr:row>
      <xdr:rowOff>73818</xdr:rowOff>
    </xdr:from>
    <xdr:to>
      <xdr:col>21</xdr:col>
      <xdr:colOff>250030</xdr:colOff>
      <xdr:row>19</xdr:row>
      <xdr:rowOff>178593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502442</xdr:colOff>
      <xdr:row>40</xdr:row>
      <xdr:rowOff>180446</xdr:rowOff>
    </xdr:from>
    <xdr:to>
      <xdr:col>19</xdr:col>
      <xdr:colOff>726282</xdr:colOff>
      <xdr:row>58</xdr:row>
      <xdr:rowOff>47624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366449</xdr:colOff>
      <xdr:row>40</xdr:row>
      <xdr:rowOff>128584</xdr:rowOff>
    </xdr:from>
    <xdr:to>
      <xdr:col>32</xdr:col>
      <xdr:colOff>607218</xdr:colOff>
      <xdr:row>59</xdr:row>
      <xdr:rowOff>130967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334432</xdr:colOff>
      <xdr:row>20</xdr:row>
      <xdr:rowOff>61911</xdr:rowOff>
    </xdr:from>
    <xdr:to>
      <xdr:col>32</xdr:col>
      <xdr:colOff>595312</xdr:colOff>
      <xdr:row>39</xdr:row>
      <xdr:rowOff>178593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212991</xdr:colOff>
      <xdr:row>20</xdr:row>
      <xdr:rowOff>57148</xdr:rowOff>
    </xdr:from>
    <xdr:to>
      <xdr:col>21</xdr:col>
      <xdr:colOff>273845</xdr:colOff>
      <xdr:row>39</xdr:row>
      <xdr:rowOff>190499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7109375" style="8" customWidth="1"/>
    <col min="2" max="8" width="22.5703125" style="8" customWidth="1"/>
    <col min="9" max="12" width="11.42578125" style="8"/>
    <col min="13" max="13" width="20.85546875" style="8" customWidth="1"/>
    <col min="14" max="16384" width="11.42578125" style="8"/>
  </cols>
  <sheetData>
    <row r="1" spans="1:16" x14ac:dyDescent="0.25">
      <c r="A1" s="7"/>
    </row>
    <row r="2" spans="1:16" ht="15.75" x14ac:dyDescent="0.25">
      <c r="A2" s="45" t="s">
        <v>44</v>
      </c>
      <c r="B2" s="45"/>
      <c r="C2" s="45"/>
      <c r="D2" s="45"/>
      <c r="E2" s="45"/>
      <c r="F2" s="45"/>
      <c r="G2" s="45"/>
      <c r="H2" s="45"/>
    </row>
    <row r="4" spans="1:16" x14ac:dyDescent="0.25">
      <c r="A4" s="41" t="s">
        <v>0</v>
      </c>
      <c r="B4" s="43" t="s">
        <v>1</v>
      </c>
      <c r="C4" s="46" t="s">
        <v>2</v>
      </c>
      <c r="D4" s="46"/>
      <c r="E4" s="46"/>
      <c r="F4" s="46"/>
      <c r="G4" s="46"/>
      <c r="H4" s="46"/>
      <c r="I4" s="9"/>
      <c r="J4" s="9"/>
      <c r="K4" s="9"/>
      <c r="L4" s="9"/>
      <c r="M4" s="9"/>
      <c r="N4" s="9"/>
      <c r="O4" s="9"/>
    </row>
    <row r="5" spans="1:16" ht="60.75" thickBot="1" x14ac:dyDescent="0.3">
      <c r="A5" s="42"/>
      <c r="B5" s="44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6" ht="15.75" thickTop="1" x14ac:dyDescent="0.25">
      <c r="P6" s="7"/>
    </row>
    <row r="7" spans="1:16" x14ac:dyDescent="0.25">
      <c r="A7" s="1" t="s">
        <v>3</v>
      </c>
    </row>
    <row r="9" spans="1:16" x14ac:dyDescent="0.25">
      <c r="A9" s="8" t="s">
        <v>4</v>
      </c>
    </row>
    <row r="10" spans="1:16" x14ac:dyDescent="0.25">
      <c r="A10" s="12" t="s">
        <v>45</v>
      </c>
      <c r="B10" s="13">
        <f>C10+D10+E10+F10+G10+H10</f>
        <v>12477</v>
      </c>
      <c r="C10" s="13">
        <v>9731</v>
      </c>
      <c r="D10" s="5">
        <v>2288</v>
      </c>
      <c r="E10" s="13">
        <v>458</v>
      </c>
      <c r="F10" s="13">
        <v>0</v>
      </c>
      <c r="G10" s="13">
        <v>0</v>
      </c>
      <c r="H10" s="13">
        <v>0</v>
      </c>
    </row>
    <row r="11" spans="1:16" x14ac:dyDescent="0.25">
      <c r="A11" s="12" t="s">
        <v>46</v>
      </c>
      <c r="B11" s="13">
        <f t="shared" ref="B11:B13" si="0">C11+D11+E11+F11+G11+H11</f>
        <v>12313</v>
      </c>
      <c r="C11" s="13">
        <v>10707</v>
      </c>
      <c r="D11" s="5">
        <v>1146</v>
      </c>
      <c r="E11" s="5">
        <v>460</v>
      </c>
      <c r="F11" s="5">
        <v>0</v>
      </c>
      <c r="G11" s="13">
        <v>0</v>
      </c>
      <c r="H11" s="13">
        <v>0</v>
      </c>
    </row>
    <row r="12" spans="1:16" x14ac:dyDescent="0.25">
      <c r="A12" s="12" t="s">
        <v>47</v>
      </c>
      <c r="B12" s="13">
        <f t="shared" si="0"/>
        <v>12217.666666666666</v>
      </c>
      <c r="C12" s="13">
        <v>8679</v>
      </c>
      <c r="D12" s="5">
        <v>3054</v>
      </c>
      <c r="E12" s="13">
        <v>484.66666666666669</v>
      </c>
      <c r="F12" s="5">
        <v>0</v>
      </c>
      <c r="G12" s="5">
        <v>0</v>
      </c>
      <c r="H12" s="13">
        <v>0</v>
      </c>
    </row>
    <row r="13" spans="1:16" s="7" customFormat="1" x14ac:dyDescent="0.25">
      <c r="A13" s="14" t="s">
        <v>48</v>
      </c>
      <c r="B13" s="13">
        <f t="shared" si="0"/>
        <v>50934</v>
      </c>
      <c r="C13" s="5">
        <v>42828</v>
      </c>
      <c r="D13" s="5">
        <v>1146</v>
      </c>
      <c r="E13" s="5">
        <v>460</v>
      </c>
      <c r="F13" s="5">
        <v>3000</v>
      </c>
      <c r="G13" s="5">
        <v>3500</v>
      </c>
      <c r="H13" s="5">
        <v>0</v>
      </c>
    </row>
    <row r="14" spans="1:16" x14ac:dyDescent="0.25">
      <c r="F14" s="7"/>
      <c r="G14" s="7"/>
    </row>
    <row r="15" spans="1:16" x14ac:dyDescent="0.25">
      <c r="A15" s="15" t="s">
        <v>5</v>
      </c>
      <c r="F15" s="7"/>
      <c r="G15" s="7"/>
    </row>
    <row r="16" spans="1:16" x14ac:dyDescent="0.25">
      <c r="A16" s="12" t="s">
        <v>45</v>
      </c>
      <c r="B16" s="13">
        <f>SUM(C16:H16)</f>
        <v>3931689034</v>
      </c>
      <c r="C16" s="5">
        <v>2740393168</v>
      </c>
      <c r="D16" s="5">
        <v>653507024</v>
      </c>
      <c r="E16" s="5">
        <v>532633958</v>
      </c>
      <c r="F16" s="5">
        <v>1013270</v>
      </c>
      <c r="G16" s="5">
        <v>4141614</v>
      </c>
      <c r="H16" s="5">
        <v>0</v>
      </c>
    </row>
    <row r="17" spans="1:8" x14ac:dyDescent="0.25">
      <c r="A17" s="12" t="s">
        <v>46</v>
      </c>
      <c r="B17" s="13">
        <f>SUM(C17:H17)</f>
        <v>3558047805.1199999</v>
      </c>
      <c r="C17" s="5">
        <v>2732753866.02</v>
      </c>
      <c r="D17" s="5">
        <v>366836147.10000002</v>
      </c>
      <c r="E17" s="5">
        <v>458457792</v>
      </c>
      <c r="F17" s="5">
        <v>0</v>
      </c>
      <c r="G17" s="5">
        <v>0</v>
      </c>
      <c r="H17" s="13">
        <v>0</v>
      </c>
    </row>
    <row r="18" spans="1:8" x14ac:dyDescent="0.25">
      <c r="A18" s="12" t="s">
        <v>47</v>
      </c>
      <c r="B18" s="13">
        <f>SUM(C18:H18)</f>
        <v>4214812178.04</v>
      </c>
      <c r="C18" s="5">
        <v>2744679110.5</v>
      </c>
      <c r="D18" s="5">
        <v>1033720226</v>
      </c>
      <c r="E18" s="5">
        <v>435240126.54000002</v>
      </c>
      <c r="F18" s="5">
        <v>646910</v>
      </c>
      <c r="G18" s="5">
        <v>525805</v>
      </c>
      <c r="H18" s="13">
        <v>0</v>
      </c>
    </row>
    <row r="19" spans="1:8" x14ac:dyDescent="0.25">
      <c r="A19" s="12" t="s">
        <v>48</v>
      </c>
      <c r="B19" s="13">
        <f>SUM(C19:H19)</f>
        <v>15804095828.82</v>
      </c>
      <c r="C19" s="5">
        <v>11841933419.42</v>
      </c>
      <c r="D19" s="5">
        <v>1467344588.4000001</v>
      </c>
      <c r="E19" s="5">
        <v>1986650431</v>
      </c>
      <c r="F19" s="5">
        <v>197923680</v>
      </c>
      <c r="G19" s="5">
        <v>310243710</v>
      </c>
      <c r="H19" s="5">
        <v>0</v>
      </c>
    </row>
    <row r="20" spans="1:8" x14ac:dyDescent="0.25">
      <c r="A20" s="12" t="s">
        <v>49</v>
      </c>
      <c r="B20" s="13">
        <f>C20+D20+G20+E20+F20+H20</f>
        <v>4214812178.04</v>
      </c>
      <c r="C20" s="4">
        <v>2744679110.5</v>
      </c>
      <c r="D20" s="4">
        <v>1033720226</v>
      </c>
      <c r="E20" s="4">
        <v>435240126.54000002</v>
      </c>
      <c r="F20" s="4">
        <v>646910</v>
      </c>
      <c r="G20" s="4">
        <v>525805</v>
      </c>
      <c r="H20" s="4">
        <v>0</v>
      </c>
    </row>
    <row r="21" spans="1:8" x14ac:dyDescent="0.25">
      <c r="B21" s="13"/>
      <c r="C21" s="13"/>
      <c r="D21" s="13"/>
      <c r="E21" s="13"/>
      <c r="F21" s="13"/>
    </row>
    <row r="22" spans="1:8" x14ac:dyDescent="0.25">
      <c r="A22" s="15" t="s">
        <v>6</v>
      </c>
      <c r="B22" s="13"/>
      <c r="C22" s="13"/>
      <c r="D22" s="13"/>
      <c r="E22" s="13"/>
      <c r="F22" s="13"/>
    </row>
    <row r="23" spans="1:8" x14ac:dyDescent="0.25">
      <c r="A23" s="12" t="s">
        <v>46</v>
      </c>
      <c r="B23" s="13">
        <f>B17</f>
        <v>3558047805.1199999</v>
      </c>
    </row>
    <row r="24" spans="1:8" x14ac:dyDescent="0.25">
      <c r="A24" s="12" t="s">
        <v>47</v>
      </c>
      <c r="B24" s="13">
        <v>3414563608.4699998</v>
      </c>
    </row>
    <row r="26" spans="1:8" x14ac:dyDescent="0.25">
      <c r="A26" s="8" t="s">
        <v>7</v>
      </c>
    </row>
    <row r="27" spans="1:8" x14ac:dyDescent="0.25">
      <c r="A27" s="12" t="s">
        <v>50</v>
      </c>
      <c r="B27" s="16">
        <v>1.0042274323</v>
      </c>
      <c r="C27" s="16">
        <v>1.0042274323</v>
      </c>
      <c r="D27" s="16">
        <v>1.0042274323</v>
      </c>
      <c r="E27" s="16">
        <v>1.0042274323</v>
      </c>
      <c r="F27" s="16">
        <v>1.0042274323</v>
      </c>
      <c r="G27" s="16">
        <v>1.0042274323</v>
      </c>
      <c r="H27" s="16">
        <v>1.0042274323</v>
      </c>
    </row>
    <row r="28" spans="1:8" x14ac:dyDescent="0.25">
      <c r="A28" s="12" t="s">
        <v>51</v>
      </c>
      <c r="B28" s="16">
        <v>1.0304675706999999</v>
      </c>
      <c r="C28" s="16">
        <v>1.0304675706999999</v>
      </c>
      <c r="D28" s="16">
        <v>1.0304675706999999</v>
      </c>
      <c r="E28" s="16">
        <v>1.0304675706999999</v>
      </c>
      <c r="F28" s="16">
        <v>1.0304675706999999</v>
      </c>
      <c r="G28" s="16">
        <v>1.0304675706999999</v>
      </c>
      <c r="H28" s="16">
        <v>1.0304675706999999</v>
      </c>
    </row>
    <row r="29" spans="1:8" x14ac:dyDescent="0.25">
      <c r="A29" s="12" t="s">
        <v>8</v>
      </c>
      <c r="B29" s="17" t="s">
        <v>37</v>
      </c>
      <c r="C29" s="17" t="s">
        <v>37</v>
      </c>
      <c r="D29" s="17" t="s">
        <v>37</v>
      </c>
      <c r="E29" s="17" t="s">
        <v>37</v>
      </c>
      <c r="F29" s="17" t="s">
        <v>37</v>
      </c>
      <c r="G29" s="17" t="s">
        <v>37</v>
      </c>
      <c r="H29" s="17" t="s">
        <v>37</v>
      </c>
    </row>
    <row r="31" spans="1:8" x14ac:dyDescent="0.25">
      <c r="A31" s="12" t="s">
        <v>9</v>
      </c>
    </row>
    <row r="32" spans="1:8" x14ac:dyDescent="0.25">
      <c r="A32" s="12" t="s">
        <v>52</v>
      </c>
      <c r="B32" s="4">
        <f t="shared" ref="B32:H32" si="1">B16/B27</f>
        <v>3915138052.936059</v>
      </c>
      <c r="C32" s="4">
        <f t="shared" si="1"/>
        <v>2728857109.3140016</v>
      </c>
      <c r="D32" s="4">
        <f t="shared" si="1"/>
        <v>650755997.0785315</v>
      </c>
      <c r="E32" s="4">
        <f t="shared" si="1"/>
        <v>530391762.73057884</v>
      </c>
      <c r="F32" s="4">
        <f t="shared" si="1"/>
        <v>1009004.5017783368</v>
      </c>
      <c r="G32" s="4">
        <f t="shared" si="1"/>
        <v>4124179.3111689724</v>
      </c>
      <c r="H32" s="4">
        <f t="shared" si="1"/>
        <v>0</v>
      </c>
    </row>
    <row r="33" spans="1:8" x14ac:dyDescent="0.25">
      <c r="A33" s="12" t="s">
        <v>53</v>
      </c>
      <c r="B33" s="4">
        <f>B18/B28</f>
        <v>4090193906.0312829</v>
      </c>
      <c r="C33" s="4">
        <f t="shared" ref="C33:H33" si="2">C18/C28</f>
        <v>2663527886.3123569</v>
      </c>
      <c r="D33" s="4">
        <f t="shared" si="2"/>
        <v>1003156484.8739398</v>
      </c>
      <c r="E33" s="4">
        <f t="shared" si="2"/>
        <v>422371493.20899057</v>
      </c>
      <c r="F33" s="4">
        <f t="shared" si="2"/>
        <v>627782.97774140723</v>
      </c>
      <c r="G33" s="4">
        <f t="shared" si="2"/>
        <v>510258.6582543485</v>
      </c>
      <c r="H33" s="4">
        <f t="shared" si="2"/>
        <v>0</v>
      </c>
    </row>
    <row r="34" spans="1:8" x14ac:dyDescent="0.25">
      <c r="A34" s="12" t="s">
        <v>54</v>
      </c>
      <c r="B34" s="18">
        <f>B32/B10</f>
        <v>313788.41491833446</v>
      </c>
      <c r="C34" s="18">
        <f t="shared" ref="C34:E34" si="3">C32/C10</f>
        <v>280429.25797081506</v>
      </c>
      <c r="D34" s="18">
        <f t="shared" si="3"/>
        <v>284421.32739446306</v>
      </c>
      <c r="E34" s="18">
        <f t="shared" si="3"/>
        <v>1158060.6173156744</v>
      </c>
      <c r="F34" s="38" t="s">
        <v>37</v>
      </c>
      <c r="G34" s="38" t="s">
        <v>37</v>
      </c>
      <c r="H34" s="38" t="s">
        <v>37</v>
      </c>
    </row>
    <row r="35" spans="1:8" x14ac:dyDescent="0.25">
      <c r="A35" s="12" t="s">
        <v>55</v>
      </c>
      <c r="B35" s="19">
        <f>B33/B12</f>
        <v>334777.00919689657</v>
      </c>
      <c r="C35" s="19">
        <f t="shared" ref="C35:E35" si="4">C33/C12</f>
        <v>306893.40780186164</v>
      </c>
      <c r="D35" s="19">
        <f t="shared" si="4"/>
        <v>328472.98129467573</v>
      </c>
      <c r="E35" s="19">
        <f t="shared" si="4"/>
        <v>871468.00524551014</v>
      </c>
      <c r="F35" s="38" t="s">
        <v>37</v>
      </c>
      <c r="G35" s="38" t="s">
        <v>37</v>
      </c>
      <c r="H35" s="38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s="7" customFormat="1" x14ac:dyDescent="0.25">
      <c r="A44" s="7" t="s">
        <v>15</v>
      </c>
      <c r="B44" s="21">
        <f>B12/B11*100</f>
        <v>99.225750561736916</v>
      </c>
      <c r="C44" s="21">
        <f t="shared" ref="C44:E44" si="5">C12/C11*100</f>
        <v>81.059120201737173</v>
      </c>
      <c r="D44" s="21">
        <f>D12/D11*100</f>
        <v>266.49214659685867</v>
      </c>
      <c r="E44" s="21">
        <f t="shared" si="5"/>
        <v>105.36231884057972</v>
      </c>
      <c r="F44" s="38" t="s">
        <v>37</v>
      </c>
      <c r="G44" s="38" t="s">
        <v>37</v>
      </c>
      <c r="H44" s="38" t="s">
        <v>37</v>
      </c>
    </row>
    <row r="45" spans="1:8" s="7" customFormat="1" x14ac:dyDescent="0.25">
      <c r="A45" s="7" t="s">
        <v>16</v>
      </c>
      <c r="B45" s="21">
        <f>B18/B17*100</f>
        <v>118.45855954984421</v>
      </c>
      <c r="C45" s="21">
        <f t="shared" ref="C45:E45" si="6">C18/C17*100</f>
        <v>100.43638194527075</v>
      </c>
      <c r="D45" s="21">
        <f>D18/D17*100</f>
        <v>281.79344761196791</v>
      </c>
      <c r="E45" s="21">
        <f t="shared" si="6"/>
        <v>94.93570272658819</v>
      </c>
      <c r="F45" s="38" t="s">
        <v>37</v>
      </c>
      <c r="G45" s="38" t="s">
        <v>37</v>
      </c>
      <c r="H45" s="38" t="s">
        <v>37</v>
      </c>
    </row>
    <row r="46" spans="1:8" s="7" customFormat="1" x14ac:dyDescent="0.25">
      <c r="A46" s="7" t="s">
        <v>17</v>
      </c>
      <c r="B46" s="21">
        <f>AVERAGE(B44:B45)</f>
        <v>108.84215505579056</v>
      </c>
      <c r="C46" s="21">
        <f t="shared" ref="C46:E46" si="7">AVERAGE(C44:C45)</f>
        <v>90.747751073503963</v>
      </c>
      <c r="D46" s="21">
        <f>AVERAGE(D44:D45)</f>
        <v>274.14279710441326</v>
      </c>
      <c r="E46" s="21">
        <f t="shared" si="7"/>
        <v>100.14901078358395</v>
      </c>
      <c r="F46" s="38" t="s">
        <v>37</v>
      </c>
      <c r="G46" s="38" t="s">
        <v>37</v>
      </c>
      <c r="H46" s="38" t="s">
        <v>37</v>
      </c>
    </row>
    <row r="47" spans="1:8" s="7" customFormat="1" x14ac:dyDescent="0.25">
      <c r="B47" s="21"/>
      <c r="C47" s="21"/>
      <c r="D47" s="21"/>
      <c r="E47" s="21"/>
      <c r="F47" s="21"/>
    </row>
    <row r="48" spans="1:8" s="7" customFormat="1" x14ac:dyDescent="0.25">
      <c r="A48" s="7" t="s">
        <v>18</v>
      </c>
    </row>
    <row r="49" spans="1:13" s="7" customFormat="1" x14ac:dyDescent="0.25">
      <c r="A49" s="7" t="s">
        <v>19</v>
      </c>
      <c r="B49" s="21">
        <f>B12/B13*100</f>
        <v>23.987251475766023</v>
      </c>
      <c r="C49" s="21">
        <f t="shared" ref="C49:G49" si="8">C12/C13*100</f>
        <v>20.264780050434293</v>
      </c>
      <c r="D49" s="21">
        <f t="shared" si="8"/>
        <v>266.49214659685867</v>
      </c>
      <c r="E49" s="21">
        <f t="shared" si="8"/>
        <v>105.36231884057972</v>
      </c>
      <c r="F49" s="21">
        <f t="shared" si="8"/>
        <v>0</v>
      </c>
      <c r="G49" s="21">
        <f t="shared" si="8"/>
        <v>0</v>
      </c>
      <c r="H49" s="38" t="s">
        <v>37</v>
      </c>
    </row>
    <row r="50" spans="1:13" s="7" customFormat="1" x14ac:dyDescent="0.25">
      <c r="A50" s="7" t="s">
        <v>20</v>
      </c>
      <c r="B50" s="21">
        <f>B18/B19*100</f>
        <v>26.669113017866934</v>
      </c>
      <c r="C50" s="21">
        <f t="shared" ref="C50:G50" si="9">C18/C19*100</f>
        <v>23.177626602754792</v>
      </c>
      <c r="D50" s="21">
        <f>D18/D19*100</f>
        <v>70.448361902991977</v>
      </c>
      <c r="E50" s="21">
        <f t="shared" si="9"/>
        <v>21.908239101778847</v>
      </c>
      <c r="F50" s="21">
        <f t="shared" si="9"/>
        <v>0.32684820734941872</v>
      </c>
      <c r="G50" s="21">
        <f t="shared" si="9"/>
        <v>0.16948127651000564</v>
      </c>
      <c r="H50" s="38" t="s">
        <v>37</v>
      </c>
    </row>
    <row r="51" spans="1:13" s="7" customFormat="1" x14ac:dyDescent="0.25">
      <c r="A51" s="7" t="s">
        <v>21</v>
      </c>
      <c r="B51" s="21">
        <f>(B49+B50)/2</f>
        <v>25.328182246816478</v>
      </c>
      <c r="C51" s="21">
        <f t="shared" ref="C51:G51" si="10">(C49+C50)/2</f>
        <v>21.721203326594541</v>
      </c>
      <c r="D51" s="21">
        <f>(D49+D50)/2</f>
        <v>168.47025424992532</v>
      </c>
      <c r="E51" s="21">
        <f t="shared" si="10"/>
        <v>63.635278971179282</v>
      </c>
      <c r="F51" s="21">
        <f t="shared" si="10"/>
        <v>0.16342410367470936</v>
      </c>
      <c r="G51" s="21">
        <f t="shared" si="10"/>
        <v>8.4740638255002818E-2</v>
      </c>
      <c r="H51" s="38" t="s">
        <v>37</v>
      </c>
    </row>
    <row r="52" spans="1:13" s="7" customFormat="1" x14ac:dyDescent="0.25"/>
    <row r="53" spans="1:13" s="7" customFormat="1" x14ac:dyDescent="0.25">
      <c r="A53" s="7" t="s">
        <v>33</v>
      </c>
    </row>
    <row r="54" spans="1:13" s="7" customFormat="1" x14ac:dyDescent="0.25">
      <c r="A54" s="7" t="s">
        <v>22</v>
      </c>
      <c r="B54" s="39">
        <f>B20/B18*100</f>
        <v>100</v>
      </c>
      <c r="C54" s="21"/>
      <c r="D54" s="21"/>
      <c r="E54" s="21"/>
      <c r="F54" s="21"/>
      <c r="G54" s="21"/>
    </row>
    <row r="55" spans="1:13" s="7" customFormat="1" x14ac:dyDescent="0.25"/>
    <row r="56" spans="1:13" s="7" customFormat="1" x14ac:dyDescent="0.25">
      <c r="A56" s="7" t="s">
        <v>23</v>
      </c>
    </row>
    <row r="57" spans="1:13" s="7" customFormat="1" x14ac:dyDescent="0.25">
      <c r="A57" s="7" t="s">
        <v>24</v>
      </c>
      <c r="B57" s="21">
        <f>((B12/B10)-1)*100</f>
        <v>-2.0784910902727716</v>
      </c>
      <c r="C57" s="21">
        <f t="shared" ref="C57:E57" si="11">((C12/C10)-1)*100</f>
        <v>-10.810810810810811</v>
      </c>
      <c r="D57" s="21">
        <f>((D12/D10)-1)*100</f>
        <v>33.47902097902098</v>
      </c>
      <c r="E57" s="21">
        <f t="shared" si="11"/>
        <v>5.8224163027656539</v>
      </c>
      <c r="F57" s="38" t="s">
        <v>37</v>
      </c>
      <c r="G57" s="38" t="s">
        <v>37</v>
      </c>
      <c r="H57" s="38" t="s">
        <v>37</v>
      </c>
    </row>
    <row r="58" spans="1:13" s="7" customFormat="1" x14ac:dyDescent="0.25">
      <c r="A58" s="7" t="s">
        <v>25</v>
      </c>
      <c r="B58" s="21">
        <f t="shared" ref="B58:G58" si="12">((B33/B32)-1)*100</f>
        <v>4.4712562042083182</v>
      </c>
      <c r="C58" s="21">
        <f t="shared" si="12"/>
        <v>-2.3940140646670716</v>
      </c>
      <c r="D58" s="21">
        <f t="shared" si="12"/>
        <v>54.15247640858567</v>
      </c>
      <c r="E58" s="21">
        <f t="shared" si="12"/>
        <v>-20.366128796094994</v>
      </c>
      <c r="F58" s="21">
        <f t="shared" si="12"/>
        <v>-37.781944814422467</v>
      </c>
      <c r="G58" s="21">
        <f t="shared" si="12"/>
        <v>-87.627631590302542</v>
      </c>
      <c r="H58" s="38" t="s">
        <v>37</v>
      </c>
      <c r="I58" s="21"/>
      <c r="J58" s="21"/>
      <c r="K58" s="21"/>
      <c r="L58" s="21"/>
      <c r="M58" s="21"/>
    </row>
    <row r="59" spans="1:13" s="7" customFormat="1" x14ac:dyDescent="0.25">
      <c r="A59" s="7" t="s">
        <v>26</v>
      </c>
      <c r="B59" s="21">
        <f>((B35/B34)-1)*100</f>
        <v>6.6887728420517156</v>
      </c>
      <c r="C59" s="21">
        <f t="shared" ref="C59:E59" si="13">((C35/C34)-1)*100</f>
        <v>9.4370145335551214</v>
      </c>
      <c r="D59" s="21">
        <f>((D35/D34)-1)*100</f>
        <v>15.488168311343809</v>
      </c>
      <c r="E59" s="21">
        <f t="shared" si="13"/>
        <v>-24.747634777052639</v>
      </c>
      <c r="F59" s="38" t="s">
        <v>37</v>
      </c>
      <c r="G59" s="38" t="s">
        <v>37</v>
      </c>
      <c r="H59" s="38" t="s">
        <v>37</v>
      </c>
    </row>
    <row r="60" spans="1:13" s="7" customFormat="1" x14ac:dyDescent="0.25">
      <c r="B60" s="21"/>
      <c r="C60" s="21"/>
      <c r="D60" s="21"/>
      <c r="E60" s="21"/>
      <c r="F60" s="21"/>
    </row>
    <row r="61" spans="1:13" s="7" customFormat="1" x14ac:dyDescent="0.25">
      <c r="A61" s="7" t="s">
        <v>27</v>
      </c>
    </row>
    <row r="62" spans="1:13" s="7" customFormat="1" x14ac:dyDescent="0.25">
      <c r="A62" s="7" t="s">
        <v>124</v>
      </c>
      <c r="B62" s="5">
        <f>B17/(B11*3)</f>
        <v>96322.255749208154</v>
      </c>
      <c r="C62" s="5">
        <f>(C17/C11)</f>
        <v>255230.58429251891</v>
      </c>
      <c r="D62" s="5">
        <f t="shared" ref="D62:E62" si="14">D17/(D11*3)</f>
        <v>106700.45000000001</v>
      </c>
      <c r="E62" s="5">
        <f t="shared" si="14"/>
        <v>332215.7913043478</v>
      </c>
      <c r="F62" s="38" t="s">
        <v>37</v>
      </c>
      <c r="G62" s="38" t="s">
        <v>37</v>
      </c>
      <c r="H62" s="38" t="s">
        <v>37</v>
      </c>
      <c r="I62" s="5"/>
      <c r="J62" s="5"/>
      <c r="K62" s="5"/>
    </row>
    <row r="63" spans="1:13" s="7" customFormat="1" x14ac:dyDescent="0.25">
      <c r="A63" s="7" t="s">
        <v>125</v>
      </c>
      <c r="B63" s="5">
        <f t="shared" ref="B63" si="15">B18/(B12*3)</f>
        <v>114992.28379777916</v>
      </c>
      <c r="C63" s="5">
        <f t="shared" ref="C63:E63" si="16">C18/(C12*3)</f>
        <v>105414.56813380957</v>
      </c>
      <c r="D63" s="5">
        <f t="shared" si="16"/>
        <v>112826.91835843702</v>
      </c>
      <c r="E63" s="5">
        <f t="shared" si="16"/>
        <v>299339.83943603851</v>
      </c>
      <c r="F63" s="38" t="s">
        <v>37</v>
      </c>
      <c r="G63" s="38" t="s">
        <v>37</v>
      </c>
      <c r="H63" s="38" t="s">
        <v>37</v>
      </c>
    </row>
    <row r="64" spans="1:13" s="7" customFormat="1" x14ac:dyDescent="0.25">
      <c r="A64" s="7" t="s">
        <v>28</v>
      </c>
      <c r="B64" s="5">
        <f>(B62/B63)*B46</f>
        <v>91.170655537335293</v>
      </c>
      <c r="C64" s="5">
        <f t="shared" ref="C64:E64" si="17">(C62/C63)*C46</f>
        <v>219.71917107625907</v>
      </c>
      <c r="D64" s="5">
        <f t="shared" si="17"/>
        <v>259.25692415326205</v>
      </c>
      <c r="E64" s="5">
        <f t="shared" si="17"/>
        <v>111.1481950698554</v>
      </c>
      <c r="F64" s="38" t="s">
        <v>37</v>
      </c>
      <c r="G64" s="38" t="s">
        <v>37</v>
      </c>
      <c r="H64" s="38" t="s">
        <v>37</v>
      </c>
    </row>
    <row r="65" spans="1:8" s="7" customFormat="1" x14ac:dyDescent="0.25">
      <c r="A65" s="7" t="s">
        <v>126</v>
      </c>
      <c r="B65" s="5">
        <f t="shared" ref="B65" si="18">B17/B11</f>
        <v>288966.76724762446</v>
      </c>
      <c r="C65" s="5">
        <f>(C17/C11)*3</f>
        <v>765691.75287755672</v>
      </c>
      <c r="D65" s="5">
        <f t="shared" ref="D65:E65" si="19">D17/D11</f>
        <v>320101.35000000003</v>
      </c>
      <c r="E65" s="5">
        <f t="shared" si="19"/>
        <v>996647.37391304353</v>
      </c>
      <c r="F65" s="38" t="s">
        <v>37</v>
      </c>
      <c r="G65" s="38" t="s">
        <v>37</v>
      </c>
      <c r="H65" s="38" t="s">
        <v>37</v>
      </c>
    </row>
    <row r="66" spans="1:8" s="7" customFormat="1" x14ac:dyDescent="0.25">
      <c r="A66" s="7" t="s">
        <v>127</v>
      </c>
      <c r="B66" s="5">
        <f t="shared" ref="B66" si="20">B18/B12</f>
        <v>344976.85139333754</v>
      </c>
      <c r="C66" s="5">
        <f t="shared" ref="C66:E66" si="21">C18/C12</f>
        <v>316243.70440142875</v>
      </c>
      <c r="D66" s="5">
        <f t="shared" si="21"/>
        <v>338480.75507531106</v>
      </c>
      <c r="E66" s="5">
        <f t="shared" si="21"/>
        <v>898019.51830811554</v>
      </c>
      <c r="F66" s="38" t="s">
        <v>37</v>
      </c>
      <c r="G66" s="38" t="s">
        <v>37</v>
      </c>
      <c r="H66" s="38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95.967333647301544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123.43633510252796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7" t="s">
        <v>59</v>
      </c>
    </row>
    <row r="79" spans="1:8" ht="14.25" customHeight="1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144" spans="7:8" x14ac:dyDescent="0.25">
      <c r="G144" s="4"/>
      <c r="H144" s="4"/>
    </row>
    <row r="145" spans="7:8" x14ac:dyDescent="0.25">
      <c r="G145" s="4"/>
      <c r="H145" s="4"/>
    </row>
    <row r="146" spans="7:8" x14ac:dyDescent="0.25">
      <c r="G146" s="4"/>
      <c r="H146" s="4"/>
    </row>
  </sheetData>
  <mergeCells count="5">
    <mergeCell ref="A4:A5"/>
    <mergeCell ref="B4:B5"/>
    <mergeCell ref="A2:H2"/>
    <mergeCell ref="C4:H4"/>
    <mergeCell ref="A79:H79"/>
  </mergeCells>
  <pageMargins left="0.7" right="0.7" top="0.75" bottom="0.75" header="0.3" footer="0.3"/>
  <pageSetup orientation="portrait" r:id="rId1"/>
  <ignoredErrors>
    <ignoredError sqref="C65 C62" formula="1"/>
    <ignoredError sqref="F36:H43 F47:H48 F52:H56 F49:G51 F58:G58 F60:H6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7109375" style="8" customWidth="1"/>
    <col min="2" max="8" width="22.7109375" style="8" customWidth="1"/>
    <col min="9" max="16384" width="11.42578125" style="8"/>
  </cols>
  <sheetData>
    <row r="2" spans="1:17" ht="15.75" x14ac:dyDescent="0.25">
      <c r="A2" s="45" t="s">
        <v>60</v>
      </c>
      <c r="B2" s="45"/>
      <c r="C2" s="45"/>
      <c r="D2" s="45"/>
      <c r="E2" s="45"/>
      <c r="F2" s="45"/>
      <c r="G2" s="45"/>
      <c r="H2" s="45"/>
    </row>
    <row r="4" spans="1:17" x14ac:dyDescent="0.25">
      <c r="A4" s="41" t="s">
        <v>0</v>
      </c>
      <c r="B4" s="43" t="s">
        <v>1</v>
      </c>
      <c r="C4" s="46" t="s">
        <v>2</v>
      </c>
      <c r="D4" s="46"/>
      <c r="E4" s="46"/>
      <c r="F4" s="46"/>
      <c r="G4" s="46"/>
      <c r="H4" s="46"/>
    </row>
    <row r="5" spans="1:17" ht="60.75" thickBot="1" x14ac:dyDescent="0.3">
      <c r="A5" s="42"/>
      <c r="B5" s="44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7" ht="15.75" thickTop="1" x14ac:dyDescent="0.25">
      <c r="Q6" s="7"/>
    </row>
    <row r="7" spans="1:17" x14ac:dyDescent="0.25">
      <c r="A7" s="1" t="s">
        <v>3</v>
      </c>
    </row>
    <row r="9" spans="1:17" x14ac:dyDescent="0.25">
      <c r="A9" s="8" t="s">
        <v>4</v>
      </c>
    </row>
    <row r="10" spans="1:17" x14ac:dyDescent="0.25">
      <c r="A10" s="12" t="s">
        <v>61</v>
      </c>
      <c r="B10" s="13">
        <f>C10+D10+E10+F10+G10+H10</f>
        <v>13442.666666666668</v>
      </c>
      <c r="C10" s="13">
        <v>10672</v>
      </c>
      <c r="D10" s="5">
        <v>2306</v>
      </c>
      <c r="E10" s="13">
        <v>427.33333333333331</v>
      </c>
      <c r="F10" s="13">
        <v>0</v>
      </c>
      <c r="G10" s="13">
        <v>37.333333333333336</v>
      </c>
      <c r="H10" s="13">
        <v>0</v>
      </c>
    </row>
    <row r="11" spans="1:17" x14ac:dyDescent="0.25">
      <c r="A11" s="12" t="s">
        <v>62</v>
      </c>
      <c r="B11" s="13">
        <f t="shared" ref="B11:B13" si="0">C11+D11+E11+F11+G11+H11</f>
        <v>18813</v>
      </c>
      <c r="C11" s="13">
        <v>10707</v>
      </c>
      <c r="D11" s="5">
        <v>1146</v>
      </c>
      <c r="E11" s="13">
        <v>460</v>
      </c>
      <c r="F11" s="5">
        <v>3000</v>
      </c>
      <c r="G11" s="13">
        <v>3500</v>
      </c>
      <c r="H11" s="8">
        <v>0</v>
      </c>
    </row>
    <row r="12" spans="1:17" x14ac:dyDescent="0.25">
      <c r="A12" s="12" t="s">
        <v>63</v>
      </c>
      <c r="B12" s="13">
        <f t="shared" si="0"/>
        <v>11663.333333333334</v>
      </c>
      <c r="C12" s="13">
        <v>8111</v>
      </c>
      <c r="D12" s="5">
        <v>3076.3333333333335</v>
      </c>
      <c r="E12" s="13">
        <v>476</v>
      </c>
      <c r="F12" s="5">
        <v>0</v>
      </c>
      <c r="G12" s="5">
        <v>0</v>
      </c>
      <c r="H12" s="5">
        <v>0</v>
      </c>
    </row>
    <row r="13" spans="1:17" s="7" customFormat="1" x14ac:dyDescent="0.25">
      <c r="A13" s="14" t="s">
        <v>48</v>
      </c>
      <c r="B13" s="13">
        <f t="shared" si="0"/>
        <v>50934</v>
      </c>
      <c r="C13" s="5">
        <v>42828</v>
      </c>
      <c r="D13" s="5">
        <v>1146</v>
      </c>
      <c r="E13" s="5">
        <v>460</v>
      </c>
      <c r="F13" s="5">
        <v>3000</v>
      </c>
      <c r="G13" s="7">
        <v>3500</v>
      </c>
      <c r="H13" s="7">
        <v>0</v>
      </c>
    </row>
    <row r="14" spans="1:17" x14ac:dyDescent="0.25">
      <c r="F14" s="7"/>
      <c r="G14" s="7"/>
      <c r="H14" s="7"/>
    </row>
    <row r="15" spans="1:17" x14ac:dyDescent="0.25">
      <c r="A15" s="15" t="s">
        <v>5</v>
      </c>
      <c r="F15" s="7"/>
      <c r="G15" s="7"/>
      <c r="H15" s="7"/>
    </row>
    <row r="16" spans="1:17" x14ac:dyDescent="0.25">
      <c r="A16" s="12" t="s">
        <v>61</v>
      </c>
      <c r="B16" s="13">
        <f>SUM(C16:H16)</f>
        <v>3190106853.8800001</v>
      </c>
      <c r="C16" s="13">
        <v>1970071971.55</v>
      </c>
      <c r="D16" s="5">
        <v>736916141</v>
      </c>
      <c r="E16" s="13">
        <v>436298101.02999997</v>
      </c>
      <c r="F16" s="5">
        <v>1722443</v>
      </c>
      <c r="G16" s="5">
        <v>6406944.2799999993</v>
      </c>
      <c r="H16" s="5">
        <v>38691253.020000003</v>
      </c>
    </row>
    <row r="17" spans="1:8" x14ac:dyDescent="0.25">
      <c r="A17" s="12" t="s">
        <v>62</v>
      </c>
      <c r="B17" s="13">
        <f>SUM(C17:H17)</f>
        <v>3642742370.1199999</v>
      </c>
      <c r="C17" s="13">
        <v>2732753866.02</v>
      </c>
      <c r="D17" s="5">
        <v>366836147.10000002</v>
      </c>
      <c r="E17" s="13">
        <v>458457792</v>
      </c>
      <c r="F17" s="5">
        <v>32987280</v>
      </c>
      <c r="G17" s="5">
        <v>51707285</v>
      </c>
      <c r="H17" s="5">
        <v>0</v>
      </c>
    </row>
    <row r="18" spans="1:8" x14ac:dyDescent="0.25">
      <c r="A18" s="12" t="s">
        <v>63</v>
      </c>
      <c r="B18" s="13">
        <f>SUM(C18:H18)</f>
        <v>3082230142.02</v>
      </c>
      <c r="C18" s="13">
        <v>2208375793.9400001</v>
      </c>
      <c r="D18" s="5">
        <v>433569494</v>
      </c>
      <c r="E18" s="13">
        <v>427430980</v>
      </c>
      <c r="F18" s="5">
        <v>4861140.1199999992</v>
      </c>
      <c r="G18" s="5">
        <v>7992733.96</v>
      </c>
      <c r="H18" s="5">
        <v>0</v>
      </c>
    </row>
    <row r="19" spans="1:8" x14ac:dyDescent="0.25">
      <c r="A19" s="12" t="s">
        <v>48</v>
      </c>
      <c r="B19" s="13">
        <f>SUM(C19:H19)</f>
        <v>15804095828.82</v>
      </c>
      <c r="C19" s="13">
        <v>11841933419.42</v>
      </c>
      <c r="D19" s="5">
        <v>1467344588.4000001</v>
      </c>
      <c r="E19" s="13">
        <v>1986650431</v>
      </c>
      <c r="F19" s="5">
        <v>197923680</v>
      </c>
      <c r="G19" s="5">
        <v>310243710</v>
      </c>
      <c r="H19" s="5">
        <v>0</v>
      </c>
    </row>
    <row r="20" spans="1:8" x14ac:dyDescent="0.25">
      <c r="A20" s="12" t="s">
        <v>64</v>
      </c>
      <c r="B20" s="13">
        <f>C20+D20+G20+E20+F20+H20</f>
        <v>3082230142.02</v>
      </c>
      <c r="C20" s="13">
        <v>2208375793.9400001</v>
      </c>
      <c r="D20" s="13">
        <v>433569494</v>
      </c>
      <c r="E20" s="13">
        <v>427430980</v>
      </c>
      <c r="F20" s="5">
        <v>4861140.1199999992</v>
      </c>
      <c r="G20" s="5">
        <v>7992733.96</v>
      </c>
      <c r="H20" s="5">
        <v>0</v>
      </c>
    </row>
    <row r="21" spans="1:8" x14ac:dyDescent="0.25">
      <c r="B21" s="13"/>
      <c r="C21" s="13"/>
      <c r="D21" s="13"/>
      <c r="E21" s="13"/>
      <c r="F21" s="13"/>
    </row>
    <row r="22" spans="1:8" x14ac:dyDescent="0.25">
      <c r="A22" s="12" t="s">
        <v>6</v>
      </c>
      <c r="B22" s="13"/>
      <c r="C22" s="13"/>
      <c r="D22" s="13"/>
      <c r="E22" s="13"/>
      <c r="F22" s="13"/>
    </row>
    <row r="23" spans="1:8" x14ac:dyDescent="0.25">
      <c r="A23" s="12" t="s">
        <v>62</v>
      </c>
      <c r="B23" s="13">
        <f>B17</f>
        <v>3642742370.1199999</v>
      </c>
    </row>
    <row r="24" spans="1:8" x14ac:dyDescent="0.25">
      <c r="A24" s="12" t="s">
        <v>63</v>
      </c>
      <c r="B24" s="13">
        <v>4940779311.8999996</v>
      </c>
    </row>
    <row r="26" spans="1:8" x14ac:dyDescent="0.25">
      <c r="A26" s="8" t="s">
        <v>7</v>
      </c>
    </row>
    <row r="27" spans="1:8" x14ac:dyDescent="0.25">
      <c r="A27" s="12" t="s">
        <v>65</v>
      </c>
      <c r="B27" s="6">
        <v>1.0088033727000001</v>
      </c>
      <c r="C27" s="6">
        <v>1.0088033727000001</v>
      </c>
      <c r="D27" s="6">
        <v>1.0088033727000001</v>
      </c>
      <c r="E27" s="6">
        <v>1.0088033727000001</v>
      </c>
      <c r="F27" s="6">
        <v>1.0088033727000001</v>
      </c>
      <c r="G27" s="6">
        <v>1.0088033727000001</v>
      </c>
      <c r="H27" s="6">
        <v>1.0088033727000001</v>
      </c>
    </row>
    <row r="28" spans="1:8" x14ac:dyDescent="0.25">
      <c r="A28" s="12" t="s">
        <v>66</v>
      </c>
      <c r="B28" s="6">
        <v>1.0303325644000001</v>
      </c>
      <c r="C28" s="6">
        <v>1.0303325644000001</v>
      </c>
      <c r="D28" s="6">
        <v>1.0303325644000001</v>
      </c>
      <c r="E28" s="6">
        <v>1.0303325644000001</v>
      </c>
      <c r="F28" s="6">
        <v>1.0303325644000001</v>
      </c>
      <c r="G28" s="6">
        <v>1.0303325644000001</v>
      </c>
      <c r="H28" s="6">
        <v>1.0303325644000001</v>
      </c>
    </row>
    <row r="29" spans="1:8" x14ac:dyDescent="0.25">
      <c r="A29" s="12" t="s">
        <v>8</v>
      </c>
      <c r="B29" s="25" t="s">
        <v>37</v>
      </c>
      <c r="C29" s="25" t="s">
        <v>37</v>
      </c>
      <c r="D29" s="25" t="s">
        <v>37</v>
      </c>
      <c r="E29" s="25" t="s">
        <v>37</v>
      </c>
      <c r="F29" s="25" t="s">
        <v>37</v>
      </c>
      <c r="G29" s="25" t="s">
        <v>37</v>
      </c>
      <c r="H29" s="25" t="s">
        <v>37</v>
      </c>
    </row>
    <row r="31" spans="1:8" x14ac:dyDescent="0.25">
      <c r="A31" s="12" t="s">
        <v>9</v>
      </c>
    </row>
    <row r="32" spans="1:8" x14ac:dyDescent="0.25">
      <c r="A32" s="12" t="s">
        <v>67</v>
      </c>
      <c r="B32" s="4">
        <f t="shared" ref="B32:H32" si="1">B16/B27</f>
        <v>3162268228.0907483</v>
      </c>
      <c r="C32" s="4">
        <f t="shared" si="1"/>
        <v>1952880040.7132101</v>
      </c>
      <c r="D32" s="4">
        <f>D16/D27</f>
        <v>730485405.72152269</v>
      </c>
      <c r="E32" s="4">
        <f t="shared" si="1"/>
        <v>432490723.99735838</v>
      </c>
      <c r="F32" s="4">
        <f t="shared" si="1"/>
        <v>1707412.0156735673</v>
      </c>
      <c r="G32" s="4">
        <f t="shared" si="1"/>
        <v>6351033.7627561726</v>
      </c>
      <c r="H32" s="4">
        <f t="shared" si="1"/>
        <v>38353611.880227216</v>
      </c>
    </row>
    <row r="33" spans="1:8" x14ac:dyDescent="0.25">
      <c r="A33" s="12" t="s">
        <v>68</v>
      </c>
      <c r="B33" s="4">
        <f t="shared" ref="B33:E33" si="2">B18/B28</f>
        <v>2991490561.8992</v>
      </c>
      <c r="C33" s="4">
        <f t="shared" si="2"/>
        <v>2143362124.2729692</v>
      </c>
      <c r="D33" s="4">
        <f>D18/D28</f>
        <v>420805387.48426652</v>
      </c>
      <c r="E33" s="4">
        <f t="shared" si="2"/>
        <v>414847588.79664111</v>
      </c>
      <c r="F33" s="4">
        <f t="shared" ref="F33:H33" si="3">F18/F28</f>
        <v>4718030.1661442844</v>
      </c>
      <c r="G33" s="4">
        <f t="shared" si="3"/>
        <v>7757431.1791789848</v>
      </c>
      <c r="H33" s="4">
        <f t="shared" si="3"/>
        <v>0</v>
      </c>
    </row>
    <row r="34" spans="1:8" x14ac:dyDescent="0.25">
      <c r="A34" s="12" t="s">
        <v>69</v>
      </c>
      <c r="B34" s="18">
        <f>B32/B10</f>
        <v>235241.13976076781</v>
      </c>
      <c r="C34" s="18">
        <f t="shared" ref="C34:G34" si="4">C32/C10</f>
        <v>182991.0083127071</v>
      </c>
      <c r="D34" s="18">
        <f>D32/D10</f>
        <v>316775.97819667071</v>
      </c>
      <c r="E34" s="18">
        <f t="shared" si="4"/>
        <v>1012068.7769048949</v>
      </c>
      <c r="F34" s="38" t="s">
        <v>37</v>
      </c>
      <c r="G34" s="38">
        <f t="shared" si="4"/>
        <v>170116.97578811174</v>
      </c>
      <c r="H34" s="38" t="s">
        <v>37</v>
      </c>
    </row>
    <row r="35" spans="1:8" x14ac:dyDescent="0.25">
      <c r="A35" s="12" t="s">
        <v>70</v>
      </c>
      <c r="B35" s="19">
        <f t="shared" ref="B35:E35" si="5">B33/B12</f>
        <v>256486.75866526435</v>
      </c>
      <c r="C35" s="19">
        <f t="shared" si="5"/>
        <v>264253.74482467875</v>
      </c>
      <c r="D35" s="19">
        <f>D33/D12</f>
        <v>136787.96862637333</v>
      </c>
      <c r="E35" s="19">
        <f t="shared" si="5"/>
        <v>871528.5478921032</v>
      </c>
      <c r="F35" s="38" t="s">
        <v>37</v>
      </c>
      <c r="G35" s="38" t="s">
        <v>37</v>
      </c>
      <c r="H35" s="38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x14ac:dyDescent="0.25">
      <c r="A44" s="8" t="s">
        <v>15</v>
      </c>
      <c r="B44" s="22">
        <f>B12/B11*100</f>
        <v>61.996137422704159</v>
      </c>
      <c r="C44" s="22">
        <f t="shared" ref="C44:G44" si="6">C12/C11*100</f>
        <v>75.754179508732605</v>
      </c>
      <c r="D44" s="22">
        <f t="shared" ref="D44" si="7">D12/D11*100</f>
        <v>268.44095404304829</v>
      </c>
      <c r="E44" s="22">
        <f t="shared" si="6"/>
        <v>103.47826086956522</v>
      </c>
      <c r="F44" s="22">
        <f t="shared" si="6"/>
        <v>0</v>
      </c>
      <c r="G44" s="22">
        <f t="shared" si="6"/>
        <v>0</v>
      </c>
      <c r="H44" s="38" t="s">
        <v>37</v>
      </c>
    </row>
    <row r="45" spans="1:8" x14ac:dyDescent="0.25">
      <c r="A45" s="8" t="s">
        <v>16</v>
      </c>
      <c r="B45" s="22">
        <f>B18/B17*100</f>
        <v>84.612905027331493</v>
      </c>
      <c r="C45" s="22">
        <f t="shared" ref="C45:G45" si="8">C18/C17*100</f>
        <v>80.811368392876616</v>
      </c>
      <c r="D45" s="22">
        <f t="shared" ref="D45" si="9">D18/D17*100</f>
        <v>118.19159519244661</v>
      </c>
      <c r="E45" s="22">
        <f t="shared" si="8"/>
        <v>93.232351474571516</v>
      </c>
      <c r="F45" s="22">
        <f t="shared" si="8"/>
        <v>14.736407851753764</v>
      </c>
      <c r="G45" s="22">
        <f t="shared" si="8"/>
        <v>15.457655454158925</v>
      </c>
      <c r="H45" s="38" t="s">
        <v>37</v>
      </c>
    </row>
    <row r="46" spans="1:8" x14ac:dyDescent="0.25">
      <c r="A46" s="8" t="s">
        <v>17</v>
      </c>
      <c r="B46" s="22">
        <f>AVERAGE(B44:B45)</f>
        <v>73.304521225017822</v>
      </c>
      <c r="C46" s="22">
        <f t="shared" ref="C46:G46" si="10">AVERAGE(C44:C45)</f>
        <v>78.282773950804611</v>
      </c>
      <c r="D46" s="22">
        <f t="shared" ref="D46" si="11">AVERAGE(D44:D45)</f>
        <v>193.31627461774747</v>
      </c>
      <c r="E46" s="22">
        <f t="shared" si="10"/>
        <v>98.355306172068367</v>
      </c>
      <c r="F46" s="22">
        <f t="shared" si="10"/>
        <v>7.3682039258768821</v>
      </c>
      <c r="G46" s="22">
        <f t="shared" si="10"/>
        <v>7.7288277270794623</v>
      </c>
      <c r="H46" s="38" t="s">
        <v>37</v>
      </c>
    </row>
    <row r="47" spans="1:8" x14ac:dyDescent="0.25">
      <c r="B47" s="22"/>
      <c r="C47" s="22"/>
      <c r="D47" s="22"/>
      <c r="E47" s="22"/>
      <c r="F47" s="22"/>
    </row>
    <row r="48" spans="1:8" x14ac:dyDescent="0.25">
      <c r="A48" s="8" t="s">
        <v>18</v>
      </c>
    </row>
    <row r="49" spans="1:8" x14ac:dyDescent="0.25">
      <c r="A49" s="8" t="s">
        <v>19</v>
      </c>
      <c r="B49" s="22">
        <f>B12/B13*100</f>
        <v>22.898914935668383</v>
      </c>
      <c r="C49" s="22">
        <f t="shared" ref="C49:G49" si="12">C12/C13*100</f>
        <v>18.938544877183151</v>
      </c>
      <c r="D49" s="22">
        <f t="shared" si="12"/>
        <v>268.44095404304829</v>
      </c>
      <c r="E49" s="22">
        <f t="shared" si="12"/>
        <v>103.47826086956522</v>
      </c>
      <c r="F49" s="22">
        <f t="shared" si="12"/>
        <v>0</v>
      </c>
      <c r="G49" s="22">
        <f t="shared" si="12"/>
        <v>0</v>
      </c>
      <c r="H49" s="38" t="s">
        <v>37</v>
      </c>
    </row>
    <row r="50" spans="1:8" x14ac:dyDescent="0.25">
      <c r="A50" s="8" t="s">
        <v>20</v>
      </c>
      <c r="B50" s="22">
        <f>B18/B19*100</f>
        <v>19.502730022677497</v>
      </c>
      <c r="C50" s="22">
        <f t="shared" ref="C50:G50" si="13">C18/C19*100</f>
        <v>18.648777321433066</v>
      </c>
      <c r="D50" s="22">
        <f>D18/D19*100</f>
        <v>29.547898798111653</v>
      </c>
      <c r="E50" s="22">
        <f t="shared" si="13"/>
        <v>21.515158043423291</v>
      </c>
      <c r="F50" s="22">
        <f t="shared" si="13"/>
        <v>2.456067975292294</v>
      </c>
      <c r="G50" s="22">
        <f t="shared" si="13"/>
        <v>2.5762759090264877</v>
      </c>
      <c r="H50" s="38" t="s">
        <v>37</v>
      </c>
    </row>
    <row r="51" spans="1:8" x14ac:dyDescent="0.25">
      <c r="A51" s="8" t="s">
        <v>21</v>
      </c>
      <c r="B51" s="22">
        <f>(B49+B50)/2</f>
        <v>21.200822479172942</v>
      </c>
      <c r="C51" s="22">
        <f t="shared" ref="C51:G51" si="14">(C49+C50)/2</f>
        <v>18.79366109930811</v>
      </c>
      <c r="D51" s="22">
        <f>(D49+D50)/2</f>
        <v>148.99442642057997</v>
      </c>
      <c r="E51" s="22">
        <f t="shared" si="14"/>
        <v>62.496709456494258</v>
      </c>
      <c r="F51" s="22">
        <f t="shared" si="14"/>
        <v>1.228033987646147</v>
      </c>
      <c r="G51" s="22">
        <f t="shared" si="14"/>
        <v>1.2881379545132439</v>
      </c>
      <c r="H51" s="38" t="s">
        <v>37</v>
      </c>
    </row>
    <row r="53" spans="1:8" x14ac:dyDescent="0.25">
      <c r="A53" s="8" t="s">
        <v>33</v>
      </c>
    </row>
    <row r="54" spans="1:8" x14ac:dyDescent="0.25">
      <c r="A54" s="8" t="s">
        <v>22</v>
      </c>
      <c r="B54" s="40">
        <f t="shared" ref="B54" si="15">B20/B18*100</f>
        <v>100</v>
      </c>
      <c r="C54" s="22"/>
      <c r="D54" s="22"/>
      <c r="E54" s="22"/>
      <c r="F54" s="22"/>
      <c r="G54" s="22"/>
      <c r="H54" s="22"/>
    </row>
    <row r="56" spans="1:8" x14ac:dyDescent="0.25">
      <c r="A56" s="8" t="s">
        <v>23</v>
      </c>
    </row>
    <row r="57" spans="1:8" x14ac:dyDescent="0.25">
      <c r="A57" s="8" t="s">
        <v>24</v>
      </c>
      <c r="B57" s="22">
        <f>((B12/B10)-1)*100</f>
        <v>-13.236461019638968</v>
      </c>
      <c r="C57" s="22">
        <f t="shared" ref="C57:G57" si="16">((C12/C10)-1)*100</f>
        <v>-23.997376311844075</v>
      </c>
      <c r="D57" s="22">
        <f>((D12/D10)-1)*100</f>
        <v>33.405608557386522</v>
      </c>
      <c r="E57" s="22">
        <f t="shared" si="16"/>
        <v>11.388455538221542</v>
      </c>
      <c r="F57" s="38" t="s">
        <v>37</v>
      </c>
      <c r="G57" s="22">
        <f t="shared" si="16"/>
        <v>-100</v>
      </c>
      <c r="H57" s="38" t="s">
        <v>37</v>
      </c>
    </row>
    <row r="58" spans="1:8" x14ac:dyDescent="0.25">
      <c r="A58" s="8" t="s">
        <v>25</v>
      </c>
      <c r="B58" s="22">
        <f>((B33/B32)-1)*100</f>
        <v>-5.4004800944623561</v>
      </c>
      <c r="C58" s="22">
        <f t="shared" ref="C58:H58" si="17">((C33/C32)-1)*100</f>
        <v>9.7539060049071544</v>
      </c>
      <c r="D58" s="22">
        <f t="shared" si="17"/>
        <v>-42.393731046738139</v>
      </c>
      <c r="E58" s="22">
        <f t="shared" si="17"/>
        <v>-4.0794251117452944</v>
      </c>
      <c r="F58" s="22">
        <f t="shared" si="17"/>
        <v>176.32640058955192</v>
      </c>
      <c r="G58" s="22">
        <f t="shared" si="17"/>
        <v>22.144385763940178</v>
      </c>
      <c r="H58" s="22">
        <f t="shared" si="17"/>
        <v>-100</v>
      </c>
    </row>
    <row r="59" spans="1:8" x14ac:dyDescent="0.25">
      <c r="A59" s="8" t="s">
        <v>26</v>
      </c>
      <c r="B59" s="22">
        <f t="shared" ref="B59:E59" si="18">((B35/B34)-1)*100</f>
        <v>9.0314215133044264</v>
      </c>
      <c r="C59" s="22">
        <f t="shared" si="18"/>
        <v>44.408048931619938</v>
      </c>
      <c r="D59" s="22">
        <f t="shared" si="18"/>
        <v>-56.818705318163879</v>
      </c>
      <c r="E59" s="22">
        <f t="shared" si="18"/>
        <v>-13.886430667547245</v>
      </c>
      <c r="F59" s="38" t="s">
        <v>37</v>
      </c>
      <c r="G59" s="38" t="s">
        <v>37</v>
      </c>
      <c r="H59" s="38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8" t="s">
        <v>27</v>
      </c>
    </row>
    <row r="62" spans="1:8" x14ac:dyDescent="0.25">
      <c r="A62" s="7" t="s">
        <v>124</v>
      </c>
      <c r="B62" s="13">
        <f t="shared" ref="B62:G63" si="19">B17/(B11*3)</f>
        <v>64542.999878098475</v>
      </c>
      <c r="C62" s="13">
        <f t="shared" si="19"/>
        <v>85076.861430839635</v>
      </c>
      <c r="D62" s="13">
        <f t="shared" si="19"/>
        <v>106700.45000000001</v>
      </c>
      <c r="E62" s="13">
        <f t="shared" si="19"/>
        <v>332215.7913043478</v>
      </c>
      <c r="F62" s="13">
        <f t="shared" si="19"/>
        <v>3665.2533333333336</v>
      </c>
      <c r="G62" s="13">
        <f t="shared" si="19"/>
        <v>4924.5033333333331</v>
      </c>
      <c r="H62" s="38" t="s">
        <v>37</v>
      </c>
    </row>
    <row r="63" spans="1:8" x14ac:dyDescent="0.25">
      <c r="A63" s="7" t="s">
        <v>125</v>
      </c>
      <c r="B63" s="13">
        <f t="shared" si="19"/>
        <v>88088.886596741926</v>
      </c>
      <c r="C63" s="13">
        <f t="shared" si="19"/>
        <v>90756.412852504829</v>
      </c>
      <c r="D63" s="13">
        <f t="shared" si="19"/>
        <v>46979.032831292665</v>
      </c>
      <c r="E63" s="13">
        <f t="shared" si="19"/>
        <v>299321.41456582636</v>
      </c>
      <c r="F63" s="38" t="s">
        <v>37</v>
      </c>
      <c r="G63" s="38" t="s">
        <v>37</v>
      </c>
      <c r="H63" s="38" t="s">
        <v>37</v>
      </c>
    </row>
    <row r="64" spans="1:8" x14ac:dyDescent="0.25">
      <c r="A64" s="7" t="s">
        <v>28</v>
      </c>
      <c r="B64" s="13">
        <f t="shared" ref="B64:E64" si="20">(B62/B63)*B46</f>
        <v>53.71044960699259</v>
      </c>
      <c r="C64" s="13">
        <f t="shared" si="20"/>
        <v>73.383824927700772</v>
      </c>
      <c r="D64" s="13">
        <f t="shared" si="20"/>
        <v>439.06679748199633</v>
      </c>
      <c r="E64" s="13">
        <f t="shared" si="20"/>
        <v>109.16421037342523</v>
      </c>
      <c r="F64" s="38" t="s">
        <v>37</v>
      </c>
      <c r="G64" s="38" t="s">
        <v>37</v>
      </c>
      <c r="H64" s="38" t="s">
        <v>37</v>
      </c>
    </row>
    <row r="65" spans="1:8" x14ac:dyDescent="0.25">
      <c r="A65" s="7" t="s">
        <v>126</v>
      </c>
      <c r="B65" s="13">
        <f t="shared" ref="B65:G66" si="21">B17/B11</f>
        <v>193628.99963429544</v>
      </c>
      <c r="C65" s="13">
        <f t="shared" si="21"/>
        <v>255230.58429251891</v>
      </c>
      <c r="D65" s="13">
        <f t="shared" si="21"/>
        <v>320101.35000000003</v>
      </c>
      <c r="E65" s="13">
        <f t="shared" si="21"/>
        <v>996647.37391304353</v>
      </c>
      <c r="F65" s="13">
        <f t="shared" si="21"/>
        <v>10995.76</v>
      </c>
      <c r="G65" s="13">
        <f t="shared" si="21"/>
        <v>14773.51</v>
      </c>
      <c r="H65" s="38" t="s">
        <v>37</v>
      </c>
    </row>
    <row r="66" spans="1:8" x14ac:dyDescent="0.25">
      <c r="A66" s="7" t="s">
        <v>127</v>
      </c>
      <c r="B66" s="13">
        <f t="shared" si="21"/>
        <v>264266.65979022573</v>
      </c>
      <c r="C66" s="13">
        <f t="shared" si="21"/>
        <v>272269.2385575145</v>
      </c>
      <c r="D66" s="13">
        <f t="shared" si="21"/>
        <v>140937.09849387797</v>
      </c>
      <c r="E66" s="13">
        <f t="shared" si="21"/>
        <v>897964.24369747902</v>
      </c>
      <c r="F66" s="38" t="s">
        <v>37</v>
      </c>
      <c r="G66" s="38" t="s">
        <v>37</v>
      </c>
      <c r="H66" s="38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135.63350931505045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62.383481379068392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7" t="s">
        <v>59</v>
      </c>
    </row>
    <row r="79" spans="1:8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</sheetData>
  <mergeCells count="5">
    <mergeCell ref="A4:A5"/>
    <mergeCell ref="B4:B5"/>
    <mergeCell ref="A2:H2"/>
    <mergeCell ref="C4:H4"/>
    <mergeCell ref="A79:H79"/>
  </mergeCells>
  <pageMargins left="0.7" right="0.7" top="0.75" bottom="0.75" header="0.3" footer="0.3"/>
  <pageSetup orientation="portrait" r:id="rId1"/>
  <ignoredErrors>
    <ignoredError sqref="F36:H43 G34 F47:H48 F44:G46 F52:H56 F49:G51 F58:H58 G57 F60:H61 F65:G65 F62:G6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140625" style="8" customWidth="1"/>
    <col min="2" max="8" width="22.7109375" style="8" customWidth="1"/>
    <col min="9" max="12" width="11.42578125" style="8"/>
    <col min="13" max="13" width="15.28515625" style="8" customWidth="1"/>
    <col min="14" max="16384" width="11.42578125" style="8"/>
  </cols>
  <sheetData>
    <row r="2" spans="1:17" ht="15.75" x14ac:dyDescent="0.25">
      <c r="A2" s="45" t="s">
        <v>71</v>
      </c>
      <c r="B2" s="45"/>
      <c r="C2" s="45"/>
      <c r="D2" s="45"/>
      <c r="E2" s="45"/>
      <c r="F2" s="45"/>
      <c r="G2" s="45"/>
      <c r="H2" s="45"/>
    </row>
    <row r="4" spans="1:17" x14ac:dyDescent="0.25">
      <c r="A4" s="41" t="s">
        <v>0</v>
      </c>
      <c r="B4" s="43" t="s">
        <v>1</v>
      </c>
      <c r="C4" s="46" t="s">
        <v>43</v>
      </c>
      <c r="D4" s="46"/>
      <c r="E4" s="46"/>
      <c r="F4" s="46"/>
      <c r="G4" s="46"/>
      <c r="H4" s="46"/>
      <c r="I4" s="48"/>
      <c r="J4" s="48"/>
      <c r="K4" s="48"/>
      <c r="L4" s="48"/>
      <c r="M4" s="48"/>
      <c r="N4" s="48"/>
      <c r="O4" s="48"/>
      <c r="P4" s="48"/>
    </row>
    <row r="5" spans="1:17" ht="60.75" thickBot="1" x14ac:dyDescent="0.3">
      <c r="A5" s="42"/>
      <c r="B5" s="44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7" ht="15.75" thickTop="1" x14ac:dyDescent="0.25">
      <c r="Q6" s="7"/>
    </row>
    <row r="7" spans="1:17" x14ac:dyDescent="0.25">
      <c r="A7" s="1" t="s">
        <v>3</v>
      </c>
    </row>
    <row r="9" spans="1:17" x14ac:dyDescent="0.25">
      <c r="A9" s="8" t="s">
        <v>4</v>
      </c>
    </row>
    <row r="10" spans="1:17" x14ac:dyDescent="0.25">
      <c r="A10" s="12" t="s">
        <v>72</v>
      </c>
      <c r="B10" s="13">
        <f>C10+D10+E10+F10+G10+H10</f>
        <v>14187</v>
      </c>
      <c r="C10" s="13">
        <v>10080</v>
      </c>
      <c r="D10" s="5">
        <v>2354.3333333333335</v>
      </c>
      <c r="E10" s="13">
        <v>476.66666666666669</v>
      </c>
      <c r="F10" s="13">
        <v>557</v>
      </c>
      <c r="G10" s="8">
        <v>718</v>
      </c>
      <c r="H10" s="13">
        <v>1</v>
      </c>
    </row>
    <row r="11" spans="1:17" x14ac:dyDescent="0.25">
      <c r="A11" s="12" t="s">
        <v>73</v>
      </c>
      <c r="B11" s="13">
        <f t="shared" ref="B11:B13" si="0">C11+D11+E11+F11+G11+H11</f>
        <v>18813</v>
      </c>
      <c r="C11" s="13">
        <v>10707</v>
      </c>
      <c r="D11" s="5">
        <v>1146</v>
      </c>
      <c r="E11" s="13">
        <v>460</v>
      </c>
      <c r="F11" s="5">
        <v>3000</v>
      </c>
      <c r="G11" s="13">
        <v>3500</v>
      </c>
      <c r="H11" s="13">
        <v>0</v>
      </c>
    </row>
    <row r="12" spans="1:17" x14ac:dyDescent="0.25">
      <c r="A12" s="12" t="s">
        <v>74</v>
      </c>
      <c r="B12" s="13">
        <f t="shared" si="0"/>
        <v>23894.333333333336</v>
      </c>
      <c r="C12" s="13">
        <v>14027</v>
      </c>
      <c r="D12" s="5">
        <v>3092.6666666666665</v>
      </c>
      <c r="E12" s="13">
        <v>540</v>
      </c>
      <c r="F12" s="13">
        <v>1428</v>
      </c>
      <c r="G12" s="13">
        <v>4806.666666666667</v>
      </c>
      <c r="H12" s="5">
        <v>0</v>
      </c>
    </row>
    <row r="13" spans="1:17" s="7" customFormat="1" x14ac:dyDescent="0.25">
      <c r="A13" s="14" t="s">
        <v>48</v>
      </c>
      <c r="B13" s="13">
        <f t="shared" si="0"/>
        <v>50934</v>
      </c>
      <c r="C13" s="5">
        <v>42828</v>
      </c>
      <c r="D13" s="5">
        <v>1146</v>
      </c>
      <c r="E13" s="5">
        <v>460</v>
      </c>
      <c r="F13" s="5">
        <v>3000</v>
      </c>
      <c r="G13" s="13">
        <v>3500</v>
      </c>
      <c r="H13" s="5">
        <v>0</v>
      </c>
    </row>
    <row r="14" spans="1:17" x14ac:dyDescent="0.25">
      <c r="H14" s="7"/>
    </row>
    <row r="15" spans="1:17" x14ac:dyDescent="0.25">
      <c r="A15" s="15" t="s">
        <v>5</v>
      </c>
      <c r="H15" s="7"/>
    </row>
    <row r="16" spans="1:17" x14ac:dyDescent="0.25">
      <c r="A16" s="12" t="s">
        <v>72</v>
      </c>
      <c r="B16" s="13">
        <f>SUM(C16:H16)</f>
        <v>2478617816.7599998</v>
      </c>
      <c r="C16" s="13">
        <v>1996698956.1500001</v>
      </c>
      <c r="D16" s="5">
        <v>0</v>
      </c>
      <c r="E16" s="13">
        <v>379113352.87</v>
      </c>
      <c r="F16" s="13">
        <v>27687658.449999999</v>
      </c>
      <c r="G16" s="13">
        <v>45451250.710000001</v>
      </c>
      <c r="H16" s="5">
        <v>29666598.579999998</v>
      </c>
    </row>
    <row r="17" spans="1:10" x14ac:dyDescent="0.25">
      <c r="A17" s="12" t="s">
        <v>73</v>
      </c>
      <c r="B17" s="13">
        <f>SUM(C17:H17)</f>
        <v>3812131500.1199999</v>
      </c>
      <c r="C17" s="13">
        <v>2732753866.02</v>
      </c>
      <c r="D17" s="5">
        <v>366836147.10000002</v>
      </c>
      <c r="E17" s="13">
        <v>458457792</v>
      </c>
      <c r="F17" s="13">
        <v>98961840</v>
      </c>
      <c r="G17" s="13">
        <v>155121855</v>
      </c>
      <c r="H17" s="5">
        <v>0</v>
      </c>
    </row>
    <row r="18" spans="1:10" x14ac:dyDescent="0.25">
      <c r="A18" s="12" t="s">
        <v>74</v>
      </c>
      <c r="B18" s="13">
        <f>SUM(C18:H18)</f>
        <v>2687619905.9099994</v>
      </c>
      <c r="C18" s="13">
        <v>2193612058.5699997</v>
      </c>
      <c r="D18" s="5">
        <v>0</v>
      </c>
      <c r="E18" s="13">
        <v>420939385.75999999</v>
      </c>
      <c r="F18" s="13">
        <v>30754851.68</v>
      </c>
      <c r="G18" s="13">
        <v>35781281.719999999</v>
      </c>
      <c r="H18" s="5">
        <v>6532328.1799999997</v>
      </c>
    </row>
    <row r="19" spans="1:10" x14ac:dyDescent="0.25">
      <c r="A19" s="12" t="s">
        <v>48</v>
      </c>
      <c r="B19" s="13">
        <f>SUM(C19:H19)</f>
        <v>15804095828.42</v>
      </c>
      <c r="C19" s="13">
        <v>11841933419.42</v>
      </c>
      <c r="D19" s="5">
        <v>1467344588</v>
      </c>
      <c r="E19" s="13">
        <v>1986650431</v>
      </c>
      <c r="F19" s="13">
        <v>197923680</v>
      </c>
      <c r="G19" s="13">
        <v>310243710</v>
      </c>
      <c r="H19" s="5">
        <v>0</v>
      </c>
    </row>
    <row r="20" spans="1:10" x14ac:dyDescent="0.25">
      <c r="A20" s="12" t="s">
        <v>75</v>
      </c>
      <c r="B20" s="13">
        <f>C20+D20+G20+E20+F20+H20</f>
        <v>2687619905.9099989</v>
      </c>
      <c r="C20" s="5">
        <v>2193612058.5699997</v>
      </c>
      <c r="D20" s="5">
        <v>0</v>
      </c>
      <c r="E20" s="5">
        <v>420939385.75999999</v>
      </c>
      <c r="F20" s="5">
        <v>30754851.68</v>
      </c>
      <c r="G20" s="5">
        <v>35781281.719999999</v>
      </c>
      <c r="H20" s="5">
        <v>6532328.1799999997</v>
      </c>
    </row>
    <row r="21" spans="1:10" x14ac:dyDescent="0.25">
      <c r="B21" s="13"/>
      <c r="C21" s="13"/>
      <c r="D21" s="13"/>
      <c r="E21" s="13"/>
      <c r="F21" s="13"/>
    </row>
    <row r="22" spans="1:10" x14ac:dyDescent="0.25">
      <c r="A22" s="12" t="s">
        <v>6</v>
      </c>
      <c r="B22" s="13"/>
      <c r="C22" s="13"/>
      <c r="D22" s="13"/>
      <c r="E22" s="13"/>
      <c r="F22" s="13"/>
    </row>
    <row r="23" spans="1:10" x14ac:dyDescent="0.25">
      <c r="A23" s="12" t="s">
        <v>73</v>
      </c>
      <c r="B23" s="5">
        <f>B17</f>
        <v>3812131500.1199999</v>
      </c>
    </row>
    <row r="24" spans="1:10" x14ac:dyDescent="0.25">
      <c r="A24" s="12" t="s">
        <v>74</v>
      </c>
      <c r="B24" s="5">
        <v>3964237830.6600003</v>
      </c>
    </row>
    <row r="26" spans="1:10" x14ac:dyDescent="0.25">
      <c r="A26" s="8" t="s">
        <v>7</v>
      </c>
    </row>
    <row r="27" spans="1:10" x14ac:dyDescent="0.25">
      <c r="A27" s="12" t="s">
        <v>76</v>
      </c>
      <c r="B27" s="26">
        <v>1.0123857379999999</v>
      </c>
      <c r="C27" s="26">
        <v>1.0123857379999999</v>
      </c>
      <c r="D27" s="26">
        <v>1.0123857379999999</v>
      </c>
      <c r="E27" s="26">
        <v>1.0123857379999999</v>
      </c>
      <c r="F27" s="26">
        <v>1.0123857379999999</v>
      </c>
      <c r="G27" s="26">
        <v>1.0123857379999999</v>
      </c>
      <c r="H27" s="26">
        <v>1.0123857379999999</v>
      </c>
      <c r="I27" s="26"/>
      <c r="J27" s="26"/>
    </row>
    <row r="28" spans="1:10" x14ac:dyDescent="0.25">
      <c r="A28" s="12" t="s">
        <v>77</v>
      </c>
      <c r="B28" s="26">
        <v>1.0303325644000001</v>
      </c>
      <c r="C28" s="26">
        <v>1.0303325644000001</v>
      </c>
      <c r="D28" s="26">
        <v>1.0303325644000001</v>
      </c>
      <c r="E28" s="26">
        <v>1.0303325644000001</v>
      </c>
      <c r="F28" s="26">
        <v>1.0303325644000001</v>
      </c>
      <c r="G28" s="26">
        <v>1.0303325644000001</v>
      </c>
      <c r="H28" s="26">
        <v>1.0303325644000001</v>
      </c>
      <c r="I28" s="26"/>
      <c r="J28" s="26"/>
    </row>
    <row r="29" spans="1:10" x14ac:dyDescent="0.25">
      <c r="A29" s="12" t="s">
        <v>8</v>
      </c>
      <c r="B29" s="17" t="s">
        <v>37</v>
      </c>
      <c r="C29" s="17" t="s">
        <v>37</v>
      </c>
      <c r="D29" s="17" t="s">
        <v>37</v>
      </c>
      <c r="E29" s="17" t="s">
        <v>37</v>
      </c>
      <c r="F29" s="17" t="s">
        <v>37</v>
      </c>
      <c r="G29" s="17" t="s">
        <v>37</v>
      </c>
      <c r="H29" s="17" t="s">
        <v>37</v>
      </c>
      <c r="I29" s="17"/>
      <c r="J29" s="17"/>
    </row>
    <row r="31" spans="1:10" x14ac:dyDescent="0.25">
      <c r="A31" s="12" t="s">
        <v>9</v>
      </c>
    </row>
    <row r="32" spans="1:10" x14ac:dyDescent="0.25">
      <c r="A32" s="12" t="s">
        <v>78</v>
      </c>
      <c r="B32" s="4">
        <f>B16/B27</f>
        <v>2448293890.0903401</v>
      </c>
      <c r="C32" s="4">
        <f t="shared" ref="C32:H32" si="1">C16/C27</f>
        <v>1972270925.2053888</v>
      </c>
      <c r="D32" s="4">
        <f>D16/D27</f>
        <v>0</v>
      </c>
      <c r="E32" s="4">
        <f t="shared" si="1"/>
        <v>374475201.14116824</v>
      </c>
      <c r="F32" s="4">
        <f t="shared" si="1"/>
        <v>27348921.869146287</v>
      </c>
      <c r="G32" s="4">
        <f t="shared" si="1"/>
        <v>44895190.641257338</v>
      </c>
      <c r="H32" s="4">
        <f t="shared" si="1"/>
        <v>29303651.233379982</v>
      </c>
    </row>
    <row r="33" spans="1:8" x14ac:dyDescent="0.25">
      <c r="A33" s="12" t="s">
        <v>79</v>
      </c>
      <c r="B33" s="4">
        <f>B18/B28</f>
        <v>2608497487.8718867</v>
      </c>
      <c r="C33" s="4">
        <f t="shared" ref="C33:E33" si="2">C18/C28</f>
        <v>2129033027.1638258</v>
      </c>
      <c r="D33" s="4">
        <f>D18/D28</f>
        <v>0</v>
      </c>
      <c r="E33" s="4">
        <f t="shared" si="2"/>
        <v>408547104.40519583</v>
      </c>
      <c r="F33" s="4">
        <f t="shared" ref="F33:H33" si="3">F18/F28</f>
        <v>29849441.571236432</v>
      </c>
      <c r="G33" s="4">
        <f t="shared" si="3"/>
        <v>34727895.590523951</v>
      </c>
      <c r="H33" s="4">
        <f t="shared" si="3"/>
        <v>6340019.1411051927</v>
      </c>
    </row>
    <row r="34" spans="1:8" x14ac:dyDescent="0.25">
      <c r="A34" s="12" t="s">
        <v>80</v>
      </c>
      <c r="B34" s="18">
        <f t="shared" ref="B34:H34" si="4">B32/B10</f>
        <v>172573.05209630931</v>
      </c>
      <c r="C34" s="18">
        <f t="shared" si="4"/>
        <v>195661.79813545523</v>
      </c>
      <c r="D34" s="18">
        <f t="shared" si="4"/>
        <v>0</v>
      </c>
      <c r="E34" s="18">
        <f t="shared" si="4"/>
        <v>785612.31008636695</v>
      </c>
      <c r="F34" s="18">
        <f t="shared" si="4"/>
        <v>49100.398328808413</v>
      </c>
      <c r="G34" s="18">
        <f t="shared" si="4"/>
        <v>62528.120670274846</v>
      </c>
      <c r="H34" s="18">
        <f t="shared" si="4"/>
        <v>29303651.233379982</v>
      </c>
    </row>
    <row r="35" spans="1:8" x14ac:dyDescent="0.25">
      <c r="A35" s="12" t="s">
        <v>81</v>
      </c>
      <c r="B35" s="19">
        <f>B33/B12</f>
        <v>109168.0379394788</v>
      </c>
      <c r="C35" s="19">
        <f t="shared" ref="C35:G35" si="5">C33/C12</f>
        <v>151781.06702529592</v>
      </c>
      <c r="D35" s="19">
        <f>D33/D12</f>
        <v>0</v>
      </c>
      <c r="E35" s="19">
        <f t="shared" si="5"/>
        <v>756568.71186147374</v>
      </c>
      <c r="F35" s="19">
        <f t="shared" si="5"/>
        <v>20902.970287980694</v>
      </c>
      <c r="G35" s="19">
        <f t="shared" si="5"/>
        <v>7224.9436041311956</v>
      </c>
      <c r="H35" s="17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x14ac:dyDescent="0.25">
      <c r="A44" s="8" t="s">
        <v>15</v>
      </c>
      <c r="B44" s="22">
        <f>B12/B11*100</f>
        <v>127.00969187972856</v>
      </c>
      <c r="C44" s="22">
        <f t="shared" ref="C44:G44" si="6">C12/C11*100</f>
        <v>131.00775193798449</v>
      </c>
      <c r="D44" s="22">
        <f t="shared" ref="D44" si="7">D12/D11*100</f>
        <v>269.86620127981382</v>
      </c>
      <c r="E44" s="22">
        <f t="shared" si="6"/>
        <v>117.39130434782609</v>
      </c>
      <c r="F44" s="22">
        <f t="shared" si="6"/>
        <v>47.599999999999994</v>
      </c>
      <c r="G44" s="22">
        <f t="shared" si="6"/>
        <v>137.33333333333334</v>
      </c>
      <c r="H44" s="17" t="s">
        <v>37</v>
      </c>
    </row>
    <row r="45" spans="1:8" x14ac:dyDescent="0.25">
      <c r="A45" s="8" t="s">
        <v>16</v>
      </c>
      <c r="B45" s="22">
        <f>B18/B17*100</f>
        <v>70.501762749406666</v>
      </c>
      <c r="C45" s="22">
        <f t="shared" ref="C45:G45" si="8">C18/C17*100</f>
        <v>80.271117199617777</v>
      </c>
      <c r="D45" s="22">
        <f t="shared" ref="D45" si="9">D18/D17*100</f>
        <v>0</v>
      </c>
      <c r="E45" s="22">
        <f t="shared" si="8"/>
        <v>91.816388139826827</v>
      </c>
      <c r="F45" s="22">
        <f t="shared" si="8"/>
        <v>31.077485705601269</v>
      </c>
      <c r="G45" s="22">
        <f t="shared" si="8"/>
        <v>23.066563844275841</v>
      </c>
      <c r="H45" s="17" t="s">
        <v>37</v>
      </c>
    </row>
    <row r="46" spans="1:8" x14ac:dyDescent="0.25">
      <c r="A46" s="8" t="s">
        <v>17</v>
      </c>
      <c r="B46" s="22">
        <f>AVERAGE(B44:B45)</f>
        <v>98.755727314567622</v>
      </c>
      <c r="C46" s="22">
        <f t="shared" ref="C46:G46" si="10">AVERAGE(C44:C45)</f>
        <v>105.63943456880114</v>
      </c>
      <c r="D46" s="22">
        <f t="shared" ref="D46" si="11">AVERAGE(D44:D45)</f>
        <v>134.93310063990691</v>
      </c>
      <c r="E46" s="22">
        <f t="shared" si="10"/>
        <v>104.60384624382647</v>
      </c>
      <c r="F46" s="22">
        <f t="shared" si="10"/>
        <v>39.338742852800635</v>
      </c>
      <c r="G46" s="22">
        <f t="shared" si="10"/>
        <v>80.199948588804588</v>
      </c>
      <c r="H46" s="17" t="s">
        <v>37</v>
      </c>
    </row>
    <row r="47" spans="1:8" x14ac:dyDescent="0.25">
      <c r="B47" s="22"/>
      <c r="C47" s="22"/>
      <c r="D47" s="22"/>
      <c r="E47" s="22"/>
      <c r="F47" s="22"/>
    </row>
    <row r="48" spans="1:8" x14ac:dyDescent="0.25">
      <c r="A48" s="8" t="s">
        <v>18</v>
      </c>
    </row>
    <row r="49" spans="1:8" x14ac:dyDescent="0.25">
      <c r="A49" s="8" t="s">
        <v>19</v>
      </c>
      <c r="B49" s="22">
        <f>B12/B13*100</f>
        <v>46.912344079265985</v>
      </c>
      <c r="C49" s="22">
        <f t="shared" ref="C49:G49" si="12">C12/C13*100</f>
        <v>32.751937984496124</v>
      </c>
      <c r="D49" s="22">
        <f t="shared" si="12"/>
        <v>269.86620127981382</v>
      </c>
      <c r="E49" s="22">
        <f t="shared" si="12"/>
        <v>117.39130434782609</v>
      </c>
      <c r="F49" s="22">
        <f t="shared" si="12"/>
        <v>47.599999999999994</v>
      </c>
      <c r="G49" s="22">
        <f t="shared" si="12"/>
        <v>137.33333333333334</v>
      </c>
      <c r="H49" s="17" t="s">
        <v>37</v>
      </c>
    </row>
    <row r="50" spans="1:8" x14ac:dyDescent="0.25">
      <c r="A50" s="8" t="s">
        <v>20</v>
      </c>
      <c r="B50" s="22">
        <f>B18/B19*100</f>
        <v>17.005844150077465</v>
      </c>
      <c r="C50" s="22">
        <f t="shared" ref="C50:G50" si="13">C18/C19*100</f>
        <v>18.524103969142562</v>
      </c>
      <c r="D50" s="22">
        <f>D18/D19*100</f>
        <v>0</v>
      </c>
      <c r="E50" s="22">
        <f t="shared" si="13"/>
        <v>21.18839727370235</v>
      </c>
      <c r="F50" s="22">
        <f t="shared" si="13"/>
        <v>15.538742852800635</v>
      </c>
      <c r="G50" s="22">
        <f t="shared" si="13"/>
        <v>11.53328192213792</v>
      </c>
      <c r="H50" s="17" t="s">
        <v>37</v>
      </c>
    </row>
    <row r="51" spans="1:8" x14ac:dyDescent="0.25">
      <c r="A51" s="8" t="s">
        <v>21</v>
      </c>
      <c r="B51" s="22">
        <f>(B49+B50)/2</f>
        <v>31.959094114671725</v>
      </c>
      <c r="C51" s="22">
        <f t="shared" ref="C51:G51" si="14">(C49+C50)/2</f>
        <v>25.638020976819341</v>
      </c>
      <c r="D51" s="22">
        <f>(D49+D50)/2</f>
        <v>134.93310063990691</v>
      </c>
      <c r="E51" s="22">
        <f t="shared" si="14"/>
        <v>69.289850810764221</v>
      </c>
      <c r="F51" s="22">
        <f t="shared" si="14"/>
        <v>31.569371426400316</v>
      </c>
      <c r="G51" s="22">
        <f t="shared" si="14"/>
        <v>74.43330762773563</v>
      </c>
      <c r="H51" s="17" t="s">
        <v>37</v>
      </c>
    </row>
    <row r="53" spans="1:8" x14ac:dyDescent="0.25">
      <c r="A53" s="8" t="s">
        <v>33</v>
      </c>
    </row>
    <row r="54" spans="1:8" x14ac:dyDescent="0.25">
      <c r="A54" s="8" t="s">
        <v>22</v>
      </c>
      <c r="B54" s="40">
        <f t="shared" ref="B54" si="15">B20/B18*100</f>
        <v>99.999999999999972</v>
      </c>
      <c r="C54" s="22"/>
      <c r="D54" s="22"/>
      <c r="E54" s="22"/>
      <c r="F54" s="22"/>
      <c r="G54" s="22"/>
      <c r="H54" s="22"/>
    </row>
    <row r="56" spans="1:8" x14ac:dyDescent="0.25">
      <c r="A56" s="8" t="s">
        <v>23</v>
      </c>
    </row>
    <row r="57" spans="1:8" x14ac:dyDescent="0.25">
      <c r="A57" s="8" t="s">
        <v>24</v>
      </c>
      <c r="B57" s="22">
        <f>((B12/B10)-1)*100</f>
        <v>68.424144169544903</v>
      </c>
      <c r="C57" s="22">
        <f t="shared" ref="C57:H57" si="16">((C12/C10)-1)*100</f>
        <v>39.156746031746039</v>
      </c>
      <c r="D57" s="22">
        <f>((D12/D10)-1)*100</f>
        <v>31.360611638114101</v>
      </c>
      <c r="E57" s="22">
        <f t="shared" si="16"/>
        <v>13.286713286713292</v>
      </c>
      <c r="F57" s="22">
        <f t="shared" si="16"/>
        <v>156.3734290843806</v>
      </c>
      <c r="G57" s="22">
        <f t="shared" si="16"/>
        <v>569.45218198700104</v>
      </c>
      <c r="H57" s="22">
        <f t="shared" si="16"/>
        <v>-100</v>
      </c>
    </row>
    <row r="58" spans="1:8" x14ac:dyDescent="0.25">
      <c r="A58" s="8" t="s">
        <v>25</v>
      </c>
      <c r="B58" s="22">
        <f>((B33/B32)-1)*100</f>
        <v>6.5434790500430884</v>
      </c>
      <c r="C58" s="22">
        <f t="shared" ref="C58:H58" si="17">((C33/C32)-1)*100</f>
        <v>7.9483046651976696</v>
      </c>
      <c r="D58" s="17" t="s">
        <v>37</v>
      </c>
      <c r="E58" s="22">
        <f t="shared" si="17"/>
        <v>9.0985739937377907</v>
      </c>
      <c r="F58" s="22">
        <f t="shared" si="17"/>
        <v>9.1430284310808787</v>
      </c>
      <c r="G58" s="22">
        <f t="shared" si="17"/>
        <v>-22.646735442058574</v>
      </c>
      <c r="H58" s="22">
        <f t="shared" si="17"/>
        <v>-78.364405545875343</v>
      </c>
    </row>
    <row r="59" spans="1:8" x14ac:dyDescent="0.25">
      <c r="A59" s="8" t="s">
        <v>26</v>
      </c>
      <c r="B59" s="22">
        <f t="shared" ref="B59:G59" si="18">((B35/B34)-1)*100</f>
        <v>-36.740970497204593</v>
      </c>
      <c r="C59" s="22">
        <f t="shared" si="18"/>
        <v>-22.426826047965175</v>
      </c>
      <c r="D59" s="17" t="s">
        <v>37</v>
      </c>
      <c r="E59" s="22">
        <f t="shared" si="18"/>
        <v>-3.6969377709598628</v>
      </c>
      <c r="F59" s="22">
        <f t="shared" si="18"/>
        <v>-57.428104456504173</v>
      </c>
      <c r="G59" s="22">
        <f t="shared" si="18"/>
        <v>-88.445289052856737</v>
      </c>
      <c r="H59" s="17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8" t="s">
        <v>27</v>
      </c>
    </row>
    <row r="62" spans="1:8" x14ac:dyDescent="0.25">
      <c r="A62" s="7" t="s">
        <v>124</v>
      </c>
      <c r="B62" s="13">
        <f>B17/(B11*3)</f>
        <v>67544.277895072548</v>
      </c>
      <c r="C62" s="13">
        <f t="shared" ref="C62:G62" si="19">C17/(C11*3)</f>
        <v>85076.861430839635</v>
      </c>
      <c r="D62" s="13">
        <f t="shared" si="19"/>
        <v>106700.45000000001</v>
      </c>
      <c r="E62" s="13">
        <f t="shared" si="19"/>
        <v>332215.7913043478</v>
      </c>
      <c r="F62" s="13">
        <f t="shared" si="19"/>
        <v>10995.76</v>
      </c>
      <c r="G62" s="13">
        <f t="shared" si="19"/>
        <v>14773.51</v>
      </c>
      <c r="H62" s="17" t="s">
        <v>37</v>
      </c>
    </row>
    <row r="63" spans="1:8" x14ac:dyDescent="0.25">
      <c r="A63" s="7" t="s">
        <v>125</v>
      </c>
      <c r="B63" s="13">
        <f t="shared" ref="B63" si="20">B18/(B12*3)</f>
        <v>37493.128160233238</v>
      </c>
      <c r="C63" s="13">
        <f t="shared" ref="C63:G63" si="21">C18/(C12*3)</f>
        <v>52128.325338513809</v>
      </c>
      <c r="D63" s="13">
        <f t="shared" si="21"/>
        <v>0</v>
      </c>
      <c r="E63" s="13">
        <f t="shared" si="21"/>
        <v>259839.12701234568</v>
      </c>
      <c r="F63" s="13">
        <f t="shared" si="21"/>
        <v>7179.0036601307193</v>
      </c>
      <c r="G63" s="13">
        <f t="shared" si="21"/>
        <v>2481.3648904299585</v>
      </c>
      <c r="H63" s="17" t="s">
        <v>37</v>
      </c>
    </row>
    <row r="64" spans="1:8" x14ac:dyDescent="0.25">
      <c r="A64" s="7" t="s">
        <v>28</v>
      </c>
      <c r="B64" s="13">
        <f>(B62/B63)*B46</f>
        <v>177.90951613741441</v>
      </c>
      <c r="C64" s="13">
        <f t="shared" ref="C64:G64" si="22">(C62/C63)*C46</f>
        <v>172.41051727786771</v>
      </c>
      <c r="D64" s="17" t="s">
        <v>37</v>
      </c>
      <c r="E64" s="13">
        <f t="shared" si="22"/>
        <v>133.74063387966979</v>
      </c>
      <c r="F64" s="13">
        <f t="shared" si="22"/>
        <v>60.253399439447406</v>
      </c>
      <c r="G64" s="13">
        <f t="shared" si="22"/>
        <v>477.49315187210868</v>
      </c>
      <c r="H64" s="17" t="s">
        <v>37</v>
      </c>
    </row>
    <row r="65" spans="1:8" x14ac:dyDescent="0.25">
      <c r="A65" s="7" t="s">
        <v>126</v>
      </c>
      <c r="B65" s="13">
        <f t="shared" ref="B65:B66" si="23">B17/B11</f>
        <v>202632.83368521766</v>
      </c>
      <c r="C65" s="13">
        <f t="shared" ref="C65:G65" si="24">C17/C11</f>
        <v>255230.58429251891</v>
      </c>
      <c r="D65" s="13">
        <f t="shared" si="24"/>
        <v>320101.35000000003</v>
      </c>
      <c r="E65" s="13">
        <f t="shared" si="24"/>
        <v>996647.37391304353</v>
      </c>
      <c r="F65" s="13">
        <f t="shared" si="24"/>
        <v>32987.279999999999</v>
      </c>
      <c r="G65" s="13">
        <f t="shared" si="24"/>
        <v>44320.53</v>
      </c>
      <c r="H65" s="17" t="s">
        <v>37</v>
      </c>
    </row>
    <row r="66" spans="1:8" x14ac:dyDescent="0.25">
      <c r="A66" s="7" t="s">
        <v>127</v>
      </c>
      <c r="B66" s="13">
        <f t="shared" si="23"/>
        <v>112479.38448069971</v>
      </c>
      <c r="C66" s="13">
        <f t="shared" ref="C66:G66" si="25">C18/C12</f>
        <v>156384.97601554144</v>
      </c>
      <c r="D66" s="13">
        <f t="shared" si="25"/>
        <v>0</v>
      </c>
      <c r="E66" s="13">
        <f t="shared" si="25"/>
        <v>779517.381037037</v>
      </c>
      <c r="F66" s="13">
        <f t="shared" si="25"/>
        <v>21537.010980392155</v>
      </c>
      <c r="G66" s="13">
        <f t="shared" si="25"/>
        <v>7444.0946712898749</v>
      </c>
      <c r="H66" s="17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103.99005990573022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67.796636345164515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8" t="s">
        <v>59</v>
      </c>
    </row>
    <row r="79" spans="1:8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4" spans="1:1" x14ac:dyDescent="0.25">
      <c r="A84" s="7"/>
    </row>
  </sheetData>
  <mergeCells count="6">
    <mergeCell ref="A2:H2"/>
    <mergeCell ref="I4:P4"/>
    <mergeCell ref="A79:H79"/>
    <mergeCell ref="A4:A5"/>
    <mergeCell ref="B4:B5"/>
    <mergeCell ref="C4:H4"/>
  </mergeCells>
  <pageMargins left="0.7" right="0.7" top="0.75" bottom="0.75" header="0.3" footer="0.3"/>
  <ignoredErrors>
    <ignoredError sqref="E58:H58 H47:H48 D60:H61 E59:G59 D62:G63 D65:G66 E64:G6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42578125" style="8" customWidth="1"/>
    <col min="2" max="8" width="22.7109375" style="8" customWidth="1"/>
    <col min="9" max="16384" width="11.42578125" style="8"/>
  </cols>
  <sheetData>
    <row r="2" spans="1:17" ht="15.75" x14ac:dyDescent="0.25">
      <c r="A2" s="45" t="s">
        <v>82</v>
      </c>
      <c r="B2" s="45"/>
      <c r="C2" s="45"/>
      <c r="D2" s="45"/>
      <c r="E2" s="45"/>
      <c r="F2" s="45"/>
      <c r="G2" s="45"/>
      <c r="H2" s="45"/>
    </row>
    <row r="4" spans="1:17" x14ac:dyDescent="0.25">
      <c r="A4" s="41" t="s">
        <v>0</v>
      </c>
      <c r="B4" s="43" t="s">
        <v>1</v>
      </c>
      <c r="C4" s="46" t="s">
        <v>2</v>
      </c>
      <c r="D4" s="46"/>
      <c r="E4" s="46"/>
      <c r="F4" s="46"/>
      <c r="G4" s="46"/>
      <c r="H4" s="46"/>
    </row>
    <row r="5" spans="1:17" ht="60.75" thickBot="1" x14ac:dyDescent="0.3">
      <c r="A5" s="42"/>
      <c r="B5" s="44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7" ht="15.75" thickTop="1" x14ac:dyDescent="0.25">
      <c r="Q6" s="7"/>
    </row>
    <row r="7" spans="1:17" x14ac:dyDescent="0.25">
      <c r="A7" s="1" t="s">
        <v>3</v>
      </c>
    </row>
    <row r="9" spans="1:17" x14ac:dyDescent="0.25">
      <c r="A9" s="8" t="s">
        <v>4</v>
      </c>
    </row>
    <row r="10" spans="1:17" x14ac:dyDescent="0.25">
      <c r="A10" s="12" t="s">
        <v>83</v>
      </c>
      <c r="B10" s="5">
        <f>C10+D10+E10+F10+G10+H10</f>
        <v>18331</v>
      </c>
      <c r="C10" s="13">
        <v>11229</v>
      </c>
      <c r="D10" s="5">
        <v>2655</v>
      </c>
      <c r="E10" s="13">
        <v>545</v>
      </c>
      <c r="F10" s="13">
        <v>1267</v>
      </c>
      <c r="G10" s="13">
        <v>2634</v>
      </c>
      <c r="H10" s="5">
        <v>1</v>
      </c>
    </row>
    <row r="11" spans="1:17" x14ac:dyDescent="0.25">
      <c r="A11" s="12" t="s">
        <v>84</v>
      </c>
      <c r="B11" s="5">
        <f t="shared" ref="B11:B13" si="0">C11+D11+E11+F11+G11+H11</f>
        <v>18813</v>
      </c>
      <c r="C11" s="13">
        <v>10707</v>
      </c>
      <c r="D11" s="5">
        <v>1146</v>
      </c>
      <c r="E11" s="13">
        <v>460</v>
      </c>
      <c r="F11" s="5">
        <v>3000</v>
      </c>
      <c r="G11" s="13">
        <v>3500</v>
      </c>
      <c r="H11" s="5">
        <v>0</v>
      </c>
    </row>
    <row r="12" spans="1:17" x14ac:dyDescent="0.25">
      <c r="A12" s="12" t="s">
        <v>85</v>
      </c>
      <c r="B12" s="5">
        <f t="shared" si="0"/>
        <v>19625.999999999996</v>
      </c>
      <c r="C12" s="13">
        <v>13559</v>
      </c>
      <c r="D12" s="5">
        <v>3146</v>
      </c>
      <c r="E12" s="13">
        <v>414.33333333333331</v>
      </c>
      <c r="F12" s="13">
        <v>837.33333333333337</v>
      </c>
      <c r="G12" s="13">
        <v>1669.3333333333333</v>
      </c>
      <c r="H12" s="5">
        <v>0</v>
      </c>
    </row>
    <row r="13" spans="1:17" s="7" customFormat="1" x14ac:dyDescent="0.25">
      <c r="A13" s="14" t="s">
        <v>48</v>
      </c>
      <c r="B13" s="5">
        <f t="shared" si="0"/>
        <v>50934</v>
      </c>
      <c r="C13" s="5">
        <v>42828</v>
      </c>
      <c r="D13" s="5">
        <v>1146</v>
      </c>
      <c r="E13" s="5">
        <v>460</v>
      </c>
      <c r="F13" s="5">
        <v>3000</v>
      </c>
      <c r="G13" s="13">
        <v>3500</v>
      </c>
      <c r="H13" s="5">
        <v>0</v>
      </c>
    </row>
    <row r="14" spans="1:17" x14ac:dyDescent="0.25">
      <c r="H14" s="7"/>
    </row>
    <row r="15" spans="1:17" x14ac:dyDescent="0.25">
      <c r="A15" s="15" t="s">
        <v>5</v>
      </c>
      <c r="H15" s="7"/>
    </row>
    <row r="16" spans="1:17" x14ac:dyDescent="0.25">
      <c r="A16" s="12" t="s">
        <v>83</v>
      </c>
      <c r="B16" s="13">
        <f>SUM(C16:H16)</f>
        <v>3383557434</v>
      </c>
      <c r="C16" s="13">
        <v>2634212398</v>
      </c>
      <c r="D16" s="5">
        <v>0</v>
      </c>
      <c r="E16" s="13">
        <v>432255709</v>
      </c>
      <c r="F16" s="13">
        <v>113211187</v>
      </c>
      <c r="G16" s="13">
        <v>185734018</v>
      </c>
      <c r="H16" s="5">
        <v>18144122</v>
      </c>
    </row>
    <row r="17" spans="1:8" x14ac:dyDescent="0.25">
      <c r="A17" s="12" t="s">
        <v>84</v>
      </c>
      <c r="B17" s="13">
        <f>SUM(C17:H17)</f>
        <v>4791174153.46</v>
      </c>
      <c r="C17" s="13">
        <v>3643671821.3600001</v>
      </c>
      <c r="D17" s="5">
        <v>366836147.10000002</v>
      </c>
      <c r="E17" s="13">
        <v>611277055</v>
      </c>
      <c r="F17" s="13">
        <v>65974560</v>
      </c>
      <c r="G17" s="13">
        <v>103414570</v>
      </c>
      <c r="H17" s="5">
        <v>0</v>
      </c>
    </row>
    <row r="18" spans="1:8" x14ac:dyDescent="0.25">
      <c r="A18" s="12" t="s">
        <v>85</v>
      </c>
      <c r="B18" s="13">
        <f>SUM(C18:H18)</f>
        <v>3560271125.1700001</v>
      </c>
      <c r="C18" s="13">
        <v>2734745593.0999999</v>
      </c>
      <c r="D18" s="5">
        <v>0</v>
      </c>
      <c r="E18" s="13">
        <v>515389993.78000003</v>
      </c>
      <c r="F18" s="13">
        <v>105029321.06</v>
      </c>
      <c r="G18" s="13">
        <v>161473523.06</v>
      </c>
      <c r="H18" s="5">
        <v>43632694.169999994</v>
      </c>
    </row>
    <row r="19" spans="1:8" x14ac:dyDescent="0.25">
      <c r="A19" s="12" t="s">
        <v>48</v>
      </c>
      <c r="B19" s="13">
        <f>SUM(C19:H19)</f>
        <v>15804095828.42</v>
      </c>
      <c r="C19" s="13">
        <v>11841933419.42</v>
      </c>
      <c r="D19" s="5">
        <v>1467344588</v>
      </c>
      <c r="E19" s="13">
        <v>1986650431</v>
      </c>
      <c r="F19" s="13">
        <v>197923680</v>
      </c>
      <c r="G19" s="13">
        <v>310243710</v>
      </c>
      <c r="H19" s="5">
        <v>0</v>
      </c>
    </row>
    <row r="20" spans="1:8" x14ac:dyDescent="0.25">
      <c r="A20" s="12" t="s">
        <v>86</v>
      </c>
      <c r="B20" s="13">
        <f>C20+D20+G20+E20+F20+H20</f>
        <v>3560271125.1700001</v>
      </c>
      <c r="C20" s="5">
        <v>2734745593.0999999</v>
      </c>
      <c r="D20" s="5">
        <v>0</v>
      </c>
      <c r="E20" s="5">
        <v>515389993.78000003</v>
      </c>
      <c r="F20" s="5">
        <v>105029321.06</v>
      </c>
      <c r="G20" s="5">
        <v>161473523.06</v>
      </c>
      <c r="H20" s="5">
        <v>43632694.169999994</v>
      </c>
    </row>
    <row r="21" spans="1:8" x14ac:dyDescent="0.25">
      <c r="B21" s="13"/>
      <c r="C21" s="13"/>
      <c r="D21" s="13"/>
      <c r="E21" s="13"/>
      <c r="F21" s="13"/>
    </row>
    <row r="22" spans="1:8" x14ac:dyDescent="0.25">
      <c r="A22" s="12" t="s">
        <v>6</v>
      </c>
      <c r="B22" s="13"/>
      <c r="C22" s="13"/>
      <c r="D22" s="13"/>
      <c r="E22" s="13"/>
      <c r="F22" s="13"/>
    </row>
    <row r="23" spans="1:8" x14ac:dyDescent="0.25">
      <c r="A23" s="12" t="s">
        <v>84</v>
      </c>
      <c r="B23" s="5">
        <f>B17</f>
        <v>4791174153.46</v>
      </c>
    </row>
    <row r="24" spans="1:8" x14ac:dyDescent="0.25">
      <c r="A24" s="12" t="s">
        <v>85</v>
      </c>
      <c r="B24" s="5">
        <v>3478373020.3599997</v>
      </c>
    </row>
    <row r="26" spans="1:8" x14ac:dyDescent="0.25">
      <c r="A26" s="8" t="s">
        <v>7</v>
      </c>
    </row>
    <row r="27" spans="1:8" x14ac:dyDescent="0.25">
      <c r="A27" s="12" t="s">
        <v>87</v>
      </c>
      <c r="B27" s="26">
        <v>1.0245</v>
      </c>
      <c r="C27" s="26">
        <v>1.0245</v>
      </c>
      <c r="D27" s="26">
        <v>1.0245</v>
      </c>
      <c r="E27" s="26">
        <v>1.0245</v>
      </c>
      <c r="F27" s="26">
        <v>1.0245</v>
      </c>
      <c r="G27" s="26">
        <v>1.0245</v>
      </c>
      <c r="H27" s="26">
        <v>1.0245</v>
      </c>
    </row>
    <row r="28" spans="1:8" x14ac:dyDescent="0.25">
      <c r="A28" s="12" t="s">
        <v>88</v>
      </c>
      <c r="B28" s="26">
        <v>1.0451999999999999</v>
      </c>
      <c r="C28" s="26">
        <v>1.0451999999999999</v>
      </c>
      <c r="D28" s="26">
        <v>1.0451999999999999</v>
      </c>
      <c r="E28" s="26">
        <v>1.0451999999999999</v>
      </c>
      <c r="F28" s="26">
        <v>1.0451999999999999</v>
      </c>
      <c r="G28" s="26">
        <v>1.0451999999999999</v>
      </c>
      <c r="H28" s="26">
        <v>1.0451999999999999</v>
      </c>
    </row>
    <row r="29" spans="1:8" x14ac:dyDescent="0.25">
      <c r="A29" s="12" t="s">
        <v>8</v>
      </c>
      <c r="B29" s="17" t="s">
        <v>37</v>
      </c>
      <c r="C29" s="17" t="s">
        <v>37</v>
      </c>
      <c r="D29" s="17" t="s">
        <v>37</v>
      </c>
      <c r="E29" s="17" t="s">
        <v>37</v>
      </c>
      <c r="F29" s="17" t="s">
        <v>37</v>
      </c>
      <c r="G29" s="17" t="s">
        <v>37</v>
      </c>
      <c r="H29" s="17" t="s">
        <v>37</v>
      </c>
    </row>
    <row r="31" spans="1:8" x14ac:dyDescent="0.25">
      <c r="A31" s="12" t="s">
        <v>9</v>
      </c>
    </row>
    <row r="32" spans="1:8" x14ac:dyDescent="0.25">
      <c r="A32" s="12" t="s">
        <v>89</v>
      </c>
      <c r="B32" s="4">
        <f>B16/B27</f>
        <v>3302642688.1405563</v>
      </c>
      <c r="C32" s="4">
        <f t="shared" ref="C32:H32" si="1">C16/C27</f>
        <v>2571217567.5939484</v>
      </c>
      <c r="D32" s="4">
        <f>D16/D27</f>
        <v>0</v>
      </c>
      <c r="E32" s="4">
        <f t="shared" si="1"/>
        <v>421918700.82967305</v>
      </c>
      <c r="F32" s="4">
        <f t="shared" si="1"/>
        <v>110503842.85017082</v>
      </c>
      <c r="G32" s="4">
        <f t="shared" si="1"/>
        <v>181292355.295266</v>
      </c>
      <c r="H32" s="4">
        <f t="shared" si="1"/>
        <v>17710221.571498293</v>
      </c>
    </row>
    <row r="33" spans="1:8" x14ac:dyDescent="0.25">
      <c r="A33" s="12" t="s">
        <v>90</v>
      </c>
      <c r="B33" s="4">
        <f>B18/B28</f>
        <v>3406306089.9062386</v>
      </c>
      <c r="C33" s="4">
        <f t="shared" ref="C33:H33" si="2">C18/C28</f>
        <v>2616480666.9536934</v>
      </c>
      <c r="D33" s="4">
        <f>D18/D28</f>
        <v>0</v>
      </c>
      <c r="E33" s="4">
        <f t="shared" si="2"/>
        <v>493101792.74779952</v>
      </c>
      <c r="F33" s="4">
        <f t="shared" si="2"/>
        <v>100487295.31190205</v>
      </c>
      <c r="G33" s="4">
        <f t="shared" si="2"/>
        <v>154490550.19135097</v>
      </c>
      <c r="H33" s="4">
        <f t="shared" si="2"/>
        <v>41745784.701492533</v>
      </c>
    </row>
    <row r="34" spans="1:8" x14ac:dyDescent="0.25">
      <c r="A34" s="12" t="s">
        <v>91</v>
      </c>
      <c r="B34" s="18">
        <f>B32/B10</f>
        <v>180167.07698110066</v>
      </c>
      <c r="C34" s="18">
        <f t="shared" ref="C34:H34" si="3">C32/C10</f>
        <v>228980.10219912266</v>
      </c>
      <c r="D34" s="18">
        <f>D32/D10</f>
        <v>0</v>
      </c>
      <c r="E34" s="18">
        <f t="shared" si="3"/>
        <v>774162.75381591381</v>
      </c>
      <c r="F34" s="18">
        <f t="shared" si="3"/>
        <v>87216.924112210589</v>
      </c>
      <c r="G34" s="18">
        <f t="shared" si="3"/>
        <v>68827.773460617318</v>
      </c>
      <c r="H34" s="18">
        <f t="shared" si="3"/>
        <v>17710221.571498293</v>
      </c>
    </row>
    <row r="35" spans="1:8" x14ac:dyDescent="0.25">
      <c r="A35" s="12" t="s">
        <v>92</v>
      </c>
      <c r="B35" s="19">
        <f>B33/B12</f>
        <v>173560.89319811674</v>
      </c>
      <c r="C35" s="19">
        <f t="shared" ref="C35:G35" si="4">C33/C12</f>
        <v>192970.03222610024</v>
      </c>
      <c r="D35" s="19">
        <f>D33/D12</f>
        <v>0</v>
      </c>
      <c r="E35" s="19">
        <f t="shared" si="4"/>
        <v>1190108.9125047454</v>
      </c>
      <c r="F35" s="19">
        <f t="shared" si="4"/>
        <v>120008.71255402314</v>
      </c>
      <c r="G35" s="19">
        <f t="shared" si="4"/>
        <v>92546.256105042514</v>
      </c>
      <c r="H35" s="17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x14ac:dyDescent="0.25">
      <c r="A44" s="8" t="s">
        <v>15</v>
      </c>
      <c r="B44" s="22">
        <f>B12/B11*100</f>
        <v>104.32147982777865</v>
      </c>
      <c r="C44" s="22">
        <f t="shared" ref="C44:G44" si="5">C12/C11*100</f>
        <v>126.63677967684693</v>
      </c>
      <c r="D44" s="22">
        <f t="shared" ref="D44" si="6">D12/D11*100</f>
        <v>274.52006980802793</v>
      </c>
      <c r="E44" s="22">
        <f t="shared" si="5"/>
        <v>90.072463768115938</v>
      </c>
      <c r="F44" s="22">
        <f t="shared" si="5"/>
        <v>27.911111111111115</v>
      </c>
      <c r="G44" s="22">
        <f t="shared" si="5"/>
        <v>47.695238095238089</v>
      </c>
      <c r="H44" s="17" t="s">
        <v>37</v>
      </c>
    </row>
    <row r="45" spans="1:8" x14ac:dyDescent="0.25">
      <c r="A45" s="8" t="s">
        <v>16</v>
      </c>
      <c r="B45" s="22">
        <f>B18/B17*100</f>
        <v>74.308948310695627</v>
      </c>
      <c r="C45" s="22">
        <f t="shared" ref="C45:G45" si="7">C18/C17*100</f>
        <v>75.054662636418684</v>
      </c>
      <c r="D45" s="22">
        <f t="shared" ref="D45" si="8">D18/D17*100</f>
        <v>0</v>
      </c>
      <c r="E45" s="22">
        <f t="shared" si="7"/>
        <v>84.313649525091378</v>
      </c>
      <c r="F45" s="22">
        <f t="shared" si="7"/>
        <v>159.19669803027105</v>
      </c>
      <c r="G45" s="22">
        <f t="shared" si="7"/>
        <v>156.14194698097182</v>
      </c>
      <c r="H45" s="17" t="s">
        <v>37</v>
      </c>
    </row>
    <row r="46" spans="1:8" x14ac:dyDescent="0.25">
      <c r="A46" s="8" t="s">
        <v>17</v>
      </c>
      <c r="B46" s="22">
        <f>AVERAGE(B44:B45)</f>
        <v>89.315214069237129</v>
      </c>
      <c r="C46" s="22">
        <f t="shared" ref="C46:G46" si="9">AVERAGE(C44:C45)</f>
        <v>100.84572115663281</v>
      </c>
      <c r="D46" s="22">
        <f t="shared" ref="D46" si="10">AVERAGE(D44:D45)</f>
        <v>137.26003490401396</v>
      </c>
      <c r="E46" s="22">
        <f t="shared" si="9"/>
        <v>87.193056646603651</v>
      </c>
      <c r="F46" s="22">
        <f t="shared" si="9"/>
        <v>93.553904570691088</v>
      </c>
      <c r="G46" s="22">
        <f t="shared" si="9"/>
        <v>101.91859253810496</v>
      </c>
      <c r="H46" s="17" t="s">
        <v>37</v>
      </c>
    </row>
    <row r="47" spans="1:8" x14ac:dyDescent="0.25">
      <c r="B47" s="22"/>
      <c r="C47" s="22"/>
      <c r="D47" s="22"/>
      <c r="E47" s="22"/>
      <c r="F47" s="22"/>
    </row>
    <row r="48" spans="1:8" x14ac:dyDescent="0.25">
      <c r="A48" s="8" t="s">
        <v>18</v>
      </c>
    </row>
    <row r="49" spans="1:8" x14ac:dyDescent="0.25">
      <c r="A49" s="8" t="s">
        <v>19</v>
      </c>
      <c r="B49" s="22">
        <f>B12/B13*100</f>
        <v>38.532218164683698</v>
      </c>
      <c r="C49" s="22">
        <f t="shared" ref="C49:G49" si="11">C12/C13*100</f>
        <v>31.659194919211732</v>
      </c>
      <c r="D49" s="22">
        <f t="shared" si="11"/>
        <v>274.52006980802793</v>
      </c>
      <c r="E49" s="22">
        <f t="shared" si="11"/>
        <v>90.072463768115938</v>
      </c>
      <c r="F49" s="22">
        <f t="shared" si="11"/>
        <v>27.911111111111115</v>
      </c>
      <c r="G49" s="22">
        <f t="shared" si="11"/>
        <v>47.695238095238089</v>
      </c>
      <c r="H49" s="17" t="s">
        <v>37</v>
      </c>
    </row>
    <row r="50" spans="1:8" x14ac:dyDescent="0.25">
      <c r="A50" s="8" t="s">
        <v>20</v>
      </c>
      <c r="B50" s="22">
        <f>B18/B19*100</f>
        <v>22.52752175020148</v>
      </c>
      <c r="C50" s="22">
        <f t="shared" ref="C50:G50" si="12">C18/C19*100</f>
        <v>23.093742349667288</v>
      </c>
      <c r="D50" s="22">
        <f>D18/D19*100</f>
        <v>0</v>
      </c>
      <c r="E50" s="22">
        <f t="shared" si="12"/>
        <v>25.942661362954194</v>
      </c>
      <c r="F50" s="22">
        <f t="shared" si="12"/>
        <v>53.065566010090357</v>
      </c>
      <c r="G50" s="22">
        <f t="shared" si="12"/>
        <v>52.047315660323946</v>
      </c>
      <c r="H50" s="17" t="s">
        <v>37</v>
      </c>
    </row>
    <row r="51" spans="1:8" x14ac:dyDescent="0.25">
      <c r="A51" s="8" t="s">
        <v>21</v>
      </c>
      <c r="B51" s="22">
        <f>(B49+B50)/2</f>
        <v>30.529869957442589</v>
      </c>
      <c r="C51" s="22">
        <f t="shared" ref="C51:G51" si="13">(C49+C50)/2</f>
        <v>27.376468634439512</v>
      </c>
      <c r="D51" s="22">
        <f>(D49+D50)/2</f>
        <v>137.26003490401396</v>
      </c>
      <c r="E51" s="22">
        <f t="shared" si="13"/>
        <v>58.007562565535068</v>
      </c>
      <c r="F51" s="22">
        <f t="shared" si="13"/>
        <v>40.488338560600738</v>
      </c>
      <c r="G51" s="22">
        <f t="shared" si="13"/>
        <v>49.871276877781014</v>
      </c>
      <c r="H51" s="17" t="s">
        <v>37</v>
      </c>
    </row>
    <row r="53" spans="1:8" x14ac:dyDescent="0.25">
      <c r="A53" s="8" t="s">
        <v>33</v>
      </c>
    </row>
    <row r="54" spans="1:8" x14ac:dyDescent="0.25">
      <c r="A54" s="8" t="s">
        <v>22</v>
      </c>
      <c r="B54" s="40">
        <f t="shared" ref="B54" si="14">B20/B18*100</f>
        <v>100</v>
      </c>
      <c r="C54" s="22"/>
      <c r="D54" s="22"/>
      <c r="E54" s="22"/>
      <c r="F54" s="22"/>
      <c r="G54" s="22"/>
      <c r="H54" s="22"/>
    </row>
    <row r="56" spans="1:8" x14ac:dyDescent="0.25">
      <c r="A56" s="8" t="s">
        <v>23</v>
      </c>
    </row>
    <row r="57" spans="1:8" x14ac:dyDescent="0.25">
      <c r="A57" s="8" t="s">
        <v>24</v>
      </c>
      <c r="B57" s="22">
        <f>((B12/B10)-1)*100</f>
        <v>7.064535486334611</v>
      </c>
      <c r="C57" s="22">
        <f t="shared" ref="C57:H57" si="15">((C12/C10)-1)*100</f>
        <v>20.749844153531029</v>
      </c>
      <c r="D57" s="22">
        <f>((D12/D10)-1)*100</f>
        <v>18.49340866290019</v>
      </c>
      <c r="E57" s="22">
        <f t="shared" si="15"/>
        <v>-23.975535168195726</v>
      </c>
      <c r="F57" s="22">
        <f t="shared" si="15"/>
        <v>-33.912128387266506</v>
      </c>
      <c r="G57" s="22">
        <f t="shared" si="15"/>
        <v>-36.62363958491521</v>
      </c>
      <c r="H57" s="22">
        <f t="shared" si="15"/>
        <v>-100</v>
      </c>
    </row>
    <row r="58" spans="1:8" x14ac:dyDescent="0.25">
      <c r="A58" s="8" t="s">
        <v>25</v>
      </c>
      <c r="B58" s="22">
        <f>((B33/B32)-1)*100</f>
        <v>3.138801606904873</v>
      </c>
      <c r="C58" s="22">
        <f t="shared" ref="C58:H58" si="16">((C33/C32)-1)*100</f>
        <v>1.7603760930313017</v>
      </c>
      <c r="D58" s="17" t="s">
        <v>37</v>
      </c>
      <c r="E58" s="22">
        <f t="shared" si="16"/>
        <v>16.871281547404738</v>
      </c>
      <c r="F58" s="22">
        <f t="shared" si="16"/>
        <v>-9.0644336702841564</v>
      </c>
      <c r="G58" s="22">
        <f t="shared" si="16"/>
        <v>-14.783748084834381</v>
      </c>
      <c r="H58" s="22">
        <f t="shared" si="16"/>
        <v>135.71576749031502</v>
      </c>
    </row>
    <row r="59" spans="1:8" x14ac:dyDescent="0.25">
      <c r="A59" s="8" t="s">
        <v>26</v>
      </c>
      <c r="B59" s="22">
        <f t="shared" ref="B59:G59" si="17">((B35/B34)-1)*100</f>
        <v>-3.6666986519834022</v>
      </c>
      <c r="C59" s="22">
        <f t="shared" si="17"/>
        <v>-15.726287842123421</v>
      </c>
      <c r="D59" s="17" t="s">
        <v>37</v>
      </c>
      <c r="E59" s="22">
        <f t="shared" si="17"/>
        <v>53.728515953344136</v>
      </c>
      <c r="F59" s="22">
        <f t="shared" si="17"/>
        <v>37.597964816580372</v>
      </c>
      <c r="G59" s="22">
        <f t="shared" si="17"/>
        <v>34.460627522691432</v>
      </c>
      <c r="H59" s="17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8" t="s">
        <v>27</v>
      </c>
    </row>
    <row r="62" spans="1:8" x14ac:dyDescent="0.25">
      <c r="A62" s="7" t="s">
        <v>124</v>
      </c>
      <c r="B62" s="13">
        <f>B17/(B11*3)</f>
        <v>84891.194979712614</v>
      </c>
      <c r="C62" s="13">
        <f t="shared" ref="C62:G62" si="18">C17/(C11*3)</f>
        <v>113435.81524111952</v>
      </c>
      <c r="D62" s="13">
        <f t="shared" si="18"/>
        <v>106700.45000000001</v>
      </c>
      <c r="E62" s="13">
        <f t="shared" si="18"/>
        <v>442954.38768115942</v>
      </c>
      <c r="F62" s="13">
        <f t="shared" si="18"/>
        <v>7330.5066666666671</v>
      </c>
      <c r="G62" s="13">
        <f t="shared" si="18"/>
        <v>9849.0066666666662</v>
      </c>
      <c r="H62" s="17" t="s">
        <v>37</v>
      </c>
    </row>
    <row r="63" spans="1:8" x14ac:dyDescent="0.25">
      <c r="A63" s="7" t="s">
        <v>125</v>
      </c>
      <c r="B63" s="13">
        <f t="shared" ref="B63" si="19">B18/(B12*3)</f>
        <v>60468.615190223871</v>
      </c>
      <c r="C63" s="13">
        <f t="shared" ref="C63:G63" si="20">C18/(C12*3)</f>
        <v>67230.759227573319</v>
      </c>
      <c r="D63" s="13">
        <f t="shared" si="20"/>
        <v>0</v>
      </c>
      <c r="E63" s="13">
        <f t="shared" si="20"/>
        <v>414633.94511665328</v>
      </c>
      <c r="F63" s="13">
        <f t="shared" si="20"/>
        <v>41811.035453821656</v>
      </c>
      <c r="G63" s="13">
        <f t="shared" si="20"/>
        <v>32243.115626996805</v>
      </c>
      <c r="H63" s="17" t="s">
        <v>37</v>
      </c>
    </row>
    <row r="64" spans="1:8" x14ac:dyDescent="0.25">
      <c r="A64" s="7" t="s">
        <v>28</v>
      </c>
      <c r="B64" s="13">
        <f>(B62/B63)*B46</f>
        <v>125.38860412719019</v>
      </c>
      <c r="C64" s="13">
        <f t="shared" ref="C64:G64" si="21">(C62/C63)*C46</f>
        <v>170.1530181186705</v>
      </c>
      <c r="D64" s="17" t="s">
        <v>37</v>
      </c>
      <c r="E64" s="13">
        <f t="shared" si="21"/>
        <v>93.148540952378823</v>
      </c>
      <c r="F64" s="13">
        <f t="shared" si="21"/>
        <v>16.402308952754343</v>
      </c>
      <c r="G64" s="13">
        <f t="shared" si="21"/>
        <v>31.132130932303923</v>
      </c>
      <c r="H64" s="17" t="s">
        <v>37</v>
      </c>
    </row>
    <row r="65" spans="1:8" x14ac:dyDescent="0.25">
      <c r="A65" s="7" t="s">
        <v>126</v>
      </c>
      <c r="B65" s="13">
        <f t="shared" ref="B65:B66" si="22">B17/B11</f>
        <v>254673.58493913783</v>
      </c>
      <c r="C65" s="13">
        <f t="shared" ref="C65:G65" si="23">C17/C11</f>
        <v>340307.44572335854</v>
      </c>
      <c r="D65" s="13">
        <f t="shared" si="23"/>
        <v>320101.35000000003</v>
      </c>
      <c r="E65" s="13">
        <f t="shared" si="23"/>
        <v>1328863.1630434783</v>
      </c>
      <c r="F65" s="13">
        <f t="shared" si="23"/>
        <v>21991.52</v>
      </c>
      <c r="G65" s="13">
        <f t="shared" si="23"/>
        <v>29547.02</v>
      </c>
      <c r="H65" s="17" t="s">
        <v>37</v>
      </c>
    </row>
    <row r="66" spans="1:8" x14ac:dyDescent="0.25">
      <c r="A66" s="7" t="s">
        <v>127</v>
      </c>
      <c r="B66" s="13">
        <f t="shared" si="22"/>
        <v>181405.8455706716</v>
      </c>
      <c r="C66" s="13">
        <f t="shared" ref="C66:G66" si="24">C18/C12</f>
        <v>201692.27768271996</v>
      </c>
      <c r="D66" s="13">
        <f t="shared" si="24"/>
        <v>0</v>
      </c>
      <c r="E66" s="13">
        <f t="shared" si="24"/>
        <v>1243901.83534996</v>
      </c>
      <c r="F66" s="13">
        <f t="shared" si="24"/>
        <v>125433.10636146496</v>
      </c>
      <c r="G66" s="13">
        <f t="shared" si="24"/>
        <v>96729.346880990415</v>
      </c>
      <c r="H66" s="17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72.599594774655685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102.35449459648594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8" t="s">
        <v>59</v>
      </c>
    </row>
    <row r="79" spans="1:8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4" spans="1:1" x14ac:dyDescent="0.25">
      <c r="A84" s="7"/>
    </row>
  </sheetData>
  <mergeCells count="5">
    <mergeCell ref="A4:A5"/>
    <mergeCell ref="B4:B5"/>
    <mergeCell ref="A2:H2"/>
    <mergeCell ref="A79:H79"/>
    <mergeCell ref="C4:H4"/>
  </mergeCells>
  <pageMargins left="0.7" right="0.7" top="0.75" bottom="0.75" header="0.3" footer="0.3"/>
  <pageSetup paperSize="9" orientation="portrait" r:id="rId1"/>
  <ignoredErrors>
    <ignoredError sqref="D60:D63 H36:H43 H47:H48 H52:H58 H60:H6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.42578125" style="8" customWidth="1"/>
    <col min="2" max="8" width="22.7109375" style="8" customWidth="1"/>
    <col min="9" max="16384" width="11.42578125" style="8"/>
  </cols>
  <sheetData>
    <row r="2" spans="1:13" ht="15.75" x14ac:dyDescent="0.25">
      <c r="A2" s="45" t="s">
        <v>93</v>
      </c>
      <c r="B2" s="45"/>
      <c r="C2" s="45"/>
      <c r="D2" s="45"/>
      <c r="E2" s="45"/>
      <c r="F2" s="45"/>
      <c r="G2" s="45"/>
      <c r="H2" s="45"/>
    </row>
    <row r="4" spans="1:13" x14ac:dyDescent="0.25">
      <c r="A4" s="41" t="s">
        <v>0</v>
      </c>
      <c r="B4" s="43" t="s">
        <v>1</v>
      </c>
      <c r="C4" s="46" t="s">
        <v>2</v>
      </c>
      <c r="D4" s="46"/>
      <c r="E4" s="46"/>
      <c r="F4" s="46"/>
      <c r="G4" s="46"/>
      <c r="H4" s="46"/>
    </row>
    <row r="5" spans="1:13" ht="60.75" thickBot="1" x14ac:dyDescent="0.3">
      <c r="A5" s="42"/>
      <c r="B5" s="44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3" ht="15.75" thickTop="1" x14ac:dyDescent="0.25"/>
    <row r="7" spans="1:13" x14ac:dyDescent="0.25">
      <c r="A7" s="1" t="s">
        <v>3</v>
      </c>
    </row>
    <row r="9" spans="1:13" x14ac:dyDescent="0.25">
      <c r="A9" s="8" t="s">
        <v>4</v>
      </c>
    </row>
    <row r="10" spans="1:13" x14ac:dyDescent="0.25">
      <c r="A10" s="12" t="s">
        <v>94</v>
      </c>
      <c r="B10" s="5">
        <f>C10+D10+E10+F10+G10+H10</f>
        <v>23161.333333333336</v>
      </c>
      <c r="C10" s="5">
        <f>(+'I Trimestre'!C10+'II trimestre'!C10)</f>
        <v>20403</v>
      </c>
      <c r="D10" s="5">
        <f>(+'I Trimestre'!D10+'II trimestre'!D10)/2</f>
        <v>2297</v>
      </c>
      <c r="E10" s="5">
        <f>(+'I Trimestre'!E10+'II trimestre'!E10)/2</f>
        <v>442.66666666666663</v>
      </c>
      <c r="F10" s="5">
        <f>(+'I Trimestre'!F10+'II trimestre'!F10)/2</f>
        <v>0</v>
      </c>
      <c r="G10" s="5">
        <f>(+'I Trimestre'!G10+'II trimestre'!G10)/2</f>
        <v>18.666666666666668</v>
      </c>
      <c r="H10" s="5">
        <f>(+'I Trimestre'!H10+'II trimestre'!H10)/2</f>
        <v>0</v>
      </c>
    </row>
    <row r="11" spans="1:13" x14ac:dyDescent="0.25">
      <c r="A11" s="12" t="s">
        <v>95</v>
      </c>
      <c r="B11" s="5">
        <f t="shared" ref="B11:B13" si="0">C11+D11+E11+F11+G11+H11</f>
        <v>26270</v>
      </c>
      <c r="C11" s="5">
        <f>(+'I Trimestre'!C11+'II trimestre'!C11)</f>
        <v>21414</v>
      </c>
      <c r="D11" s="5">
        <f>(+'I Trimestre'!D11+'II trimestre'!D11)/2</f>
        <v>1146</v>
      </c>
      <c r="E11" s="5">
        <f>(+'I Trimestre'!E11+'II trimestre'!E11)/2</f>
        <v>460</v>
      </c>
      <c r="F11" s="5">
        <f>(+'I Trimestre'!F11+'II trimestre'!F11)/2</f>
        <v>1500</v>
      </c>
      <c r="G11" s="5">
        <f>(+'I Trimestre'!G11+'II trimestre'!G11)/2</f>
        <v>1750</v>
      </c>
      <c r="H11" s="5">
        <f>(+'I Trimestre'!H11+'II trimestre'!H11)/2</f>
        <v>0</v>
      </c>
    </row>
    <row r="12" spans="1:13" x14ac:dyDescent="0.25">
      <c r="A12" s="12" t="s">
        <v>96</v>
      </c>
      <c r="B12" s="5">
        <f t="shared" si="0"/>
        <v>20335.5</v>
      </c>
      <c r="C12" s="5">
        <f>(+'I Trimestre'!C12+'II trimestre'!C12)</f>
        <v>16790</v>
      </c>
      <c r="D12" s="5">
        <f>(+'I Trimestre'!D12+'II trimestre'!D12)/2</f>
        <v>3065.166666666667</v>
      </c>
      <c r="E12" s="5">
        <f>(+'I Trimestre'!E12+'II trimestre'!E12)/2</f>
        <v>480.33333333333337</v>
      </c>
      <c r="F12" s="5">
        <f>(+'I Trimestre'!F12+'II trimestre'!F12)/2</f>
        <v>0</v>
      </c>
      <c r="G12" s="5">
        <f>(+'I Trimestre'!G12+'II trimestre'!G12)/2</f>
        <v>0</v>
      </c>
      <c r="H12" s="5">
        <f>(+'I Trimestre'!H12+'II trimestre'!H12)/2</f>
        <v>0</v>
      </c>
    </row>
    <row r="13" spans="1:13" s="7" customFormat="1" x14ac:dyDescent="0.25">
      <c r="A13" s="14" t="s">
        <v>48</v>
      </c>
      <c r="B13" s="5">
        <f t="shared" si="0"/>
        <v>50934</v>
      </c>
      <c r="C13" s="5">
        <f>+'II trimestre'!C13</f>
        <v>42828</v>
      </c>
      <c r="D13" s="5">
        <f>+'II trimestre'!D13</f>
        <v>1146</v>
      </c>
      <c r="E13" s="5">
        <f>+'II trimestre'!E13</f>
        <v>460</v>
      </c>
      <c r="F13" s="5">
        <f>+'II trimestre'!F13</f>
        <v>3000</v>
      </c>
      <c r="G13" s="5">
        <f>+'II trimestre'!G13</f>
        <v>3500</v>
      </c>
      <c r="H13" s="5">
        <f>+'II trimestre'!H13</f>
        <v>0</v>
      </c>
    </row>
    <row r="15" spans="1:13" x14ac:dyDescent="0.25">
      <c r="A15" s="15" t="s">
        <v>5</v>
      </c>
    </row>
    <row r="16" spans="1:13" x14ac:dyDescent="0.25">
      <c r="A16" s="12" t="s">
        <v>94</v>
      </c>
      <c r="B16" s="13">
        <f>SUM(C16:H16)</f>
        <v>7121795887.8800001</v>
      </c>
      <c r="C16" s="5">
        <f>+'I Trimestre'!C16+'II trimestre'!C16</f>
        <v>4710465139.5500002</v>
      </c>
      <c r="D16" s="5">
        <f>+'I Trimestre'!D16+'II trimestre'!D16</f>
        <v>1390423165</v>
      </c>
      <c r="E16" s="5">
        <f>+'I Trimestre'!E16+'II trimestre'!E16</f>
        <v>968932059.02999997</v>
      </c>
      <c r="F16" s="5">
        <f>+'I Trimestre'!F16+'II trimestre'!F16</f>
        <v>2735713</v>
      </c>
      <c r="G16" s="5">
        <f>+'I Trimestre'!G16+'II trimestre'!G16</f>
        <v>10548558.279999999</v>
      </c>
      <c r="H16" s="5">
        <f>+'I Trimestre'!H16+'II trimestre'!H16</f>
        <v>38691253.020000003</v>
      </c>
    </row>
    <row r="17" spans="1:9" x14ac:dyDescent="0.25">
      <c r="A17" s="12" t="s">
        <v>95</v>
      </c>
      <c r="B17" s="13">
        <f>SUM(C17:H17)</f>
        <v>7200790175.2399998</v>
      </c>
      <c r="C17" s="5">
        <f>+'I Trimestre'!C17+'II trimestre'!C17</f>
        <v>5465507732.04</v>
      </c>
      <c r="D17" s="5">
        <f>+'I Trimestre'!D17+'II trimestre'!D17</f>
        <v>733672294.20000005</v>
      </c>
      <c r="E17" s="5">
        <f>+'I Trimestre'!E17+'II trimestre'!E17</f>
        <v>916915584</v>
      </c>
      <c r="F17" s="5">
        <f>+'I Trimestre'!F17+'II trimestre'!F17</f>
        <v>32987280</v>
      </c>
      <c r="G17" s="5">
        <f>+'I Trimestre'!G17+'II trimestre'!G17</f>
        <v>51707285</v>
      </c>
      <c r="H17" s="5">
        <f>+'I Trimestre'!H17+'II trimestre'!H17</f>
        <v>0</v>
      </c>
    </row>
    <row r="18" spans="1:9" x14ac:dyDescent="0.25">
      <c r="A18" s="12" t="s">
        <v>96</v>
      </c>
      <c r="B18" s="13">
        <f>SUM(C18:H18)</f>
        <v>7297042320.0600004</v>
      </c>
      <c r="C18" s="5">
        <f>+'I Trimestre'!C18+'II trimestre'!C18</f>
        <v>4953054904.4400005</v>
      </c>
      <c r="D18" s="5">
        <f>+'I Trimestre'!D18+'II trimestre'!D18</f>
        <v>1467289720</v>
      </c>
      <c r="E18" s="5">
        <f>+'I Trimestre'!E18+'II trimestre'!E18</f>
        <v>862671106.53999996</v>
      </c>
      <c r="F18" s="5">
        <f>+'I Trimestre'!F18+'II trimestre'!F18</f>
        <v>5508050.1199999992</v>
      </c>
      <c r="G18" s="5">
        <f>+'I Trimestre'!G18+'II trimestre'!G18</f>
        <v>8518538.9600000009</v>
      </c>
      <c r="H18" s="5">
        <f>+'I Trimestre'!H18+'II trimestre'!H18</f>
        <v>0</v>
      </c>
    </row>
    <row r="19" spans="1:9" x14ac:dyDescent="0.25">
      <c r="A19" s="12" t="s">
        <v>48</v>
      </c>
      <c r="B19" s="13">
        <f>SUM(C19:H19)</f>
        <v>15804095828.82</v>
      </c>
      <c r="C19" s="5">
        <f>+'II trimestre'!C19</f>
        <v>11841933419.42</v>
      </c>
      <c r="D19" s="5">
        <f>+'II trimestre'!D19</f>
        <v>1467344588.4000001</v>
      </c>
      <c r="E19" s="5">
        <f>+'II trimestre'!E19</f>
        <v>1986650431</v>
      </c>
      <c r="F19" s="5">
        <f>+'II trimestre'!F19</f>
        <v>197923680</v>
      </c>
      <c r="G19" s="5">
        <f>+'II trimestre'!G19</f>
        <v>310243710</v>
      </c>
      <c r="H19" s="5">
        <f>+'II trimestre'!H19</f>
        <v>0</v>
      </c>
    </row>
    <row r="20" spans="1:9" x14ac:dyDescent="0.25">
      <c r="A20" s="12" t="s">
        <v>97</v>
      </c>
      <c r="B20" s="13">
        <f>C20+D20+G20+E20+F20+H20</f>
        <v>7297042320.0600004</v>
      </c>
      <c r="C20" s="5">
        <f t="shared" ref="C20:H20" si="1">C18</f>
        <v>4953054904.4400005</v>
      </c>
      <c r="D20" s="5">
        <f t="shared" si="1"/>
        <v>1467289720</v>
      </c>
      <c r="E20" s="5">
        <f t="shared" si="1"/>
        <v>862671106.53999996</v>
      </c>
      <c r="F20" s="5">
        <f t="shared" si="1"/>
        <v>5508050.1199999992</v>
      </c>
      <c r="G20" s="5">
        <f t="shared" si="1"/>
        <v>8518538.9600000009</v>
      </c>
      <c r="H20" s="5">
        <f t="shared" si="1"/>
        <v>0</v>
      </c>
    </row>
    <row r="21" spans="1:9" x14ac:dyDescent="0.25">
      <c r="B21" s="13"/>
      <c r="C21" s="13"/>
      <c r="D21" s="13"/>
      <c r="E21" s="13"/>
      <c r="F21" s="13"/>
    </row>
    <row r="22" spans="1:9" x14ac:dyDescent="0.25">
      <c r="A22" s="12" t="s">
        <v>6</v>
      </c>
      <c r="B22" s="13"/>
      <c r="C22" s="13"/>
      <c r="D22" s="13"/>
      <c r="E22" s="13"/>
      <c r="F22" s="13"/>
    </row>
    <row r="23" spans="1:9" x14ac:dyDescent="0.25">
      <c r="A23" s="12" t="s">
        <v>95</v>
      </c>
      <c r="B23" s="5">
        <f>'I Trimestre'!B23+'II trimestre'!B23</f>
        <v>7200790175.2399998</v>
      </c>
    </row>
    <row r="24" spans="1:9" x14ac:dyDescent="0.25">
      <c r="A24" s="12" t="s">
        <v>96</v>
      </c>
      <c r="B24" s="5">
        <f>'I Trimestre'!B24+'II trimestre'!B24</f>
        <v>8355342920.3699989</v>
      </c>
    </row>
    <row r="26" spans="1:9" x14ac:dyDescent="0.25">
      <c r="A26" s="8" t="s">
        <v>7</v>
      </c>
    </row>
    <row r="27" spans="1:9" x14ac:dyDescent="0.25">
      <c r="A27" s="12" t="s">
        <v>98</v>
      </c>
      <c r="B27" s="6">
        <v>1.0088033727000001</v>
      </c>
      <c r="C27" s="6">
        <v>1.0088033727000001</v>
      </c>
      <c r="D27" s="6">
        <v>1.0088033727000001</v>
      </c>
      <c r="E27" s="6">
        <v>1.0088033727000001</v>
      </c>
      <c r="F27" s="6">
        <v>1.0088033727000001</v>
      </c>
      <c r="G27" s="6">
        <v>1.0088033727000001</v>
      </c>
      <c r="H27" s="6">
        <v>1.0088033727000001</v>
      </c>
    </row>
    <row r="28" spans="1:9" x14ac:dyDescent="0.25">
      <c r="A28" s="12" t="s">
        <v>99</v>
      </c>
      <c r="B28" s="6">
        <v>1.0303325644000001</v>
      </c>
      <c r="C28" s="6">
        <v>1.0303325644000001</v>
      </c>
      <c r="D28" s="6">
        <v>1.0303325644000001</v>
      </c>
      <c r="E28" s="6">
        <v>1.0303325644000001</v>
      </c>
      <c r="F28" s="6">
        <v>1.0303325644000001</v>
      </c>
      <c r="G28" s="6">
        <v>1.0303325644000001</v>
      </c>
      <c r="H28" s="6">
        <v>1.0303325644000001</v>
      </c>
    </row>
    <row r="29" spans="1:9" x14ac:dyDescent="0.25">
      <c r="A29" s="12" t="s">
        <v>8</v>
      </c>
      <c r="B29" s="25" t="s">
        <v>37</v>
      </c>
      <c r="C29" s="25" t="s">
        <v>37</v>
      </c>
      <c r="D29" s="25" t="s">
        <v>37</v>
      </c>
      <c r="E29" s="25" t="s">
        <v>37</v>
      </c>
      <c r="F29" s="25" t="s">
        <v>37</v>
      </c>
      <c r="G29" s="25" t="s">
        <v>37</v>
      </c>
      <c r="H29" s="25" t="s">
        <v>37</v>
      </c>
      <c r="I29" s="27"/>
    </row>
    <row r="31" spans="1:9" x14ac:dyDescent="0.25">
      <c r="A31" s="12" t="s">
        <v>9</v>
      </c>
    </row>
    <row r="32" spans="1:9" x14ac:dyDescent="0.25">
      <c r="A32" s="12" t="s">
        <v>100</v>
      </c>
      <c r="B32" s="4">
        <f>B16/B27</f>
        <v>7059647182.6010571</v>
      </c>
      <c r="C32" s="4">
        <f t="shared" ref="C32" si="2">C16/C27</f>
        <v>4669359031.7236252</v>
      </c>
      <c r="D32" s="4">
        <f>D16/D27</f>
        <v>1378289568.2422414</v>
      </c>
      <c r="E32" s="4">
        <f>E16/E27</f>
        <v>960476625.32760274</v>
      </c>
      <c r="F32" s="4">
        <f t="shared" ref="F32:H32" si="3">F16/F27</f>
        <v>2711839.6647287495</v>
      </c>
      <c r="G32" s="4">
        <f t="shared" si="3"/>
        <v>10456505.762631852</v>
      </c>
      <c r="H32" s="4">
        <f t="shared" si="3"/>
        <v>38353611.880227216</v>
      </c>
    </row>
    <row r="33" spans="1:8" x14ac:dyDescent="0.25">
      <c r="A33" s="12" t="s">
        <v>101</v>
      </c>
      <c r="B33" s="4">
        <f>B18/B28</f>
        <v>7082220413.279213</v>
      </c>
      <c r="C33" s="4">
        <f t="shared" ref="C33:E33" si="4">C18/C28</f>
        <v>4807239017.3597431</v>
      </c>
      <c r="D33" s="4">
        <f>D18/D28</f>
        <v>1424093317.7283938</v>
      </c>
      <c r="E33" s="4">
        <f t="shared" si="4"/>
        <v>837274426.0901475</v>
      </c>
      <c r="F33" s="4">
        <f t="shared" ref="F33:H33" si="5">F18/F28</f>
        <v>5345895.4034006838</v>
      </c>
      <c r="G33" s="4">
        <f t="shared" si="5"/>
        <v>8267756.6975286799</v>
      </c>
      <c r="H33" s="4">
        <f t="shared" si="5"/>
        <v>0</v>
      </c>
    </row>
    <row r="34" spans="1:8" x14ac:dyDescent="0.25">
      <c r="A34" s="12" t="s">
        <v>102</v>
      </c>
      <c r="B34" s="19">
        <f>B32/B10</f>
        <v>304803.1424184441</v>
      </c>
      <c r="C34" s="19">
        <f t="shared" ref="C34:G34" si="6">C32/C10</f>
        <v>228856.49324724919</v>
      </c>
      <c r="D34" s="19">
        <f>D32/D10</f>
        <v>600038.993575203</v>
      </c>
      <c r="E34" s="19">
        <f t="shared" si="6"/>
        <v>2169751.412637657</v>
      </c>
      <c r="F34" s="25" t="s">
        <v>37</v>
      </c>
      <c r="G34" s="19">
        <f t="shared" si="6"/>
        <v>560169.95156956348</v>
      </c>
      <c r="H34" s="25" t="s">
        <v>37</v>
      </c>
    </row>
    <row r="35" spans="1:8" x14ac:dyDescent="0.25">
      <c r="A35" s="12" t="s">
        <v>103</v>
      </c>
      <c r="B35" s="19">
        <f>B33/B12</f>
        <v>348268.81135350559</v>
      </c>
      <c r="C35" s="19">
        <f t="shared" ref="C35:E35" si="7">C33/C12</f>
        <v>286315.60556043737</v>
      </c>
      <c r="D35" s="19">
        <f>D33/D12</f>
        <v>464605.50847536087</v>
      </c>
      <c r="E35" s="19">
        <f t="shared" si="7"/>
        <v>1743111.2271134229</v>
      </c>
      <c r="F35" s="25" t="s">
        <v>37</v>
      </c>
      <c r="G35" s="25" t="s">
        <v>37</v>
      </c>
      <c r="H35" s="25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x14ac:dyDescent="0.25">
      <c r="A44" s="8" t="s">
        <v>15</v>
      </c>
      <c r="B44" s="22">
        <f>B12/B11*100</f>
        <v>77.409592691282839</v>
      </c>
      <c r="C44" s="22">
        <f t="shared" ref="C44:G44" si="8">C12/C11*100</f>
        <v>78.406649855234889</v>
      </c>
      <c r="D44" s="22">
        <f>D12/D11*100</f>
        <v>267.46655031995351</v>
      </c>
      <c r="E44" s="22">
        <f t="shared" si="8"/>
        <v>104.42028985507248</v>
      </c>
      <c r="F44" s="22">
        <f t="shared" si="8"/>
        <v>0</v>
      </c>
      <c r="G44" s="22">
        <f t="shared" si="8"/>
        <v>0</v>
      </c>
      <c r="H44" s="25" t="s">
        <v>37</v>
      </c>
    </row>
    <row r="45" spans="1:8" x14ac:dyDescent="0.25">
      <c r="A45" s="8" t="s">
        <v>16</v>
      </c>
      <c r="B45" s="22">
        <f>B18/B17*100</f>
        <v>101.33668864773986</v>
      </c>
      <c r="C45" s="22">
        <f t="shared" ref="C45:G45" si="9">C18/C17*100</f>
        <v>90.623875169073699</v>
      </c>
      <c r="D45" s="22">
        <f>D18/D17*100</f>
        <v>199.99252140220725</v>
      </c>
      <c r="E45" s="22">
        <f t="shared" si="9"/>
        <v>94.084027100579846</v>
      </c>
      <c r="F45" s="22">
        <f t="shared" si="9"/>
        <v>16.697497095850277</v>
      </c>
      <c r="G45" s="22">
        <f t="shared" si="9"/>
        <v>16.47454311321896</v>
      </c>
      <c r="H45" s="25" t="s">
        <v>37</v>
      </c>
    </row>
    <row r="46" spans="1:8" x14ac:dyDescent="0.25">
      <c r="A46" s="8" t="s">
        <v>17</v>
      </c>
      <c r="B46" s="22">
        <f>AVERAGE(B44:B45)</f>
        <v>89.373140669511344</v>
      </c>
      <c r="C46" s="22">
        <f t="shared" ref="C46:G46" si="10">AVERAGE(C44:C45)</f>
        <v>84.515262512154294</v>
      </c>
      <c r="D46" s="22">
        <f>AVERAGE(D44:D45)</f>
        <v>233.72953586108036</v>
      </c>
      <c r="E46" s="22">
        <f t="shared" si="10"/>
        <v>99.252158477826157</v>
      </c>
      <c r="F46" s="22">
        <f t="shared" si="10"/>
        <v>8.3487485479251387</v>
      </c>
      <c r="G46" s="22">
        <f t="shared" si="10"/>
        <v>8.2372715566094801</v>
      </c>
      <c r="H46" s="25" t="s">
        <v>37</v>
      </c>
    </row>
    <row r="47" spans="1:8" x14ac:dyDescent="0.25">
      <c r="B47" s="22"/>
      <c r="C47" s="22"/>
      <c r="D47" s="22"/>
      <c r="E47" s="22"/>
      <c r="F47" s="22"/>
    </row>
    <row r="48" spans="1:8" x14ac:dyDescent="0.25">
      <c r="A48" s="8" t="s">
        <v>18</v>
      </c>
    </row>
    <row r="49" spans="1:8" x14ac:dyDescent="0.25">
      <c r="A49" s="8" t="s">
        <v>19</v>
      </c>
      <c r="B49" s="22">
        <f>B12/(B13)*100</f>
        <v>39.925197314171278</v>
      </c>
      <c r="C49" s="22">
        <f t="shared" ref="C49:G49" si="11">C12/(C13)*100</f>
        <v>39.203324927617444</v>
      </c>
      <c r="D49" s="22">
        <f t="shared" si="11"/>
        <v>267.46655031995351</v>
      </c>
      <c r="E49" s="22">
        <f t="shared" si="11"/>
        <v>104.42028985507248</v>
      </c>
      <c r="F49" s="22">
        <f t="shared" si="11"/>
        <v>0</v>
      </c>
      <c r="G49" s="22">
        <f t="shared" si="11"/>
        <v>0</v>
      </c>
      <c r="H49" s="25" t="s">
        <v>37</v>
      </c>
    </row>
    <row r="50" spans="1:8" x14ac:dyDescent="0.25">
      <c r="A50" s="8" t="s">
        <v>20</v>
      </c>
      <c r="B50" s="22">
        <f>B18/B19*100</f>
        <v>46.171843040544438</v>
      </c>
      <c r="C50" s="22">
        <f t="shared" ref="C50:G50" si="12">C18/C19*100</f>
        <v>41.826403924187858</v>
      </c>
      <c r="D50" s="22">
        <f>D18/D19*100</f>
        <v>99.996260701103623</v>
      </c>
      <c r="E50" s="22">
        <f t="shared" si="12"/>
        <v>43.423397145202138</v>
      </c>
      <c r="F50" s="22">
        <f t="shared" si="12"/>
        <v>2.7829161826417126</v>
      </c>
      <c r="G50" s="22">
        <f t="shared" si="12"/>
        <v>2.7457571855364935</v>
      </c>
      <c r="H50" s="25" t="s">
        <v>37</v>
      </c>
    </row>
    <row r="51" spans="1:8" x14ac:dyDescent="0.25">
      <c r="A51" s="8" t="s">
        <v>21</v>
      </c>
      <c r="B51" s="22">
        <f>(B49+B50)/2</f>
        <v>43.048520177357858</v>
      </c>
      <c r="C51" s="22">
        <f t="shared" ref="C51:G51" si="13">(C49+C50)/2</f>
        <v>40.514864425902651</v>
      </c>
      <c r="D51" s="22">
        <f>(D49+D50)/2</f>
        <v>183.73140551052856</v>
      </c>
      <c r="E51" s="22">
        <f t="shared" si="13"/>
        <v>73.921843500137314</v>
      </c>
      <c r="F51" s="22">
        <f t="shared" si="13"/>
        <v>1.3914580913208563</v>
      </c>
      <c r="G51" s="22">
        <f t="shared" si="13"/>
        <v>1.3728785927682468</v>
      </c>
      <c r="H51" s="25" t="s">
        <v>37</v>
      </c>
    </row>
    <row r="53" spans="1:8" x14ac:dyDescent="0.25">
      <c r="A53" s="8" t="s">
        <v>33</v>
      </c>
    </row>
    <row r="54" spans="1:8" x14ac:dyDescent="0.25">
      <c r="A54" s="8" t="s">
        <v>22</v>
      </c>
      <c r="B54" s="40">
        <f t="shared" ref="B54" si="14">B20/B18*100</f>
        <v>100</v>
      </c>
      <c r="C54" s="22"/>
      <c r="D54" s="22"/>
      <c r="E54" s="22"/>
      <c r="F54" s="22"/>
      <c r="G54" s="22"/>
      <c r="H54" s="22"/>
    </row>
    <row r="56" spans="1:8" x14ac:dyDescent="0.25">
      <c r="A56" s="8" t="s">
        <v>23</v>
      </c>
    </row>
    <row r="57" spans="1:8" x14ac:dyDescent="0.25">
      <c r="A57" s="8" t="s">
        <v>24</v>
      </c>
      <c r="B57" s="22">
        <f>((B12/B10)-1)*100</f>
        <v>-12.200650509469813</v>
      </c>
      <c r="C57" s="22">
        <f t="shared" ref="C57:G57" si="15">((C12/C10)-1)*100</f>
        <v>-17.70818016958291</v>
      </c>
      <c r="D57" s="22">
        <f>((D12/D10)-1)*100</f>
        <v>33.442170947612837</v>
      </c>
      <c r="E57" s="22">
        <f t="shared" si="15"/>
        <v>8.5090361445783422</v>
      </c>
      <c r="F57" s="25" t="s">
        <v>37</v>
      </c>
      <c r="G57" s="22">
        <f t="shared" si="15"/>
        <v>-100</v>
      </c>
      <c r="H57" s="25" t="s">
        <v>37</v>
      </c>
    </row>
    <row r="58" spans="1:8" x14ac:dyDescent="0.25">
      <c r="A58" s="8" t="s">
        <v>25</v>
      </c>
      <c r="B58" s="22">
        <f>((B33/B32)-1)*100</f>
        <v>0.31975012481910703</v>
      </c>
      <c r="C58" s="22">
        <f t="shared" ref="C58" si="16">((C33/C32)-1)*100</f>
        <v>2.9528675070681354</v>
      </c>
      <c r="D58" s="22">
        <f>((D33/D32)-1)*100</f>
        <v>3.3232312383069784</v>
      </c>
      <c r="E58" s="22">
        <f>((E33/E32)-1)*100</f>
        <v>-12.827193914837132</v>
      </c>
      <c r="F58" s="22">
        <f t="shared" ref="F58:H58" si="17">((F33/F32)-1)*100</f>
        <v>97.131691557266336</v>
      </c>
      <c r="G58" s="22">
        <f t="shared" si="17"/>
        <v>-20.931935722974004</v>
      </c>
      <c r="H58" s="22">
        <f t="shared" si="17"/>
        <v>-100</v>
      </c>
    </row>
    <row r="59" spans="1:8" x14ac:dyDescent="0.25">
      <c r="A59" s="8" t="s">
        <v>26</v>
      </c>
      <c r="B59" s="22">
        <f>((B35/B34)-1)*100</f>
        <v>14.260243050706588</v>
      </c>
      <c r="C59" s="22">
        <f t="shared" ref="C59:E59" si="18">((C35/C34)-1)*100</f>
        <v>25.107049180864283</v>
      </c>
      <c r="D59" s="22">
        <f>((D35/D34)-1)*100</f>
        <v>-22.57078065758542</v>
      </c>
      <c r="E59" s="22">
        <f t="shared" si="18"/>
        <v>-19.663090575228114</v>
      </c>
      <c r="F59" s="25" t="s">
        <v>37</v>
      </c>
      <c r="G59" s="25" t="s">
        <v>37</v>
      </c>
      <c r="H59" s="25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8" t="s">
        <v>27</v>
      </c>
    </row>
    <row r="62" spans="1:8" x14ac:dyDescent="0.25">
      <c r="A62" s="8" t="s">
        <v>124</v>
      </c>
      <c r="B62" s="13">
        <f>B17/(B11*6)</f>
        <v>45684.495465296284</v>
      </c>
      <c r="C62" s="13">
        <f t="shared" ref="C62:G62" si="19">C17/(C11*6)</f>
        <v>42538.430715419818</v>
      </c>
      <c r="D62" s="13">
        <f t="shared" si="19"/>
        <v>106700.45000000001</v>
      </c>
      <c r="E62" s="13">
        <f t="shared" si="19"/>
        <v>332215.7913043478</v>
      </c>
      <c r="F62" s="13">
        <f t="shared" si="19"/>
        <v>3665.2533333333336</v>
      </c>
      <c r="G62" s="13">
        <f t="shared" si="19"/>
        <v>4924.5033333333331</v>
      </c>
      <c r="H62" s="25" t="s">
        <v>37</v>
      </c>
    </row>
    <row r="63" spans="1:8" x14ac:dyDescent="0.25">
      <c r="A63" s="8" t="s">
        <v>125</v>
      </c>
      <c r="B63" s="13">
        <f>B18/(B12*6)</f>
        <v>59805.449583732887</v>
      </c>
      <c r="C63" s="13">
        <f t="shared" ref="C63:E63" si="20">C18/(C12*6)</f>
        <v>49166.715350804057</v>
      </c>
      <c r="D63" s="13">
        <f t="shared" si="20"/>
        <v>79783.03083029743</v>
      </c>
      <c r="E63" s="13">
        <f t="shared" si="20"/>
        <v>299330.71011103399</v>
      </c>
      <c r="F63" s="25" t="s">
        <v>37</v>
      </c>
      <c r="G63" s="25" t="s">
        <v>37</v>
      </c>
      <c r="H63" s="25" t="s">
        <v>37</v>
      </c>
    </row>
    <row r="64" spans="1:8" x14ac:dyDescent="0.25">
      <c r="A64" s="8" t="s">
        <v>28</v>
      </c>
      <c r="B64" s="24">
        <f>(B62/B63)*B46</f>
        <v>68.270815921533455</v>
      </c>
      <c r="C64" s="24">
        <f t="shared" ref="C64:E64" si="21">(C62/C63)*C46</f>
        <v>73.121554147301794</v>
      </c>
      <c r="D64" s="24">
        <f t="shared" si="21"/>
        <v>312.58585184254326</v>
      </c>
      <c r="E64" s="24">
        <f t="shared" si="21"/>
        <v>110.15620266675766</v>
      </c>
      <c r="F64" s="25" t="s">
        <v>37</v>
      </c>
      <c r="G64" s="25" t="s">
        <v>37</v>
      </c>
      <c r="H64" s="25" t="s">
        <v>37</v>
      </c>
    </row>
    <row r="65" spans="1:8" x14ac:dyDescent="0.25">
      <c r="A65" s="8" t="s">
        <v>128</v>
      </c>
      <c r="B65" s="13">
        <f t="shared" ref="B65:B66" si="22">B17/B11</f>
        <v>274106.97279177769</v>
      </c>
      <c r="C65" s="13">
        <f t="shared" ref="C65:G65" si="23">C17/C11</f>
        <v>255230.58429251891</v>
      </c>
      <c r="D65" s="13">
        <f t="shared" si="23"/>
        <v>640202.70000000007</v>
      </c>
      <c r="E65" s="13">
        <f t="shared" si="23"/>
        <v>1993294.7478260871</v>
      </c>
      <c r="F65" s="13">
        <f t="shared" si="23"/>
        <v>21991.52</v>
      </c>
      <c r="G65" s="13">
        <f t="shared" si="23"/>
        <v>29547.02</v>
      </c>
      <c r="H65" s="25" t="s">
        <v>37</v>
      </c>
    </row>
    <row r="66" spans="1:8" x14ac:dyDescent="0.25">
      <c r="A66" s="8" t="s">
        <v>129</v>
      </c>
      <c r="B66" s="13">
        <f t="shared" si="22"/>
        <v>358832.69750239729</v>
      </c>
      <c r="C66" s="13">
        <f t="shared" ref="C66:E66" si="24">C18/C12</f>
        <v>295000.29210482433</v>
      </c>
      <c r="D66" s="13">
        <f t="shared" si="24"/>
        <v>478698.18498178449</v>
      </c>
      <c r="E66" s="13">
        <f t="shared" si="24"/>
        <v>1795984.2606662039</v>
      </c>
      <c r="F66" s="25" t="s">
        <v>37</v>
      </c>
      <c r="G66" s="25" t="s">
        <v>37</v>
      </c>
      <c r="H66" s="25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116.03369515056754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87.333846014507643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8" t="s">
        <v>59</v>
      </c>
    </row>
    <row r="79" spans="1:8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4" spans="1:1" x14ac:dyDescent="0.25">
      <c r="A84" s="7"/>
    </row>
  </sheetData>
  <mergeCells count="5">
    <mergeCell ref="A4:A5"/>
    <mergeCell ref="B4:B5"/>
    <mergeCell ref="A2:H2"/>
    <mergeCell ref="A79:H79"/>
    <mergeCell ref="C4:H4"/>
  </mergeCells>
  <pageMargins left="0.7" right="0.7" top="0.75" bottom="0.75" header="0.3" footer="0.3"/>
  <ignoredErrors>
    <ignoredError sqref="F58:H58 F36:H43 G34 F47:H48 F44:G46 F49:G51 G57 F60:H61 F65:G65 F62:G6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4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5703125" style="8" customWidth="1"/>
    <col min="2" max="8" width="22.7109375" style="8" customWidth="1"/>
    <col min="9" max="16384" width="11.42578125" style="8"/>
  </cols>
  <sheetData>
    <row r="2" spans="1:16" ht="15.75" x14ac:dyDescent="0.25">
      <c r="A2" s="45" t="s">
        <v>93</v>
      </c>
      <c r="B2" s="45"/>
      <c r="C2" s="45"/>
      <c r="D2" s="45"/>
      <c r="E2" s="45"/>
      <c r="F2" s="45"/>
      <c r="G2" s="45"/>
      <c r="H2" s="45"/>
    </row>
    <row r="4" spans="1:16" x14ac:dyDescent="0.25">
      <c r="A4" s="41" t="s">
        <v>0</v>
      </c>
      <c r="B4" s="49" t="s">
        <v>1</v>
      </c>
      <c r="C4" s="46" t="s">
        <v>43</v>
      </c>
      <c r="D4" s="46"/>
      <c r="E4" s="46"/>
      <c r="F4" s="46"/>
      <c r="G4" s="46"/>
      <c r="H4" s="46"/>
      <c r="I4" s="9"/>
      <c r="J4" s="9"/>
      <c r="K4" s="9"/>
      <c r="L4" s="9"/>
      <c r="M4" s="9"/>
      <c r="N4" s="9"/>
      <c r="O4" s="9"/>
      <c r="P4" s="9"/>
    </row>
    <row r="5" spans="1:16" ht="60.75" thickBot="1" x14ac:dyDescent="0.3">
      <c r="A5" s="42"/>
      <c r="B5" s="50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  <c r="M5" s="7"/>
    </row>
    <row r="6" spans="1:16" ht="15.75" thickTop="1" x14ac:dyDescent="0.25"/>
    <row r="7" spans="1:16" x14ac:dyDescent="0.25">
      <c r="A7" s="1" t="s">
        <v>3</v>
      </c>
    </row>
    <row r="9" spans="1:16" x14ac:dyDescent="0.25">
      <c r="A9" s="8" t="s">
        <v>4</v>
      </c>
    </row>
    <row r="10" spans="1:16" x14ac:dyDescent="0.25">
      <c r="A10" s="12" t="s">
        <v>104</v>
      </c>
      <c r="B10" s="5">
        <f>C10+D10+E10+F10+G10+H10</f>
        <v>33690.888888888891</v>
      </c>
      <c r="C10" s="5">
        <f>(+'I Trimestre'!C10+'II trimestre'!C10+'III Trimestre'!C10)</f>
        <v>30483</v>
      </c>
      <c r="D10" s="5">
        <f>(+'I Trimestre'!D10+'II trimestre'!D10+'III Trimestre'!D10)/3</f>
        <v>2316.1111111111113</v>
      </c>
      <c r="E10" s="5">
        <f>(+'I Trimestre'!E10+'II trimestre'!E10+'III Trimestre'!E10)/3</f>
        <v>454</v>
      </c>
      <c r="F10" s="5">
        <f>(+'I Trimestre'!F10+'II trimestre'!F10+'III Trimestre'!F10)/3</f>
        <v>185.66666666666666</v>
      </c>
      <c r="G10" s="5">
        <f>(+'I Trimestre'!G10+'II trimestre'!G10+'III Trimestre'!G10)/3</f>
        <v>251.7777777777778</v>
      </c>
      <c r="H10" s="5">
        <f>(+'I Trimestre'!H10+'II trimestre'!H10+'III Trimestre'!H10)/3</f>
        <v>0.33333333333333331</v>
      </c>
    </row>
    <row r="11" spans="1:16" x14ac:dyDescent="0.25">
      <c r="A11" s="12" t="s">
        <v>105</v>
      </c>
      <c r="B11" s="5">
        <f t="shared" ref="B11:B13" si="0">C11+D11+E11+F11+G11+H11</f>
        <v>38060.333333333336</v>
      </c>
      <c r="C11" s="5">
        <f>(+'I Trimestre'!C11+'II trimestre'!C11+'III Trimestre'!C11)</f>
        <v>32121</v>
      </c>
      <c r="D11" s="5">
        <f>(+'I Trimestre'!D11+'II trimestre'!D11+'III Trimestre'!D11)/3</f>
        <v>1146</v>
      </c>
      <c r="E11" s="5">
        <f>(+'I Trimestre'!E11+'II trimestre'!E11+'III Trimestre'!E11)/3</f>
        <v>460</v>
      </c>
      <c r="F11" s="5">
        <f>(+'I Trimestre'!F11+'II trimestre'!F11+'III Trimestre'!F11)/3</f>
        <v>2000</v>
      </c>
      <c r="G11" s="5">
        <f>(+'I Trimestre'!G11+'II trimestre'!G11+'III Trimestre'!G11)/3</f>
        <v>2333.3333333333335</v>
      </c>
      <c r="H11" s="5">
        <f>(+'I Trimestre'!H11+'II trimestre'!H11+'III Trimestre'!H11)/3</f>
        <v>0</v>
      </c>
    </row>
    <row r="12" spans="1:16" x14ac:dyDescent="0.25">
      <c r="A12" s="12" t="s">
        <v>106</v>
      </c>
      <c r="B12" s="5">
        <f t="shared" si="0"/>
        <v>36469.777777777774</v>
      </c>
      <c r="C12" s="5">
        <f>(+'I Trimestre'!C12+'II trimestre'!C12+'III Trimestre'!C12)</f>
        <v>30817</v>
      </c>
      <c r="D12" s="5">
        <f>(+'I Trimestre'!D12+'II trimestre'!D12+'III Trimestre'!D12)/3</f>
        <v>3074.3333333333335</v>
      </c>
      <c r="E12" s="5">
        <f>(+'I Trimestre'!E12+'II trimestre'!E12+'III Trimestre'!E12)/3</f>
        <v>500.22222222222223</v>
      </c>
      <c r="F12" s="5">
        <f>(+'I Trimestre'!F12+'II trimestre'!F12+'III Trimestre'!F12)/3</f>
        <v>476</v>
      </c>
      <c r="G12" s="5">
        <f>(+'I Trimestre'!G12+'II trimestre'!G12+'III Trimestre'!G12)/3</f>
        <v>1602.2222222222224</v>
      </c>
      <c r="H12" s="5">
        <f>(+'I Trimestre'!H12+'II trimestre'!H12+'III Trimestre'!H12)/3</f>
        <v>0</v>
      </c>
    </row>
    <row r="13" spans="1:16" s="7" customFormat="1" x14ac:dyDescent="0.25">
      <c r="A13" s="14" t="s">
        <v>48</v>
      </c>
      <c r="B13" s="5">
        <f t="shared" si="0"/>
        <v>50934</v>
      </c>
      <c r="C13" s="5">
        <f>+'III Trimestre'!C13</f>
        <v>42828</v>
      </c>
      <c r="D13" s="5">
        <f>+'III Trimestre'!D13</f>
        <v>1146</v>
      </c>
      <c r="E13" s="5">
        <f>+'III Trimestre'!E13</f>
        <v>460</v>
      </c>
      <c r="F13" s="5">
        <f>+'III Trimestre'!F13</f>
        <v>3000</v>
      </c>
      <c r="G13" s="5">
        <f>+'III Trimestre'!G13</f>
        <v>3500</v>
      </c>
      <c r="H13" s="5">
        <f>+'III Trimestre'!H13</f>
        <v>0</v>
      </c>
    </row>
    <row r="15" spans="1:16" x14ac:dyDescent="0.25">
      <c r="A15" s="15" t="s">
        <v>5</v>
      </c>
    </row>
    <row r="16" spans="1:16" x14ac:dyDescent="0.25">
      <c r="A16" s="12" t="s">
        <v>104</v>
      </c>
      <c r="B16" s="13">
        <f>SUM(C16:H16)</f>
        <v>9600413704.6400013</v>
      </c>
      <c r="C16" s="5">
        <f>+'I Trimestre'!C16+'II trimestre'!C16+'III Trimestre'!C16</f>
        <v>6707164095.7000008</v>
      </c>
      <c r="D16" s="5">
        <f>+'I Trimestre'!D16+'II trimestre'!D16+'III Trimestre'!D16</f>
        <v>1390423165</v>
      </c>
      <c r="E16" s="5">
        <f>+'I Trimestre'!E16+'II trimestre'!E16+'III Trimestre'!E16</f>
        <v>1348045411.9000001</v>
      </c>
      <c r="F16" s="5">
        <f>+'I Trimestre'!F16+'II trimestre'!F16+'III Trimestre'!F16</f>
        <v>30423371.449999999</v>
      </c>
      <c r="G16" s="5">
        <f>+'I Trimestre'!G16+'II trimestre'!G16+'III Trimestre'!G16</f>
        <v>55999808.990000002</v>
      </c>
      <c r="H16" s="5">
        <f>+'I Trimestre'!H16+'II trimestre'!H16+'III Trimestre'!H16</f>
        <v>68357851.599999994</v>
      </c>
    </row>
    <row r="17" spans="1:8" x14ac:dyDescent="0.25">
      <c r="A17" s="12" t="s">
        <v>105</v>
      </c>
      <c r="B17" s="13">
        <f>SUM(C17:H17)</f>
        <v>11012921675.360001</v>
      </c>
      <c r="C17" s="5">
        <f>+'I Trimestre'!C17+'II trimestre'!C17+'III Trimestre'!C17</f>
        <v>8198261598.0599995</v>
      </c>
      <c r="D17" s="5">
        <f>+'I Trimestre'!D17+'II trimestre'!D17+'III Trimestre'!D17</f>
        <v>1100508441.3000002</v>
      </c>
      <c r="E17" s="5">
        <f>+'I Trimestre'!E17+'II trimestre'!E17+'III Trimestre'!E17</f>
        <v>1375373376</v>
      </c>
      <c r="F17" s="5">
        <f>+'I Trimestre'!F17+'II trimestre'!F17+'III Trimestre'!F17</f>
        <v>131949120</v>
      </c>
      <c r="G17" s="5">
        <f>+'I Trimestre'!G17+'II trimestre'!G17+'III Trimestre'!G17</f>
        <v>206829140</v>
      </c>
      <c r="H17" s="5">
        <f>+'I Trimestre'!H17+'II trimestre'!H17+'III Trimestre'!H17</f>
        <v>0</v>
      </c>
    </row>
    <row r="18" spans="1:8" x14ac:dyDescent="0.25">
      <c r="A18" s="12" t="s">
        <v>106</v>
      </c>
      <c r="B18" s="13">
        <f>SUM(C18:H18)</f>
        <v>9984662225.9699993</v>
      </c>
      <c r="C18" s="5">
        <f>+'I Trimestre'!C18+'II trimestre'!C18+'III Trimestre'!C18</f>
        <v>7146666963.0100002</v>
      </c>
      <c r="D18" s="5">
        <f>+'I Trimestre'!D18+'II trimestre'!D18+'III Trimestre'!D18</f>
        <v>1467289720</v>
      </c>
      <c r="E18" s="5">
        <f>+'I Trimestre'!E18+'II trimestre'!E18+'III Trimestre'!E18</f>
        <v>1283610492.3</v>
      </c>
      <c r="F18" s="5">
        <f>+'I Trimestre'!F18+'II trimestre'!F18+'III Trimestre'!F18</f>
        <v>36262901.799999997</v>
      </c>
      <c r="G18" s="5">
        <f>+'I Trimestre'!G18+'II trimestre'!G18+'III Trimestre'!G18</f>
        <v>44299820.68</v>
      </c>
      <c r="H18" s="5">
        <f>+'I Trimestre'!H18+'II trimestre'!H18+'III Trimestre'!H18</f>
        <v>6532328.1799999997</v>
      </c>
    </row>
    <row r="19" spans="1:8" x14ac:dyDescent="0.25">
      <c r="A19" s="12" t="s">
        <v>48</v>
      </c>
      <c r="B19" s="13">
        <f>SUM(C19:H19)</f>
        <v>15804095828.42</v>
      </c>
      <c r="C19" s="5">
        <f>+'III Trimestre'!C19</f>
        <v>11841933419.42</v>
      </c>
      <c r="D19" s="5">
        <f>+'III Trimestre'!D19</f>
        <v>1467344588</v>
      </c>
      <c r="E19" s="5">
        <f>+'III Trimestre'!E19</f>
        <v>1986650431</v>
      </c>
      <c r="F19" s="5">
        <f>+'III Trimestre'!F19</f>
        <v>197923680</v>
      </c>
      <c r="G19" s="5">
        <f>+'III Trimestre'!G19</f>
        <v>310243710</v>
      </c>
      <c r="H19" s="5">
        <f>+'III Trimestre'!H19</f>
        <v>0</v>
      </c>
    </row>
    <row r="20" spans="1:8" x14ac:dyDescent="0.25">
      <c r="A20" s="12" t="s">
        <v>107</v>
      </c>
      <c r="B20" s="13">
        <f>C20+D20+G20+E20+F20+H20</f>
        <v>9984662225.9699993</v>
      </c>
      <c r="C20" s="5">
        <f t="shared" ref="C20:H20" si="1">C18</f>
        <v>7146666963.0100002</v>
      </c>
      <c r="D20" s="5">
        <f t="shared" si="1"/>
        <v>1467289720</v>
      </c>
      <c r="E20" s="5">
        <f t="shared" si="1"/>
        <v>1283610492.3</v>
      </c>
      <c r="F20" s="5">
        <f t="shared" si="1"/>
        <v>36262901.799999997</v>
      </c>
      <c r="G20" s="5">
        <f t="shared" si="1"/>
        <v>44299820.68</v>
      </c>
      <c r="H20" s="5">
        <f t="shared" si="1"/>
        <v>6532328.1799999997</v>
      </c>
    </row>
    <row r="21" spans="1:8" x14ac:dyDescent="0.25">
      <c r="B21" s="13"/>
      <c r="C21" s="13"/>
      <c r="D21" s="13"/>
      <c r="E21" s="13"/>
      <c r="F21" s="13"/>
    </row>
    <row r="22" spans="1:8" x14ac:dyDescent="0.25">
      <c r="A22" s="12" t="s">
        <v>6</v>
      </c>
      <c r="B22" s="13"/>
      <c r="C22" s="13"/>
      <c r="D22" s="13"/>
      <c r="E22" s="13"/>
      <c r="F22" s="13"/>
    </row>
    <row r="23" spans="1:8" x14ac:dyDescent="0.25">
      <c r="A23" s="12" t="s">
        <v>105</v>
      </c>
      <c r="B23" s="5">
        <f>'I Trimestre'!B23+'II trimestre'!B23+'III Trimestre'!B23</f>
        <v>11012921675.360001</v>
      </c>
    </row>
    <row r="24" spans="1:8" x14ac:dyDescent="0.25">
      <c r="A24" s="12" t="s">
        <v>106</v>
      </c>
      <c r="B24" s="5">
        <f>'I Trimestre'!B24+'II trimestre'!B24+'III Trimestre'!B24</f>
        <v>12319580751.029999</v>
      </c>
    </row>
    <row r="26" spans="1:8" x14ac:dyDescent="0.25">
      <c r="A26" s="8" t="s">
        <v>7</v>
      </c>
    </row>
    <row r="27" spans="1:8" x14ac:dyDescent="0.25">
      <c r="A27" s="12" t="s">
        <v>108</v>
      </c>
      <c r="B27" s="6">
        <v>1.0123857379999999</v>
      </c>
      <c r="C27" s="6">
        <v>1.0123857379999999</v>
      </c>
      <c r="D27" s="6">
        <v>1.0123857379999999</v>
      </c>
      <c r="E27" s="6">
        <v>1.0123857379999999</v>
      </c>
      <c r="F27" s="6">
        <v>1.0123857379999999</v>
      </c>
      <c r="G27" s="6">
        <v>1.0123857379999999</v>
      </c>
      <c r="H27" s="6">
        <v>1.0123857379999999</v>
      </c>
    </row>
    <row r="28" spans="1:8" x14ac:dyDescent="0.25">
      <c r="A28" s="12" t="s">
        <v>109</v>
      </c>
      <c r="B28" s="6">
        <v>1.0303325644000001</v>
      </c>
      <c r="C28" s="6">
        <v>1.0303325644000001</v>
      </c>
      <c r="D28" s="6">
        <v>1.0303325644000001</v>
      </c>
      <c r="E28" s="6">
        <v>1.0303325644000001</v>
      </c>
      <c r="F28" s="6">
        <v>1.0303325644000001</v>
      </c>
      <c r="G28" s="6">
        <v>1.0303325644000001</v>
      </c>
      <c r="H28" s="6">
        <v>1.0303325644000001</v>
      </c>
    </row>
    <row r="29" spans="1:8" x14ac:dyDescent="0.25">
      <c r="A29" s="12" t="s">
        <v>8</v>
      </c>
      <c r="B29" s="25" t="s">
        <v>37</v>
      </c>
      <c r="C29" s="25" t="s">
        <v>37</v>
      </c>
      <c r="D29" s="25" t="s">
        <v>37</v>
      </c>
      <c r="E29" s="25" t="s">
        <v>37</v>
      </c>
      <c r="F29" s="25" t="s">
        <v>37</v>
      </c>
      <c r="G29" s="25" t="s">
        <v>37</v>
      </c>
      <c r="H29" s="25" t="s">
        <v>37</v>
      </c>
    </row>
    <row r="31" spans="1:8" x14ac:dyDescent="0.25">
      <c r="A31" s="12" t="s">
        <v>9</v>
      </c>
    </row>
    <row r="32" spans="1:8" x14ac:dyDescent="0.25">
      <c r="A32" s="12" t="s">
        <v>110</v>
      </c>
      <c r="B32" s="4">
        <f>B16/B27</f>
        <v>9482960243.5983772</v>
      </c>
      <c r="C32" s="4">
        <f t="shared" ref="C32:H32" si="2">C16/C27</f>
        <v>6625107253.0419245</v>
      </c>
      <c r="D32" s="4">
        <f>D16/D27</f>
        <v>1373412438.3723788</v>
      </c>
      <c r="E32" s="4">
        <f t="shared" si="2"/>
        <v>1331553143.531147</v>
      </c>
      <c r="F32" s="4">
        <f t="shared" si="2"/>
        <v>30051165.586451598</v>
      </c>
      <c r="G32" s="4">
        <f t="shared" si="2"/>
        <v>55314695.661980979</v>
      </c>
      <c r="H32" s="4">
        <f t="shared" si="2"/>
        <v>67521547.404493362</v>
      </c>
    </row>
    <row r="33" spans="1:8" x14ac:dyDescent="0.25">
      <c r="A33" s="12" t="s">
        <v>111</v>
      </c>
      <c r="B33" s="4">
        <f>B18/B28</f>
        <v>9690717901.1511002</v>
      </c>
      <c r="C33" s="4">
        <f t="shared" ref="C33:E33" si="3">C18/C28</f>
        <v>6936272044.5235691</v>
      </c>
      <c r="D33" s="4">
        <f>D18/D28</f>
        <v>1424093317.7283938</v>
      </c>
      <c r="E33" s="4">
        <f t="shared" si="3"/>
        <v>1245821530.4953432</v>
      </c>
      <c r="F33" s="4">
        <f t="shared" ref="F33:H33" si="4">F18/F28</f>
        <v>35195336.974637114</v>
      </c>
      <c r="G33" s="4">
        <f t="shared" si="4"/>
        <v>42995652.288052633</v>
      </c>
      <c r="H33" s="4">
        <f t="shared" si="4"/>
        <v>6340019.1411051927</v>
      </c>
    </row>
    <row r="34" spans="1:8" x14ac:dyDescent="0.25">
      <c r="A34" s="12" t="s">
        <v>112</v>
      </c>
      <c r="B34" s="19">
        <f>B32/B10</f>
        <v>281469.57697889104</v>
      </c>
      <c r="C34" s="19">
        <f t="shared" ref="C34:H34" si="5">C32/C10</f>
        <v>217337.7703323795</v>
      </c>
      <c r="D34" s="19">
        <f>D32/D10</f>
        <v>592982.10339896416</v>
      </c>
      <c r="E34" s="19">
        <f t="shared" si="5"/>
        <v>2932936.4394959183</v>
      </c>
      <c r="F34" s="19">
        <f t="shared" si="5"/>
        <v>161855.46994498168</v>
      </c>
      <c r="G34" s="19">
        <f t="shared" si="5"/>
        <v>219696.49645093945</v>
      </c>
      <c r="H34" s="19">
        <f t="shared" si="5"/>
        <v>202564642.21348009</v>
      </c>
    </row>
    <row r="35" spans="1:8" x14ac:dyDescent="0.25">
      <c r="A35" s="12" t="s">
        <v>113</v>
      </c>
      <c r="B35" s="19">
        <f>B33/B12</f>
        <v>265719.13764322334</v>
      </c>
      <c r="C35" s="19">
        <f t="shared" ref="C35:G35" si="6">C33/C12</f>
        <v>225079.40566971377</v>
      </c>
      <c r="D35" s="19">
        <f>D33/D12</f>
        <v>463220.20526782837</v>
      </c>
      <c r="E35" s="19">
        <f t="shared" si="6"/>
        <v>2490536.1560324496</v>
      </c>
      <c r="F35" s="19">
        <f t="shared" si="6"/>
        <v>73939.783560162003</v>
      </c>
      <c r="G35" s="19">
        <f t="shared" si="6"/>
        <v>26835.011830268631</v>
      </c>
      <c r="H35" s="25" t="s">
        <v>37</v>
      </c>
    </row>
    <row r="37" spans="1:8" x14ac:dyDescent="0.25">
      <c r="A37" s="1" t="s">
        <v>10</v>
      </c>
    </row>
    <row r="39" spans="1:8" x14ac:dyDescent="0.25">
      <c r="A39" s="8" t="s">
        <v>11</v>
      </c>
    </row>
    <row r="40" spans="1:8" x14ac:dyDescent="0.25">
      <c r="A40" s="8" t="s">
        <v>12</v>
      </c>
      <c r="B40" s="20" t="s">
        <v>36</v>
      </c>
      <c r="C40" s="20" t="s">
        <v>36</v>
      </c>
      <c r="D40" s="20" t="s">
        <v>36</v>
      </c>
      <c r="E40" s="20" t="s">
        <v>36</v>
      </c>
      <c r="F40" s="20" t="s">
        <v>36</v>
      </c>
      <c r="G40" s="20" t="s">
        <v>36</v>
      </c>
      <c r="H40" s="20" t="s">
        <v>36</v>
      </c>
    </row>
    <row r="41" spans="1:8" x14ac:dyDescent="0.25">
      <c r="A41" s="8" t="s">
        <v>13</v>
      </c>
      <c r="B41" s="20" t="s">
        <v>36</v>
      </c>
      <c r="C41" s="20" t="s">
        <v>36</v>
      </c>
      <c r="D41" s="20" t="s">
        <v>36</v>
      </c>
      <c r="E41" s="20" t="s">
        <v>36</v>
      </c>
      <c r="F41" s="20" t="s">
        <v>36</v>
      </c>
      <c r="G41" s="20" t="s">
        <v>36</v>
      </c>
      <c r="H41" s="20" t="s">
        <v>36</v>
      </c>
    </row>
    <row r="43" spans="1:8" x14ac:dyDescent="0.25">
      <c r="A43" s="8" t="s">
        <v>14</v>
      </c>
    </row>
    <row r="44" spans="1:8" x14ac:dyDescent="0.25">
      <c r="A44" s="8" t="s">
        <v>15</v>
      </c>
      <c r="B44" s="22">
        <f t="shared" ref="B44:G44" si="7">B12/B11*100</f>
        <v>95.820962623670596</v>
      </c>
      <c r="C44" s="22">
        <f t="shared" si="7"/>
        <v>95.940350549484762</v>
      </c>
      <c r="D44" s="22">
        <f t="shared" si="7"/>
        <v>268.26643397324028</v>
      </c>
      <c r="E44" s="22">
        <f t="shared" si="7"/>
        <v>108.74396135265701</v>
      </c>
      <c r="F44" s="22">
        <f t="shared" si="7"/>
        <v>23.799999999999997</v>
      </c>
      <c r="G44" s="22">
        <f t="shared" si="7"/>
        <v>68.666666666666671</v>
      </c>
      <c r="H44" s="25" t="s">
        <v>37</v>
      </c>
    </row>
    <row r="45" spans="1:8" x14ac:dyDescent="0.25">
      <c r="A45" s="8" t="s">
        <v>16</v>
      </c>
      <c r="B45" s="22">
        <f t="shared" ref="B45:G45" si="8">B18/B17*100</f>
        <v>90.663154794875183</v>
      </c>
      <c r="C45" s="22">
        <f t="shared" si="8"/>
        <v>87.172955845921734</v>
      </c>
      <c r="D45" s="22">
        <f t="shared" si="8"/>
        <v>133.32834760147148</v>
      </c>
      <c r="E45" s="22">
        <f t="shared" si="8"/>
        <v>93.328147446995516</v>
      </c>
      <c r="F45" s="22">
        <f t="shared" si="8"/>
        <v>27.48248855316352</v>
      </c>
      <c r="G45" s="22">
        <f t="shared" si="8"/>
        <v>21.418558661511621</v>
      </c>
      <c r="H45" s="25" t="s">
        <v>37</v>
      </c>
    </row>
    <row r="46" spans="1:8" x14ac:dyDescent="0.25">
      <c r="A46" s="8" t="s">
        <v>17</v>
      </c>
      <c r="B46" s="22">
        <f t="shared" ref="B46:G46" si="9">AVERAGE(B44:B45)</f>
        <v>93.242058709272897</v>
      </c>
      <c r="C46" s="22">
        <f t="shared" si="9"/>
        <v>91.556653197703241</v>
      </c>
      <c r="D46" s="22">
        <f t="shared" si="9"/>
        <v>200.79739078735588</v>
      </c>
      <c r="E46" s="22">
        <f t="shared" si="9"/>
        <v>101.03605439982627</v>
      </c>
      <c r="F46" s="22">
        <f t="shared" si="9"/>
        <v>25.641244276581759</v>
      </c>
      <c r="G46" s="22">
        <f t="shared" si="9"/>
        <v>45.042612664089148</v>
      </c>
      <c r="H46" s="25" t="s">
        <v>37</v>
      </c>
    </row>
    <row r="47" spans="1:8" x14ac:dyDescent="0.25">
      <c r="B47" s="22"/>
      <c r="C47" s="22"/>
      <c r="D47" s="22"/>
      <c r="E47" s="22"/>
      <c r="F47" s="22"/>
    </row>
    <row r="48" spans="1:8" x14ac:dyDescent="0.25">
      <c r="A48" s="8" t="s">
        <v>18</v>
      </c>
    </row>
    <row r="49" spans="1:8" x14ac:dyDescent="0.25">
      <c r="A49" s="8" t="s">
        <v>19</v>
      </c>
      <c r="B49" s="22">
        <f>B12/(B13)*100</f>
        <v>71.60202964184586</v>
      </c>
      <c r="C49" s="22">
        <f t="shared" ref="C49:G49" si="10">C12/(C13)*100</f>
        <v>71.955262912113568</v>
      </c>
      <c r="D49" s="22">
        <f t="shared" si="10"/>
        <v>268.26643397324028</v>
      </c>
      <c r="E49" s="22">
        <f t="shared" si="10"/>
        <v>108.74396135265701</v>
      </c>
      <c r="F49" s="22">
        <f t="shared" si="10"/>
        <v>15.866666666666667</v>
      </c>
      <c r="G49" s="22">
        <f t="shared" si="10"/>
        <v>45.777777777777786</v>
      </c>
      <c r="H49" s="25" t="s">
        <v>37</v>
      </c>
    </row>
    <row r="50" spans="1:8" x14ac:dyDescent="0.25">
      <c r="A50" s="8" t="s">
        <v>20</v>
      </c>
      <c r="B50" s="22">
        <f>B18/B19*100</f>
        <v>63.177687191790497</v>
      </c>
      <c r="C50" s="22">
        <f t="shared" ref="C50:G50" si="11">C18/C19*100</f>
        <v>60.350507893330416</v>
      </c>
      <c r="D50" s="22">
        <f t="shared" si="11"/>
        <v>99.996260728362742</v>
      </c>
      <c r="E50" s="22">
        <f t="shared" si="11"/>
        <v>64.611794418904495</v>
      </c>
      <c r="F50" s="22">
        <f t="shared" si="11"/>
        <v>18.321659035442348</v>
      </c>
      <c r="G50" s="22">
        <f t="shared" si="11"/>
        <v>14.279039107674416</v>
      </c>
      <c r="H50" s="25" t="s">
        <v>37</v>
      </c>
    </row>
    <row r="51" spans="1:8" x14ac:dyDescent="0.25">
      <c r="A51" s="8" t="s">
        <v>21</v>
      </c>
      <c r="B51" s="22">
        <f>(B49+B50)/2</f>
        <v>67.389858416818186</v>
      </c>
      <c r="C51" s="22">
        <f t="shared" ref="C51:G51" si="12">(C49+C50)/2</f>
        <v>66.152885402721992</v>
      </c>
      <c r="D51" s="22">
        <f t="shared" si="12"/>
        <v>184.13134735080152</v>
      </c>
      <c r="E51" s="22">
        <f t="shared" si="12"/>
        <v>86.677877885780759</v>
      </c>
      <c r="F51" s="22">
        <f t="shared" si="12"/>
        <v>17.094162851054506</v>
      </c>
      <c r="G51" s="22">
        <f t="shared" si="12"/>
        <v>30.0284084427261</v>
      </c>
      <c r="H51" s="25" t="s">
        <v>37</v>
      </c>
    </row>
    <row r="53" spans="1:8" x14ac:dyDescent="0.25">
      <c r="A53" s="8" t="s">
        <v>33</v>
      </c>
    </row>
    <row r="54" spans="1:8" x14ac:dyDescent="0.25">
      <c r="A54" s="8" t="s">
        <v>22</v>
      </c>
      <c r="B54" s="40">
        <f>B20/B18*100</f>
        <v>100</v>
      </c>
      <c r="C54" s="22"/>
      <c r="D54" s="22"/>
      <c r="E54" s="22"/>
      <c r="F54" s="22"/>
      <c r="G54" s="22"/>
      <c r="H54" s="22"/>
    </row>
    <row r="56" spans="1:8" x14ac:dyDescent="0.25">
      <c r="A56" s="8" t="s">
        <v>23</v>
      </c>
    </row>
    <row r="57" spans="1:8" x14ac:dyDescent="0.25">
      <c r="A57" s="8" t="s">
        <v>24</v>
      </c>
      <c r="B57" s="22">
        <f>((B12/B10)-1)*100</f>
        <v>8.2481910704509396</v>
      </c>
      <c r="C57" s="22">
        <f t="shared" ref="C57:H57" si="13">((C12/C10)-1)*100</f>
        <v>1.0956926811665602</v>
      </c>
      <c r="D57" s="22">
        <f>((D12/D10)-1)*100</f>
        <v>32.736867354281607</v>
      </c>
      <c r="E57" s="22">
        <f t="shared" si="13"/>
        <v>10.181106216348512</v>
      </c>
      <c r="F57" s="22">
        <f t="shared" si="13"/>
        <v>156.3734290843806</v>
      </c>
      <c r="G57" s="22">
        <f t="shared" si="13"/>
        <v>536.36363636363637</v>
      </c>
      <c r="H57" s="22">
        <f t="shared" si="13"/>
        <v>-100</v>
      </c>
    </row>
    <row r="58" spans="1:8" x14ac:dyDescent="0.25">
      <c r="A58" s="8" t="s">
        <v>25</v>
      </c>
      <c r="B58" s="22">
        <f>((B33/B32)-1)*100</f>
        <v>2.1908523521752876</v>
      </c>
      <c r="C58" s="22">
        <f t="shared" ref="C58:H58" si="14">((C33/C32)-1)*100</f>
        <v>4.6967510048802952</v>
      </c>
      <c r="D58" s="22">
        <f>((D33/D32)-1)*100</f>
        <v>3.6901427379000928</v>
      </c>
      <c r="E58" s="22">
        <f t="shared" si="14"/>
        <v>-6.4384672479877221</v>
      </c>
      <c r="F58" s="22">
        <f t="shared" si="14"/>
        <v>17.118042803986079</v>
      </c>
      <c r="G58" s="22">
        <f t="shared" si="14"/>
        <v>-22.270832780510986</v>
      </c>
      <c r="H58" s="22">
        <f t="shared" si="14"/>
        <v>-90.610376413436171</v>
      </c>
    </row>
    <row r="59" spans="1:8" x14ac:dyDescent="0.25">
      <c r="A59" s="8" t="s">
        <v>26</v>
      </c>
      <c r="B59" s="22">
        <f>((B35/B34)-1)*100</f>
        <v>-5.5957874754076542</v>
      </c>
      <c r="C59" s="22">
        <f t="shared" ref="C59:G59" si="15">((C35/C34)-1)*100</f>
        <v>3.5620294279704812</v>
      </c>
      <c r="D59" s="22">
        <f>((D35/D34)-1)*100</f>
        <v>-21.882936666611453</v>
      </c>
      <c r="E59" s="22">
        <f t="shared" si="15"/>
        <v>-15.08386876394443</v>
      </c>
      <c r="F59" s="22">
        <f t="shared" si="15"/>
        <v>-54.317402071554454</v>
      </c>
      <c r="G59" s="22">
        <f t="shared" si="15"/>
        <v>-87.785416579794585</v>
      </c>
      <c r="H59" s="25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8" t="s">
        <v>27</v>
      </c>
    </row>
    <row r="62" spans="1:8" x14ac:dyDescent="0.25">
      <c r="A62" s="8" t="s">
        <v>124</v>
      </c>
      <c r="B62" s="13">
        <f>B17/(B11*9)</f>
        <v>32150.479429910993</v>
      </c>
      <c r="C62" s="13">
        <f t="shared" ref="C62:G62" si="16">C17/(C11*9)</f>
        <v>28358.953810279876</v>
      </c>
      <c r="D62" s="13">
        <f t="shared" si="16"/>
        <v>106700.45000000001</v>
      </c>
      <c r="E62" s="13">
        <f t="shared" si="16"/>
        <v>332215.7913043478</v>
      </c>
      <c r="F62" s="13">
        <f t="shared" si="16"/>
        <v>7330.5066666666671</v>
      </c>
      <c r="G62" s="13">
        <f t="shared" si="16"/>
        <v>9849.0066666666662</v>
      </c>
      <c r="H62" s="25" t="s">
        <v>37</v>
      </c>
    </row>
    <row r="63" spans="1:8" x14ac:dyDescent="0.25">
      <c r="A63" s="8" t="s">
        <v>125</v>
      </c>
      <c r="B63" s="13">
        <f>B18/(B12*9)</f>
        <v>30419.897833122101</v>
      </c>
      <c r="C63" s="13">
        <f t="shared" ref="C63:G63" si="17">C18/(C12*9)</f>
        <v>25767.404581922678</v>
      </c>
      <c r="D63" s="13">
        <f t="shared" si="17"/>
        <v>53030.095775055117</v>
      </c>
      <c r="E63" s="13">
        <f t="shared" si="17"/>
        <v>285120.05604175921</v>
      </c>
      <c r="F63" s="13">
        <f t="shared" si="17"/>
        <v>8464.7296451914099</v>
      </c>
      <c r="G63" s="13">
        <f t="shared" si="17"/>
        <v>3072.1096171983354</v>
      </c>
      <c r="H63" s="25" t="s">
        <v>37</v>
      </c>
    </row>
    <row r="64" spans="1:8" x14ac:dyDescent="0.25">
      <c r="A64" s="8" t="s">
        <v>28</v>
      </c>
      <c r="B64" s="24">
        <f>(B62/B63)*B46</f>
        <v>98.546579839954688</v>
      </c>
      <c r="C64" s="24">
        <f t="shared" ref="C64:G64" si="18">(C62/C63)*C46</f>
        <v>100.76493698861078</v>
      </c>
      <c r="D64" s="24">
        <f t="shared" si="18"/>
        <v>404.01910731443445</v>
      </c>
      <c r="E64" s="24">
        <f t="shared" si="18"/>
        <v>117.72504968149737</v>
      </c>
      <c r="F64" s="24">
        <f t="shared" si="18"/>
        <v>22.205471407806641</v>
      </c>
      <c r="G64" s="24">
        <f t="shared" si="18"/>
        <v>144.40402449482585</v>
      </c>
      <c r="H64" s="25" t="s">
        <v>37</v>
      </c>
    </row>
    <row r="65" spans="1:8" x14ac:dyDescent="0.25">
      <c r="A65" s="8" t="s">
        <v>130</v>
      </c>
      <c r="B65" s="13">
        <f t="shared" ref="B65:G66" si="19">B17/B11</f>
        <v>289354.31486919889</v>
      </c>
      <c r="C65" s="13">
        <f t="shared" si="19"/>
        <v>255230.58429251891</v>
      </c>
      <c r="D65" s="13">
        <f t="shared" si="19"/>
        <v>960304.05000000016</v>
      </c>
      <c r="E65" s="13">
        <f t="shared" si="19"/>
        <v>2989942.1217391305</v>
      </c>
      <c r="F65" s="13">
        <f t="shared" si="19"/>
        <v>65974.559999999998</v>
      </c>
      <c r="G65" s="13">
        <f t="shared" si="19"/>
        <v>88641.06</v>
      </c>
      <c r="H65" s="25" t="s">
        <v>37</v>
      </c>
    </row>
    <row r="66" spans="1:8" x14ac:dyDescent="0.25">
      <c r="A66" s="8" t="s">
        <v>131</v>
      </c>
      <c r="B66" s="13">
        <f t="shared" si="19"/>
        <v>273779.08049809892</v>
      </c>
      <c r="C66" s="13">
        <f t="shared" si="19"/>
        <v>231906.64123730408</v>
      </c>
      <c r="D66" s="13">
        <f t="shared" si="19"/>
        <v>477270.86197549599</v>
      </c>
      <c r="E66" s="13">
        <f t="shared" si="19"/>
        <v>2566080.5043758326</v>
      </c>
      <c r="F66" s="13">
        <f t="shared" si="19"/>
        <v>76182.56680672268</v>
      </c>
      <c r="G66" s="13">
        <f t="shared" si="19"/>
        <v>27648.986554785017</v>
      </c>
      <c r="H66" s="25" t="s">
        <v>37</v>
      </c>
    </row>
    <row r="67" spans="1:8" x14ac:dyDescent="0.25">
      <c r="B67" s="22"/>
      <c r="C67" s="22"/>
      <c r="D67" s="22"/>
      <c r="E67" s="22"/>
      <c r="F67" s="22"/>
    </row>
    <row r="68" spans="1:8" x14ac:dyDescent="0.25">
      <c r="A68" s="8" t="s">
        <v>29</v>
      </c>
      <c r="B68" s="22"/>
      <c r="C68" s="22"/>
      <c r="D68" s="22"/>
      <c r="E68" s="22"/>
      <c r="F68" s="22"/>
    </row>
    <row r="69" spans="1:8" x14ac:dyDescent="0.25">
      <c r="A69" s="8" t="s">
        <v>30</v>
      </c>
      <c r="B69" s="21">
        <f>(B24/B23)*100</f>
        <v>111.86478133766701</v>
      </c>
      <c r="C69" s="22"/>
      <c r="D69" s="22"/>
      <c r="E69" s="22"/>
      <c r="F69" s="22"/>
    </row>
    <row r="70" spans="1:8" x14ac:dyDescent="0.25">
      <c r="A70" s="8" t="s">
        <v>31</v>
      </c>
      <c r="B70" s="21">
        <f>(B18/B24)*100</f>
        <v>81.047094278230318</v>
      </c>
      <c r="C70" s="22"/>
      <c r="D70" s="22"/>
      <c r="E70" s="22"/>
      <c r="F70" s="22"/>
    </row>
    <row r="71" spans="1:8" ht="15.75" thickBot="1" x14ac:dyDescent="0.3">
      <c r="A71" s="23"/>
      <c r="B71" s="23"/>
      <c r="C71" s="23"/>
      <c r="D71" s="23"/>
      <c r="E71" s="23"/>
      <c r="F71" s="23"/>
      <c r="G71" s="23"/>
      <c r="H71" s="23"/>
    </row>
    <row r="72" spans="1:8" ht="15.75" thickTop="1" x14ac:dyDescent="0.25"/>
    <row r="73" spans="1:8" x14ac:dyDescent="0.25">
      <c r="A73" s="2" t="s">
        <v>32</v>
      </c>
    </row>
    <row r="74" spans="1:8" x14ac:dyDescent="0.25">
      <c r="A74" s="8" t="s">
        <v>56</v>
      </c>
    </row>
    <row r="75" spans="1:8" x14ac:dyDescent="0.25">
      <c r="A75" s="8" t="s">
        <v>57</v>
      </c>
      <c r="B75" s="24"/>
      <c r="C75" s="24"/>
      <c r="D75" s="24"/>
    </row>
    <row r="76" spans="1:8" x14ac:dyDescent="0.25">
      <c r="A76" s="8" t="s">
        <v>58</v>
      </c>
    </row>
    <row r="78" spans="1:8" x14ac:dyDescent="0.25">
      <c r="A78" s="8" t="s">
        <v>59</v>
      </c>
    </row>
    <row r="79" spans="1:8" x14ac:dyDescent="0.25">
      <c r="A79" s="47"/>
      <c r="B79" s="47"/>
      <c r="C79" s="47"/>
      <c r="D79" s="47"/>
      <c r="E79" s="47"/>
      <c r="F79" s="47"/>
      <c r="G79" s="47"/>
      <c r="H79" s="47"/>
    </row>
    <row r="80" spans="1:8" x14ac:dyDescent="0.25">
      <c r="A80" s="3"/>
    </row>
    <row r="81" spans="1:1" x14ac:dyDescent="0.25">
      <c r="A81" s="3"/>
    </row>
    <row r="82" spans="1:1" x14ac:dyDescent="0.25">
      <c r="A82" s="3"/>
    </row>
    <row r="84" spans="1:1" x14ac:dyDescent="0.25">
      <c r="A84" s="7"/>
    </row>
  </sheetData>
  <mergeCells count="5">
    <mergeCell ref="A4:A5"/>
    <mergeCell ref="C4:H4"/>
    <mergeCell ref="A2:H2"/>
    <mergeCell ref="A79:H79"/>
    <mergeCell ref="B4:B5"/>
  </mergeCells>
  <pageMargins left="0.7" right="0.7" top="0.75" bottom="0.75" header="0.3" footer="0.3"/>
  <ignoredErrors>
    <ignoredError sqref="H36:H43 H47:H48 H52:H58 H60:H6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2.5703125" style="7" customWidth="1"/>
    <col min="2" max="8" width="22.7109375" style="7" customWidth="1"/>
    <col min="9" max="16384" width="11.42578125" style="7"/>
  </cols>
  <sheetData>
    <row r="2" spans="1:8" ht="15.75" x14ac:dyDescent="0.25">
      <c r="A2" s="53" t="s">
        <v>93</v>
      </c>
      <c r="B2" s="53"/>
      <c r="C2" s="53"/>
      <c r="D2" s="53"/>
      <c r="E2" s="53"/>
      <c r="F2" s="53"/>
      <c r="G2" s="53"/>
      <c r="H2" s="53"/>
    </row>
    <row r="4" spans="1:8" x14ac:dyDescent="0.25">
      <c r="A4" s="51" t="s">
        <v>0</v>
      </c>
      <c r="B4" s="51" t="s">
        <v>1</v>
      </c>
      <c r="C4" s="55" t="s">
        <v>2</v>
      </c>
      <c r="D4" s="55"/>
      <c r="E4" s="55"/>
      <c r="F4" s="55"/>
      <c r="G4" s="55"/>
      <c r="H4" s="55"/>
    </row>
    <row r="5" spans="1:8" ht="60.75" thickBot="1" x14ac:dyDescent="0.3">
      <c r="A5" s="52"/>
      <c r="B5" s="52"/>
      <c r="C5" s="10" t="s">
        <v>40</v>
      </c>
      <c r="D5" s="10" t="s">
        <v>132</v>
      </c>
      <c r="E5" s="10" t="s">
        <v>134</v>
      </c>
      <c r="F5" s="10" t="s">
        <v>41</v>
      </c>
      <c r="G5" s="10" t="s">
        <v>42</v>
      </c>
      <c r="H5" s="11" t="s">
        <v>133</v>
      </c>
    </row>
    <row r="6" spans="1:8" ht="15.75" thickTop="1" x14ac:dyDescent="0.25"/>
    <row r="7" spans="1:8" x14ac:dyDescent="0.25">
      <c r="A7" s="28" t="s">
        <v>3</v>
      </c>
    </row>
    <row r="9" spans="1:8" x14ac:dyDescent="0.25">
      <c r="A9" s="7" t="s">
        <v>4</v>
      </c>
    </row>
    <row r="10" spans="1:8" x14ac:dyDescent="0.25">
      <c r="A10" s="14" t="s">
        <v>114</v>
      </c>
      <c r="B10" s="5">
        <f>C10+D10+E10+F10+G10+H10</f>
        <v>45893.416666666672</v>
      </c>
      <c r="C10" s="5">
        <f>(+'I Trimestre'!C10+'II trimestre'!C10+'III Trimestre'!C10+'IV Trimestre'!C10)</f>
        <v>41712</v>
      </c>
      <c r="D10" s="5">
        <f>(+'I Trimestre'!D10+'II trimestre'!D10+'III Trimestre'!D10+'IV Trimestre'!D10)/4</f>
        <v>2400.8333333333335</v>
      </c>
      <c r="E10" s="5">
        <f>(+'I Trimestre'!E10+'II trimestre'!E10+'III Trimestre'!E10+'IV Trimestre'!E10)/4</f>
        <v>476.75</v>
      </c>
      <c r="F10" s="5">
        <f>(+'I Trimestre'!F10+'II trimestre'!F10+'III Trimestre'!F10+'IV Trimestre'!F10)/4</f>
        <v>456</v>
      </c>
      <c r="G10" s="5">
        <f>(+'I Trimestre'!G10+'II trimestre'!G10+'III Trimestre'!G10+'IV Trimestre'!G10)/4</f>
        <v>847.33333333333337</v>
      </c>
      <c r="H10" s="5">
        <f>(+'I Trimestre'!H10+'II trimestre'!H10+'III Trimestre'!H10+'IV Trimestre'!H10)/4</f>
        <v>0.5</v>
      </c>
    </row>
    <row r="11" spans="1:8" x14ac:dyDescent="0.25">
      <c r="A11" s="14" t="s">
        <v>115</v>
      </c>
      <c r="B11" s="5">
        <f t="shared" ref="B11:B12" si="0">C11+D11+E11+F11+G11+H11</f>
        <v>50934</v>
      </c>
      <c r="C11" s="5">
        <f>(+'I Trimestre'!C11+'II trimestre'!C11+'III Trimestre'!C11+'IV Trimestre'!C11)</f>
        <v>42828</v>
      </c>
      <c r="D11" s="5">
        <f>(+'I Trimestre'!D11+'II trimestre'!D11+'III Trimestre'!D11+'IV Trimestre'!D11)/4</f>
        <v>1146</v>
      </c>
      <c r="E11" s="5">
        <f>(+'I Trimestre'!E11+'II trimestre'!E11+'III Trimestre'!E11+'IV Trimestre'!E11)/4</f>
        <v>460</v>
      </c>
      <c r="F11" s="5">
        <f>(+'I Trimestre'!F11+'II trimestre'!F11+'III Trimestre'!F11+'IV Trimestre'!F11)/3</f>
        <v>3000</v>
      </c>
      <c r="G11" s="5">
        <f>(+'I Trimestre'!G11+'II trimestre'!G11+'III Trimestre'!G11+'IV Trimestre'!G11)/3</f>
        <v>3500</v>
      </c>
      <c r="H11" s="5">
        <f>(+'I Trimestre'!H11+'II trimestre'!H11+'III Trimestre'!H11+'IV Trimestre'!H11)</f>
        <v>0</v>
      </c>
    </row>
    <row r="12" spans="1:8" x14ac:dyDescent="0.25">
      <c r="A12" s="14" t="s">
        <v>116</v>
      </c>
      <c r="B12" s="5">
        <f t="shared" si="0"/>
        <v>50132.333333333336</v>
      </c>
      <c r="C12" s="5">
        <f>(+'I Trimestre'!C12+'II trimestre'!C12+'III Trimestre'!C12+'IV Trimestre'!C12)</f>
        <v>44376</v>
      </c>
      <c r="D12" s="5">
        <f>(+'I Trimestre'!D12+'II trimestre'!D12+'III Trimestre'!D12+'IV Trimestre'!D12)/4</f>
        <v>3092.25</v>
      </c>
      <c r="E12" s="5">
        <f>(+'I Trimestre'!E12+'II trimestre'!E12+'III Trimestre'!E12+'IV Trimestre'!E12)/4</f>
        <v>478.75</v>
      </c>
      <c r="F12" s="5">
        <f>(+'I Trimestre'!F12+'II trimestre'!F12+'III Trimestre'!F12+'IV Trimestre'!F12)/4</f>
        <v>566.33333333333337</v>
      </c>
      <c r="G12" s="5">
        <f>(+'I Trimestre'!G12+'II trimestre'!G12+'III Trimestre'!G12+'IV Trimestre'!G12)/4</f>
        <v>1619</v>
      </c>
      <c r="H12" s="5">
        <f>(+'I Trimestre'!H12+'II trimestre'!H12+'III Trimestre'!H12+'IV Trimestre'!H12)/4</f>
        <v>0</v>
      </c>
    </row>
    <row r="13" spans="1:8" x14ac:dyDescent="0.25">
      <c r="A13" s="14" t="s">
        <v>48</v>
      </c>
      <c r="B13" s="5">
        <f>SUM(C13:H13)</f>
        <v>50934</v>
      </c>
      <c r="C13" s="5">
        <f>+'IV Trimestre'!C13</f>
        <v>42828</v>
      </c>
      <c r="D13" s="5">
        <f>+'IV Trimestre'!D13</f>
        <v>1146</v>
      </c>
      <c r="E13" s="5">
        <f>+'IV Trimestre'!E13</f>
        <v>460</v>
      </c>
      <c r="F13" s="5">
        <f>+'IV Trimestre'!F13</f>
        <v>3000</v>
      </c>
      <c r="G13" s="5">
        <f>+'IV Trimestre'!G13</f>
        <v>3500</v>
      </c>
      <c r="H13" s="5">
        <f>+'IV Trimestre'!H13</f>
        <v>0</v>
      </c>
    </row>
    <row r="15" spans="1:8" x14ac:dyDescent="0.25">
      <c r="A15" s="29" t="s">
        <v>5</v>
      </c>
    </row>
    <row r="16" spans="1:8" x14ac:dyDescent="0.25">
      <c r="A16" s="14" t="s">
        <v>45</v>
      </c>
      <c r="B16" s="5">
        <f>SUM(C16:H16)</f>
        <v>12983971138.640001</v>
      </c>
      <c r="C16" s="5">
        <f>+'I Trimestre'!C16+'II trimestre'!C16+'III Trimestre'!C16+'IV Trimestre'!C16</f>
        <v>9341376493.7000008</v>
      </c>
      <c r="D16" s="5">
        <f>+'I Trimestre'!D16+'II trimestre'!D16+'III Trimestre'!D16+'IV Trimestre'!D16</f>
        <v>1390423165</v>
      </c>
      <c r="E16" s="5">
        <f>+'I Trimestre'!E16+'II trimestre'!E16+'III Trimestre'!E16+'IV Trimestre'!E16</f>
        <v>1780301120.9000001</v>
      </c>
      <c r="F16" s="5">
        <f>+'I Trimestre'!F16+'II trimestre'!F16+'III Trimestre'!F16+'IV Trimestre'!F16</f>
        <v>143634558.44999999</v>
      </c>
      <c r="G16" s="5">
        <f>+'I Trimestre'!G16+'II trimestre'!G16+'III Trimestre'!G16+'IV Trimestre'!G16</f>
        <v>241733826.99000001</v>
      </c>
      <c r="H16" s="5">
        <f>+'I Trimestre'!H16+'II trimestre'!H16+'III Trimestre'!H16+'IV Trimestre'!H16</f>
        <v>86501973.599999994</v>
      </c>
    </row>
    <row r="17" spans="1:8" x14ac:dyDescent="0.25">
      <c r="A17" s="14" t="s">
        <v>115</v>
      </c>
      <c r="B17" s="5">
        <f>SUM(C17:H17)</f>
        <v>15804095828.82</v>
      </c>
      <c r="C17" s="5">
        <f>+'I Trimestre'!C17+'II trimestre'!C17+'III Trimestre'!C17+'IV Trimestre'!C17</f>
        <v>11841933419.42</v>
      </c>
      <c r="D17" s="5">
        <f>+'I Trimestre'!D17+'II trimestre'!D17+'III Trimestre'!D17+'IV Trimestre'!D17</f>
        <v>1467344588.4000001</v>
      </c>
      <c r="E17" s="5">
        <f>+'I Trimestre'!E17+'II trimestre'!E17+'III Trimestre'!E17+'IV Trimestre'!E17</f>
        <v>1986650431</v>
      </c>
      <c r="F17" s="5">
        <f>+'I Trimestre'!F17+'II trimestre'!F17+'III Trimestre'!F17+'IV Trimestre'!F17</f>
        <v>197923680</v>
      </c>
      <c r="G17" s="5">
        <f>+'I Trimestre'!G17+'II trimestre'!G17+'III Trimestre'!G17+'IV Trimestre'!G17</f>
        <v>310243710</v>
      </c>
      <c r="H17" s="5">
        <f>+'I Trimestre'!H17+'II trimestre'!H17+'III Trimestre'!H17+'IV Trimestre'!H17</f>
        <v>0</v>
      </c>
    </row>
    <row r="18" spans="1:8" x14ac:dyDescent="0.25">
      <c r="A18" s="14" t="s">
        <v>116</v>
      </c>
      <c r="B18" s="5">
        <f>SUM(C18:H18)</f>
        <v>13544933351.140001</v>
      </c>
      <c r="C18" s="5">
        <f>+'I Trimestre'!C18+'II trimestre'!C18+'III Trimestre'!C18+'IV Trimestre'!C18</f>
        <v>9881412556.1100006</v>
      </c>
      <c r="D18" s="5">
        <f>+'I Trimestre'!D18+'II trimestre'!D18+'III Trimestre'!D18+'IV Trimestre'!D18</f>
        <v>1467289720</v>
      </c>
      <c r="E18" s="5">
        <f>+'I Trimestre'!E18+'II trimestre'!E18+'III Trimestre'!E18+'IV Trimestre'!E18</f>
        <v>1799000486.0799999</v>
      </c>
      <c r="F18" s="5">
        <f>+'I Trimestre'!F18+'II trimestre'!F18+'III Trimestre'!F18+'IV Trimestre'!F18</f>
        <v>141292222.86000001</v>
      </c>
      <c r="G18" s="5">
        <f>+'I Trimestre'!G18+'II trimestre'!G18+'III Trimestre'!G18+'IV Trimestre'!G18</f>
        <v>205773343.74000001</v>
      </c>
      <c r="H18" s="5">
        <f>+'I Trimestre'!H18+'II trimestre'!H18+'III Trimestre'!H18+'IV Trimestre'!H18</f>
        <v>50165022.349999994</v>
      </c>
    </row>
    <row r="19" spans="1:8" x14ac:dyDescent="0.25">
      <c r="A19" s="14" t="s">
        <v>48</v>
      </c>
      <c r="B19" s="5">
        <f>SUM(C19:H19)</f>
        <v>15804095828.42</v>
      </c>
      <c r="C19" s="5">
        <f>+'IV Trimestre'!C19</f>
        <v>11841933419.42</v>
      </c>
      <c r="D19" s="5">
        <f>+'IV Trimestre'!D19</f>
        <v>1467344588</v>
      </c>
      <c r="E19" s="5">
        <f>+'IV Trimestre'!E19</f>
        <v>1986650431</v>
      </c>
      <c r="F19" s="5">
        <f>+'IV Trimestre'!F19</f>
        <v>197923680</v>
      </c>
      <c r="G19" s="5">
        <f>+'IV Trimestre'!G19</f>
        <v>310243710</v>
      </c>
      <c r="H19" s="5">
        <f>+'IV Trimestre'!H19</f>
        <v>0</v>
      </c>
    </row>
    <row r="20" spans="1:8" x14ac:dyDescent="0.25">
      <c r="A20" s="14" t="s">
        <v>117</v>
      </c>
      <c r="B20" s="5">
        <f>C20+D20+G20+E20+F20+H20</f>
        <v>13544933351.140001</v>
      </c>
      <c r="C20" s="5">
        <f t="shared" ref="C20:H20" si="1">C18</f>
        <v>9881412556.1100006</v>
      </c>
      <c r="D20" s="5">
        <f t="shared" si="1"/>
        <v>1467289720</v>
      </c>
      <c r="E20" s="5">
        <f t="shared" si="1"/>
        <v>1799000486.0799999</v>
      </c>
      <c r="F20" s="5">
        <f t="shared" si="1"/>
        <v>141292222.86000001</v>
      </c>
      <c r="G20" s="5">
        <f t="shared" si="1"/>
        <v>205773343.74000001</v>
      </c>
      <c r="H20" s="5">
        <f t="shared" si="1"/>
        <v>50165022.349999994</v>
      </c>
    </row>
    <row r="21" spans="1:8" x14ac:dyDescent="0.25">
      <c r="B21" s="5"/>
      <c r="C21" s="5"/>
      <c r="D21" s="5"/>
      <c r="E21" s="5"/>
      <c r="F21" s="5"/>
    </row>
    <row r="22" spans="1:8" x14ac:dyDescent="0.25">
      <c r="A22" s="14" t="s">
        <v>6</v>
      </c>
      <c r="B22" s="5"/>
      <c r="C22" s="5"/>
      <c r="D22" s="5"/>
      <c r="E22" s="5"/>
      <c r="F22" s="5"/>
    </row>
    <row r="23" spans="1:8" x14ac:dyDescent="0.25">
      <c r="A23" s="14" t="s">
        <v>115</v>
      </c>
      <c r="B23" s="5">
        <f>'I Trimestre'!B23+'II trimestre'!B23+'III Trimestre'!B23+'IV Trimestre'!B23</f>
        <v>15804095828.82</v>
      </c>
      <c r="C23" s="5"/>
      <c r="D23" s="5"/>
      <c r="E23" s="5"/>
      <c r="F23" s="5"/>
    </row>
    <row r="24" spans="1:8" x14ac:dyDescent="0.25">
      <c r="A24" s="14" t="s">
        <v>116</v>
      </c>
      <c r="B24" s="5">
        <f>'I Trimestre'!B24+'II trimestre'!B24+'III Trimestre'!B24+'IV Trimestre'!B24</f>
        <v>15797953771.389999</v>
      </c>
      <c r="C24" s="5"/>
      <c r="D24" s="5"/>
      <c r="E24" s="5"/>
      <c r="F24" s="5"/>
    </row>
    <row r="25" spans="1:8" x14ac:dyDescent="0.25">
      <c r="B25" s="5"/>
      <c r="C25" s="5"/>
      <c r="D25" s="5"/>
      <c r="E25" s="5"/>
      <c r="F25" s="5"/>
    </row>
    <row r="26" spans="1:8" x14ac:dyDescent="0.25">
      <c r="A26" s="7" t="s">
        <v>7</v>
      </c>
    </row>
    <row r="27" spans="1:8" x14ac:dyDescent="0.25">
      <c r="A27" s="14" t="s">
        <v>118</v>
      </c>
      <c r="B27" s="30">
        <v>1.0245</v>
      </c>
      <c r="C27" s="30">
        <v>1.0245</v>
      </c>
      <c r="D27" s="30">
        <v>1.0245</v>
      </c>
      <c r="E27" s="30">
        <v>1.0245</v>
      </c>
      <c r="F27" s="30">
        <v>1.0245</v>
      </c>
      <c r="G27" s="30">
        <v>1.0245</v>
      </c>
      <c r="H27" s="30">
        <v>1.0245</v>
      </c>
    </row>
    <row r="28" spans="1:8" x14ac:dyDescent="0.25">
      <c r="A28" s="14" t="s">
        <v>119</v>
      </c>
      <c r="B28" s="30">
        <v>1.0451999999999999</v>
      </c>
      <c r="C28" s="30">
        <v>1.0451999999999999</v>
      </c>
      <c r="D28" s="30">
        <v>1.0451999999999999</v>
      </c>
      <c r="E28" s="30">
        <v>1.0451999999999999</v>
      </c>
      <c r="F28" s="30">
        <v>1.0451999999999999</v>
      </c>
      <c r="G28" s="30">
        <v>1.0451999999999999</v>
      </c>
      <c r="H28" s="30">
        <v>1.0451999999999999</v>
      </c>
    </row>
    <row r="29" spans="1:8" x14ac:dyDescent="0.25">
      <c r="A29" s="14" t="s">
        <v>8</v>
      </c>
      <c r="B29" s="31" t="s">
        <v>37</v>
      </c>
      <c r="C29" s="31" t="s">
        <v>37</v>
      </c>
      <c r="D29" s="31" t="s">
        <v>37</v>
      </c>
      <c r="E29" s="31" t="s">
        <v>37</v>
      </c>
      <c r="F29" s="31" t="s">
        <v>37</v>
      </c>
      <c r="G29" s="31" t="s">
        <v>37</v>
      </c>
      <c r="H29" s="31" t="s">
        <v>37</v>
      </c>
    </row>
    <row r="31" spans="1:8" x14ac:dyDescent="0.25">
      <c r="A31" s="14" t="s">
        <v>9</v>
      </c>
    </row>
    <row r="32" spans="1:8" x14ac:dyDescent="0.25">
      <c r="A32" s="14" t="s">
        <v>120</v>
      </c>
      <c r="B32" s="32">
        <f>B16/B27</f>
        <v>12673471096.769157</v>
      </c>
      <c r="C32" s="32">
        <f t="shared" ref="C32:H32" si="2">C16/C27</f>
        <v>9117985840.605175</v>
      </c>
      <c r="D32" s="32">
        <f>D16/D27</f>
        <v>1357172440.2147388</v>
      </c>
      <c r="E32" s="32">
        <f t="shared" si="2"/>
        <v>1737726813.9580286</v>
      </c>
      <c r="F32" s="32">
        <f t="shared" si="2"/>
        <v>140199666.61786237</v>
      </c>
      <c r="G32" s="32">
        <f t="shared" si="2"/>
        <v>235952979.00439242</v>
      </c>
      <c r="H32" s="32">
        <f t="shared" si="2"/>
        <v>84433356.36896047</v>
      </c>
    </row>
    <row r="33" spans="1:8" x14ac:dyDescent="0.25">
      <c r="A33" s="14" t="s">
        <v>121</v>
      </c>
      <c r="B33" s="32">
        <f>B18/B28</f>
        <v>12959178483.677767</v>
      </c>
      <c r="C33" s="32">
        <f t="shared" ref="C33:E33" si="3">C18/C28</f>
        <v>9454087788.0884056</v>
      </c>
      <c r="D33" s="32">
        <f>D18/D28</f>
        <v>1403836318.4079604</v>
      </c>
      <c r="E33" s="32">
        <f t="shared" si="3"/>
        <v>1721202148.9475698</v>
      </c>
      <c r="F33" s="32">
        <f t="shared" ref="F33:H33" si="4">F18/F28</f>
        <v>135181996.61308843</v>
      </c>
      <c r="G33" s="32">
        <f t="shared" si="4"/>
        <v>196874611.30884045</v>
      </c>
      <c r="H33" s="32">
        <f t="shared" si="4"/>
        <v>47995620.311902024</v>
      </c>
    </row>
    <row r="34" spans="1:8" x14ac:dyDescent="0.25">
      <c r="A34" s="14" t="s">
        <v>122</v>
      </c>
      <c r="B34" s="18">
        <f>B32/B10</f>
        <v>276150.08899466315</v>
      </c>
      <c r="C34" s="18">
        <f t="shared" ref="C34:H34" si="5">C32/C10</f>
        <v>218593.83008738913</v>
      </c>
      <c r="D34" s="18">
        <f>D32/D10</f>
        <v>565292.23473019316</v>
      </c>
      <c r="E34" s="18">
        <f t="shared" si="5"/>
        <v>3644943.500698539</v>
      </c>
      <c r="F34" s="18">
        <f t="shared" si="5"/>
        <v>307455.40924969816</v>
      </c>
      <c r="G34" s="18">
        <f t="shared" si="5"/>
        <v>278465.35681084864</v>
      </c>
      <c r="H34" s="18">
        <f t="shared" si="5"/>
        <v>168866712.73792094</v>
      </c>
    </row>
    <row r="35" spans="1:8" x14ac:dyDescent="0.25">
      <c r="A35" s="14" t="s">
        <v>123</v>
      </c>
      <c r="B35" s="18">
        <f>B33/B12</f>
        <v>258499.40790729402</v>
      </c>
      <c r="C35" s="18">
        <f t="shared" ref="C35:G35" si="6">C33/C12</f>
        <v>213045.06463152167</v>
      </c>
      <c r="D35" s="18">
        <f>D33/D12</f>
        <v>453985.38876480248</v>
      </c>
      <c r="E35" s="18">
        <f t="shared" si="6"/>
        <v>3595200.3111176393</v>
      </c>
      <c r="F35" s="18">
        <f t="shared" si="6"/>
        <v>238696.87453753105</v>
      </c>
      <c r="G35" s="18">
        <f t="shared" si="6"/>
        <v>121602.60117902436</v>
      </c>
      <c r="H35" s="31" t="s">
        <v>37</v>
      </c>
    </row>
    <row r="37" spans="1:8" x14ac:dyDescent="0.25">
      <c r="A37" s="28" t="s">
        <v>10</v>
      </c>
    </row>
    <row r="39" spans="1:8" x14ac:dyDescent="0.25">
      <c r="A39" s="7" t="s">
        <v>11</v>
      </c>
    </row>
    <row r="40" spans="1:8" x14ac:dyDescent="0.25">
      <c r="A40" s="7" t="s">
        <v>12</v>
      </c>
      <c r="B40" s="33" t="s">
        <v>36</v>
      </c>
      <c r="C40" s="33" t="s">
        <v>36</v>
      </c>
      <c r="D40" s="33" t="s">
        <v>36</v>
      </c>
      <c r="E40" s="33" t="s">
        <v>36</v>
      </c>
      <c r="F40" s="33" t="s">
        <v>36</v>
      </c>
      <c r="G40" s="33" t="s">
        <v>36</v>
      </c>
      <c r="H40" s="33" t="s">
        <v>36</v>
      </c>
    </row>
    <row r="41" spans="1:8" x14ac:dyDescent="0.25">
      <c r="A41" s="7" t="s">
        <v>13</v>
      </c>
      <c r="B41" s="33" t="s">
        <v>36</v>
      </c>
      <c r="C41" s="33" t="s">
        <v>36</v>
      </c>
      <c r="D41" s="33" t="s">
        <v>36</v>
      </c>
      <c r="E41" s="33" t="s">
        <v>36</v>
      </c>
      <c r="F41" s="33" t="s">
        <v>36</v>
      </c>
      <c r="G41" s="33" t="s">
        <v>36</v>
      </c>
      <c r="H41" s="33" t="s">
        <v>36</v>
      </c>
    </row>
    <row r="43" spans="1:8" x14ac:dyDescent="0.25">
      <c r="A43" s="7" t="s">
        <v>14</v>
      </c>
    </row>
    <row r="44" spans="1:8" x14ac:dyDescent="0.25">
      <c r="A44" s="7" t="s">
        <v>15</v>
      </c>
      <c r="B44" s="21">
        <f>B12/B11*100</f>
        <v>98.42606772162668</v>
      </c>
      <c r="C44" s="21">
        <f t="shared" ref="C44:G44" si="7">C12/C11*100</f>
        <v>103.6144578313253</v>
      </c>
      <c r="D44" s="21">
        <f>D12/D11*100</f>
        <v>269.82984293193721</v>
      </c>
      <c r="E44" s="21">
        <f t="shared" si="7"/>
        <v>104.07608695652173</v>
      </c>
      <c r="F44" s="21">
        <f t="shared" si="7"/>
        <v>18.87777777777778</v>
      </c>
      <c r="G44" s="21">
        <f t="shared" si="7"/>
        <v>46.25714285714286</v>
      </c>
      <c r="H44" s="31" t="s">
        <v>37</v>
      </c>
    </row>
    <row r="45" spans="1:8" x14ac:dyDescent="0.25">
      <c r="A45" s="7" t="s">
        <v>16</v>
      </c>
      <c r="B45" s="21">
        <f>B18/B17*100</f>
        <v>85.705208939822811</v>
      </c>
      <c r="C45" s="21">
        <f t="shared" ref="C45:G45" si="8">C18/C17*100</f>
        <v>83.444250242997711</v>
      </c>
      <c r="D45" s="21">
        <f>D18/D17*100</f>
        <v>99.996260701103623</v>
      </c>
      <c r="E45" s="21">
        <f t="shared" si="8"/>
        <v>90.554455781858678</v>
      </c>
      <c r="F45" s="21">
        <f t="shared" si="8"/>
        <v>71.387225045532716</v>
      </c>
      <c r="G45" s="21">
        <f t="shared" si="8"/>
        <v>66.326354767998367</v>
      </c>
      <c r="H45" s="31" t="s">
        <v>37</v>
      </c>
    </row>
    <row r="46" spans="1:8" x14ac:dyDescent="0.25">
      <c r="A46" s="7" t="s">
        <v>17</v>
      </c>
      <c r="B46" s="21">
        <f>AVERAGE(B44:B45)</f>
        <v>92.065638330724738</v>
      </c>
      <c r="C46" s="21">
        <f t="shared" ref="C46:G46" si="9">AVERAGE(C44:C45)</f>
        <v>93.529354037161511</v>
      </c>
      <c r="D46" s="21">
        <f>AVERAGE(D44:D45)</f>
        <v>184.91305181652041</v>
      </c>
      <c r="E46" s="21">
        <f t="shared" si="9"/>
        <v>97.315271369190214</v>
      </c>
      <c r="F46" s="21">
        <f t="shared" si="9"/>
        <v>45.132501411655248</v>
      </c>
      <c r="G46" s="21">
        <f t="shared" si="9"/>
        <v>56.291748812570617</v>
      </c>
      <c r="H46" s="31" t="s">
        <v>37</v>
      </c>
    </row>
    <row r="47" spans="1:8" x14ac:dyDescent="0.25">
      <c r="B47" s="21"/>
      <c r="C47" s="21"/>
      <c r="D47" s="21"/>
      <c r="E47" s="21"/>
      <c r="F47" s="21"/>
    </row>
    <row r="48" spans="1:8" x14ac:dyDescent="0.25">
      <c r="A48" s="7" t="s">
        <v>18</v>
      </c>
    </row>
    <row r="49" spans="1:8" x14ac:dyDescent="0.25">
      <c r="A49" s="7" t="s">
        <v>19</v>
      </c>
      <c r="B49" s="21">
        <f>B12/B13*100</f>
        <v>98.42606772162668</v>
      </c>
      <c r="C49" s="21">
        <f t="shared" ref="C49:G49" si="10">C12/C13*100</f>
        <v>103.6144578313253</v>
      </c>
      <c r="D49" s="21">
        <f>D12/D13*100</f>
        <v>269.82984293193721</v>
      </c>
      <c r="E49" s="21">
        <f t="shared" si="10"/>
        <v>104.07608695652173</v>
      </c>
      <c r="F49" s="21">
        <f t="shared" si="10"/>
        <v>18.87777777777778</v>
      </c>
      <c r="G49" s="21">
        <f t="shared" si="10"/>
        <v>46.25714285714286</v>
      </c>
      <c r="H49" s="31" t="s">
        <v>37</v>
      </c>
    </row>
    <row r="50" spans="1:8" x14ac:dyDescent="0.25">
      <c r="A50" s="7" t="s">
        <v>20</v>
      </c>
      <c r="B50" s="21">
        <f>B18/B19*100</f>
        <v>85.705208941991998</v>
      </c>
      <c r="C50" s="21">
        <f t="shared" ref="C50:G50" si="11">C18/C19*100</f>
        <v>83.444250242997711</v>
      </c>
      <c r="D50" s="21">
        <f>D18/D19*100</f>
        <v>99.996260728362742</v>
      </c>
      <c r="E50" s="21">
        <f t="shared" si="11"/>
        <v>90.554455781858678</v>
      </c>
      <c r="F50" s="21">
        <f t="shared" si="11"/>
        <v>71.387225045532716</v>
      </c>
      <c r="G50" s="21">
        <f t="shared" si="11"/>
        <v>66.326354767998367</v>
      </c>
      <c r="H50" s="31" t="s">
        <v>37</v>
      </c>
    </row>
    <row r="51" spans="1:8" x14ac:dyDescent="0.25">
      <c r="A51" s="7" t="s">
        <v>21</v>
      </c>
      <c r="B51" s="21">
        <f>(B49+B50)/2</f>
        <v>92.065638331809339</v>
      </c>
      <c r="C51" s="21">
        <f t="shared" ref="C51:G51" si="12">(C49+C50)/2</f>
        <v>93.529354037161511</v>
      </c>
      <c r="D51" s="21">
        <f>(D49+D50)/2</f>
        <v>184.91305183014998</v>
      </c>
      <c r="E51" s="21">
        <f t="shared" si="12"/>
        <v>97.315271369190214</v>
      </c>
      <c r="F51" s="21">
        <f t="shared" si="12"/>
        <v>45.132501411655248</v>
      </c>
      <c r="G51" s="21">
        <f t="shared" si="12"/>
        <v>56.291748812570617</v>
      </c>
      <c r="H51" s="31" t="s">
        <v>37</v>
      </c>
    </row>
    <row r="53" spans="1:8" x14ac:dyDescent="0.25">
      <c r="A53" s="7" t="s">
        <v>33</v>
      </c>
    </row>
    <row r="54" spans="1:8" x14ac:dyDescent="0.25">
      <c r="A54" s="7" t="s">
        <v>22</v>
      </c>
      <c r="B54" s="39">
        <f>B20/B18*100</f>
        <v>100</v>
      </c>
      <c r="C54" s="21"/>
      <c r="D54" s="21"/>
      <c r="E54" s="21"/>
      <c r="F54" s="21"/>
      <c r="G54" s="21"/>
      <c r="H54" s="21"/>
    </row>
    <row r="56" spans="1:8" x14ac:dyDescent="0.25">
      <c r="A56" s="7" t="s">
        <v>23</v>
      </c>
    </row>
    <row r="57" spans="1:8" x14ac:dyDescent="0.25">
      <c r="A57" s="7" t="s">
        <v>24</v>
      </c>
      <c r="B57" s="21">
        <f t="shared" ref="B57:H57" si="13">((B12/B10)-1)*100</f>
        <v>9.2364373248886356</v>
      </c>
      <c r="C57" s="21">
        <f t="shared" si="13"/>
        <v>6.3866513233601818</v>
      </c>
      <c r="D57" s="21">
        <f t="shared" si="13"/>
        <v>28.799028115237757</v>
      </c>
      <c r="E57" s="21">
        <f t="shared" si="13"/>
        <v>0.41950707918196883</v>
      </c>
      <c r="F57" s="21">
        <f t="shared" si="13"/>
        <v>24.195906432748536</v>
      </c>
      <c r="G57" s="21">
        <f t="shared" si="13"/>
        <v>91.070023603461834</v>
      </c>
      <c r="H57" s="21">
        <f t="shared" si="13"/>
        <v>-100</v>
      </c>
    </row>
    <row r="58" spans="1:8" x14ac:dyDescent="0.25">
      <c r="A58" s="7" t="s">
        <v>25</v>
      </c>
      <c r="B58" s="21">
        <f>((B33/B32)-1)*100</f>
        <v>2.254373602362536</v>
      </c>
      <c r="C58" s="21">
        <f t="shared" ref="C58:H58" si="14">((C33/C32)-1)*100</f>
        <v>3.6861424590775904</v>
      </c>
      <c r="D58" s="21">
        <f>((D33/D32)-1)*100</f>
        <v>3.4383160761677578</v>
      </c>
      <c r="E58" s="21">
        <f t="shared" si="14"/>
        <v>-0.9509357211805014</v>
      </c>
      <c r="F58" s="21">
        <f t="shared" si="14"/>
        <v>-3.5789457463193841</v>
      </c>
      <c r="G58" s="21">
        <f t="shared" si="14"/>
        <v>-16.56193020340061</v>
      </c>
      <c r="H58" s="21">
        <f t="shared" si="14"/>
        <v>-43.155617192133498</v>
      </c>
    </row>
    <row r="59" spans="1:8" x14ac:dyDescent="0.25">
      <c r="A59" s="7" t="s">
        <v>26</v>
      </c>
      <c r="B59" s="21">
        <f t="shared" ref="B59:G59" si="15">((B35/B34)-1)*100</f>
        <v>-6.3916984968671269</v>
      </c>
      <c r="C59" s="21">
        <f t="shared" si="15"/>
        <v>-2.5383907009860152</v>
      </c>
      <c r="D59" s="21">
        <f t="shared" si="15"/>
        <v>-19.690142394847509</v>
      </c>
      <c r="E59" s="21">
        <f t="shared" si="15"/>
        <v>-1.3647177129457955</v>
      </c>
      <c r="F59" s="21">
        <f t="shared" si="15"/>
        <v>-22.363742072374883</v>
      </c>
      <c r="G59" s="21">
        <f t="shared" si="15"/>
        <v>-56.331156388108781</v>
      </c>
      <c r="H59" s="31" t="s">
        <v>37</v>
      </c>
    </row>
    <row r="60" spans="1:8" x14ac:dyDescent="0.25">
      <c r="B60" s="21"/>
      <c r="C60" s="21"/>
      <c r="D60" s="21"/>
      <c r="E60" s="21"/>
      <c r="F60" s="21"/>
    </row>
    <row r="61" spans="1:8" x14ac:dyDescent="0.25">
      <c r="A61" s="7" t="s">
        <v>27</v>
      </c>
    </row>
    <row r="62" spans="1:8" x14ac:dyDescent="0.25">
      <c r="A62" s="7" t="s">
        <v>34</v>
      </c>
      <c r="B62" s="5">
        <f>B17/(B11*12)</f>
        <v>25857.148186574781</v>
      </c>
      <c r="C62" s="5">
        <f t="shared" ref="C62:G62" si="16">C17/(C11*12)</f>
        <v>23041.649970852402</v>
      </c>
      <c r="D62" s="5">
        <f t="shared" si="16"/>
        <v>106700.45000000001</v>
      </c>
      <c r="E62" s="5">
        <f t="shared" si="16"/>
        <v>359900.44039855071</v>
      </c>
      <c r="F62" s="5">
        <f t="shared" si="16"/>
        <v>5497.88</v>
      </c>
      <c r="G62" s="5">
        <f t="shared" si="16"/>
        <v>7386.7550000000001</v>
      </c>
      <c r="H62" s="31" t="s">
        <v>37</v>
      </c>
    </row>
    <row r="63" spans="1:8" x14ac:dyDescent="0.25">
      <c r="A63" s="7" t="s">
        <v>35</v>
      </c>
      <c r="B63" s="5">
        <f>B18/(B12*12)</f>
        <v>22515.298428725309</v>
      </c>
      <c r="C63" s="5">
        <f t="shared" ref="C63:G63" si="17">C18/(C12*12)</f>
        <v>18556.225129405535</v>
      </c>
      <c r="D63" s="5">
        <f t="shared" si="17"/>
        <v>39542.127361414292</v>
      </c>
      <c r="E63" s="5">
        <f t="shared" si="17"/>
        <v>313141.94709834637</v>
      </c>
      <c r="F63" s="5">
        <f t="shared" si="17"/>
        <v>20790.497772218954</v>
      </c>
      <c r="G63" s="5">
        <f t="shared" si="17"/>
        <v>10591.586562693021</v>
      </c>
      <c r="H63" s="31" t="s">
        <v>37</v>
      </c>
    </row>
    <row r="64" spans="1:8" x14ac:dyDescent="0.25">
      <c r="A64" s="7" t="s">
        <v>28</v>
      </c>
      <c r="B64" s="34">
        <f>(B63/B62)*B46</f>
        <v>80.166819136056802</v>
      </c>
      <c r="C64" s="34">
        <f t="shared" ref="C64:G64" si="18">(C63/C62)*C46</f>
        <v>75.32237282993664</v>
      </c>
      <c r="D64" s="34">
        <f t="shared" si="18"/>
        <v>68.526941036487187</v>
      </c>
      <c r="E64" s="34">
        <f t="shared" si="18"/>
        <v>84.672009640238542</v>
      </c>
      <c r="F64" s="34">
        <f t="shared" si="18"/>
        <v>170.67072581680344</v>
      </c>
      <c r="G64" s="34">
        <f t="shared" si="18"/>
        <v>80.714593933833427</v>
      </c>
      <c r="H64" s="31" t="s">
        <v>37</v>
      </c>
    </row>
    <row r="65" spans="1:8" x14ac:dyDescent="0.25">
      <c r="A65" s="7" t="s">
        <v>38</v>
      </c>
      <c r="B65" s="5">
        <f t="shared" ref="B65:G66" si="19">B17/B11</f>
        <v>310285.77823889739</v>
      </c>
      <c r="C65" s="5">
        <f t="shared" si="19"/>
        <v>276499.79965022882</v>
      </c>
      <c r="D65" s="5">
        <f t="shared" si="19"/>
        <v>1280405.4000000001</v>
      </c>
      <c r="E65" s="5">
        <f t="shared" si="19"/>
        <v>4318805.284782609</v>
      </c>
      <c r="F65" s="5">
        <f t="shared" si="19"/>
        <v>65974.559999999998</v>
      </c>
      <c r="G65" s="5">
        <f t="shared" si="19"/>
        <v>88641.06</v>
      </c>
      <c r="H65" s="31" t="s">
        <v>37</v>
      </c>
    </row>
    <row r="66" spans="1:8" x14ac:dyDescent="0.25">
      <c r="A66" s="7" t="s">
        <v>39</v>
      </c>
      <c r="B66" s="5">
        <f t="shared" si="19"/>
        <v>270183.58114470367</v>
      </c>
      <c r="C66" s="5">
        <f t="shared" si="19"/>
        <v>222674.70155286643</v>
      </c>
      <c r="D66" s="5">
        <f t="shared" si="19"/>
        <v>474505.52833697147</v>
      </c>
      <c r="E66" s="5">
        <f t="shared" si="19"/>
        <v>3757703.3651801567</v>
      </c>
      <c r="F66" s="5">
        <f t="shared" si="19"/>
        <v>249485.97326662744</v>
      </c>
      <c r="G66" s="5">
        <f t="shared" si="19"/>
        <v>127099.03875231625</v>
      </c>
      <c r="H66" s="31" t="s">
        <v>37</v>
      </c>
    </row>
    <row r="67" spans="1:8" x14ac:dyDescent="0.25">
      <c r="B67" s="21"/>
      <c r="C67" s="21"/>
      <c r="D67" s="21"/>
      <c r="E67" s="21"/>
      <c r="F67" s="21"/>
    </row>
    <row r="68" spans="1:8" x14ac:dyDescent="0.25">
      <c r="A68" s="7" t="s">
        <v>29</v>
      </c>
      <c r="B68" s="21"/>
      <c r="C68" s="21"/>
      <c r="D68" s="21"/>
      <c r="E68" s="21"/>
      <c r="F68" s="21"/>
    </row>
    <row r="69" spans="1:8" x14ac:dyDescent="0.25">
      <c r="A69" s="7" t="s">
        <v>30</v>
      </c>
      <c r="B69" s="21">
        <f>(B24/B23)*100</f>
        <v>99.96113629342338</v>
      </c>
      <c r="C69" s="21"/>
      <c r="D69" s="21"/>
      <c r="E69" s="21"/>
      <c r="F69" s="21"/>
    </row>
    <row r="70" spans="1:8" x14ac:dyDescent="0.25">
      <c r="A70" s="7" t="s">
        <v>31</v>
      </c>
      <c r="B70" s="21">
        <f>(B18/B24)*100</f>
        <v>85.738530110588087</v>
      </c>
      <c r="C70" s="21"/>
      <c r="D70" s="21"/>
      <c r="E70" s="21"/>
      <c r="F70" s="21"/>
    </row>
    <row r="71" spans="1:8" ht="15.75" thickBot="1" x14ac:dyDescent="0.3">
      <c r="A71" s="35"/>
      <c r="B71" s="35"/>
      <c r="C71" s="35"/>
      <c r="D71" s="35"/>
      <c r="E71" s="35"/>
      <c r="F71" s="35"/>
      <c r="G71" s="35"/>
      <c r="H71" s="35"/>
    </row>
    <row r="72" spans="1:8" ht="15.75" thickTop="1" x14ac:dyDescent="0.25"/>
    <row r="73" spans="1:8" x14ac:dyDescent="0.25">
      <c r="A73" s="36" t="s">
        <v>32</v>
      </c>
    </row>
    <row r="74" spans="1:8" x14ac:dyDescent="0.25">
      <c r="A74" s="7" t="s">
        <v>56</v>
      </c>
    </row>
    <row r="75" spans="1:8" x14ac:dyDescent="0.25">
      <c r="A75" s="7" t="s">
        <v>57</v>
      </c>
      <c r="B75" s="34"/>
      <c r="C75" s="34"/>
      <c r="D75" s="34"/>
    </row>
    <row r="76" spans="1:8" x14ac:dyDescent="0.25">
      <c r="A76" s="7" t="s">
        <v>58</v>
      </c>
    </row>
    <row r="78" spans="1:8" x14ac:dyDescent="0.25">
      <c r="A78" s="7" t="s">
        <v>59</v>
      </c>
    </row>
    <row r="79" spans="1:8" x14ac:dyDescent="0.25">
      <c r="A79" s="54"/>
      <c r="B79" s="54"/>
      <c r="C79" s="54"/>
      <c r="D79" s="54"/>
      <c r="E79" s="54"/>
      <c r="F79" s="54"/>
      <c r="G79" s="54"/>
      <c r="H79" s="54"/>
    </row>
    <row r="80" spans="1:8" x14ac:dyDescent="0.25">
      <c r="A80" s="37"/>
    </row>
    <row r="81" spans="1:1" x14ac:dyDescent="0.25">
      <c r="A81" s="37"/>
    </row>
    <row r="82" spans="1:1" x14ac:dyDescent="0.25">
      <c r="A82" s="37"/>
    </row>
  </sheetData>
  <mergeCells count="5">
    <mergeCell ref="A4:A5"/>
    <mergeCell ref="A2:H2"/>
    <mergeCell ref="A79:H79"/>
    <mergeCell ref="C4:H4"/>
    <mergeCell ref="B4:B5"/>
  </mergeCells>
  <pageMargins left="0.7" right="0.7" top="0.75" bottom="0.75" header="0.3" footer="0.3"/>
  <pageSetup orientation="portrait" r:id="rId1"/>
  <ignoredErrors>
    <ignoredError sqref="H36:H43 H47:H48 H52:H58 H60:H6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dcterms:created xsi:type="dcterms:W3CDTF">2012-04-10T15:25:06Z</dcterms:created>
  <dcterms:modified xsi:type="dcterms:W3CDTF">2019-06-14T18:15:25Z</dcterms:modified>
</cp:coreProperties>
</file>