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Página Web\Año 2018\IMAS\"/>
    </mc:Choice>
  </mc:AlternateContent>
  <bookViews>
    <workbookView xWindow="0" yWindow="0" windowWidth="28800" windowHeight="12330" tabRatio="729"/>
  </bookViews>
  <sheets>
    <sheet name="I Trimestre" sheetId="2" r:id="rId1"/>
    <sheet name="II Trimestre" sheetId="3" r:id="rId2"/>
    <sheet name="III Trimestre" sheetId="1" r:id="rId3"/>
    <sheet name="IV Trimestre" sheetId="4" r:id="rId4"/>
    <sheet name="I Semestre" sheetId="5" r:id="rId5"/>
    <sheet name="III Trimestre Acumulado" sheetId="6" r:id="rId6"/>
    <sheet name="Anual" sheetId="7" r:id="rId7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3" i="7" l="1"/>
  <c r="C35" i="7" l="1"/>
  <c r="C37" i="7" s="1"/>
  <c r="C36" i="7"/>
  <c r="F48" i="7" l="1"/>
  <c r="D46" i="7"/>
  <c r="F68" i="7" l="1"/>
  <c r="G68" i="7"/>
  <c r="H68" i="7"/>
  <c r="I68" i="7"/>
  <c r="E68" i="7"/>
  <c r="C68" i="7"/>
  <c r="B68" i="7"/>
  <c r="F67" i="7"/>
  <c r="G67" i="7"/>
  <c r="H67" i="7"/>
  <c r="I67" i="7"/>
  <c r="E67" i="7"/>
  <c r="C67" i="7"/>
  <c r="B67" i="7"/>
  <c r="F66" i="7"/>
  <c r="G66" i="7"/>
  <c r="H66" i="7"/>
  <c r="I66" i="7"/>
  <c r="E66" i="7"/>
  <c r="F65" i="7"/>
  <c r="G65" i="7"/>
  <c r="H65" i="7"/>
  <c r="I65" i="7"/>
  <c r="E65" i="7"/>
  <c r="C65" i="7"/>
  <c r="B65" i="7"/>
  <c r="F64" i="7"/>
  <c r="G64" i="7"/>
  <c r="H64" i="7"/>
  <c r="I64" i="7"/>
  <c r="E64" i="7"/>
  <c r="C64" i="7"/>
  <c r="B64" i="7"/>
  <c r="I46" i="6"/>
  <c r="I48" i="6" s="1"/>
  <c r="I66" i="6" s="1"/>
  <c r="I47" i="6"/>
  <c r="I51" i="6"/>
  <c r="I53" i="6" s="1"/>
  <c r="I52" i="6"/>
  <c r="I56" i="6"/>
  <c r="J56" i="6"/>
  <c r="I59" i="6"/>
  <c r="I60" i="6"/>
  <c r="J60" i="6"/>
  <c r="I61" i="6"/>
  <c r="I64" i="6"/>
  <c r="I65" i="6"/>
  <c r="I67" i="6"/>
  <c r="I68" i="6"/>
  <c r="J34" i="6"/>
  <c r="J35" i="6"/>
  <c r="F68" i="6"/>
  <c r="G68" i="6"/>
  <c r="H68" i="6"/>
  <c r="E68" i="6"/>
  <c r="C68" i="6"/>
  <c r="B68" i="6"/>
  <c r="F67" i="6"/>
  <c r="G67" i="6"/>
  <c r="H67" i="6"/>
  <c r="E67" i="6"/>
  <c r="C67" i="6"/>
  <c r="B67" i="6"/>
  <c r="F66" i="6"/>
  <c r="G66" i="6"/>
  <c r="H66" i="6"/>
  <c r="E66" i="6"/>
  <c r="C66" i="6"/>
  <c r="F65" i="6"/>
  <c r="G65" i="6"/>
  <c r="H65" i="6"/>
  <c r="E65" i="6"/>
  <c r="C65" i="6"/>
  <c r="B65" i="6"/>
  <c r="F64" i="6"/>
  <c r="G64" i="6"/>
  <c r="H64" i="6"/>
  <c r="E64" i="6"/>
  <c r="C64" i="6"/>
  <c r="B64" i="6"/>
  <c r="F68" i="5"/>
  <c r="G68" i="5"/>
  <c r="H68" i="5"/>
  <c r="I68" i="5"/>
  <c r="E68" i="5"/>
  <c r="C68" i="5"/>
  <c r="B68" i="5"/>
  <c r="G67" i="5"/>
  <c r="H67" i="5"/>
  <c r="I67" i="5"/>
  <c r="F67" i="5"/>
  <c r="E67" i="5"/>
  <c r="C67" i="5"/>
  <c r="B67" i="5"/>
  <c r="F66" i="5"/>
  <c r="G66" i="5"/>
  <c r="H66" i="5"/>
  <c r="I66" i="5"/>
  <c r="E66" i="5"/>
  <c r="C66" i="5"/>
  <c r="F65" i="5"/>
  <c r="G65" i="5"/>
  <c r="H65" i="5"/>
  <c r="I65" i="5"/>
  <c r="E65" i="5"/>
  <c r="C65" i="5"/>
  <c r="B65" i="5"/>
  <c r="F64" i="5"/>
  <c r="G64" i="5"/>
  <c r="H64" i="5"/>
  <c r="I64" i="5"/>
  <c r="E64" i="5"/>
  <c r="C64" i="5"/>
  <c r="B64" i="5"/>
  <c r="B72" i="4"/>
  <c r="B71" i="4"/>
  <c r="I68" i="4"/>
  <c r="H68" i="4"/>
  <c r="G68" i="4"/>
  <c r="F68" i="4"/>
  <c r="E68" i="4"/>
  <c r="C68" i="4"/>
  <c r="B68" i="4"/>
  <c r="I67" i="4"/>
  <c r="H67" i="4"/>
  <c r="G67" i="4"/>
  <c r="F67" i="4"/>
  <c r="E67" i="4"/>
  <c r="C67" i="4"/>
  <c r="B67" i="4"/>
  <c r="I65" i="4"/>
  <c r="I66" i="4" s="1"/>
  <c r="H65" i="4"/>
  <c r="H66" i="4" s="1"/>
  <c r="G65" i="4"/>
  <c r="G66" i="4" s="1"/>
  <c r="F65" i="4"/>
  <c r="F66" i="4" s="1"/>
  <c r="E65" i="4"/>
  <c r="E66" i="4" s="1"/>
  <c r="C65" i="4"/>
  <c r="B65" i="4"/>
  <c r="I64" i="4"/>
  <c r="H64" i="4"/>
  <c r="G64" i="4"/>
  <c r="F64" i="4"/>
  <c r="E64" i="4"/>
  <c r="C64" i="4"/>
  <c r="B64" i="4"/>
  <c r="I59" i="4"/>
  <c r="H59" i="4"/>
  <c r="G59" i="4"/>
  <c r="F59" i="4"/>
  <c r="E59" i="4"/>
  <c r="C59" i="4"/>
  <c r="B59" i="4"/>
  <c r="J56" i="4"/>
  <c r="I56" i="4"/>
  <c r="H56" i="4"/>
  <c r="G56" i="4"/>
  <c r="F56" i="4"/>
  <c r="E56" i="4"/>
  <c r="C56" i="4"/>
  <c r="B56" i="4"/>
  <c r="I52" i="4"/>
  <c r="H52" i="4"/>
  <c r="G52" i="4"/>
  <c r="F52" i="4"/>
  <c r="E52" i="4"/>
  <c r="C52" i="4"/>
  <c r="B52" i="4"/>
  <c r="I51" i="4"/>
  <c r="I53" i="4" s="1"/>
  <c r="H51" i="4"/>
  <c r="H53" i="4" s="1"/>
  <c r="G51" i="4"/>
  <c r="G53" i="4" s="1"/>
  <c r="F51" i="4"/>
  <c r="F53" i="4" s="1"/>
  <c r="E51" i="4"/>
  <c r="E53" i="4" s="1"/>
  <c r="C51" i="4"/>
  <c r="C53" i="4" s="1"/>
  <c r="I48" i="4"/>
  <c r="F48" i="4"/>
  <c r="E48" i="4"/>
  <c r="I47" i="4"/>
  <c r="H47" i="4"/>
  <c r="G47" i="4"/>
  <c r="F47" i="4"/>
  <c r="E47" i="4"/>
  <c r="C47" i="4"/>
  <c r="B47" i="4"/>
  <c r="I46" i="4"/>
  <c r="H46" i="4"/>
  <c r="H48" i="4" s="1"/>
  <c r="G46" i="4"/>
  <c r="G48" i="4" s="1"/>
  <c r="F46" i="4"/>
  <c r="E46" i="4"/>
  <c r="D46" i="4"/>
  <c r="D48" i="4" s="1"/>
  <c r="G43" i="4"/>
  <c r="E43" i="4"/>
  <c r="C43" i="4"/>
  <c r="B43" i="4"/>
  <c r="G42" i="4"/>
  <c r="E42" i="4"/>
  <c r="C42" i="4"/>
  <c r="J35" i="4"/>
  <c r="J60" i="4" s="1"/>
  <c r="I35" i="4"/>
  <c r="I60" i="4" s="1"/>
  <c r="H35" i="4"/>
  <c r="H60" i="4" s="1"/>
  <c r="G35" i="4"/>
  <c r="G60" i="4" s="1"/>
  <c r="F35" i="4"/>
  <c r="F60" i="4" s="1"/>
  <c r="E35" i="4"/>
  <c r="E60" i="4" s="1"/>
  <c r="C35" i="4"/>
  <c r="C60" i="4" s="1"/>
  <c r="B35" i="4"/>
  <c r="B60" i="4" s="1"/>
  <c r="J34" i="4"/>
  <c r="I34" i="4"/>
  <c r="I36" i="4" s="1"/>
  <c r="H34" i="4"/>
  <c r="H36" i="4" s="1"/>
  <c r="G34" i="4"/>
  <c r="G36" i="4" s="1"/>
  <c r="F34" i="4"/>
  <c r="F36" i="4" s="1"/>
  <c r="E34" i="4"/>
  <c r="E36" i="4" s="1"/>
  <c r="C34" i="4"/>
  <c r="C36" i="4" s="1"/>
  <c r="B34" i="4"/>
  <c r="B36" i="4" s="1"/>
  <c r="B72" i="1"/>
  <c r="B71" i="1"/>
  <c r="I68" i="1"/>
  <c r="H68" i="1"/>
  <c r="G68" i="1"/>
  <c r="F68" i="1"/>
  <c r="E68" i="1"/>
  <c r="C68" i="1"/>
  <c r="B68" i="1"/>
  <c r="I67" i="1"/>
  <c r="H67" i="1"/>
  <c r="G67" i="1"/>
  <c r="F67" i="1"/>
  <c r="E67" i="1"/>
  <c r="C67" i="1"/>
  <c r="B67" i="1"/>
  <c r="I65" i="1"/>
  <c r="I66" i="1" s="1"/>
  <c r="H65" i="1"/>
  <c r="G65" i="1"/>
  <c r="F65" i="1"/>
  <c r="F66" i="1" s="1"/>
  <c r="E65" i="1"/>
  <c r="E66" i="1" s="1"/>
  <c r="C65" i="1"/>
  <c r="B65" i="1"/>
  <c r="I64" i="1"/>
  <c r="H64" i="1"/>
  <c r="G64" i="1"/>
  <c r="F64" i="1"/>
  <c r="E64" i="1"/>
  <c r="C64" i="1"/>
  <c r="B64" i="1"/>
  <c r="I59" i="1"/>
  <c r="H59" i="1"/>
  <c r="G59" i="1"/>
  <c r="F59" i="1"/>
  <c r="E59" i="1"/>
  <c r="C59" i="1"/>
  <c r="B59" i="1"/>
  <c r="J56" i="1"/>
  <c r="I56" i="1"/>
  <c r="H56" i="1"/>
  <c r="G56" i="1"/>
  <c r="F56" i="1"/>
  <c r="E56" i="1"/>
  <c r="C56" i="1"/>
  <c r="B56" i="1"/>
  <c r="I52" i="1"/>
  <c r="H52" i="1"/>
  <c r="G52" i="1"/>
  <c r="F52" i="1"/>
  <c r="E52" i="1"/>
  <c r="C52" i="1"/>
  <c r="B52" i="1"/>
  <c r="I51" i="1"/>
  <c r="I53" i="1" s="1"/>
  <c r="H51" i="1"/>
  <c r="H53" i="1" s="1"/>
  <c r="G51" i="1"/>
  <c r="G53" i="1" s="1"/>
  <c r="F51" i="1"/>
  <c r="F53" i="1" s="1"/>
  <c r="E51" i="1"/>
  <c r="E53" i="1" s="1"/>
  <c r="C51" i="1"/>
  <c r="C53" i="1" s="1"/>
  <c r="I48" i="1"/>
  <c r="E48" i="1"/>
  <c r="I47" i="1"/>
  <c r="H47" i="1"/>
  <c r="G47" i="1"/>
  <c r="F47" i="1"/>
  <c r="E47" i="1"/>
  <c r="C47" i="1"/>
  <c r="B47" i="1"/>
  <c r="I46" i="1"/>
  <c r="H46" i="1"/>
  <c r="H48" i="1" s="1"/>
  <c r="G46" i="1"/>
  <c r="G48" i="1" s="1"/>
  <c r="F46" i="1"/>
  <c r="F48" i="1" s="1"/>
  <c r="E46" i="1"/>
  <c r="D46" i="1"/>
  <c r="D48" i="1" s="1"/>
  <c r="G43" i="1"/>
  <c r="E43" i="1"/>
  <c r="C43" i="1"/>
  <c r="B43" i="1"/>
  <c r="G42" i="1"/>
  <c r="E42" i="1"/>
  <c r="C42" i="1"/>
  <c r="J35" i="1"/>
  <c r="I35" i="1"/>
  <c r="I37" i="1" s="1"/>
  <c r="I61" i="1" s="1"/>
  <c r="H35" i="1"/>
  <c r="H60" i="1" s="1"/>
  <c r="G35" i="1"/>
  <c r="G37" i="1" s="1"/>
  <c r="F35" i="1"/>
  <c r="F60" i="1" s="1"/>
  <c r="E35" i="1"/>
  <c r="E60" i="1" s="1"/>
  <c r="C35" i="1"/>
  <c r="C60" i="1" s="1"/>
  <c r="B35" i="1"/>
  <c r="B37" i="1" s="1"/>
  <c r="J34" i="1"/>
  <c r="I34" i="1"/>
  <c r="I36" i="1" s="1"/>
  <c r="H34" i="1"/>
  <c r="H36" i="1" s="1"/>
  <c r="G34" i="1"/>
  <c r="G36" i="1" s="1"/>
  <c r="F34" i="1"/>
  <c r="F36" i="1" s="1"/>
  <c r="E34" i="1"/>
  <c r="E36" i="1" s="1"/>
  <c r="C34" i="1"/>
  <c r="C36" i="1" s="1"/>
  <c r="B34" i="1"/>
  <c r="B36" i="1" s="1"/>
  <c r="C66" i="4" l="1"/>
  <c r="E37" i="4"/>
  <c r="E61" i="4" s="1"/>
  <c r="G37" i="4"/>
  <c r="G61" i="4" s="1"/>
  <c r="H37" i="4"/>
  <c r="H61" i="4" s="1"/>
  <c r="I37" i="4"/>
  <c r="I61" i="4" s="1"/>
  <c r="F37" i="4"/>
  <c r="F61" i="4" s="1"/>
  <c r="B37" i="4"/>
  <c r="B61" i="4" s="1"/>
  <c r="C37" i="4"/>
  <c r="C61" i="4" s="1"/>
  <c r="G61" i="1"/>
  <c r="G66" i="1"/>
  <c r="H66" i="1"/>
  <c r="B61" i="1"/>
  <c r="C66" i="1"/>
  <c r="F37" i="1"/>
  <c r="F61" i="1" s="1"/>
  <c r="G60" i="1"/>
  <c r="H37" i="1"/>
  <c r="H61" i="1" s="1"/>
  <c r="I60" i="1"/>
  <c r="J60" i="1"/>
  <c r="E37" i="1"/>
  <c r="E61" i="1" s="1"/>
  <c r="B60" i="1"/>
  <c r="C37" i="1"/>
  <c r="C61" i="1" s="1"/>
  <c r="B72" i="3" l="1"/>
  <c r="B71" i="3"/>
  <c r="I68" i="3"/>
  <c r="H68" i="3"/>
  <c r="G68" i="3"/>
  <c r="F68" i="3"/>
  <c r="E68" i="3"/>
  <c r="C68" i="3"/>
  <c r="B68" i="3"/>
  <c r="I67" i="3"/>
  <c r="H67" i="3"/>
  <c r="G67" i="3"/>
  <c r="F67" i="3"/>
  <c r="E67" i="3"/>
  <c r="C67" i="3"/>
  <c r="B67" i="3"/>
  <c r="I65" i="3"/>
  <c r="I66" i="3" s="1"/>
  <c r="H65" i="3"/>
  <c r="H66" i="3" s="1"/>
  <c r="G65" i="3"/>
  <c r="G66" i="3" s="1"/>
  <c r="F65" i="3"/>
  <c r="F66" i="3" s="1"/>
  <c r="E65" i="3"/>
  <c r="E66" i="3" s="1"/>
  <c r="C65" i="3"/>
  <c r="B65" i="3"/>
  <c r="I64" i="3"/>
  <c r="H64" i="3"/>
  <c r="G64" i="3"/>
  <c r="F64" i="3"/>
  <c r="E64" i="3"/>
  <c r="C64" i="3"/>
  <c r="B64" i="3"/>
  <c r="I59" i="3"/>
  <c r="H59" i="3"/>
  <c r="G59" i="3"/>
  <c r="F59" i="3"/>
  <c r="E59" i="3"/>
  <c r="C59" i="3"/>
  <c r="B59" i="3"/>
  <c r="J56" i="3"/>
  <c r="I56" i="3"/>
  <c r="H56" i="3"/>
  <c r="G56" i="3"/>
  <c r="F56" i="3"/>
  <c r="E56" i="3"/>
  <c r="C56" i="3"/>
  <c r="B56" i="3"/>
  <c r="I52" i="3"/>
  <c r="H52" i="3"/>
  <c r="G52" i="3"/>
  <c r="F52" i="3"/>
  <c r="E52" i="3"/>
  <c r="C52" i="3"/>
  <c r="B52" i="3"/>
  <c r="I51" i="3"/>
  <c r="I53" i="3" s="1"/>
  <c r="H51" i="3"/>
  <c r="H53" i="3" s="1"/>
  <c r="G51" i="3"/>
  <c r="G53" i="3" s="1"/>
  <c r="F51" i="3"/>
  <c r="F53" i="3" s="1"/>
  <c r="E51" i="3"/>
  <c r="E53" i="3" s="1"/>
  <c r="C51" i="3"/>
  <c r="C53" i="3" s="1"/>
  <c r="I48" i="3"/>
  <c r="H48" i="3"/>
  <c r="E48" i="3"/>
  <c r="I47" i="3"/>
  <c r="H47" i="3"/>
  <c r="G47" i="3"/>
  <c r="F47" i="3"/>
  <c r="E47" i="3"/>
  <c r="C47" i="3"/>
  <c r="B47" i="3"/>
  <c r="I46" i="3"/>
  <c r="H46" i="3"/>
  <c r="G46" i="3"/>
  <c r="G48" i="3" s="1"/>
  <c r="F46" i="3"/>
  <c r="F48" i="3" s="1"/>
  <c r="E46" i="3"/>
  <c r="D46" i="3"/>
  <c r="D48" i="3" s="1"/>
  <c r="G43" i="3"/>
  <c r="E43" i="3"/>
  <c r="C43" i="3"/>
  <c r="B43" i="3"/>
  <c r="G42" i="3"/>
  <c r="E42" i="3"/>
  <c r="C42" i="3"/>
  <c r="B36" i="3"/>
  <c r="J35" i="3"/>
  <c r="J60" i="3" s="1"/>
  <c r="I35" i="3"/>
  <c r="I60" i="3" s="1"/>
  <c r="H35" i="3"/>
  <c r="H60" i="3" s="1"/>
  <c r="G35" i="3"/>
  <c r="G37" i="3" s="1"/>
  <c r="F35" i="3"/>
  <c r="F60" i="3" s="1"/>
  <c r="E35" i="3"/>
  <c r="E60" i="3" s="1"/>
  <c r="C35" i="3"/>
  <c r="C60" i="3" s="1"/>
  <c r="B35" i="3"/>
  <c r="B60" i="3" s="1"/>
  <c r="J34" i="3"/>
  <c r="I34" i="3"/>
  <c r="I36" i="3" s="1"/>
  <c r="H34" i="3"/>
  <c r="H36" i="3" s="1"/>
  <c r="G34" i="3"/>
  <c r="G36" i="3" s="1"/>
  <c r="F34" i="3"/>
  <c r="F36" i="3" s="1"/>
  <c r="E34" i="3"/>
  <c r="E36" i="3" s="1"/>
  <c r="C34" i="3"/>
  <c r="C36" i="3" s="1"/>
  <c r="B34" i="3"/>
  <c r="G68" i="2"/>
  <c r="H68" i="2"/>
  <c r="I68" i="2"/>
  <c r="F68" i="2"/>
  <c r="E68" i="2"/>
  <c r="C68" i="2"/>
  <c r="B68" i="2"/>
  <c r="G67" i="2"/>
  <c r="H67" i="2"/>
  <c r="I67" i="2"/>
  <c r="F67" i="2"/>
  <c r="E67" i="2"/>
  <c r="C67" i="2"/>
  <c r="B67" i="2"/>
  <c r="F66" i="2"/>
  <c r="G66" i="2"/>
  <c r="H66" i="2"/>
  <c r="I66" i="2"/>
  <c r="E66" i="2"/>
  <c r="C66" i="2"/>
  <c r="F65" i="2"/>
  <c r="G65" i="2"/>
  <c r="H65" i="2"/>
  <c r="I65" i="2"/>
  <c r="E65" i="2"/>
  <c r="C65" i="2"/>
  <c r="B65" i="2"/>
  <c r="F64" i="2"/>
  <c r="G64" i="2"/>
  <c r="H64" i="2"/>
  <c r="I64" i="2"/>
  <c r="E64" i="2"/>
  <c r="C64" i="2"/>
  <c r="B64" i="2"/>
  <c r="G43" i="2"/>
  <c r="E43" i="2"/>
  <c r="C43" i="2"/>
  <c r="E42" i="2"/>
  <c r="C42" i="2"/>
  <c r="G61" i="3" l="1"/>
  <c r="C66" i="3"/>
  <c r="B37" i="3"/>
  <c r="B61" i="3" s="1"/>
  <c r="E37" i="3"/>
  <c r="E61" i="3" s="1"/>
  <c r="F37" i="3"/>
  <c r="F61" i="3" s="1"/>
  <c r="G60" i="3"/>
  <c r="H37" i="3"/>
  <c r="H61" i="3" s="1"/>
  <c r="I37" i="3"/>
  <c r="I61" i="3" s="1"/>
  <c r="C37" i="3"/>
  <c r="C61" i="3" s="1"/>
  <c r="F19" i="7" l="1"/>
  <c r="G19" i="7"/>
  <c r="H19" i="7"/>
  <c r="I19" i="7"/>
  <c r="E19" i="7"/>
  <c r="C19" i="7"/>
  <c r="B19" i="4"/>
  <c r="C21" i="7"/>
  <c r="E14" i="7"/>
  <c r="F14" i="7"/>
  <c r="G14" i="7"/>
  <c r="H14" i="7"/>
  <c r="I14" i="7"/>
  <c r="D14" i="7"/>
  <c r="B19" i="7" l="1"/>
  <c r="F18" i="5"/>
  <c r="G18" i="5"/>
  <c r="H18" i="5"/>
  <c r="I18" i="5"/>
  <c r="J18" i="5"/>
  <c r="E18" i="5"/>
  <c r="C18" i="5"/>
  <c r="B19" i="3" l="1"/>
  <c r="B21" i="2" l="1"/>
  <c r="B19" i="2"/>
  <c r="J12" i="7"/>
  <c r="J13" i="7"/>
  <c r="J14" i="7"/>
  <c r="J15" i="7"/>
  <c r="J10" i="7"/>
  <c r="B14" i="7"/>
  <c r="B12" i="7"/>
  <c r="C14" i="7"/>
  <c r="C12" i="7"/>
  <c r="J12" i="6"/>
  <c r="J13" i="6"/>
  <c r="J14" i="6"/>
  <c r="J15" i="6"/>
  <c r="J10" i="6"/>
  <c r="C14" i="6"/>
  <c r="D14" i="6"/>
  <c r="E14" i="6"/>
  <c r="F14" i="6"/>
  <c r="G14" i="6"/>
  <c r="H14" i="6"/>
  <c r="I14" i="6"/>
  <c r="C12" i="6"/>
  <c r="D12" i="6"/>
  <c r="E12" i="6"/>
  <c r="F12" i="6"/>
  <c r="G12" i="6"/>
  <c r="H12" i="6"/>
  <c r="I12" i="6"/>
  <c r="E14" i="5"/>
  <c r="F14" i="5"/>
  <c r="G14" i="5"/>
  <c r="H14" i="5"/>
  <c r="I14" i="5"/>
  <c r="D14" i="5"/>
  <c r="E12" i="5"/>
  <c r="F12" i="5"/>
  <c r="G12" i="5"/>
  <c r="H12" i="5"/>
  <c r="I12" i="5"/>
  <c r="D12" i="5"/>
  <c r="C14" i="5"/>
  <c r="C12" i="5"/>
  <c r="B14" i="4"/>
  <c r="B12" i="4"/>
  <c r="B14" i="1"/>
  <c r="B12" i="1"/>
  <c r="B21" i="3"/>
  <c r="B14" i="3"/>
  <c r="B12" i="3"/>
  <c r="B14" i="2"/>
  <c r="B12" i="2"/>
  <c r="B12" i="6" l="1"/>
  <c r="B14" i="5"/>
  <c r="B12" i="5"/>
  <c r="B14" i="6"/>
  <c r="I59" i="7" l="1"/>
  <c r="J20" i="7"/>
  <c r="C20" i="7"/>
  <c r="J21" i="7"/>
  <c r="F18" i="7"/>
  <c r="G18" i="7"/>
  <c r="H18" i="7"/>
  <c r="I18" i="7"/>
  <c r="J18" i="7"/>
  <c r="J34" i="7" s="1"/>
  <c r="C18" i="7"/>
  <c r="J11" i="7"/>
  <c r="B15" i="7"/>
  <c r="B11" i="7"/>
  <c r="J21" i="6"/>
  <c r="J20" i="6"/>
  <c r="J22" i="6" s="1"/>
  <c r="C20" i="6"/>
  <c r="J18" i="6"/>
  <c r="C19" i="6"/>
  <c r="C18" i="6"/>
  <c r="J11" i="6"/>
  <c r="B15" i="6"/>
  <c r="B11" i="6"/>
  <c r="I59" i="5"/>
  <c r="J20" i="5"/>
  <c r="J35" i="5" s="1"/>
  <c r="C20" i="5"/>
  <c r="J21" i="5"/>
  <c r="F19" i="5"/>
  <c r="G19" i="5"/>
  <c r="H19" i="5"/>
  <c r="I19" i="5"/>
  <c r="C19" i="5"/>
  <c r="J34" i="5"/>
  <c r="B15" i="5"/>
  <c r="B11" i="5"/>
  <c r="I22" i="4"/>
  <c r="J22" i="4"/>
  <c r="B21" i="4"/>
  <c r="B20" i="4"/>
  <c r="B18" i="4"/>
  <c r="J22" i="7" l="1"/>
  <c r="J56" i="7" s="1"/>
  <c r="J60" i="5"/>
  <c r="J22" i="5"/>
  <c r="J35" i="7"/>
  <c r="J60" i="7" l="1"/>
  <c r="J56" i="5"/>
  <c r="B18" i="1"/>
  <c r="I22" i="1" l="1"/>
  <c r="J22" i="1"/>
  <c r="B19" i="1"/>
  <c r="B20" i="1"/>
  <c r="B21" i="1" l="1"/>
  <c r="I22" i="3" l="1"/>
  <c r="J22" i="3"/>
  <c r="B20" i="3"/>
  <c r="B18" i="3"/>
  <c r="I59" i="2"/>
  <c r="I52" i="2"/>
  <c r="I51" i="2"/>
  <c r="C52" i="2"/>
  <c r="C56" i="2"/>
  <c r="I47" i="2"/>
  <c r="I46" i="2"/>
  <c r="C47" i="2"/>
  <c r="J35" i="2"/>
  <c r="J34" i="2"/>
  <c r="C35" i="2"/>
  <c r="C34" i="2"/>
  <c r="I22" i="2"/>
  <c r="I56" i="2" s="1"/>
  <c r="J22" i="2"/>
  <c r="J56" i="2" s="1"/>
  <c r="C22" i="2"/>
  <c r="B20" i="2"/>
  <c r="J60" i="2" l="1"/>
  <c r="I53" i="2"/>
  <c r="I48" i="2"/>
  <c r="B18" i="2"/>
  <c r="C11" i="5" l="1"/>
  <c r="D11" i="5"/>
  <c r="E11" i="5"/>
  <c r="F11" i="5"/>
  <c r="G11" i="5"/>
  <c r="H11" i="5"/>
  <c r="I11" i="5"/>
  <c r="I46" i="5" l="1"/>
  <c r="D11" i="7"/>
  <c r="E11" i="7"/>
  <c r="F11" i="7"/>
  <c r="G11" i="7"/>
  <c r="H11" i="7"/>
  <c r="I11" i="7"/>
  <c r="C11" i="7"/>
  <c r="D11" i="6"/>
  <c r="E11" i="6"/>
  <c r="F11" i="6"/>
  <c r="G11" i="6"/>
  <c r="H11" i="6"/>
  <c r="I11" i="6"/>
  <c r="C11" i="6"/>
  <c r="I46" i="7" l="1"/>
  <c r="C43" i="6"/>
  <c r="F51" i="2"/>
  <c r="G51" i="2"/>
  <c r="H51" i="2"/>
  <c r="E51" i="2"/>
  <c r="C51" i="2"/>
  <c r="I34" i="2" l="1"/>
  <c r="C21" i="6" l="1"/>
  <c r="D46" i="2" l="1"/>
  <c r="D48" i="2" s="1"/>
  <c r="H20" i="7" l="1"/>
  <c r="H35" i="7" s="1"/>
  <c r="H37" i="7" s="1"/>
  <c r="I20" i="7"/>
  <c r="H46" i="7"/>
  <c r="I34" i="7"/>
  <c r="I36" i="7" s="1"/>
  <c r="H34" i="7"/>
  <c r="H36" i="7" s="1"/>
  <c r="H59" i="7"/>
  <c r="H15" i="7"/>
  <c r="H51" i="7" s="1"/>
  <c r="C22" i="7"/>
  <c r="F20" i="7"/>
  <c r="G20" i="7"/>
  <c r="C34" i="7"/>
  <c r="G34" i="7"/>
  <c r="G36" i="7" s="1"/>
  <c r="F20" i="5"/>
  <c r="G20" i="5"/>
  <c r="H20" i="5"/>
  <c r="I18" i="6"/>
  <c r="C59" i="6"/>
  <c r="C15" i="6"/>
  <c r="H59" i="6"/>
  <c r="H18" i="6"/>
  <c r="H34" i="6" s="1"/>
  <c r="F20" i="6"/>
  <c r="G20" i="6"/>
  <c r="G35" i="6" s="1"/>
  <c r="H20" i="6"/>
  <c r="H22" i="6" s="1"/>
  <c r="H56" i="6" s="1"/>
  <c r="C34" i="6"/>
  <c r="C36" i="6" s="1"/>
  <c r="G18" i="6"/>
  <c r="G34" i="6" s="1"/>
  <c r="G36" i="6" s="1"/>
  <c r="H59" i="5"/>
  <c r="H34" i="5"/>
  <c r="H36" i="5" s="1"/>
  <c r="G34" i="5"/>
  <c r="I34" i="5"/>
  <c r="I36" i="5" s="1"/>
  <c r="I15" i="5"/>
  <c r="I51" i="5" s="1"/>
  <c r="H59" i="2"/>
  <c r="H34" i="2"/>
  <c r="H36" i="2" s="1"/>
  <c r="F59" i="7"/>
  <c r="G59" i="7"/>
  <c r="G43" i="7"/>
  <c r="F21" i="7"/>
  <c r="G21" i="7"/>
  <c r="H21" i="7"/>
  <c r="I21" i="7"/>
  <c r="E21" i="7"/>
  <c r="F34" i="7"/>
  <c r="F36" i="7" s="1"/>
  <c r="C15" i="7"/>
  <c r="D15" i="7"/>
  <c r="C51" i="7" s="1"/>
  <c r="E15" i="7"/>
  <c r="E51" i="7" s="1"/>
  <c r="F15" i="7"/>
  <c r="F51" i="7" s="1"/>
  <c r="G15" i="7"/>
  <c r="G51" i="7" s="1"/>
  <c r="I15" i="7"/>
  <c r="I51" i="7" s="1"/>
  <c r="D46" i="5"/>
  <c r="H46" i="5"/>
  <c r="E46" i="6"/>
  <c r="E46" i="7"/>
  <c r="G42" i="7"/>
  <c r="G46" i="7"/>
  <c r="F59" i="6"/>
  <c r="G59" i="6"/>
  <c r="F46" i="6"/>
  <c r="G43" i="6"/>
  <c r="F21" i="6"/>
  <c r="G21" i="6"/>
  <c r="H21" i="6"/>
  <c r="I21" i="6"/>
  <c r="E21" i="6"/>
  <c r="I20" i="6"/>
  <c r="G19" i="6"/>
  <c r="H19" i="6"/>
  <c r="I19" i="6"/>
  <c r="D15" i="6"/>
  <c r="E15" i="6"/>
  <c r="E51" i="6" s="1"/>
  <c r="F15" i="6"/>
  <c r="F51" i="6" s="1"/>
  <c r="G15" i="6"/>
  <c r="G51" i="6" s="1"/>
  <c r="H15" i="6"/>
  <c r="H51" i="6" s="1"/>
  <c r="I15" i="6"/>
  <c r="F59" i="5"/>
  <c r="G59" i="5"/>
  <c r="F46" i="5"/>
  <c r="G43" i="5"/>
  <c r="F21" i="5"/>
  <c r="G21" i="5"/>
  <c r="H21" i="5"/>
  <c r="I21" i="5"/>
  <c r="E21" i="5"/>
  <c r="I20" i="5"/>
  <c r="E19" i="5"/>
  <c r="B19" i="5" s="1"/>
  <c r="F34" i="5"/>
  <c r="F36" i="5" s="1"/>
  <c r="C15" i="5"/>
  <c r="D15" i="5"/>
  <c r="C51" i="5" s="1"/>
  <c r="E15" i="5"/>
  <c r="E51" i="5" s="1"/>
  <c r="F15" i="5"/>
  <c r="F51" i="5" s="1"/>
  <c r="G15" i="5"/>
  <c r="G51" i="5" s="1"/>
  <c r="H15" i="5"/>
  <c r="H51" i="5" s="1"/>
  <c r="I35" i="2"/>
  <c r="I36" i="2"/>
  <c r="B25" i="4"/>
  <c r="B25" i="3"/>
  <c r="F22" i="4"/>
  <c r="G22" i="4"/>
  <c r="H22" i="4"/>
  <c r="F22" i="1"/>
  <c r="G22" i="1"/>
  <c r="H22" i="1"/>
  <c r="F22" i="3"/>
  <c r="G22" i="3"/>
  <c r="H22" i="3"/>
  <c r="F59" i="2"/>
  <c r="G59" i="2"/>
  <c r="H52" i="2"/>
  <c r="H53" i="2" s="1"/>
  <c r="F52" i="2"/>
  <c r="F53" i="2" s="1"/>
  <c r="G52" i="2"/>
  <c r="F47" i="2"/>
  <c r="G47" i="2"/>
  <c r="H47" i="2"/>
  <c r="F46" i="2"/>
  <c r="G46" i="2"/>
  <c r="H46" i="2"/>
  <c r="G42" i="2"/>
  <c r="F35" i="2"/>
  <c r="F37" i="2"/>
  <c r="G35" i="2"/>
  <c r="H35" i="2"/>
  <c r="H60" i="2" s="1"/>
  <c r="F34" i="2"/>
  <c r="F36" i="2" s="1"/>
  <c r="G34" i="2"/>
  <c r="G36" i="2" s="1"/>
  <c r="F22" i="2"/>
  <c r="F56" i="2" s="1"/>
  <c r="G22" i="2"/>
  <c r="G56" i="2" s="1"/>
  <c r="H22" i="2"/>
  <c r="H56" i="2" s="1"/>
  <c r="B43" i="5"/>
  <c r="B43" i="2"/>
  <c r="F19" i="6"/>
  <c r="F18" i="6"/>
  <c r="F34" i="6" s="1"/>
  <c r="F36" i="6" s="1"/>
  <c r="E18" i="6"/>
  <c r="E34" i="6" s="1"/>
  <c r="E36" i="6" s="1"/>
  <c r="C21" i="5"/>
  <c r="E18" i="7"/>
  <c r="E22" i="4"/>
  <c r="C22" i="4"/>
  <c r="E22" i="1"/>
  <c r="C22" i="1"/>
  <c r="C22" i="3"/>
  <c r="E22" i="2"/>
  <c r="E56" i="2" s="1"/>
  <c r="E19" i="6"/>
  <c r="C36" i="2"/>
  <c r="C37" i="2"/>
  <c r="E59" i="7"/>
  <c r="E43" i="6"/>
  <c r="E59" i="6"/>
  <c r="E42" i="5"/>
  <c r="E43" i="5"/>
  <c r="E46" i="5"/>
  <c r="E59" i="5"/>
  <c r="E46" i="2"/>
  <c r="E47" i="2"/>
  <c r="E59" i="2"/>
  <c r="E34" i="2"/>
  <c r="E36" i="2" s="1"/>
  <c r="E35" i="2"/>
  <c r="E37" i="2" s="1"/>
  <c r="C59" i="7"/>
  <c r="C43" i="7"/>
  <c r="B26" i="7"/>
  <c r="B26" i="6"/>
  <c r="C59" i="5"/>
  <c r="C43" i="5"/>
  <c r="B26" i="5"/>
  <c r="C59" i="2"/>
  <c r="C53" i="2"/>
  <c r="B72" i="2"/>
  <c r="B59" i="2"/>
  <c r="C42" i="7"/>
  <c r="B59" i="5"/>
  <c r="B34" i="2"/>
  <c r="B36" i="2" s="1"/>
  <c r="E52" i="2"/>
  <c r="E53" i="2" s="1"/>
  <c r="B21" i="7" l="1"/>
  <c r="B25" i="7" s="1"/>
  <c r="B22" i="1"/>
  <c r="B21" i="5"/>
  <c r="B19" i="6"/>
  <c r="I52" i="5"/>
  <c r="I22" i="5"/>
  <c r="I56" i="5" s="1"/>
  <c r="I47" i="5"/>
  <c r="I48" i="5" s="1"/>
  <c r="C56" i="7"/>
  <c r="B22" i="2"/>
  <c r="B56" i="2" s="1"/>
  <c r="I35" i="7"/>
  <c r="I60" i="7" s="1"/>
  <c r="I47" i="7"/>
  <c r="I48" i="7" s="1"/>
  <c r="I52" i="7"/>
  <c r="I53" i="7" s="1"/>
  <c r="I22" i="7"/>
  <c r="I56" i="7" s="1"/>
  <c r="G48" i="2"/>
  <c r="I37" i="2"/>
  <c r="I61" i="2" s="1"/>
  <c r="I60" i="2"/>
  <c r="E34" i="7"/>
  <c r="E36" i="7" s="1"/>
  <c r="B18" i="7"/>
  <c r="B34" i="7" s="1"/>
  <c r="B36" i="7" s="1"/>
  <c r="I35" i="6"/>
  <c r="I37" i="6" s="1"/>
  <c r="I22" i="6"/>
  <c r="I53" i="5"/>
  <c r="I34" i="6"/>
  <c r="I36" i="6" s="1"/>
  <c r="B18" i="6"/>
  <c r="B34" i="6" s="1"/>
  <c r="B36" i="6" s="1"/>
  <c r="B21" i="6"/>
  <c r="E34" i="5"/>
  <c r="E36" i="5" s="1"/>
  <c r="B18" i="5"/>
  <c r="B34" i="5" s="1"/>
  <c r="B36" i="5" s="1"/>
  <c r="B22" i="4"/>
  <c r="F48" i="2"/>
  <c r="E48" i="2"/>
  <c r="H37" i="2"/>
  <c r="H61" i="2" s="1"/>
  <c r="E60" i="2"/>
  <c r="B52" i="2"/>
  <c r="B35" i="2"/>
  <c r="B37" i="2" s="1"/>
  <c r="B61" i="2" s="1"/>
  <c r="B47" i="2"/>
  <c r="B25" i="2"/>
  <c r="B71" i="2" s="1"/>
  <c r="E61" i="2"/>
  <c r="C61" i="2"/>
  <c r="G22" i="5"/>
  <c r="G56" i="5" s="1"/>
  <c r="F35" i="6"/>
  <c r="F37" i="6" s="1"/>
  <c r="F61" i="6" s="1"/>
  <c r="G47" i="5"/>
  <c r="C52" i="7"/>
  <c r="C53" i="7" s="1"/>
  <c r="F52" i="6"/>
  <c r="F53" i="6" s="1"/>
  <c r="C60" i="7"/>
  <c r="G60" i="6"/>
  <c r="C47" i="5"/>
  <c r="D48" i="5" s="1"/>
  <c r="H61" i="7"/>
  <c r="H47" i="5"/>
  <c r="H48" i="5" s="1"/>
  <c r="C42" i="5"/>
  <c r="H48" i="2"/>
  <c r="B25" i="1"/>
  <c r="I35" i="5"/>
  <c r="F46" i="7"/>
  <c r="E42" i="6"/>
  <c r="G37" i="2"/>
  <c r="G61" i="2" s="1"/>
  <c r="G60" i="2"/>
  <c r="C47" i="6"/>
  <c r="C22" i="6"/>
  <c r="C35" i="6"/>
  <c r="C52" i="6"/>
  <c r="G42" i="5"/>
  <c r="G46" i="5"/>
  <c r="G22" i="7"/>
  <c r="G56" i="7" s="1"/>
  <c r="G52" i="7"/>
  <c r="G53" i="7" s="1"/>
  <c r="G35" i="7"/>
  <c r="G47" i="7"/>
  <c r="G48" i="7" s="1"/>
  <c r="F61" i="2"/>
  <c r="C34" i="5"/>
  <c r="C36" i="5" s="1"/>
  <c r="H52" i="6"/>
  <c r="H53" i="6" s="1"/>
  <c r="H35" i="6"/>
  <c r="H37" i="6" s="1"/>
  <c r="G35" i="5"/>
  <c r="G37" i="5" s="1"/>
  <c r="G52" i="5"/>
  <c r="G53" i="5" s="1"/>
  <c r="F22" i="7"/>
  <c r="F56" i="7" s="1"/>
  <c r="F52" i="7"/>
  <c r="F53" i="7" s="1"/>
  <c r="F35" i="7"/>
  <c r="F60" i="2"/>
  <c r="H60" i="7"/>
  <c r="G42" i="6"/>
  <c r="G46" i="6"/>
  <c r="F47" i="7"/>
  <c r="G47" i="6"/>
  <c r="G53" i="2"/>
  <c r="H47" i="6"/>
  <c r="H52" i="7"/>
  <c r="H53" i="7" s="1"/>
  <c r="F22" i="6"/>
  <c r="F56" i="6" s="1"/>
  <c r="H22" i="7"/>
  <c r="H56" i="7" s="1"/>
  <c r="C60" i="2"/>
  <c r="C42" i="6"/>
  <c r="D46" i="6"/>
  <c r="F52" i="5"/>
  <c r="F53" i="5" s="1"/>
  <c r="C47" i="7"/>
  <c r="D48" i="7" s="1"/>
  <c r="C66" i="7" s="1"/>
  <c r="G36" i="5"/>
  <c r="H36" i="6"/>
  <c r="C35" i="5"/>
  <c r="E42" i="7"/>
  <c r="F47" i="6"/>
  <c r="F48" i="6" s="1"/>
  <c r="G37" i="6"/>
  <c r="G61" i="6" s="1"/>
  <c r="H52" i="5"/>
  <c r="H53" i="5" s="1"/>
  <c r="H35" i="5"/>
  <c r="F35" i="5"/>
  <c r="H46" i="6"/>
  <c r="G22" i="6"/>
  <c r="G56" i="6" s="1"/>
  <c r="H22" i="5"/>
  <c r="H56" i="5" s="1"/>
  <c r="F22" i="5"/>
  <c r="F56" i="5" s="1"/>
  <c r="C22" i="5"/>
  <c r="G52" i="6"/>
  <c r="G53" i="6" s="1"/>
  <c r="F47" i="5"/>
  <c r="F48" i="5" s="1"/>
  <c r="H47" i="7"/>
  <c r="H48" i="7" s="1"/>
  <c r="C52" i="5"/>
  <c r="C53" i="5" s="1"/>
  <c r="B59" i="7"/>
  <c r="B43" i="7"/>
  <c r="B59" i="6"/>
  <c r="B43" i="6"/>
  <c r="I37" i="7" l="1"/>
  <c r="I61" i="7" s="1"/>
  <c r="C56" i="6"/>
  <c r="I37" i="5"/>
  <c r="I61" i="5" s="1"/>
  <c r="I60" i="5"/>
  <c r="H48" i="6"/>
  <c r="B25" i="5"/>
  <c r="B71" i="5" s="1"/>
  <c r="B25" i="6"/>
  <c r="B71" i="6" s="1"/>
  <c r="B71" i="7"/>
  <c r="B60" i="2"/>
  <c r="F60" i="6"/>
  <c r="G48" i="5"/>
  <c r="C61" i="7"/>
  <c r="H61" i="6"/>
  <c r="C60" i="6"/>
  <c r="C37" i="6"/>
  <c r="C61" i="6" s="1"/>
  <c r="H60" i="6"/>
  <c r="G48" i="6"/>
  <c r="G61" i="5"/>
  <c r="D48" i="6"/>
  <c r="G60" i="7"/>
  <c r="G37" i="7"/>
  <c r="G61" i="7" s="1"/>
  <c r="G60" i="5"/>
  <c r="F60" i="7"/>
  <c r="F37" i="7"/>
  <c r="F61" i="7" s="1"/>
  <c r="F37" i="5"/>
  <c r="F61" i="5" s="1"/>
  <c r="F60" i="5"/>
  <c r="C37" i="5"/>
  <c r="C61" i="5" s="1"/>
  <c r="C60" i="5"/>
  <c r="C56" i="5"/>
  <c r="H37" i="5"/>
  <c r="H61" i="5" s="1"/>
  <c r="H60" i="5"/>
  <c r="E22" i="3" l="1"/>
  <c r="B22" i="3" s="1"/>
  <c r="E20" i="5"/>
  <c r="E47" i="5" s="1"/>
  <c r="E48" i="5" s="1"/>
  <c r="E20" i="6"/>
  <c r="E52" i="6" s="1"/>
  <c r="E53" i="6" s="1"/>
  <c r="E20" i="7"/>
  <c r="B20" i="7" l="1"/>
  <c r="E35" i="5"/>
  <c r="B20" i="5"/>
  <c r="E35" i="6"/>
  <c r="E37" i="6" s="1"/>
  <c r="E61" i="6" s="1"/>
  <c r="B20" i="6"/>
  <c r="E47" i="7"/>
  <c r="E48" i="7" s="1"/>
  <c r="E52" i="7"/>
  <c r="E53" i="7" s="1"/>
  <c r="E22" i="7"/>
  <c r="E22" i="5"/>
  <c r="E37" i="5"/>
  <c r="E61" i="5" s="1"/>
  <c r="E60" i="5"/>
  <c r="E35" i="7"/>
  <c r="E52" i="5"/>
  <c r="E53" i="5" s="1"/>
  <c r="E22" i="6"/>
  <c r="E47" i="6"/>
  <c r="E48" i="6" s="1"/>
  <c r="E60" i="6" l="1"/>
  <c r="B52" i="6"/>
  <c r="B35" i="6"/>
  <c r="B47" i="6"/>
  <c r="B72" i="6"/>
  <c r="E56" i="6"/>
  <c r="B22" i="6"/>
  <c r="B56" i="6" s="1"/>
  <c r="E56" i="7"/>
  <c r="B22" i="7"/>
  <c r="B56" i="7" s="1"/>
  <c r="B35" i="7"/>
  <c r="B52" i="7"/>
  <c r="B72" i="7"/>
  <c r="B47" i="7"/>
  <c r="B72" i="5"/>
  <c r="B35" i="5"/>
  <c r="B52" i="5"/>
  <c r="B47" i="5"/>
  <c r="E56" i="5"/>
  <c r="B22" i="5"/>
  <c r="B56" i="5" s="1"/>
  <c r="E60" i="7"/>
  <c r="E37" i="7"/>
  <c r="E61" i="7" s="1"/>
  <c r="B37" i="5" l="1"/>
  <c r="B61" i="5" s="1"/>
  <c r="B60" i="5"/>
  <c r="B60" i="6"/>
  <c r="B37" i="6"/>
  <c r="B61" i="6" s="1"/>
  <c r="B37" i="7"/>
  <c r="B61" i="7" s="1"/>
  <c r="B60" i="7"/>
</calcChain>
</file>

<file path=xl/sharedStrings.xml><?xml version="1.0" encoding="utf-8"?>
<sst xmlns="http://schemas.openxmlformats.org/spreadsheetml/2006/main" count="901" uniqueCount="148">
  <si>
    <t>Indicador</t>
  </si>
  <si>
    <t>Avancemos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</si>
  <si>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</si>
  <si>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</si>
  <si>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</si>
  <si>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</si>
  <si>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</si>
  <si>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</si>
  <si>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</si>
  <si>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</si>
  <si>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</si>
  <si>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</si>
  <si>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</si>
  <si>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</si>
  <si>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</si>
  <si>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</si>
  <si>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</si>
  <si>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</si>
  <si>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</si>
  <si>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</si>
  <si>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</si>
  <si>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</si>
  <si>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</si>
  <si>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</si>
  <si>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</si>
  <si>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</si>
  <si>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</si>
  <si>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</si>
  <si>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</si>
  <si>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</si>
  <si>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</si>
  <si>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>De Composición</t>
  </si>
  <si>
    <t xml:space="preserve">Gasto trimestral programado por beneficiario (GPB) </t>
  </si>
  <si>
    <t xml:space="preserve">Gasto trimestral efectivo por beneficiario (GEB) </t>
  </si>
  <si>
    <t xml:space="preserve">Gasto mensual programado por beneficiario (GPB) </t>
  </si>
  <si>
    <t xml:space="preserve">Gasto mensual efectivo por beneficiario (GEB) </t>
  </si>
  <si>
    <t xml:space="preserve">Gasto semestral programado por beneficiario (GPB) </t>
  </si>
  <si>
    <t xml:space="preserve">Gasto semestral efectivo por beneficiario (GEB) </t>
  </si>
  <si>
    <t xml:space="preserve">Gasto acumulado programado por beneficiario (GPB) </t>
  </si>
  <si>
    <t xml:space="preserve">Gasto acumulado efectivo por beneficiario (GEB) </t>
  </si>
  <si>
    <t xml:space="preserve">Gasto anual programado por beneficiario (GPB) </t>
  </si>
  <si>
    <t xml:space="preserve">Gasto anual efectivo por beneficiario (GEB) </t>
  </si>
  <si>
    <t>Beneficiarios (familias)</t>
  </si>
  <si>
    <t>Familias</t>
  </si>
  <si>
    <t>Estudiantes</t>
  </si>
  <si>
    <t>Notas:</t>
  </si>
  <si>
    <t>Población objetivo:</t>
  </si>
  <si>
    <t>Avancemos: estudiantes de secundaria pública en situación de pobreza</t>
  </si>
  <si>
    <t>Resto del programa: hogares en situación de pobreza</t>
  </si>
  <si>
    <t>Asignación Familiar</t>
  </si>
  <si>
    <t>Prestación Alimentaria</t>
  </si>
  <si>
    <t>Seguridad Alimentaria</t>
  </si>
  <si>
    <t xml:space="preserve">                                 </t>
  </si>
  <si>
    <t>n.d.</t>
  </si>
  <si>
    <t>La población objetivo de avancemos son estudiantes</t>
  </si>
  <si>
    <t>n.d</t>
  </si>
  <si>
    <t>Alternativas de Cuido</t>
  </si>
  <si>
    <t>Niños/Niñas</t>
  </si>
  <si>
    <t xml:space="preserve">En todos los indicadores correspondientes a AVANCEMOS se utilizará la información de estudiantes y no de familias. </t>
  </si>
  <si>
    <t>Programa de Promoción y Protección Social</t>
  </si>
  <si>
    <t xml:space="preserve">Protección Familiar </t>
  </si>
  <si>
    <t xml:space="preserve">Fideicomiso e Intereses Avancemos </t>
  </si>
  <si>
    <t>Efectivos 1T 2017</t>
  </si>
  <si>
    <t>Programados 1T 2018</t>
  </si>
  <si>
    <t>Efectivos 1T 2018</t>
  </si>
  <si>
    <t>Programados año 2018</t>
  </si>
  <si>
    <t xml:space="preserve">    Subsidios </t>
  </si>
  <si>
    <t xml:space="preserve">n.d. </t>
  </si>
  <si>
    <t>Indicadores aplicados a IMAS. Primer Trimestre 2018</t>
  </si>
  <si>
    <t>Indicadores aplicados a IMAS. Segundo Trimestre 2018</t>
  </si>
  <si>
    <t>Efectivos 2T 2017</t>
  </si>
  <si>
    <t>Programados 2T 2018</t>
  </si>
  <si>
    <t>Efectivos 2T 2018</t>
  </si>
  <si>
    <t>Indicadores aplicados a IMAS. Tercer Trimestre 2018</t>
  </si>
  <si>
    <t>Efectivos 3T 2017</t>
  </si>
  <si>
    <t>Programados 3T 2018</t>
  </si>
  <si>
    <t>Efectivos 3T 2018</t>
  </si>
  <si>
    <t>En transferencias 3T 2018</t>
  </si>
  <si>
    <t>IPC (3T 2017)</t>
  </si>
  <si>
    <t>IPC (3T 2018)</t>
  </si>
  <si>
    <t>En transferencias 2T 2018</t>
  </si>
  <si>
    <t>IPC (2T 2017)</t>
  </si>
  <si>
    <t>IPC (2T 2018)</t>
  </si>
  <si>
    <t>En transferencias 1T 2018</t>
  </si>
  <si>
    <t>IPC (1T 2017)</t>
  </si>
  <si>
    <t>IPC (1T 2018)</t>
  </si>
  <si>
    <t>Indicadores aplicados a IMAS. Cuarto Trimestre 2018</t>
  </si>
  <si>
    <t>Efectivos 4T 2017</t>
  </si>
  <si>
    <t>Programados 4T 2018</t>
  </si>
  <si>
    <t>Efectivos 4T 2018</t>
  </si>
  <si>
    <t>En transferencias 4T 2018</t>
  </si>
  <si>
    <t>IPC (4T 2017)</t>
  </si>
  <si>
    <t>IPC (4T 2018)</t>
  </si>
  <si>
    <t xml:space="preserve">Familias </t>
  </si>
  <si>
    <t>Indicadores aplicados a IMAS. Primer Semestre 2018</t>
  </si>
  <si>
    <t>Efectivos 1S 2017</t>
  </si>
  <si>
    <t>Programados 1S 2018</t>
  </si>
  <si>
    <t>Efectivos 1S 2018</t>
  </si>
  <si>
    <t>En transferencias 1S 2018</t>
  </si>
  <si>
    <t>IPC (1S 2017)</t>
  </si>
  <si>
    <t>IPC (1S 2018)</t>
  </si>
  <si>
    <t>Indicadores aplicados a IMAS. Tercer Trimestre Acumulado 2018</t>
  </si>
  <si>
    <t>Efectivos 3TA 2017</t>
  </si>
  <si>
    <t>Programados 3TA 2018</t>
  </si>
  <si>
    <t>Efectivos 3TA 2018</t>
  </si>
  <si>
    <t>En transferencias 3TA 2018</t>
  </si>
  <si>
    <t>IPC (3TA 2017)</t>
  </si>
  <si>
    <t>IPC (3TA 2018)</t>
  </si>
  <si>
    <t>Gasto efectivo real 3TA 2017</t>
  </si>
  <si>
    <t>Gasto efectivo real 3TA 2018</t>
  </si>
  <si>
    <t>Gasto efectivo real por beneficiario 3TA 2017</t>
  </si>
  <si>
    <t>Gasto efectivo real por beneficiario 3TA 2018</t>
  </si>
  <si>
    <t>Indicadores aplicados a IMAS. Anual 2018</t>
  </si>
  <si>
    <t>Efectivos  2017</t>
  </si>
  <si>
    <t>Programados  2018</t>
  </si>
  <si>
    <t>Efectivos  2018</t>
  </si>
  <si>
    <t>En transferencias  2018</t>
  </si>
  <si>
    <t>IPC ( 2017)</t>
  </si>
  <si>
    <t>IPC ( 2018)</t>
  </si>
  <si>
    <t>Informes Trimestrales 2017 y 2018, IMAS</t>
  </si>
  <si>
    <t>La Unidad Ejecutora no presenta la programación a nivel trimestral y anual para el programa de Bienestar y Promoción Familiar, por esto, no se podrá estimar algunos indicadores para el programa global.</t>
  </si>
  <si>
    <t>Para estimar los indicadores de gasto medio del programa, se toma el total de subsidios que se programa y entregan a la familias (beneficiario)</t>
  </si>
  <si>
    <t>En el año 2017 se cambió el nombre del producto atención a familias por  protección familiar.</t>
  </si>
  <si>
    <t>Fecha de actualización: 15/03/2019</t>
  </si>
  <si>
    <t>Gasto efectivo real 1T 2017</t>
  </si>
  <si>
    <t>Gasto efectivo real 1T 2018</t>
  </si>
  <si>
    <t>Gasto efectivo real por beneficiario 1T 2017</t>
  </si>
  <si>
    <t>Gasto efectivo real por beneficiario 1T 2018</t>
  </si>
  <si>
    <t>Gasto efectivo real 2T 2017</t>
  </si>
  <si>
    <t>Gasto efectivo real 2T 2018</t>
  </si>
  <si>
    <t>Gasto efectivo real por beneficiario 2T 2017</t>
  </si>
  <si>
    <t>Gasto efectivo real por beneficiario 2T 2018</t>
  </si>
  <si>
    <t>Gasto efectivo real 3T 2017</t>
  </si>
  <si>
    <t>Gasto efectivo real 3T 2018</t>
  </si>
  <si>
    <t>Gasto efectivo real por beneficiario 3T 2017</t>
  </si>
  <si>
    <t>Gasto efectivo real por beneficiario 3T 2018</t>
  </si>
  <si>
    <t>Gasto efectivo real 4T 2017</t>
  </si>
  <si>
    <t>Gasto efectivo real 4T 2018</t>
  </si>
  <si>
    <t>Gasto efectivo real por beneficiario 4T 2017</t>
  </si>
  <si>
    <t>Gasto efectivo real por beneficiario 4T 2018</t>
  </si>
  <si>
    <t>Gasto efectivo real 1S 2017</t>
  </si>
  <si>
    <t>Gasto efectivo real 1S 2018</t>
  </si>
  <si>
    <t>Gasto efectivo real por beneficiario 1S 2017</t>
  </si>
  <si>
    <t>Gasto efectivo real por beneficiario 1S 2018</t>
  </si>
  <si>
    <t>Gasto efectivo real  2017</t>
  </si>
  <si>
    <t>Gasto efectivo real  2018</t>
  </si>
  <si>
    <t>Gasto efectivo real por beneficiario  2017</t>
  </si>
  <si>
    <t>Gasto efectivo real por beneficiario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</si>
</sst>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.00_);_(* \(#,##0.00\);_(* &quot;-&quot;??_);_(@_)"/>
    <numFmt numFmtId="165" formatCode="_(* #,##0_);_(* \(#,##0\);_(* &quot;-&quot;??_);_(@_)"/>
    <numFmt numFmtId="166" formatCode="#,##0.0____"/>
    <numFmt numFmtId="167" formatCode="#,##0.0"/>
    <numFmt numFmtId="168" formatCode="#,##0____"/>
    <numFmt numFmtId="169" formatCode="0.0"/>
    <numFmt numFmtId="170" formatCode="_(* #,##0.0000_);_(* \(#,##0.0000\);_(* &quot;-&quot;??_);_(@_)"/>
    <numFmt numFmtId="171" formatCode="#,##0.0000;\-#,##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75">
    <xf numFmtId="0" fontId="0" fillId="0" borderId="0" xfId="0"/>
    <xf numFmtId="0" fontId="2" fillId="0" borderId="0" xfId="0" applyFont="1"/>
    <xf numFmtId="165" fontId="0" fillId="0" borderId="0" xfId="1" applyNumberFormat="1" applyFont="1"/>
    <xf numFmtId="164" fontId="0" fillId="0" borderId="0" xfId="1" applyFo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indent="1"/>
    </xf>
    <xf numFmtId="0" fontId="0" fillId="0" borderId="0" xfId="0" applyFill="1"/>
    <xf numFmtId="0" fontId="2" fillId="0" borderId="0" xfId="0" applyFont="1" applyFill="1"/>
    <xf numFmtId="167" fontId="0" fillId="0" borderId="0" xfId="0" applyNumberFormat="1"/>
    <xf numFmtId="165" fontId="0" fillId="0" borderId="2" xfId="1" applyNumberFormat="1" applyFont="1" applyBorder="1" applyAlignment="1"/>
    <xf numFmtId="165" fontId="2" fillId="0" borderId="0" xfId="1" applyNumberFormat="1" applyFont="1"/>
    <xf numFmtId="165" fontId="4" fillId="0" borderId="0" xfId="1" applyNumberFormat="1" applyFont="1"/>
    <xf numFmtId="165" fontId="0" fillId="0" borderId="0" xfId="1" applyNumberFormat="1" applyFont="1" applyFill="1" applyAlignment="1">
      <alignment horizontal="left" indent="1"/>
    </xf>
    <xf numFmtId="165" fontId="0" fillId="0" borderId="0" xfId="1" applyNumberFormat="1" applyFont="1" applyFill="1"/>
    <xf numFmtId="165" fontId="0" fillId="0" borderId="0" xfId="1" applyNumberFormat="1" applyFont="1" applyFill="1" applyAlignment="1">
      <alignment horizontal="left"/>
    </xf>
    <xf numFmtId="165" fontId="0" fillId="0" borderId="0" xfId="1" applyNumberFormat="1" applyFont="1" applyAlignment="1">
      <alignment horizontal="left" indent="3"/>
    </xf>
    <xf numFmtId="165" fontId="0" fillId="0" borderId="0" xfId="1" applyNumberFormat="1" applyFont="1" applyAlignment="1">
      <alignment wrapText="1"/>
    </xf>
    <xf numFmtId="165" fontId="0" fillId="0" borderId="3" xfId="1" applyNumberFormat="1" applyFont="1" applyBorder="1" applyAlignment="1">
      <alignment horizontal="center" vertical="center" wrapText="1"/>
    </xf>
    <xf numFmtId="165" fontId="0" fillId="0" borderId="4" xfId="1" applyNumberFormat="1" applyFont="1" applyBorder="1" applyAlignment="1">
      <alignment horizontal="center" vertical="center" wrapText="1"/>
    </xf>
    <xf numFmtId="165" fontId="0" fillId="0" borderId="2" xfId="1" applyNumberFormat="1" applyFont="1" applyBorder="1"/>
    <xf numFmtId="165" fontId="4" fillId="0" borderId="0" xfId="1" applyNumberFormat="1" applyFont="1" applyFill="1" applyBorder="1"/>
    <xf numFmtId="165" fontId="5" fillId="0" borderId="0" xfId="1" applyNumberFormat="1" applyFont="1"/>
    <xf numFmtId="165" fontId="5" fillId="0" borderId="0" xfId="1" applyNumberFormat="1" applyFont="1" applyFill="1" applyBorder="1"/>
    <xf numFmtId="165" fontId="0" fillId="0" borderId="3" xfId="1" applyNumberFormat="1" applyFont="1" applyBorder="1" applyAlignment="1">
      <alignment horizontal="center" vertical="center" wrapText="1"/>
    </xf>
    <xf numFmtId="165" fontId="5" fillId="0" borderId="0" xfId="4" applyNumberFormat="1" applyFont="1" applyFill="1" applyBorder="1"/>
    <xf numFmtId="165" fontId="0" fillId="0" borderId="2" xfId="1" applyNumberFormat="1" applyFont="1" applyFill="1" applyBorder="1" applyAlignment="1"/>
    <xf numFmtId="165" fontId="0" fillId="0" borderId="2" xfId="1" applyNumberFormat="1" applyFont="1" applyFill="1" applyBorder="1"/>
    <xf numFmtId="165" fontId="0" fillId="0" borderId="3" xfId="1" applyNumberFormat="1" applyFont="1" applyFill="1" applyBorder="1" applyAlignment="1">
      <alignment horizontal="center" vertical="center" wrapText="1"/>
    </xf>
    <xf numFmtId="165" fontId="0" fillId="0" borderId="4" xfId="1" applyNumberFormat="1" applyFont="1" applyFill="1" applyBorder="1" applyAlignment="1">
      <alignment horizontal="center" vertical="center" wrapText="1"/>
    </xf>
    <xf numFmtId="165" fontId="0" fillId="0" borderId="0" xfId="1" applyNumberFormat="1" applyFont="1" applyAlignment="1">
      <alignment horizontal="center" vertical="center"/>
    </xf>
    <xf numFmtId="165" fontId="0" fillId="0" borderId="0" xfId="1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164" fontId="0" fillId="0" borderId="0" xfId="1" applyFont="1" applyFill="1" applyAlignment="1">
      <alignment horizontal="center" vertical="center"/>
    </xf>
    <xf numFmtId="165" fontId="5" fillId="0" borderId="0" xfId="1" applyNumberFormat="1" applyFont="1" applyFill="1" applyAlignment="1">
      <alignment horizontal="center" vertical="center"/>
    </xf>
    <xf numFmtId="165" fontId="1" fillId="0" borderId="0" xfId="1" applyNumberFormat="1" applyFont="1" applyFill="1" applyAlignment="1">
      <alignment horizontal="center" vertical="center"/>
    </xf>
    <xf numFmtId="37" fontId="0" fillId="0" borderId="0" xfId="1" applyNumberFormat="1" applyFont="1" applyFill="1" applyAlignment="1">
      <alignment horizontal="center" vertical="center"/>
    </xf>
    <xf numFmtId="165" fontId="4" fillId="0" borderId="0" xfId="1" applyNumberFormat="1" applyFont="1" applyFill="1" applyAlignment="1">
      <alignment horizontal="center" vertical="center"/>
    </xf>
    <xf numFmtId="170" fontId="0" fillId="0" borderId="0" xfId="1" applyNumberFormat="1" applyFont="1" applyFill="1" applyAlignment="1">
      <alignment horizontal="center" vertical="center"/>
    </xf>
    <xf numFmtId="165" fontId="0" fillId="0" borderId="3" xfId="1" applyNumberFormat="1" applyFont="1" applyBorder="1" applyAlignment="1">
      <alignment horizontal="center" vertical="center" wrapText="1"/>
    </xf>
    <xf numFmtId="165" fontId="0" fillId="0" borderId="0" xfId="1" applyNumberFormat="1" applyFont="1" applyFill="1" applyAlignment="1">
      <alignment horizontal="center" vertical="center"/>
    </xf>
    <xf numFmtId="3" fontId="0" fillId="0" borderId="0" xfId="1" applyNumberFormat="1" applyFont="1" applyFill="1" applyAlignment="1">
      <alignment horizontal="center"/>
    </xf>
    <xf numFmtId="165" fontId="2" fillId="0" borderId="0" xfId="1" applyNumberFormat="1" applyFont="1" applyFill="1"/>
    <xf numFmtId="165" fontId="0" fillId="0" borderId="3" xfId="1" applyNumberFormat="1" applyFont="1" applyFill="1" applyBorder="1"/>
    <xf numFmtId="0" fontId="0" fillId="0" borderId="3" xfId="0" applyFill="1" applyBorder="1"/>
    <xf numFmtId="165" fontId="1" fillId="0" borderId="0" xfId="1" applyNumberFormat="1" applyFont="1"/>
    <xf numFmtId="165" fontId="1" fillId="0" borderId="2" xfId="1" applyNumberFormat="1" applyFont="1" applyBorder="1" applyAlignment="1"/>
    <xf numFmtId="165" fontId="1" fillId="0" borderId="2" xfId="1" applyNumberFormat="1" applyFont="1" applyBorder="1"/>
    <xf numFmtId="165" fontId="1" fillId="0" borderId="3" xfId="1" applyNumberFormat="1" applyFont="1" applyBorder="1" applyAlignment="1">
      <alignment horizontal="center" vertical="center" wrapText="1"/>
    </xf>
    <xf numFmtId="165" fontId="1" fillId="0" borderId="4" xfId="1" applyNumberFormat="1" applyFont="1" applyBorder="1" applyAlignment="1">
      <alignment horizontal="center" vertical="center" wrapText="1"/>
    </xf>
    <xf numFmtId="165" fontId="1" fillId="0" borderId="0" xfId="1" applyNumberFormat="1" applyFont="1" applyAlignment="1">
      <alignment horizontal="center" vertical="center"/>
    </xf>
    <xf numFmtId="165" fontId="1" fillId="0" borderId="0" xfId="1" applyNumberFormat="1" applyFont="1" applyFill="1" applyAlignment="1">
      <alignment horizontal="left" indent="1"/>
    </xf>
    <xf numFmtId="37" fontId="1" fillId="0" borderId="0" xfId="1" applyNumberFormat="1" applyFont="1" applyFill="1" applyAlignment="1">
      <alignment horizontal="center" vertical="center"/>
    </xf>
    <xf numFmtId="165" fontId="1" fillId="0" borderId="0" xfId="1" applyNumberFormat="1" applyFont="1" applyFill="1"/>
    <xf numFmtId="165" fontId="1" fillId="0" borderId="0" xfId="1" applyNumberFormat="1" applyFont="1" applyFill="1" applyAlignment="1">
      <alignment horizontal="left"/>
    </xf>
    <xf numFmtId="3" fontId="1" fillId="0" borderId="0" xfId="1" applyNumberFormat="1" applyFont="1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166" fontId="1" fillId="0" borderId="0" xfId="0" applyNumberFormat="1" applyFont="1" applyFill="1" applyAlignment="1">
      <alignment horizontal="right"/>
    </xf>
    <xf numFmtId="165" fontId="1" fillId="0" borderId="3" xfId="1" applyNumberFormat="1" applyFont="1" applyFill="1" applyBorder="1"/>
    <xf numFmtId="165" fontId="1" fillId="0" borderId="0" xfId="4" applyNumberFormat="1" applyFont="1" applyFill="1" applyBorder="1"/>
    <xf numFmtId="165" fontId="1" fillId="0" borderId="0" xfId="1" applyNumberFormat="1" applyFont="1" applyFill="1" applyBorder="1"/>
    <xf numFmtId="165" fontId="1" fillId="0" borderId="0" xfId="1" applyNumberFormat="1" applyFont="1" applyAlignment="1">
      <alignment horizontal="left" indent="3"/>
    </xf>
    <xf numFmtId="165" fontId="1" fillId="0" borderId="5" xfId="1" applyNumberFormat="1" applyFont="1" applyFill="1" applyBorder="1"/>
    <xf numFmtId="0" fontId="0" fillId="0" borderId="0" xfId="0" applyFont="1"/>
    <xf numFmtId="0" fontId="0" fillId="0" borderId="2" xfId="0" applyFont="1" applyBorder="1"/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left" indent="1"/>
    </xf>
    <xf numFmtId="3" fontId="0" fillId="0" borderId="0" xfId="0" applyNumberFormat="1" applyFont="1" applyFill="1" applyAlignment="1">
      <alignment horizontal="center"/>
    </xf>
    <xf numFmtId="0" fontId="0" fillId="0" borderId="0" xfId="0" applyFont="1" applyFill="1"/>
    <xf numFmtId="37" fontId="0" fillId="0" borderId="0" xfId="1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167" fontId="0" fillId="0" borderId="0" xfId="0" applyNumberFormat="1" applyFont="1" applyFill="1"/>
    <xf numFmtId="0" fontId="0" fillId="0" borderId="3" xfId="0" applyFont="1" applyFill="1" applyBorder="1"/>
    <xf numFmtId="165" fontId="0" fillId="0" borderId="0" xfId="1" applyNumberFormat="1" applyFont="1" applyFill="1" applyBorder="1"/>
    <xf numFmtId="167" fontId="0" fillId="0" borderId="0" xfId="0" applyNumberFormat="1" applyFont="1"/>
    <xf numFmtId="165" fontId="0" fillId="0" borderId="0" xfId="4" applyNumberFormat="1" applyFont="1" applyFill="1" applyBorder="1"/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vertical="center"/>
    </xf>
    <xf numFmtId="3" fontId="0" fillId="0" borderId="0" xfId="0" applyNumberFormat="1" applyFont="1" applyFill="1" applyAlignment="1">
      <alignment horizontal="center" vertical="center"/>
    </xf>
    <xf numFmtId="165" fontId="0" fillId="0" borderId="0" xfId="1" applyNumberFormat="1" applyFont="1" applyFill="1" applyAlignment="1">
      <alignment horizontal="center" vertical="center"/>
    </xf>
    <xf numFmtId="170" fontId="1" fillId="0" borderId="0" xfId="1" applyNumberFormat="1" applyFont="1" applyFill="1" applyAlignment="1">
      <alignment horizontal="center" vertical="center"/>
    </xf>
    <xf numFmtId="165" fontId="1" fillId="0" borderId="3" xfId="1" applyNumberFormat="1" applyFont="1" applyFill="1" applyBorder="1" applyAlignment="1">
      <alignment horizontal="right"/>
    </xf>
    <xf numFmtId="170" fontId="0" fillId="0" borderId="0" xfId="1" applyNumberFormat="1" applyFont="1" applyFill="1" applyAlignment="1">
      <alignment horizontal="right" vertical="center"/>
    </xf>
    <xf numFmtId="165" fontId="0" fillId="0" borderId="0" xfId="1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Alignment="1">
      <alignment horizontal="right" vertical="center"/>
    </xf>
    <xf numFmtId="3" fontId="0" fillId="0" borderId="0" xfId="0" applyNumberFormat="1" applyFont="1" applyFill="1" applyAlignment="1">
      <alignment horizontal="right" vertical="center"/>
    </xf>
    <xf numFmtId="168" fontId="0" fillId="0" borderId="0" xfId="0" applyNumberFormat="1" applyFont="1" applyFill="1" applyAlignment="1">
      <alignment horizontal="right" vertical="center"/>
    </xf>
    <xf numFmtId="0" fontId="0" fillId="0" borderId="3" xfId="0" applyFont="1" applyFill="1" applyBorder="1" applyAlignment="1">
      <alignment horizontal="right" vertical="center"/>
    </xf>
    <xf numFmtId="3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165" fontId="5" fillId="0" borderId="0" xfId="1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166" fontId="5" fillId="0" borderId="0" xfId="0" applyNumberFormat="1" applyFont="1" applyFill="1" applyAlignment="1">
      <alignment horizontal="right" vertical="center"/>
    </xf>
    <xf numFmtId="168" fontId="0" fillId="0" borderId="0" xfId="0" applyNumberFormat="1" applyFill="1" applyAlignment="1">
      <alignment horizontal="right" vertical="center"/>
    </xf>
    <xf numFmtId="0" fontId="0" fillId="0" borderId="3" xfId="0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65" fontId="4" fillId="0" borderId="0" xfId="1" applyNumberFormat="1" applyFont="1" applyFill="1" applyAlignment="1">
      <alignment horizontal="right" vertical="center"/>
    </xf>
    <xf numFmtId="165" fontId="0" fillId="0" borderId="3" xfId="1" applyNumberFormat="1" applyFont="1" applyFill="1" applyBorder="1" applyAlignment="1">
      <alignment horizontal="right" vertical="center"/>
    </xf>
    <xf numFmtId="165" fontId="4" fillId="0" borderId="3" xfId="1" applyNumberFormat="1" applyFont="1" applyFill="1" applyBorder="1" applyAlignment="1">
      <alignment horizontal="right" vertical="center"/>
    </xf>
    <xf numFmtId="165" fontId="0" fillId="0" borderId="0" xfId="1" applyNumberFormat="1" applyFont="1" applyFill="1" applyAlignment="1">
      <alignment horizontal="right" vertical="center"/>
    </xf>
    <xf numFmtId="167" fontId="0" fillId="0" borderId="0" xfId="1" applyNumberFormat="1" applyFont="1" applyFill="1" applyAlignment="1">
      <alignment horizontal="right" vertical="center"/>
    </xf>
    <xf numFmtId="171" fontId="0" fillId="0" borderId="0" xfId="1" applyNumberFormat="1" applyFont="1" applyFill="1" applyAlignment="1">
      <alignment horizontal="right" vertical="center"/>
    </xf>
    <xf numFmtId="165" fontId="1" fillId="0" borderId="0" xfId="1" applyNumberFormat="1" applyFont="1" applyFill="1" applyAlignment="1">
      <alignment horizontal="right" vertical="center"/>
    </xf>
    <xf numFmtId="165" fontId="0" fillId="0" borderId="0" xfId="1" applyNumberFormat="1" applyFont="1" applyFill="1" applyAlignment="1">
      <alignment horizontal="right"/>
    </xf>
    <xf numFmtId="165" fontId="0" fillId="0" borderId="0" xfId="1" applyNumberFormat="1" applyFont="1" applyAlignment="1">
      <alignment horizontal="right"/>
    </xf>
    <xf numFmtId="166" fontId="5" fillId="0" borderId="0" xfId="0" applyNumberFormat="1" applyFont="1" applyFill="1" applyAlignment="1">
      <alignment horizontal="right"/>
    </xf>
    <xf numFmtId="167" fontId="1" fillId="0" borderId="0" xfId="1" applyNumberFormat="1" applyFont="1" applyFill="1" applyAlignment="1">
      <alignment horizontal="right"/>
    </xf>
    <xf numFmtId="165" fontId="1" fillId="0" borderId="0" xfId="1" applyNumberFormat="1" applyFont="1" applyFill="1" applyAlignment="1">
      <alignment horizontal="right"/>
    </xf>
    <xf numFmtId="167" fontId="0" fillId="0" borderId="0" xfId="0" applyNumberFormat="1" applyFont="1" applyFill="1" applyAlignment="1">
      <alignment horizontal="right" vertical="center"/>
    </xf>
    <xf numFmtId="166" fontId="0" fillId="0" borderId="0" xfId="0" applyNumberFormat="1" applyFont="1" applyFill="1" applyAlignment="1">
      <alignment horizontal="right" vertical="center"/>
    </xf>
    <xf numFmtId="165" fontId="0" fillId="0" borderId="0" xfId="1" applyNumberFormat="1" applyFont="1" applyFill="1" applyAlignment="1">
      <alignment horizontal="right" vertical="center"/>
    </xf>
    <xf numFmtId="167" fontId="0" fillId="0" borderId="0" xfId="0" applyNumberFormat="1" applyFill="1" applyAlignment="1">
      <alignment horizontal="right" vertical="center"/>
    </xf>
    <xf numFmtId="166" fontId="0" fillId="0" borderId="0" xfId="0" applyNumberFormat="1" applyFill="1" applyAlignment="1">
      <alignment horizontal="right" vertical="center"/>
    </xf>
    <xf numFmtId="37" fontId="1" fillId="0" borderId="0" xfId="1" applyNumberFormat="1" applyFont="1" applyFill="1" applyAlignment="1">
      <alignment horizontal="right" vertical="center"/>
    </xf>
    <xf numFmtId="0" fontId="0" fillId="0" borderId="3" xfId="0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167" fontId="1" fillId="0" borderId="0" xfId="0" applyNumberFormat="1" applyFont="1" applyFill="1" applyAlignment="1">
      <alignment horizontal="right"/>
    </xf>
    <xf numFmtId="165" fontId="3" fillId="0" borderId="0" xfId="1" applyNumberFormat="1" applyFont="1" applyAlignment="1">
      <alignment horizontal="center"/>
    </xf>
    <xf numFmtId="3" fontId="1" fillId="0" borderId="0" xfId="1" applyNumberFormat="1" applyFont="1" applyFill="1" applyAlignment="1">
      <alignment horizontal="right"/>
    </xf>
    <xf numFmtId="169" fontId="1" fillId="0" borderId="0" xfId="1" applyNumberFormat="1" applyFont="1" applyFill="1" applyAlignment="1">
      <alignment horizontal="right"/>
    </xf>
    <xf numFmtId="165" fontId="1" fillId="2" borderId="4" xfId="1" applyNumberFormat="1" applyFont="1" applyFill="1" applyBorder="1" applyAlignment="1">
      <alignment horizontal="center" vertical="center"/>
    </xf>
    <xf numFmtId="167" fontId="1" fillId="0" borderId="0" xfId="1" applyNumberFormat="1" applyFont="1" applyFill="1" applyAlignment="1">
      <alignment horizontal="right"/>
    </xf>
    <xf numFmtId="3" fontId="1" fillId="0" borderId="0" xfId="1" applyNumberFormat="1" applyFont="1" applyFill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165" fontId="1" fillId="0" borderId="3" xfId="1" applyNumberFormat="1" applyFon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 wrapText="1"/>
    </xf>
    <xf numFmtId="165" fontId="1" fillId="0" borderId="3" xfId="1" applyNumberFormat="1" applyFont="1" applyBorder="1" applyAlignment="1">
      <alignment horizontal="center" vertical="center" wrapText="1"/>
    </xf>
    <xf numFmtId="164" fontId="1" fillId="0" borderId="0" xfId="1" applyNumberFormat="1" applyFont="1" applyFill="1" applyAlignment="1">
      <alignment horizontal="right"/>
    </xf>
    <xf numFmtId="0" fontId="1" fillId="0" borderId="0" xfId="1" applyNumberFormat="1" applyFont="1" applyFill="1" applyAlignment="1">
      <alignment horizontal="right"/>
    </xf>
    <xf numFmtId="165" fontId="1" fillId="0" borderId="0" xfId="1" applyNumberFormat="1" applyFont="1" applyFill="1" applyAlignment="1">
      <alignment horizontal="right"/>
    </xf>
    <xf numFmtId="169" fontId="0" fillId="0" borderId="0" xfId="0" applyNumberFormat="1" applyFont="1" applyFill="1" applyAlignment="1">
      <alignment horizontal="right" vertical="center"/>
    </xf>
    <xf numFmtId="3" fontId="0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165" fontId="0" fillId="0" borderId="0" xfId="1" applyNumberFormat="1" applyFont="1" applyFill="1" applyAlignment="1">
      <alignment horizontal="right" vertical="center"/>
    </xf>
    <xf numFmtId="3" fontId="0" fillId="0" borderId="0" xfId="1" applyNumberFormat="1" applyFont="1" applyFill="1" applyAlignment="1">
      <alignment horizontal="center"/>
    </xf>
    <xf numFmtId="165" fontId="0" fillId="0" borderId="3" xfId="1" applyNumberFormat="1" applyFont="1" applyBorder="1" applyAlignment="1">
      <alignment horizontal="center" vertical="center" wrapText="1"/>
    </xf>
    <xf numFmtId="165" fontId="0" fillId="0" borderId="4" xfId="1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67" fontId="0" fillId="0" borderId="0" xfId="0" applyNumberFormat="1" applyFont="1" applyFill="1" applyAlignment="1">
      <alignment horizontal="right" vertical="center"/>
    </xf>
    <xf numFmtId="166" fontId="0" fillId="0" borderId="0" xfId="0" applyNumberFormat="1" applyFont="1" applyFill="1" applyAlignment="1">
      <alignment horizontal="right" vertical="center"/>
    </xf>
    <xf numFmtId="168" fontId="0" fillId="0" borderId="0" xfId="0" applyNumberFormat="1" applyFont="1" applyFill="1" applyAlignment="1">
      <alignment horizontal="right" vertical="center"/>
    </xf>
    <xf numFmtId="0" fontId="0" fillId="0" borderId="0" xfId="0" applyNumberFormat="1" applyFont="1" applyFill="1" applyAlignment="1">
      <alignment horizontal="right" vertical="center"/>
    </xf>
    <xf numFmtId="3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165" fontId="0" fillId="0" borderId="0" xfId="1" applyNumberFormat="1" applyFont="1" applyFill="1" applyAlignment="1">
      <alignment horizontal="center" vertical="center"/>
    </xf>
    <xf numFmtId="3" fontId="0" fillId="0" borderId="0" xfId="1" applyNumberFormat="1" applyFont="1" applyFill="1" applyAlignment="1">
      <alignment horizontal="center" vertical="center"/>
    </xf>
    <xf numFmtId="165" fontId="0" fillId="0" borderId="4" xfId="1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" fontId="0" fillId="0" borderId="0" xfId="1" applyNumberFormat="1" applyFont="1" applyFill="1" applyAlignment="1">
      <alignment horizontal="center" vertical="center"/>
    </xf>
    <xf numFmtId="0" fontId="0" fillId="0" borderId="0" xfId="0" applyNumberFormat="1" applyFill="1" applyAlignment="1">
      <alignment horizontal="right" vertical="center"/>
    </xf>
    <xf numFmtId="169" fontId="0" fillId="0" borderId="0" xfId="0" applyNumberFormat="1" applyFill="1" applyAlignment="1">
      <alignment horizontal="right" vertical="center"/>
    </xf>
    <xf numFmtId="3" fontId="0" fillId="0" borderId="0" xfId="0" applyNumberFormat="1" applyFill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7" fontId="0" fillId="0" borderId="0" xfId="0" applyNumberFormat="1" applyFill="1" applyAlignment="1">
      <alignment horizontal="right" vertical="center"/>
    </xf>
    <xf numFmtId="166" fontId="0" fillId="0" borderId="0" xfId="0" applyNumberFormat="1" applyFill="1" applyAlignment="1">
      <alignment horizontal="right" vertical="center"/>
    </xf>
    <xf numFmtId="169" fontId="5" fillId="0" borderId="0" xfId="0" applyNumberFormat="1" applyFont="1" applyFill="1" applyAlignment="1">
      <alignment horizontal="right" vertical="center"/>
    </xf>
    <xf numFmtId="167" fontId="5" fillId="0" borderId="0" xfId="0" applyNumberFormat="1" applyFont="1" applyFill="1" applyAlignment="1">
      <alignment horizontal="right" vertical="center"/>
    </xf>
    <xf numFmtId="1" fontId="5" fillId="0" borderId="0" xfId="0" applyNumberFormat="1" applyFont="1" applyFill="1" applyAlignment="1">
      <alignment horizontal="right" vertical="center"/>
    </xf>
    <xf numFmtId="166" fontId="5" fillId="0" borderId="0" xfId="1" applyNumberFormat="1" applyFont="1" applyFill="1" applyAlignment="1">
      <alignment horizontal="right" vertical="center"/>
    </xf>
    <xf numFmtId="169" fontId="5" fillId="0" borderId="0" xfId="0" applyNumberFormat="1" applyFont="1" applyFill="1" applyAlignment="1">
      <alignment horizontal="right"/>
    </xf>
    <xf numFmtId="168" fontId="0" fillId="0" borderId="0" xfId="0" applyNumberFormat="1" applyFill="1" applyAlignment="1">
      <alignment horizontal="right" vertical="center"/>
    </xf>
    <xf numFmtId="165" fontId="0" fillId="0" borderId="1" xfId="1" applyNumberFormat="1" applyFont="1" applyBorder="1" applyAlignment="1">
      <alignment horizontal="center" vertical="center"/>
    </xf>
    <xf numFmtId="165" fontId="0" fillId="0" borderId="3" xfId="1" applyNumberFormat="1" applyFont="1" applyBorder="1" applyAlignment="1">
      <alignment horizontal="center" vertical="center"/>
    </xf>
    <xf numFmtId="3" fontId="0" fillId="0" borderId="0" xfId="1" applyNumberFormat="1" applyFont="1" applyFill="1" applyAlignment="1">
      <alignment horizontal="right" vertical="center"/>
    </xf>
    <xf numFmtId="1" fontId="0" fillId="0" borderId="0" xfId="1" applyNumberFormat="1" applyFont="1" applyFill="1" applyAlignment="1">
      <alignment horizontal="right" vertical="center"/>
    </xf>
    <xf numFmtId="1" fontId="5" fillId="0" borderId="0" xfId="1" applyNumberFormat="1" applyFont="1" applyFill="1" applyAlignment="1">
      <alignment horizontal="right" vertical="center"/>
    </xf>
    <xf numFmtId="167" fontId="5" fillId="0" borderId="0" xfId="1" applyNumberFormat="1" applyFont="1" applyFill="1" applyAlignment="1">
      <alignment horizontal="right" vertical="center"/>
    </xf>
  </cellXfs>
  <cellStyles count="19">
    <cellStyle name="Hipervínculo" xfId="2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 visitado" xfId="3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Millares" xfId="1" builtinId="3"/>
    <cellStyle name="Millares 2 2" xfId="4"/>
    <cellStyle name="Normal" xfId="0" builtinId="0"/>
  </cellStyles>
  <dxfs count="0"/>
  <tableStyles count="0" defaultTableStyle="TableStyleMedium2" defaultPivotStyle="PivotStyleLight16"/>
  <colors>
    <mruColors>
      <color rgb="FF102D7C"/>
      <color rgb="FFA2BFE6"/>
      <color rgb="FF4071B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IMAS: Indicadores de Cobertura potencial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Anual!$A$42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layout>
                <c:manualLayout>
                  <c:x val="-3.3527480324054976E-3"/>
                  <c:y val="-3.4163703620455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532-452C-8488-2F2AEFE3F5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(Anual!$B$4,Anual!$C$5,Anual!$E$5,Anual!$G$5,Anual!$H$5)</c15:sqref>
                  </c15:fullRef>
                </c:ext>
              </c:extLst>
              <c:f>(Anual!$B$4,Anual!$C$5,Anual!$E$5,Anual!$G$5)</c:f>
              <c:strCache>
                <c:ptCount val="4"/>
                <c:pt idx="0">
                  <c:v>Programa de Promoción y Protección Social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Seguridad Alimentaria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(Anual!$B$42:$C$42,Anual!$E$42,Anual!$G$42:$H$42)</c15:sqref>
                  </c15:fullRef>
                </c:ext>
              </c:extLst>
              <c:f>(Anual!$B$42:$C$42,Anual!$E$42,Anual!$G$42)</c:f>
              <c:numCache>
                <c:formatCode>0</c:formatCode>
                <c:ptCount val="4"/>
                <c:pt idx="0" formatCode="_(* #.##0_);_(* \(#.##0\);_(* &quot;-&quot;??_);_(@_)">
                  <c:v>0</c:v>
                </c:pt>
                <c:pt idx="1">
                  <c:v>100.37223685717558</c:v>
                </c:pt>
                <c:pt idx="2" formatCode="_(* #.##0_);_(* \(#.##0\);_(* &quot;-&quot;??_);_(@_)">
                  <c:v>1.4148888301633442</c:v>
                </c:pt>
                <c:pt idx="3" formatCode="_(* #.##0_);_(* \(#.##0\);_(* &quot;-&quot;??_);_(@_)">
                  <c:v>15.758543512689293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DC-4DD0-A8A5-86DE66536A7A}"/>
            </c:ext>
          </c:extLst>
        </c:ser>
        <c:ser>
          <c:idx val="1"/>
          <c:order val="1"/>
          <c:tx>
            <c:strRef>
              <c:f>Anual!$A$43</c:f>
              <c:strCache>
                <c:ptCount val="1"/>
                <c:pt idx="0">
                  <c:v>Cobertura Efectiva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layout>
                <c:manualLayout>
                  <c:x val="0"/>
                  <c:y val="-3.0367736551516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532-452C-8488-2F2AEFE3F5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(Anual!$B$4,Anual!$C$5,Anual!$E$5,Anual!$G$5,Anual!$H$5)</c15:sqref>
                  </c15:fullRef>
                </c:ext>
              </c:extLst>
              <c:f>(Anual!$B$4,Anual!$C$5,Anual!$E$5,Anual!$G$5)</c:f>
              <c:strCache>
                <c:ptCount val="4"/>
                <c:pt idx="0">
                  <c:v>Programa de Promoción y Protección Social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Seguridad Alimentaria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(Anual!$B$43:$C$43,Anual!$E$43,Anual!$G$43:$H$43)</c15:sqref>
                  </c15:fullRef>
                </c:ext>
              </c:extLst>
              <c:f>(Anual!$B$43:$C$43,Anual!$E$43,Anual!$G$43)</c:f>
              <c:numCache>
                <c:formatCode>0</c:formatCode>
                <c:ptCount val="4"/>
                <c:pt idx="0" formatCode="_(* #.##0_);_(* \(#.##0\);_(* &quot;-&quot;??_);_(@_)">
                  <c:v>64.651114976189021</c:v>
                </c:pt>
                <c:pt idx="1">
                  <c:v>144.24392967586758</c:v>
                </c:pt>
                <c:pt idx="2" formatCode="_(* #.##0_);_(* \(#.##0\);_(* &quot;-&quot;??_);_(@_)">
                  <c:v>1.7477198220139847</c:v>
                </c:pt>
                <c:pt idx="3" formatCode="_(* #.##0_);_(* \(#.##0\);_(* &quot;-&quot;??_);_(@_)">
                  <c:v>21.920605211837234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DC-4DD0-A8A5-86DE66536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14993936"/>
        <c:axId val="114994328"/>
        <c:axId val="0"/>
      </c:bar3DChart>
      <c:catAx>
        <c:axId val="11499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14994328"/>
        <c:crosses val="autoZero"/>
        <c:auto val="1"/>
        <c:lblAlgn val="ctr"/>
        <c:lblOffset val="100"/>
        <c:noMultiLvlLbl val="0"/>
      </c:catAx>
      <c:valAx>
        <c:axId val="11499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.##0_);_(* \(#.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14993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 sz="1000"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IMAS: Indicadores de resultado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Anual!$A$46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(Anual!$B$4,Anual!$C$5,Anual!$E$5,Anual!$F$5,Anual!$G$5,Anual!$H$5,Anual!$I$5)</c:f>
              <c:strCache>
                <c:ptCount val="7"/>
                <c:pt idx="0">
                  <c:v>Programa de Promoción y Protección Social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Protección Familiar </c:v>
                </c:pt>
                <c:pt idx="6">
                  <c:v>Alternativas de Cuido</c:v>
                </c:pt>
              </c:strCache>
            </c:strRef>
          </c:cat>
          <c:val>
            <c:numRef>
              <c:f>(Anual!$B$46,Anual!$D$46,Anual!$E$46,Anual!$F$46,Anual!$G$46,Anual!$H$46,Anual!$I$46)</c:f>
              <c:numCache>
                <c:formatCode>_(* #.##0_);_(* \(#.##0\);_(* "-"??_);_(@_)</c:formatCode>
                <c:ptCount val="7"/>
                <c:pt idx="0">
                  <c:v>0</c:v>
                </c:pt>
                <c:pt idx="1">
                  <c:v>143.70899184115936</c:v>
                </c:pt>
                <c:pt idx="2">
                  <c:v>123.52347299343766</c:v>
                </c:pt>
                <c:pt idx="3">
                  <c:v>14.434180138568129</c:v>
                </c:pt>
                <c:pt idx="4">
                  <c:v>139.1029900332226</c:v>
                </c:pt>
                <c:pt idx="5">
                  <c:v>130.61430395913155</c:v>
                </c:pt>
                <c:pt idx="6">
                  <c:v>121.94132873166524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88-41ED-A7CD-19270DCAF9EE}"/>
            </c:ext>
          </c:extLst>
        </c:ser>
        <c:ser>
          <c:idx val="1"/>
          <c:order val="1"/>
          <c:tx>
            <c:strRef>
              <c:f>Anual!$A$47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4"/>
              <c:layout>
                <c:manualLayout>
                  <c:x val="-3.3533668397171183E-3"/>
                  <c:y val="3.337484241548584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5D1-4FE3-80EE-47C02BF658E5}"/>
                </c:ext>
              </c:extLst>
            </c:dLbl>
            <c:dLbl>
              <c:idx val="5"/>
              <c:layout>
                <c:manualLayout>
                  <c:x val="-3.35336683971711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5D1-4FE3-80EE-47C02BF658E5}"/>
                </c:ext>
              </c:extLst>
            </c:dLbl>
            <c:dLbl>
              <c:idx val="6"/>
              <c:layout>
                <c:manualLayout>
                  <c:x val="-3.3533668397172415E-3"/>
                  <c:y val="-6.67496848309716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5D1-4FE3-80EE-47C02BF658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(Anual!$B$4,Anual!$C$5,Anual!$E$5,Anual!$F$5,Anual!$G$5,Anual!$H$5,Anual!$I$5)</c:f>
              <c:strCache>
                <c:ptCount val="7"/>
                <c:pt idx="0">
                  <c:v>Programa de Promoción y Protección Social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Protección Familiar </c:v>
                </c:pt>
                <c:pt idx="6">
                  <c:v>Alternativas de Cuido</c:v>
                </c:pt>
              </c:strCache>
            </c:strRef>
          </c:cat>
          <c:val>
            <c:numRef>
              <c:f>(Anual!$B$47:$C$47,Anual!$E$47:$H$47,Anual!$I$47)</c:f>
              <c:numCache>
                <c:formatCode>0</c:formatCode>
                <c:ptCount val="7"/>
                <c:pt idx="0" formatCode="_(* #.##0_);_(* \(#.##0\);_(* &quot;-&quot;??_);_(@_)">
                  <c:v>88.015971126635293</c:v>
                </c:pt>
                <c:pt idx="1">
                  <c:v>97.261618609131048</c:v>
                </c:pt>
                <c:pt idx="2" formatCode="_(* #.##0_);_(* \(#.##0\);_(* &quot;-&quot;??_);_(@_)">
                  <c:v>97.84075853551164</c:v>
                </c:pt>
                <c:pt idx="3" formatCode="_(* #.##0_);_(* \(#.##0\);_(* &quot;-&quot;??_);_(@_)">
                  <c:v>8.7622450618275263</c:v>
                </c:pt>
                <c:pt idx="4" formatCode="_(* #.##0_);_(* \(#.##0\);_(* &quot;-&quot;??_);_(@_)">
                  <c:v>99.728319249347621</c:v>
                </c:pt>
                <c:pt idx="5" formatCode="_(* #.##0_);_(* \(#.##0\);_(* &quot;-&quot;??_);_(@_)">
                  <c:v>78.096890001951053</c:v>
                </c:pt>
                <c:pt idx="6" formatCode="_(* #.##0_);_(* \(#.##0\);_(* &quot;-&quot;??_);_(@_)">
                  <c:v>98.235808755041006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88-41ED-A7CD-19270DCAF9EE}"/>
            </c:ext>
          </c:extLst>
        </c:ser>
        <c:ser>
          <c:idx val="2"/>
          <c:order val="2"/>
          <c:tx>
            <c:strRef>
              <c:f>Anual!$A$48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(Anual!$B$4,Anual!$C$5,Anual!$E$5,Anual!$F$5,Anual!$G$5,Anual!$H$5,Anual!$I$5)</c:f>
              <c:strCache>
                <c:ptCount val="7"/>
                <c:pt idx="0">
                  <c:v>Programa de Promoción y Protección Social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Protección Familiar </c:v>
                </c:pt>
                <c:pt idx="6">
                  <c:v>Alternativas de Cuido</c:v>
                </c:pt>
              </c:strCache>
            </c:strRef>
          </c:cat>
          <c:val>
            <c:numRef>
              <c:f>(Anual!$B$48,Anual!$D$48,Anual!$E$48,Anual!$F$48,Anual!$G$48,Anual!$H$48,Anual!$I$48)</c:f>
              <c:numCache>
                <c:formatCode>_(* #.##0_);_(* \(#.##0\);_(* "-"??_);_(@_)</c:formatCode>
                <c:ptCount val="7"/>
                <c:pt idx="0">
                  <c:v>0</c:v>
                </c:pt>
                <c:pt idx="1">
                  <c:v>120.4853052251452</c:v>
                </c:pt>
                <c:pt idx="2">
                  <c:v>110.68211576447464</c:v>
                </c:pt>
                <c:pt idx="3">
                  <c:v>11.598212600197828</c:v>
                </c:pt>
                <c:pt idx="4">
                  <c:v>119.4156546412851</c:v>
                </c:pt>
                <c:pt idx="5">
                  <c:v>104.35559698054129</c:v>
                </c:pt>
                <c:pt idx="6">
                  <c:v>110.08856874335312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88-41ED-A7CD-19270DCAF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14995112"/>
        <c:axId val="114995504"/>
        <c:axId val="0"/>
      </c:bar3DChart>
      <c:catAx>
        <c:axId val="114995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14995504"/>
        <c:crosses val="autoZero"/>
        <c:auto val="1"/>
        <c:lblAlgn val="ctr"/>
        <c:lblOffset val="100"/>
        <c:noMultiLvlLbl val="0"/>
      </c:catAx>
      <c:valAx>
        <c:axId val="11499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14995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IMAS: Indicadores de avance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Anual!$A$51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(Anual!$B$4,Anual!$C$5,Anual!$E$5,Anual!$F$5,Anual!$G$5,Anual!$H$5,Anual!$I$5)</c:f>
              <c:strCache>
                <c:ptCount val="7"/>
                <c:pt idx="0">
                  <c:v>Programa de Promoción y Protección Social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Protección Familiar </c:v>
                </c:pt>
                <c:pt idx="6">
                  <c:v>Alternativas de Cuido</c:v>
                </c:pt>
              </c:strCache>
            </c:strRef>
          </c:cat>
          <c:val>
            <c:numRef>
              <c:f>(Anual!$B$51:$C$51,Anual!$E$51:$H$51,Anual!$I$51)</c:f>
              <c:numCache>
                <c:formatCode>#,##0</c:formatCode>
                <c:ptCount val="7"/>
                <c:pt idx="0" formatCode="_(* #.##0_);_(* \(#.##0\);_(* &quot;-&quot;??_);_(@_)">
                  <c:v>0</c:v>
                </c:pt>
                <c:pt idx="1">
                  <c:v>143.70899184115936</c:v>
                </c:pt>
                <c:pt idx="2" formatCode="_(* #.##0_);_(* \(#.##0\);_(* &quot;-&quot;??_);_(@_)">
                  <c:v>123.52347299343766</c:v>
                </c:pt>
                <c:pt idx="3" formatCode="_(* #.##0_);_(* \(#.##0\);_(* &quot;-&quot;??_);_(@_)">
                  <c:v>14.434180138568129</c:v>
                </c:pt>
                <c:pt idx="4" formatCode="_(* #.##0_);_(* \(#.##0\);_(* &quot;-&quot;??_);_(@_)">
                  <c:v>139.1029900332226</c:v>
                </c:pt>
                <c:pt idx="5" formatCode="_(* #.##0_);_(* \(#.##0\);_(* &quot;-&quot;??_);_(@_)">
                  <c:v>130.61430395913155</c:v>
                </c:pt>
                <c:pt idx="6" formatCode="_(* #.##0_);_(* \(#.##0\);_(* &quot;-&quot;??_);_(@_)">
                  <c:v>121.94132873166524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6B-4459-B5EF-38E5794C6196}"/>
            </c:ext>
          </c:extLst>
        </c:ser>
        <c:ser>
          <c:idx val="1"/>
          <c:order val="1"/>
          <c:tx>
            <c:strRef>
              <c:f>Anual!$A$52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4"/>
              <c:layout>
                <c:manualLayout>
                  <c:x val="-5.0207669992496521E-3"/>
                  <c:y val="-3.348918960123042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817-42A5-ABEE-C0D538F60054}"/>
                </c:ext>
              </c:extLst>
            </c:dLbl>
            <c:dLbl>
              <c:idx val="5"/>
              <c:layout>
                <c:manualLayout>
                  <c:x val="-3.3471779994997683E-3"/>
                  <c:y val="-6.69783792024608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817-42A5-ABEE-C0D538F60054}"/>
                </c:ext>
              </c:extLst>
            </c:dLbl>
            <c:dLbl>
              <c:idx val="6"/>
              <c:layout>
                <c:manualLayout>
                  <c:x val="-3.3471779994997683E-3"/>
                  <c:y val="-3.348918960123042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817-42A5-ABEE-C0D538F600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(Anual!$B$4,Anual!$C$5,Anual!$E$5,Anual!$F$5,Anual!$G$5,Anual!$H$5,Anual!$I$5)</c:f>
              <c:strCache>
                <c:ptCount val="7"/>
                <c:pt idx="0">
                  <c:v>Programa de Promoción y Protección Social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Protección Familiar </c:v>
                </c:pt>
                <c:pt idx="6">
                  <c:v>Alternativas de Cuido</c:v>
                </c:pt>
              </c:strCache>
            </c:strRef>
          </c:cat>
          <c:val>
            <c:numRef>
              <c:f>(Anual!$B$52:$C$52,Anual!$E$52:$H$52,Anual!$I$52)</c:f>
              <c:numCache>
                <c:formatCode>#,##0</c:formatCode>
                <c:ptCount val="7"/>
                <c:pt idx="0" formatCode="_(* #.##0_);_(* \(#.##0\);_(* &quot;-&quot;??_);_(@_)">
                  <c:v>88.015971126635293</c:v>
                </c:pt>
                <c:pt idx="1">
                  <c:v>97.261618609131048</c:v>
                </c:pt>
                <c:pt idx="2" formatCode="_(* #.##0_);_(* \(#.##0\);_(* &quot;-&quot;??_);_(@_)">
                  <c:v>97.84075853551164</c:v>
                </c:pt>
                <c:pt idx="3" formatCode="_(* #.##0_);_(* \(#.##0\);_(* &quot;-&quot;??_);_(@_)">
                  <c:v>8.7622450618275263</c:v>
                </c:pt>
                <c:pt idx="4" formatCode="_(* #.##0_);_(* \(#.##0\);_(* &quot;-&quot;??_);_(@_)">
                  <c:v>99.728319249347621</c:v>
                </c:pt>
                <c:pt idx="5" formatCode="_(* #.##0_);_(* \(#.##0\);_(* &quot;-&quot;??_);_(@_)">
                  <c:v>78.096890001951053</c:v>
                </c:pt>
                <c:pt idx="6" formatCode="_(* #.##0_);_(* \(#.##0\);_(* &quot;-&quot;??_);_(@_)">
                  <c:v>98.235808755041006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6B-4459-B5EF-38E5794C6196}"/>
            </c:ext>
          </c:extLst>
        </c:ser>
        <c:ser>
          <c:idx val="2"/>
          <c:order val="2"/>
          <c:tx>
            <c:strRef>
              <c:f>Anual!$A$53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(Anual!$B$4,Anual!$C$5,Anual!$E$5,Anual!$F$5,Anual!$G$5,Anual!$H$5,Anual!$I$5)</c:f>
              <c:strCache>
                <c:ptCount val="7"/>
                <c:pt idx="0">
                  <c:v>Programa de Promoción y Protección Social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Protección Familiar </c:v>
                </c:pt>
                <c:pt idx="6">
                  <c:v>Alternativas de Cuido</c:v>
                </c:pt>
              </c:strCache>
            </c:strRef>
          </c:cat>
          <c:val>
            <c:numRef>
              <c:f>(Anual!$B$53:$C$53,Anual!$E$53:$H$53,Anual!$I$53)</c:f>
              <c:numCache>
                <c:formatCode>#,##0</c:formatCode>
                <c:ptCount val="7"/>
                <c:pt idx="0" formatCode="_(* #.##0_);_(* \(#.##0\);_(* &quot;-&quot;??_);_(@_)">
                  <c:v>0</c:v>
                </c:pt>
                <c:pt idx="1">
                  <c:v>120.4853052251452</c:v>
                </c:pt>
                <c:pt idx="2" formatCode="_(* #.##0_);_(* \(#.##0\);_(* &quot;-&quot;??_);_(@_)">
                  <c:v>110.68211576447464</c:v>
                </c:pt>
                <c:pt idx="3" formatCode="_(* #.##0_);_(* \(#.##0\);_(* &quot;-&quot;??_);_(@_)">
                  <c:v>11.598212600197828</c:v>
                </c:pt>
                <c:pt idx="4" formatCode="_(* #.##0_);_(* \(#.##0\);_(* &quot;-&quot;??_);_(@_)">
                  <c:v>119.4156546412851</c:v>
                </c:pt>
                <c:pt idx="5" formatCode="_(* #.##0_);_(* \(#.##0\);_(* &quot;-&quot;??_);_(@_)">
                  <c:v>104.35559698054129</c:v>
                </c:pt>
                <c:pt idx="6" formatCode="_(* #.##0_);_(* \(#.##0\);_(* &quot;-&quot;??_);_(@_)">
                  <c:v>110.08856874335312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6B-4459-B5EF-38E5794C6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14996288"/>
        <c:axId val="387613528"/>
        <c:axId val="0"/>
      </c:bar3DChart>
      <c:catAx>
        <c:axId val="11499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87613528"/>
        <c:crosses val="autoZero"/>
        <c:auto val="1"/>
        <c:lblAlgn val="ctr"/>
        <c:lblOffset val="100"/>
        <c:noMultiLvlLbl val="0"/>
      </c:catAx>
      <c:valAx>
        <c:axId val="387613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14996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IMAS: Indicadores de expansión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0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Anual!$A$59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(Anual!$B$4,Anual!$C$5,Anual!$G$5,Anual!$H$5,Anual!$E$5,Anual!$F$5,Anual!$I$5)</c:f>
              <c:strCache>
                <c:ptCount val="7"/>
                <c:pt idx="0">
                  <c:v>Programa de Promoción y Protección Social</c:v>
                </c:pt>
                <c:pt idx="1">
                  <c:v>Avancemos</c:v>
                </c:pt>
                <c:pt idx="2">
                  <c:v>Seguridad Alimentaria</c:v>
                </c:pt>
                <c:pt idx="3">
                  <c:v>Protección Familiar </c:v>
                </c:pt>
                <c:pt idx="4">
                  <c:v>Asignación Familiar</c:v>
                </c:pt>
                <c:pt idx="5">
                  <c:v>Prestación Alimentaria</c:v>
                </c:pt>
                <c:pt idx="6">
                  <c:v>Alternativas de Cuido</c:v>
                </c:pt>
              </c:strCache>
            </c:strRef>
          </c:cat>
          <c:val>
            <c:numRef>
              <c:f>(Anual!$B$59:$C$59,Anual!$G$59:$H$59,Anual!$E$59,Anual!$F$59,Anual!$I$59)</c:f>
              <c:numCache>
                <c:formatCode>#.##0\.0</c:formatCode>
                <c:ptCount val="7"/>
                <c:pt idx="0" formatCode="#.##0\.0____">
                  <c:v>4.3083198852429616</c:v>
                </c:pt>
                <c:pt idx="1">
                  <c:v>25.091100971536772</c:v>
                </c:pt>
                <c:pt idx="2" formatCode="#.##0\.0____">
                  <c:v>15.959288236515956</c:v>
                </c:pt>
                <c:pt idx="3" formatCode="#.##0\.0____">
                  <c:v>-5.1130986621142682</c:v>
                </c:pt>
                <c:pt idx="4" formatCode="#.##0\.0____">
                  <c:v>19.365853658536579</c:v>
                </c:pt>
                <c:pt idx="5" formatCode="#.##0\.0____">
                  <c:v>35.869565217391312</c:v>
                </c:pt>
                <c:pt idx="6" formatCode="#.##0\.0____">
                  <c:v>11.701244813278011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7-4AE3-8828-A9F9BA43A25A}"/>
            </c:ext>
          </c:extLst>
        </c:ser>
        <c:ser>
          <c:idx val="1"/>
          <c:order val="1"/>
          <c:tx>
            <c:strRef>
              <c:f>Anual!$A$60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(Anual!$B$4,Anual!$C$5,Anual!$G$5,Anual!$H$5,Anual!$E$5,Anual!$F$5,Anual!$I$5)</c:f>
              <c:strCache>
                <c:ptCount val="7"/>
                <c:pt idx="0">
                  <c:v>Programa de Promoción y Protección Social</c:v>
                </c:pt>
                <c:pt idx="1">
                  <c:v>Avancemos</c:v>
                </c:pt>
                <c:pt idx="2">
                  <c:v>Seguridad Alimentaria</c:v>
                </c:pt>
                <c:pt idx="3">
                  <c:v>Protección Familiar </c:v>
                </c:pt>
                <c:pt idx="4">
                  <c:v>Asignación Familiar</c:v>
                </c:pt>
                <c:pt idx="5">
                  <c:v>Prestación Alimentaria</c:v>
                </c:pt>
                <c:pt idx="6">
                  <c:v>Alternativas de Cuido</c:v>
                </c:pt>
              </c:strCache>
            </c:strRef>
          </c:cat>
          <c:val>
            <c:numRef>
              <c:f>(Anual!$B$60:$C$60,Anual!$G$60:$H$60,Anual!$E$60,Anual!$F$60,Anual!$I$60)</c:f>
              <c:numCache>
                <c:formatCode>#.##0\.0</c:formatCode>
                <c:ptCount val="7"/>
                <c:pt idx="0" formatCode="#.##0\.0____">
                  <c:v>-3.4398341731178506</c:v>
                </c:pt>
                <c:pt idx="1">
                  <c:v>6.4762902397651256</c:v>
                </c:pt>
                <c:pt idx="2" formatCode="#.##0\.0____">
                  <c:v>-1.5739869300228637</c:v>
                </c:pt>
                <c:pt idx="3" formatCode="#.##0\.0____">
                  <c:v>-10.460003249248551</c:v>
                </c:pt>
                <c:pt idx="4" formatCode="#.##0\.0____">
                  <c:v>9.7774042808620898</c:v>
                </c:pt>
                <c:pt idx="5" formatCode="#.##0\.0____">
                  <c:v>32.672533309389621</c:v>
                </c:pt>
                <c:pt idx="6" formatCode="#.##0\.0____">
                  <c:v>-9.5949596887179407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37-4AE3-8828-A9F9BA43A25A}"/>
            </c:ext>
          </c:extLst>
        </c:ser>
        <c:ser>
          <c:idx val="2"/>
          <c:order val="2"/>
          <c:tx>
            <c:strRef>
              <c:f>Anual!$A$61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(Anual!$B$4,Anual!$C$5,Anual!$G$5,Anual!$H$5,Anual!$E$5,Anual!$F$5,Anual!$I$5)</c:f>
              <c:strCache>
                <c:ptCount val="7"/>
                <c:pt idx="0">
                  <c:v>Programa de Promoción y Protección Social</c:v>
                </c:pt>
                <c:pt idx="1">
                  <c:v>Avancemos</c:v>
                </c:pt>
                <c:pt idx="2">
                  <c:v>Seguridad Alimentaria</c:v>
                </c:pt>
                <c:pt idx="3">
                  <c:v>Protección Familiar </c:v>
                </c:pt>
                <c:pt idx="4">
                  <c:v>Asignación Familiar</c:v>
                </c:pt>
                <c:pt idx="5">
                  <c:v>Prestación Alimentaria</c:v>
                </c:pt>
                <c:pt idx="6">
                  <c:v>Alternativas de Cuido</c:v>
                </c:pt>
              </c:strCache>
            </c:strRef>
          </c:cat>
          <c:val>
            <c:numRef>
              <c:f>(Anual!$B$61:$C$61,Anual!$G$61:$H$61,Anual!$E$61,Anual!$F$61,Anual!$I$61)</c:f>
              <c:numCache>
                <c:formatCode>#.##0\.0</c:formatCode>
                <c:ptCount val="7"/>
                <c:pt idx="0" formatCode="#.##0\.0____">
                  <c:v>-7.4281266028300541</c:v>
                </c:pt>
                <c:pt idx="1">
                  <c:v>-14.881003194629516</c:v>
                </c:pt>
                <c:pt idx="2" formatCode="#.##0\.0____">
                  <c:v>-15.120199022588976</c:v>
                </c:pt>
                <c:pt idx="3" formatCode="#.##0\.0____">
                  <c:v>-5.6350291892179438</c:v>
                </c:pt>
                <c:pt idx="4" formatCode="#.##0\.0____">
                  <c:v>-8.032824366257751</c:v>
                </c:pt>
                <c:pt idx="5" formatCode="#.##0\.0____">
                  <c:v>-2.3530154842892448</c:v>
                </c:pt>
                <c:pt idx="6" formatCode="#.##0\.0____">
                  <c:v>-19.065324238413893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37-4AE3-8828-A9F9BA43A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387617448"/>
        <c:axId val="387617840"/>
        <c:axId val="0"/>
      </c:bar3DChart>
      <c:catAx>
        <c:axId val="387617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87617840"/>
        <c:crosses val="autoZero"/>
        <c:auto val="1"/>
        <c:lblAlgn val="ctr"/>
        <c:lblOffset val="100"/>
        <c:noMultiLvlLbl val="0"/>
      </c:catAx>
      <c:valAx>
        <c:axId val="38761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87617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195099716201018E-3"/>
          <c:y val="0.85523972201668719"/>
          <c:w val="0.98124547501478188"/>
          <c:h val="0.122487503121415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IMAS: Indicadores de gasto medio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Anual!$A$64</c:f>
              <c:strCache>
                <c:ptCount val="1"/>
                <c:pt idx="0">
                  <c:v>Gasto anual programado por beneficiario (GPB)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(Anual!$B$4,Anual!$C$5,Anual!$E$5,Anual!$F$5,Anual!$G$5,Anual!$H$5,Anual!$I$5)</c:f>
              <c:strCache>
                <c:ptCount val="7"/>
                <c:pt idx="0">
                  <c:v>Programa de Promoción y Protección Social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Protección Familiar </c:v>
                </c:pt>
                <c:pt idx="6">
                  <c:v>Alternativas de Cuido</c:v>
                </c:pt>
              </c:strCache>
            </c:strRef>
          </c:cat>
          <c:val>
            <c:numRef>
              <c:f>(Anual!$B$64:$C$64,Anual!$E$64:$H$64)</c:f>
              <c:numCache>
                <c:formatCode>#,##0</c:formatCode>
                <c:ptCount val="6"/>
                <c:pt idx="0" formatCode="_(* #.##0_);_(* \(#.##0\);_(* &quot;-&quot;??_);_(@_)">
                  <c:v>663163.07428735623</c:v>
                </c:pt>
                <c:pt idx="1">
                  <c:v>420000</c:v>
                </c:pt>
                <c:pt idx="2" formatCode="_(* #.##0_);_(* \(#.##0\);_(* &quot;-&quot;??_);_(@_)">
                  <c:v>1074233.1691297209</c:v>
                </c:pt>
                <c:pt idx="3" formatCode="_(* #.##0_);_(* \(#.##0\);_(* &quot;-&quot;??_);_(@_)">
                  <c:v>3744000</c:v>
                </c:pt>
                <c:pt idx="4" formatCode="_(* #.##0_);_(* \(#.##0\);_(* &quot;-&quot;??_);_(@_)">
                  <c:v>600000</c:v>
                </c:pt>
                <c:pt idx="5" formatCode="_(* #.##0_);_(* \(#.##0\);_(* &quot;-&quot;??_);_(@_)">
                  <c:v>900000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04-4AFD-AF47-E4E269E62DE3}"/>
            </c:ext>
          </c:extLst>
        </c:ser>
        <c:ser>
          <c:idx val="1"/>
          <c:order val="1"/>
          <c:tx>
            <c:strRef>
              <c:f>Anual!$A$65</c:f>
              <c:strCache>
                <c:ptCount val="1"/>
                <c:pt idx="0">
                  <c:v>Gasto anual efectivo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(Anual!$B$4,Anual!$C$5,Anual!$E$5,Anual!$F$5,Anual!$G$5,Anual!$H$5,Anual!$I$5)</c:f>
              <c:strCache>
                <c:ptCount val="7"/>
                <c:pt idx="0">
                  <c:v>Programa de Promoción y Protección Social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Protección Familiar </c:v>
                </c:pt>
                <c:pt idx="6">
                  <c:v>Alternativas de Cuido</c:v>
                </c:pt>
              </c:strCache>
            </c:strRef>
          </c:cat>
          <c:val>
            <c:numRef>
              <c:f>(Anual!$B$65:$C$65,Anual!$E$65:$H$65,Anual!$I$65)</c:f>
              <c:numCache>
                <c:formatCode>#,##0</c:formatCode>
                <c:ptCount val="7"/>
                <c:pt idx="0" formatCode="_(* #.##0_);_(* \(#.##0\);_(* &quot;-&quot;??_);_(@_)">
                  <c:v>483949.6252889075</c:v>
                </c:pt>
                <c:pt idx="1">
                  <c:v>301342.41234051972</c:v>
                </c:pt>
                <c:pt idx="2" formatCode="_(* #.##0_);_(* \(#.##0\);_(* &quot;-&quot;??_);_(@_)">
                  <c:v>883887.78310701961</c:v>
                </c:pt>
                <c:pt idx="3" formatCode="_(* #.##0_);_(* \(#.##0\);_(* &quot;-&quot;??_);_(@_)">
                  <c:v>2215391.3466212931</c:v>
                </c:pt>
                <c:pt idx="4" formatCode="_(* #.##0_);_(* \(#.##0\);_(* &quot;-&quot;??_);_(@_)">
                  <c:v>561267.10879938549</c:v>
                </c:pt>
                <c:pt idx="5" formatCode="_(* #.##0_);_(* \(#.##0\);_(* &quot;-&quot;??_);_(@_)">
                  <c:v>707542.90517459961</c:v>
                </c:pt>
                <c:pt idx="6" formatCode="_(* #.##0_);_(* \(#.##0\);_(* &quot;-&quot;??_);_(@_)">
                  <c:v>1194766.4050189874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04-4AFD-AF47-E4E269E62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387618624"/>
        <c:axId val="387619016"/>
        <c:axId val="0"/>
      </c:bar3DChart>
      <c:catAx>
        <c:axId val="38761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87619016"/>
        <c:crosses val="autoZero"/>
        <c:auto val="1"/>
        <c:lblAlgn val="ctr"/>
        <c:lblOffset val="100"/>
        <c:noMultiLvlLbl val="0"/>
      </c:catAx>
      <c:valAx>
        <c:axId val="387619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876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chemeClr val="tx1"/>
                </a:solidFill>
              </a:rPr>
              <a:t>IMAS: Índice de eficiencia (IE) 2018 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Anual!$A$66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(Anual!$B$4,Anual!$C$5,Anual!$E$5,Anual!$F$5,Anual!$G$5,Anual!$H$5,Anual!$I$5)</c15:sqref>
                  </c15:fullRef>
                </c:ext>
              </c:extLst>
              <c:f>(Anual!$C$5,Anual!$E$5,Anual!$F$5,Anual!$G$5,Anual!$H$5,Anual!$I$5)</c:f>
              <c:strCache>
                <c:ptCount val="6"/>
                <c:pt idx="0">
                  <c:v>Avancemos</c:v>
                </c:pt>
                <c:pt idx="1">
                  <c:v>Asignación Familiar</c:v>
                </c:pt>
                <c:pt idx="2">
                  <c:v>Prestación Alimentaria</c:v>
                </c:pt>
                <c:pt idx="3">
                  <c:v>Seguridad Alimentaria</c:v>
                </c:pt>
                <c:pt idx="4">
                  <c:v>Protección Familiar </c:v>
                </c:pt>
                <c:pt idx="5">
                  <c:v>Alternativas de Cuido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(Anual!$B$66:$C$66,Anual!$E$66:$H$66,Anual!$I$66)</c15:sqref>
                  </c15:fullRef>
                </c:ext>
              </c:extLst>
              <c:f>(Anual!$C$66,Anual!$E$66:$H$66,Anual!$I$66)</c:f>
              <c:numCache>
                <c:formatCode>#.##0\.0</c:formatCode>
                <c:ptCount val="6"/>
                <c:pt idx="0">
                  <c:v>86.446029828878764</c:v>
                </c:pt>
                <c:pt idx="1" formatCode="_(* #.##0_);_(* \(#.##0\);_(* &quot;-&quot;??_);_(@_)">
                  <c:v>91.070144493781044</c:v>
                </c:pt>
                <c:pt idx="2" formatCode="_(* #.##0_);_(* \(#.##0\);_(* &quot;-&quot;??_);_(@_)">
                  <c:v>6.8628685445385456</c:v>
                </c:pt>
                <c:pt idx="3" formatCode="_(* #.##0_);_(* \(#.##0\);_(* &quot;-&quot;??_);_(@_)">
                  <c:v>111.70679870983335</c:v>
                </c:pt>
                <c:pt idx="4" formatCode="_(* #.##0_);_(* \(#.##0\);_(* &quot;-&quot;??_);_(@_)">
                  <c:v>82.04006917649096</c:v>
                </c:pt>
                <c:pt idx="5" formatCode="_(* #.##0_);_(* \(#.##0\);_(* &quot;-&quot;??_);_(@_)">
                  <c:v>102.43779089655894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B3-4C78-BA13-161098274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387619800"/>
        <c:axId val="387620192"/>
        <c:axId val="0"/>
      </c:bar3DChart>
      <c:catAx>
        <c:axId val="387619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87620192"/>
        <c:crosses val="autoZero"/>
        <c:auto val="1"/>
        <c:lblAlgn val="ctr"/>
        <c:lblOffset val="100"/>
        <c:noMultiLvlLbl val="0"/>
      </c:catAx>
      <c:valAx>
        <c:axId val="38762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.##0_);_(* \(#.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87619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b="1">
                <a:solidFill>
                  <a:schemeClr val="tx1"/>
                </a:solidFill>
              </a:rPr>
              <a:t>IMAS: Indicadores de giro de recursos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E0C-4C8E-8B21-D791378433CE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53-43A9-8BEA-F1A22FF426A0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</a:rPr>
                      <a:t>94%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E0C-4C8E-8B21-D791378433C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93%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053-43A9-8BEA-F1A22FF426A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Anual!$A$71:$A$72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Anual!$B$71:$B$72</c:f>
              <c:numCache>
                <c:formatCode>_(* #\ ##0_);_(* \(#\ ##0\);_(* "-"??_);_(@_)</c:formatCode>
                <c:ptCount val="2"/>
                <c:pt idx="0">
                  <c:v>94.445650391994221</c:v>
                </c:pt>
                <c:pt idx="1">
                  <c:v>93.192191235199601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53-43A9-8BEA-F1A22FF42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9038640"/>
        <c:axId val="209039952"/>
      </c:barChart>
      <c:valAx>
        <c:axId val="20903995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\ ##0_);_(* \(#\ 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09038640"/>
        <c:crossBetween val="between"/>
      </c:valAx>
      <c:catAx>
        <c:axId val="2090386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09039952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758499</xdr:colOff>
      <xdr:row>2</xdr:row>
      <xdr:rowOff>59532</xdr:rowOff>
    </xdr:from>
    <xdr:to>
      <xdr:col>20</xdr:col>
      <xdr:colOff>714374</xdr:colOff>
      <xdr:row>17</xdr:row>
      <xdr:rowOff>71438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759898</xdr:colOff>
      <xdr:row>18</xdr:row>
      <xdr:rowOff>415</xdr:rowOff>
    </xdr:from>
    <xdr:to>
      <xdr:col>20</xdr:col>
      <xdr:colOff>714375</xdr:colOff>
      <xdr:row>36</xdr:row>
      <xdr:rowOff>59531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733986</xdr:colOff>
      <xdr:row>36</xdr:row>
      <xdr:rowOff>119481</xdr:rowOff>
    </xdr:from>
    <xdr:to>
      <xdr:col>20</xdr:col>
      <xdr:colOff>702468</xdr:colOff>
      <xdr:row>54</xdr:row>
      <xdr:rowOff>166687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2100</xdr:colOff>
      <xdr:row>2</xdr:row>
      <xdr:rowOff>61351</xdr:rowOff>
    </xdr:from>
    <xdr:to>
      <xdr:col>30</xdr:col>
      <xdr:colOff>678655</xdr:colOff>
      <xdr:row>17</xdr:row>
      <xdr:rowOff>71436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758499</xdr:colOff>
      <xdr:row>18</xdr:row>
      <xdr:rowOff>1121</xdr:rowOff>
    </xdr:from>
    <xdr:to>
      <xdr:col>30</xdr:col>
      <xdr:colOff>690563</xdr:colOff>
      <xdr:row>36</xdr:row>
      <xdr:rowOff>59531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16111</xdr:colOff>
      <xdr:row>36</xdr:row>
      <xdr:rowOff>130689</xdr:rowOff>
    </xdr:from>
    <xdr:to>
      <xdr:col>30</xdr:col>
      <xdr:colOff>702469</xdr:colOff>
      <xdr:row>54</xdr:row>
      <xdr:rowOff>154781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321472</xdr:colOff>
      <xdr:row>56</xdr:row>
      <xdr:rowOff>110374</xdr:rowOff>
    </xdr:from>
    <xdr:to>
      <xdr:col>24</xdr:col>
      <xdr:colOff>726281</xdr:colOff>
      <xdr:row>73</xdr:row>
      <xdr:rowOff>23811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60"/>
  <sheetViews>
    <sheetView tabSelected="1" zoomScale="80" zoomScaleNormal="80" zoomScalePageLayoutView="90" workbookViewId="0">
      <selection activeCell="A4" sqref="A4:A5"/>
    </sheetView>
  </sheetViews>
  <sheetFormatPr baseColWidth="10" defaultColWidth="11.42578125" defaultRowHeight="15" x14ac:dyDescent="0.25"/>
  <cols>
    <col min="1" max="1" width="63.42578125" style="46" customWidth="1"/>
    <col min="2" max="10" width="18.7109375" style="46" customWidth="1"/>
    <col min="11" max="16384" width="11.42578125" style="46"/>
  </cols>
  <sheetData>
    <row r="2" spans="1:10" ht="15.75" x14ac:dyDescent="0.25">
      <c r="A2" s="121" t="s">
        <v>68</v>
      </c>
      <c r="B2" s="121"/>
      <c r="C2" s="121"/>
      <c r="D2" s="121"/>
      <c r="E2" s="121"/>
      <c r="F2" s="121"/>
      <c r="G2" s="121"/>
      <c r="H2" s="121"/>
      <c r="I2" s="121"/>
    </row>
    <row r="4" spans="1:10" x14ac:dyDescent="0.25">
      <c r="A4" s="127" t="s">
        <v>0</v>
      </c>
      <c r="B4" s="129" t="s">
        <v>59</v>
      </c>
      <c r="C4" s="47"/>
      <c r="D4" s="47"/>
      <c r="E4" s="47"/>
      <c r="F4" s="47"/>
      <c r="G4" s="48"/>
      <c r="H4" s="48"/>
      <c r="I4" s="48"/>
      <c r="J4" s="48"/>
    </row>
    <row r="5" spans="1:10" ht="51.75" customHeight="1" thickBot="1" x14ac:dyDescent="0.3">
      <c r="A5" s="128"/>
      <c r="B5" s="130"/>
      <c r="C5" s="124" t="s">
        <v>1</v>
      </c>
      <c r="D5" s="124"/>
      <c r="E5" s="49" t="s">
        <v>49</v>
      </c>
      <c r="F5" s="49" t="s">
        <v>50</v>
      </c>
      <c r="G5" s="50" t="s">
        <v>51</v>
      </c>
      <c r="H5" s="50" t="s">
        <v>60</v>
      </c>
      <c r="I5" s="49" t="s">
        <v>56</v>
      </c>
      <c r="J5" s="49" t="s">
        <v>61</v>
      </c>
    </row>
    <row r="6" spans="1:10" ht="15.75" thickTop="1" x14ac:dyDescent="0.25"/>
    <row r="7" spans="1:10" x14ac:dyDescent="0.25">
      <c r="A7" s="10" t="s">
        <v>2</v>
      </c>
    </row>
    <row r="9" spans="1:10" x14ac:dyDescent="0.25">
      <c r="A9" s="46" t="s">
        <v>42</v>
      </c>
      <c r="B9" s="51" t="s">
        <v>43</v>
      </c>
      <c r="C9" s="51" t="s">
        <v>43</v>
      </c>
      <c r="D9" s="51" t="s">
        <v>44</v>
      </c>
      <c r="E9" s="51" t="s">
        <v>43</v>
      </c>
      <c r="F9" s="51" t="s">
        <v>43</v>
      </c>
      <c r="G9" s="51" t="s">
        <v>43</v>
      </c>
      <c r="H9" s="51" t="s">
        <v>43</v>
      </c>
      <c r="I9" s="51" t="s">
        <v>57</v>
      </c>
      <c r="J9" s="51" t="s">
        <v>43</v>
      </c>
    </row>
    <row r="10" spans="1:10" s="54" customFormat="1" x14ac:dyDescent="0.25">
      <c r="A10" s="52" t="s">
        <v>62</v>
      </c>
      <c r="B10" s="53">
        <v>139369</v>
      </c>
      <c r="C10" s="53">
        <v>95253</v>
      </c>
      <c r="D10" s="53">
        <v>120026</v>
      </c>
      <c r="E10" s="53">
        <v>1378</v>
      </c>
      <c r="F10" s="53">
        <v>85</v>
      </c>
      <c r="G10" s="53">
        <v>11801</v>
      </c>
      <c r="H10" s="53">
        <v>44660</v>
      </c>
      <c r="I10" s="53">
        <v>21189</v>
      </c>
      <c r="J10" s="36" t="s">
        <v>67</v>
      </c>
    </row>
    <row r="11" spans="1:10" s="54" customFormat="1" x14ac:dyDescent="0.25">
      <c r="A11" s="52" t="s">
        <v>63</v>
      </c>
      <c r="B11" s="53" t="s">
        <v>55</v>
      </c>
      <c r="C11" s="53" t="s">
        <v>55</v>
      </c>
      <c r="D11" s="53">
        <v>126870</v>
      </c>
      <c r="E11" s="53">
        <v>1238</v>
      </c>
      <c r="F11" s="53">
        <v>444</v>
      </c>
      <c r="G11" s="53">
        <v>11962</v>
      </c>
      <c r="H11" s="53">
        <v>49100</v>
      </c>
      <c r="I11" s="53">
        <v>20737</v>
      </c>
      <c r="J11" s="36" t="s">
        <v>67</v>
      </c>
    </row>
    <row r="12" spans="1:10" s="54" customFormat="1" x14ac:dyDescent="0.25">
      <c r="A12" s="52" t="s">
        <v>66</v>
      </c>
      <c r="B12" s="53">
        <f>+SUM(D12:I12)</f>
        <v>619553</v>
      </c>
      <c r="C12" s="53" t="s">
        <v>55</v>
      </c>
      <c r="D12" s="53">
        <v>380110</v>
      </c>
      <c r="E12" s="53">
        <v>3714</v>
      </c>
      <c r="F12" s="53">
        <v>1332</v>
      </c>
      <c r="G12" s="53">
        <v>35886</v>
      </c>
      <c r="H12" s="53">
        <v>136300</v>
      </c>
      <c r="I12" s="53">
        <v>62211</v>
      </c>
      <c r="J12" s="36" t="s">
        <v>67</v>
      </c>
    </row>
    <row r="13" spans="1:10" s="54" customFormat="1" x14ac:dyDescent="0.25">
      <c r="A13" s="52" t="s">
        <v>64</v>
      </c>
      <c r="B13" s="53">
        <v>161349</v>
      </c>
      <c r="C13" s="53">
        <v>116284</v>
      </c>
      <c r="D13" s="53">
        <v>145369</v>
      </c>
      <c r="E13" s="53">
        <v>1378</v>
      </c>
      <c r="F13" s="53">
        <v>113</v>
      </c>
      <c r="G13" s="53">
        <v>11216</v>
      </c>
      <c r="H13" s="53">
        <v>47661</v>
      </c>
      <c r="I13" s="53">
        <v>20180</v>
      </c>
      <c r="J13" s="36" t="s">
        <v>67</v>
      </c>
    </row>
    <row r="14" spans="1:10" s="54" customFormat="1" x14ac:dyDescent="0.25">
      <c r="A14" s="52" t="s">
        <v>66</v>
      </c>
      <c r="B14" s="53">
        <f>+SUM(D14:I14)</f>
        <v>994337</v>
      </c>
      <c r="C14" s="53" t="s">
        <v>55</v>
      </c>
      <c r="D14" s="53">
        <v>682307</v>
      </c>
      <c r="E14" s="53">
        <v>4754</v>
      </c>
      <c r="F14" s="53">
        <v>226</v>
      </c>
      <c r="G14" s="53">
        <v>41427</v>
      </c>
      <c r="H14" s="53">
        <v>175422</v>
      </c>
      <c r="I14" s="53">
        <v>90201</v>
      </c>
      <c r="J14" s="36" t="s">
        <v>67</v>
      </c>
    </row>
    <row r="15" spans="1:10" s="54" customFormat="1" x14ac:dyDescent="0.25">
      <c r="A15" s="52" t="s">
        <v>65</v>
      </c>
      <c r="B15" s="53" t="s">
        <v>55</v>
      </c>
      <c r="C15" s="53" t="s">
        <v>55</v>
      </c>
      <c r="D15" s="53">
        <v>133430</v>
      </c>
      <c r="E15" s="53">
        <v>1239</v>
      </c>
      <c r="F15" s="53">
        <v>445</v>
      </c>
      <c r="G15" s="53">
        <v>11962</v>
      </c>
      <c r="H15" s="53">
        <v>70775</v>
      </c>
      <c r="I15" s="53">
        <v>20738</v>
      </c>
      <c r="J15" s="36" t="s">
        <v>67</v>
      </c>
    </row>
    <row r="16" spans="1:10" s="54" customFormat="1" x14ac:dyDescent="0.25">
      <c r="B16" s="36"/>
      <c r="C16" s="36" t="s">
        <v>52</v>
      </c>
      <c r="D16" s="36"/>
      <c r="E16" s="36"/>
      <c r="F16" s="36"/>
      <c r="G16" s="36"/>
      <c r="H16" s="36"/>
      <c r="I16" s="36"/>
      <c r="J16" s="36"/>
    </row>
    <row r="17" spans="1:10" s="54" customFormat="1" x14ac:dyDescent="0.25">
      <c r="A17" s="55" t="s">
        <v>3</v>
      </c>
      <c r="B17" s="36"/>
      <c r="C17" s="36"/>
      <c r="D17" s="36"/>
      <c r="E17" s="36"/>
      <c r="F17" s="36"/>
      <c r="G17" s="36"/>
      <c r="H17" s="36"/>
      <c r="I17" s="36"/>
      <c r="J17" s="36"/>
    </row>
    <row r="18" spans="1:10" s="54" customFormat="1" x14ac:dyDescent="0.25">
      <c r="A18" s="52" t="s">
        <v>62</v>
      </c>
      <c r="B18" s="56">
        <f>C18+E18+F18+H18+G18+I18+J18</f>
        <v>25039523352.720001</v>
      </c>
      <c r="C18" s="126">
        <v>8933549000</v>
      </c>
      <c r="D18" s="126"/>
      <c r="E18" s="56">
        <v>216871813.00000003</v>
      </c>
      <c r="F18" s="56">
        <v>26094000</v>
      </c>
      <c r="G18" s="56">
        <v>1674195000</v>
      </c>
      <c r="H18" s="56">
        <v>6846553992</v>
      </c>
      <c r="I18" s="56">
        <v>7037559528.000001</v>
      </c>
      <c r="J18" s="56">
        <v>304700019.72000003</v>
      </c>
    </row>
    <row r="19" spans="1:10" s="54" customFormat="1" x14ac:dyDescent="0.25">
      <c r="A19" s="52" t="s">
        <v>63</v>
      </c>
      <c r="B19" s="56">
        <f>C19+E19+F19+H19+G19+I19</f>
        <v>32808779000</v>
      </c>
      <c r="C19" s="126">
        <v>13303850000</v>
      </c>
      <c r="D19" s="126"/>
      <c r="E19" s="56">
        <v>415968000</v>
      </c>
      <c r="F19" s="56">
        <v>415584000</v>
      </c>
      <c r="G19" s="56">
        <v>1794300000</v>
      </c>
      <c r="H19" s="56">
        <v>10222500000</v>
      </c>
      <c r="I19" s="56">
        <v>6656577000</v>
      </c>
      <c r="J19" s="56" t="s">
        <v>67</v>
      </c>
    </row>
    <row r="20" spans="1:10" s="54" customFormat="1" x14ac:dyDescent="0.25">
      <c r="A20" s="52" t="s">
        <v>64</v>
      </c>
      <c r="B20" s="56">
        <f>C20+E20+F20+H20+G20+I20+J20</f>
        <v>25873612978.310001</v>
      </c>
      <c r="C20" s="126">
        <v>12011820000</v>
      </c>
      <c r="D20" s="126"/>
      <c r="E20" s="56">
        <v>190815500</v>
      </c>
      <c r="F20" s="56">
        <v>40460000</v>
      </c>
      <c r="G20" s="56">
        <v>1066617000</v>
      </c>
      <c r="H20" s="56">
        <v>6061003666</v>
      </c>
      <c r="I20" s="56">
        <v>6365413109.000001</v>
      </c>
      <c r="J20" s="56">
        <v>137483703.31</v>
      </c>
    </row>
    <row r="21" spans="1:10" s="54" customFormat="1" x14ac:dyDescent="0.25">
      <c r="A21" s="52" t="s">
        <v>65</v>
      </c>
      <c r="B21" s="56">
        <f>C21+E21+F21+H21+G21+I21</f>
        <v>133093638000</v>
      </c>
      <c r="C21" s="126">
        <v>49999985000</v>
      </c>
      <c r="D21" s="126"/>
      <c r="E21" s="57">
        <v>1525440000</v>
      </c>
      <c r="F21" s="57">
        <v>1525368000</v>
      </c>
      <c r="G21" s="56">
        <v>7177200000</v>
      </c>
      <c r="H21" s="56">
        <v>48457875000</v>
      </c>
      <c r="I21" s="56">
        <v>24407770000</v>
      </c>
      <c r="J21" s="56" t="s">
        <v>67</v>
      </c>
    </row>
    <row r="22" spans="1:10" s="54" customFormat="1" x14ac:dyDescent="0.25">
      <c r="A22" s="52" t="s">
        <v>83</v>
      </c>
      <c r="B22" s="56">
        <f t="shared" ref="B22" si="0">C22+E22+F22+H22+G22+I22+J22</f>
        <v>25873612978.310001</v>
      </c>
      <c r="C22" s="126">
        <f>C20</f>
        <v>12011820000</v>
      </c>
      <c r="D22" s="126"/>
      <c r="E22" s="56">
        <f>E20</f>
        <v>190815500</v>
      </c>
      <c r="F22" s="56">
        <f t="shared" ref="F22:J22" si="1">F20</f>
        <v>40460000</v>
      </c>
      <c r="G22" s="56">
        <f t="shared" si="1"/>
        <v>1066617000</v>
      </c>
      <c r="H22" s="56">
        <f t="shared" si="1"/>
        <v>6061003666</v>
      </c>
      <c r="I22" s="56">
        <f t="shared" si="1"/>
        <v>6365413109.000001</v>
      </c>
      <c r="J22" s="56">
        <f t="shared" si="1"/>
        <v>137483703.31</v>
      </c>
    </row>
    <row r="23" spans="1:10" s="54" customFormat="1" x14ac:dyDescent="0.25">
      <c r="B23" s="36"/>
      <c r="C23" s="36"/>
      <c r="D23" s="36"/>
      <c r="E23" s="36"/>
      <c r="F23" s="36"/>
      <c r="G23" s="36"/>
      <c r="H23" s="36"/>
      <c r="I23" s="53"/>
      <c r="J23" s="36"/>
    </row>
    <row r="24" spans="1:10" s="54" customFormat="1" x14ac:dyDescent="0.25">
      <c r="A24" s="55" t="s">
        <v>4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s="54" customFormat="1" x14ac:dyDescent="0.25">
      <c r="A25" s="52" t="s">
        <v>63</v>
      </c>
      <c r="B25" s="36">
        <f>B19</f>
        <v>32808779000</v>
      </c>
      <c r="C25" s="36"/>
      <c r="D25" s="36"/>
      <c r="E25" s="36"/>
      <c r="F25" s="36"/>
      <c r="G25" s="36"/>
      <c r="H25" s="36"/>
      <c r="I25" s="36"/>
      <c r="J25" s="36"/>
    </row>
    <row r="26" spans="1:10" s="54" customFormat="1" x14ac:dyDescent="0.25">
      <c r="A26" s="52" t="s">
        <v>64</v>
      </c>
      <c r="B26" s="36">
        <v>30358742581.509998</v>
      </c>
      <c r="C26" s="36"/>
      <c r="D26" s="36"/>
      <c r="E26" s="36"/>
      <c r="F26" s="36"/>
      <c r="G26" s="36"/>
      <c r="H26" s="36"/>
      <c r="I26" s="36"/>
      <c r="J26" s="36"/>
    </row>
    <row r="27" spans="1:10" s="54" customFormat="1" x14ac:dyDescent="0.25">
      <c r="B27" s="36"/>
      <c r="C27" s="36"/>
      <c r="D27" s="36"/>
      <c r="E27" s="36"/>
      <c r="F27" s="36"/>
      <c r="G27" s="36"/>
      <c r="H27" s="36"/>
      <c r="I27" s="36"/>
      <c r="J27" s="36"/>
    </row>
    <row r="28" spans="1:10" s="54" customFormat="1" x14ac:dyDescent="0.25">
      <c r="A28" s="54" t="s">
        <v>5</v>
      </c>
      <c r="B28" s="36"/>
      <c r="C28" s="36"/>
      <c r="D28" s="36"/>
      <c r="E28" s="36"/>
      <c r="F28" s="36"/>
      <c r="G28" s="36"/>
      <c r="H28" s="36"/>
      <c r="I28" s="36"/>
      <c r="J28" s="36"/>
    </row>
    <row r="29" spans="1:10" s="54" customFormat="1" x14ac:dyDescent="0.25">
      <c r="A29" s="52" t="s">
        <v>84</v>
      </c>
      <c r="B29" s="82">
        <v>1.0042274323</v>
      </c>
      <c r="C29" s="82">
        <v>1.0042274323</v>
      </c>
      <c r="D29" s="82">
        <v>1.0042274323</v>
      </c>
      <c r="E29" s="82">
        <v>1.0042274323</v>
      </c>
      <c r="F29" s="82">
        <v>1.0042274323</v>
      </c>
      <c r="G29" s="82">
        <v>1.0042274323</v>
      </c>
      <c r="H29" s="82">
        <v>1.0042274323</v>
      </c>
      <c r="I29" s="82">
        <v>1.0042274323</v>
      </c>
      <c r="J29" s="82">
        <v>1.0042274323</v>
      </c>
    </row>
    <row r="30" spans="1:10" s="54" customFormat="1" x14ac:dyDescent="0.25">
      <c r="A30" s="52" t="s">
        <v>85</v>
      </c>
      <c r="B30" s="82">
        <v>1.0304675706999999</v>
      </c>
      <c r="C30" s="82">
        <v>1.0304675706999999</v>
      </c>
      <c r="D30" s="82">
        <v>1.0304675706999999</v>
      </c>
      <c r="E30" s="82">
        <v>1.0304675706999999</v>
      </c>
      <c r="F30" s="82">
        <v>1.0304675706999999</v>
      </c>
      <c r="G30" s="82">
        <v>1.0304675706999999</v>
      </c>
      <c r="H30" s="82">
        <v>1.0304675706999999</v>
      </c>
      <c r="I30" s="82">
        <v>1.0304675706999999</v>
      </c>
      <c r="J30" s="82">
        <v>1.0304675706999999</v>
      </c>
    </row>
    <row r="31" spans="1:10" s="54" customFormat="1" x14ac:dyDescent="0.25">
      <c r="A31" s="52" t="s">
        <v>6</v>
      </c>
      <c r="B31" s="36">
        <v>359918</v>
      </c>
      <c r="C31" s="126">
        <v>139696</v>
      </c>
      <c r="D31" s="126"/>
      <c r="E31" s="36">
        <v>140011</v>
      </c>
      <c r="F31" s="53" t="s">
        <v>67</v>
      </c>
      <c r="G31" s="36">
        <v>76403</v>
      </c>
      <c r="H31" s="53" t="s">
        <v>67</v>
      </c>
      <c r="I31" s="53" t="s">
        <v>67</v>
      </c>
      <c r="J31" s="53" t="s">
        <v>67</v>
      </c>
    </row>
    <row r="32" spans="1:10" x14ac:dyDescent="0.25">
      <c r="A32" s="54"/>
      <c r="B32" s="36"/>
      <c r="C32" s="36"/>
      <c r="D32" s="36"/>
      <c r="E32" s="36"/>
      <c r="F32" s="51"/>
      <c r="G32" s="51"/>
      <c r="H32" s="51"/>
      <c r="I32" s="51"/>
      <c r="J32" s="51"/>
    </row>
    <row r="33" spans="1:10" s="54" customFormat="1" x14ac:dyDescent="0.25">
      <c r="A33" s="43" t="s">
        <v>7</v>
      </c>
      <c r="B33" s="36"/>
      <c r="C33" s="36"/>
      <c r="D33" s="36"/>
      <c r="E33" s="36"/>
      <c r="F33" s="36"/>
      <c r="G33" s="36"/>
      <c r="H33" s="36"/>
      <c r="I33" s="36"/>
      <c r="J33" s="36"/>
    </row>
    <row r="34" spans="1:10" s="54" customFormat="1" x14ac:dyDescent="0.25">
      <c r="A34" s="54" t="s">
        <v>124</v>
      </c>
      <c r="B34" s="111">
        <f>B18/B29</f>
        <v>24934116065.094471</v>
      </c>
      <c r="C34" s="131">
        <f>C18/C29</f>
        <v>8895942007.418911</v>
      </c>
      <c r="D34" s="132"/>
      <c r="E34" s="111">
        <f>E18/E29</f>
        <v>215958861.533283</v>
      </c>
      <c r="F34" s="111">
        <f t="shared" ref="F34:J34" si="2">F18/F29</f>
        <v>25984153.749152664</v>
      </c>
      <c r="G34" s="111">
        <f t="shared" si="2"/>
        <v>1667147247.8754752</v>
      </c>
      <c r="H34" s="111">
        <f t="shared" si="2"/>
        <v>6817732489.4612923</v>
      </c>
      <c r="I34" s="111">
        <f t="shared" si="2"/>
        <v>7007933961.6144056</v>
      </c>
      <c r="J34" s="111">
        <f t="shared" si="2"/>
        <v>303417343.4419533</v>
      </c>
    </row>
    <row r="35" spans="1:10" s="54" customFormat="1" x14ac:dyDescent="0.25">
      <c r="A35" s="54" t="s">
        <v>125</v>
      </c>
      <c r="B35" s="111">
        <f>B20/B30</f>
        <v>25108614491.122677</v>
      </c>
      <c r="C35" s="131">
        <f>C20/C30</f>
        <v>11656669594.988159</v>
      </c>
      <c r="D35" s="132"/>
      <c r="E35" s="111">
        <f>E20/E30</f>
        <v>185173706.99048629</v>
      </c>
      <c r="F35" s="111">
        <f t="shared" ref="F35:J35" si="3">F20/F30</f>
        <v>39263729.544167399</v>
      </c>
      <c r="G35" s="111">
        <f t="shared" si="3"/>
        <v>1035080608.3838656</v>
      </c>
      <c r="H35" s="111">
        <f t="shared" si="3"/>
        <v>5881799523.1841602</v>
      </c>
      <c r="I35" s="111">
        <f t="shared" si="3"/>
        <v>6177208570.1600056</v>
      </c>
      <c r="J35" s="111">
        <f t="shared" si="3"/>
        <v>133418757.87183373</v>
      </c>
    </row>
    <row r="36" spans="1:10" s="54" customFormat="1" x14ac:dyDescent="0.25">
      <c r="A36" s="54" t="s">
        <v>126</v>
      </c>
      <c r="B36" s="111">
        <f>B34/B10</f>
        <v>178907.1892967193</v>
      </c>
      <c r="C36" s="133">
        <f>C34/D10</f>
        <v>74116.791423682458</v>
      </c>
      <c r="D36" s="133"/>
      <c r="E36" s="111">
        <f>E34/E10</f>
        <v>156719.05771646081</v>
      </c>
      <c r="F36" s="111">
        <f t="shared" ref="F36:I36" si="4">F34/F10</f>
        <v>305695.92646061955</v>
      </c>
      <c r="G36" s="111">
        <f t="shared" si="4"/>
        <v>141271.69289682867</v>
      </c>
      <c r="H36" s="111">
        <f t="shared" si="4"/>
        <v>152658.5868665762</v>
      </c>
      <c r="I36" s="111">
        <f t="shared" si="4"/>
        <v>330734.53025694488</v>
      </c>
      <c r="J36" s="117" t="s">
        <v>67</v>
      </c>
    </row>
    <row r="37" spans="1:10" s="54" customFormat="1" x14ac:dyDescent="0.25">
      <c r="A37" s="54" t="s">
        <v>127</v>
      </c>
      <c r="B37" s="111">
        <f>B35/B13</f>
        <v>155616.79645441048</v>
      </c>
      <c r="C37" s="133">
        <f>C35/D13</f>
        <v>80186.763305712768</v>
      </c>
      <c r="D37" s="133"/>
      <c r="E37" s="111">
        <f>E35/E13</f>
        <v>134378.59723547628</v>
      </c>
      <c r="F37" s="111">
        <f t="shared" ref="F37:I37" si="5">F35/F13</f>
        <v>347466.6331342248</v>
      </c>
      <c r="G37" s="111">
        <f t="shared" si="5"/>
        <v>92286.074213968051</v>
      </c>
      <c r="H37" s="111">
        <f t="shared" si="5"/>
        <v>123409.06659919348</v>
      </c>
      <c r="I37" s="111">
        <f t="shared" si="5"/>
        <v>306105.4791952431</v>
      </c>
      <c r="J37" s="117" t="s">
        <v>67</v>
      </c>
    </row>
    <row r="38" spans="1:10" s="54" customFormat="1" x14ac:dyDescent="0.25">
      <c r="B38" s="111"/>
      <c r="C38" s="111"/>
      <c r="D38" s="111"/>
      <c r="E38" s="111"/>
      <c r="F38" s="111"/>
      <c r="G38" s="111"/>
      <c r="H38" s="111"/>
      <c r="I38" s="111"/>
      <c r="J38" s="111"/>
    </row>
    <row r="39" spans="1:10" s="54" customFormat="1" x14ac:dyDescent="0.25">
      <c r="A39" s="43" t="s">
        <v>8</v>
      </c>
      <c r="B39" s="111"/>
      <c r="C39" s="111"/>
      <c r="D39" s="111"/>
      <c r="E39" s="111"/>
      <c r="F39" s="111"/>
      <c r="G39" s="111"/>
      <c r="H39" s="111"/>
      <c r="I39" s="111"/>
      <c r="J39" s="111"/>
    </row>
    <row r="40" spans="1:10" s="54" customFormat="1" x14ac:dyDescent="0.25">
      <c r="B40" s="111"/>
      <c r="C40" s="111"/>
      <c r="D40" s="111"/>
      <c r="E40" s="111"/>
      <c r="F40" s="111"/>
      <c r="G40" s="111"/>
      <c r="H40" s="111"/>
      <c r="I40" s="111"/>
      <c r="J40" s="111"/>
    </row>
    <row r="41" spans="1:10" s="54" customFormat="1" x14ac:dyDescent="0.25">
      <c r="A41" s="54" t="s">
        <v>9</v>
      </c>
      <c r="B41" s="111"/>
      <c r="C41" s="111"/>
      <c r="D41" s="111"/>
      <c r="E41" s="111"/>
      <c r="F41" s="111"/>
      <c r="G41" s="111"/>
      <c r="H41" s="111"/>
      <c r="I41" s="111"/>
      <c r="J41" s="111"/>
    </row>
    <row r="42" spans="1:10" s="54" customFormat="1" x14ac:dyDescent="0.25">
      <c r="A42" s="54" t="s">
        <v>10</v>
      </c>
      <c r="B42" s="117" t="s">
        <v>67</v>
      </c>
      <c r="C42" s="123">
        <f>(D11/C31)*100</f>
        <v>90.818634749742301</v>
      </c>
      <c r="D42" s="123"/>
      <c r="E42" s="111">
        <f>(E11/E31)*100</f>
        <v>0.88421624015255951</v>
      </c>
      <c r="F42" s="111" t="s">
        <v>53</v>
      </c>
      <c r="G42" s="111">
        <f t="shared" ref="G42" si="6">G11/G31*100</f>
        <v>15.656453280630341</v>
      </c>
      <c r="H42" s="117" t="s">
        <v>67</v>
      </c>
      <c r="I42" s="117" t="s">
        <v>67</v>
      </c>
      <c r="J42" s="117" t="s">
        <v>67</v>
      </c>
    </row>
    <row r="43" spans="1:10" s="54" customFormat="1" x14ac:dyDescent="0.25">
      <c r="A43" s="54" t="s">
        <v>11</v>
      </c>
      <c r="B43" s="111">
        <f>(B13/B31)*100</f>
        <v>44.82937780272173</v>
      </c>
      <c r="C43" s="123">
        <f>(D13/C31)*100</f>
        <v>104.0609609437636</v>
      </c>
      <c r="D43" s="123"/>
      <c r="E43" s="111">
        <f>(E13/E31)*100</f>
        <v>0.9842083836270008</v>
      </c>
      <c r="F43" s="111" t="s">
        <v>53</v>
      </c>
      <c r="G43" s="111">
        <f>(G13/G31)*100</f>
        <v>14.680051830425505</v>
      </c>
      <c r="H43" s="117" t="s">
        <v>67</v>
      </c>
      <c r="I43" s="117" t="s">
        <v>67</v>
      </c>
      <c r="J43" s="117" t="s">
        <v>67</v>
      </c>
    </row>
    <row r="44" spans="1:10" s="54" customFormat="1" x14ac:dyDescent="0.25">
      <c r="B44" s="111"/>
      <c r="C44" s="111"/>
      <c r="D44" s="111"/>
      <c r="E44" s="111"/>
      <c r="F44" s="111"/>
      <c r="G44" s="111"/>
      <c r="H44" s="111"/>
      <c r="I44" s="111"/>
      <c r="J44" s="111"/>
    </row>
    <row r="45" spans="1:10" s="54" customFormat="1" x14ac:dyDescent="0.25">
      <c r="A45" s="54" t="s">
        <v>12</v>
      </c>
      <c r="B45" s="111"/>
      <c r="C45" s="111"/>
      <c r="D45" s="111"/>
      <c r="E45" s="111"/>
      <c r="F45" s="111"/>
      <c r="G45" s="111"/>
      <c r="H45" s="111"/>
      <c r="I45" s="111"/>
      <c r="J45" s="111"/>
    </row>
    <row r="46" spans="1:10" s="54" customFormat="1" x14ac:dyDescent="0.25">
      <c r="A46" s="54" t="s">
        <v>13</v>
      </c>
      <c r="B46" s="117" t="s">
        <v>67</v>
      </c>
      <c r="C46" s="117" t="s">
        <v>67</v>
      </c>
      <c r="D46" s="111">
        <f>D13/D11*100</f>
        <v>114.58106723417671</v>
      </c>
      <c r="E46" s="111">
        <f>E13/E11*100</f>
        <v>111.30856219709209</v>
      </c>
      <c r="F46" s="111">
        <f t="shared" ref="F46:I46" si="7">F13/F11*100</f>
        <v>25.45045045045045</v>
      </c>
      <c r="G46" s="111">
        <f t="shared" si="7"/>
        <v>93.763584684835308</v>
      </c>
      <c r="H46" s="111">
        <f t="shared" si="7"/>
        <v>97.069246435845216</v>
      </c>
      <c r="I46" s="111">
        <f t="shared" si="7"/>
        <v>97.313979842793074</v>
      </c>
      <c r="J46" s="117" t="s">
        <v>67</v>
      </c>
    </row>
    <row r="47" spans="1:10" s="54" customFormat="1" x14ac:dyDescent="0.25">
      <c r="A47" s="54" t="s">
        <v>14</v>
      </c>
      <c r="B47" s="111">
        <f>B20/B19*100</f>
        <v>78.86185882842517</v>
      </c>
      <c r="C47" s="123">
        <f>C20/C19*100</f>
        <v>90.288300003382489</v>
      </c>
      <c r="D47" s="123"/>
      <c r="E47" s="111">
        <f>E20/E19*100</f>
        <v>45.872639241480115</v>
      </c>
      <c r="F47" s="111">
        <f t="shared" ref="F47:I47" si="8">F20/F19*100</f>
        <v>9.735697235697236</v>
      </c>
      <c r="G47" s="111">
        <f t="shared" si="8"/>
        <v>59.444741681992973</v>
      </c>
      <c r="H47" s="111">
        <f t="shared" si="8"/>
        <v>59.290816003912937</v>
      </c>
      <c r="I47" s="111">
        <f t="shared" si="8"/>
        <v>95.625921686175957</v>
      </c>
      <c r="J47" s="117" t="s">
        <v>67</v>
      </c>
    </row>
    <row r="48" spans="1:10" s="54" customFormat="1" x14ac:dyDescent="0.25">
      <c r="A48" s="54" t="s">
        <v>15</v>
      </c>
      <c r="B48" s="117" t="s">
        <v>67</v>
      </c>
      <c r="C48" s="117" t="s">
        <v>67</v>
      </c>
      <c r="D48" s="111">
        <f>AVERAGE(D46,C47)</f>
        <v>102.4346836187796</v>
      </c>
      <c r="E48" s="111">
        <f>AVERAGE(E46:E47)</f>
        <v>78.590600719286101</v>
      </c>
      <c r="F48" s="111">
        <f t="shared" ref="F48:I48" si="9">AVERAGE(F46:F47)</f>
        <v>17.593073843073842</v>
      </c>
      <c r="G48" s="111">
        <f t="shared" si="9"/>
        <v>76.604163183414144</v>
      </c>
      <c r="H48" s="111">
        <f t="shared" si="9"/>
        <v>78.180031219879083</v>
      </c>
      <c r="I48" s="111">
        <f t="shared" si="9"/>
        <v>96.469950764484508</v>
      </c>
      <c r="J48" s="117" t="s">
        <v>67</v>
      </c>
    </row>
    <row r="49" spans="1:10" s="54" customFormat="1" x14ac:dyDescent="0.25">
      <c r="B49" s="111"/>
      <c r="C49" s="111"/>
      <c r="D49" s="111"/>
      <c r="E49" s="111"/>
      <c r="F49" s="111"/>
      <c r="G49" s="111"/>
      <c r="H49" s="111"/>
      <c r="I49" s="111"/>
      <c r="J49" s="111"/>
    </row>
    <row r="50" spans="1:10" s="54" customFormat="1" x14ac:dyDescent="0.25">
      <c r="A50" s="54" t="s">
        <v>16</v>
      </c>
      <c r="B50" s="111"/>
      <c r="C50" s="111"/>
      <c r="D50" s="111"/>
      <c r="E50" s="111"/>
      <c r="F50" s="111"/>
      <c r="G50" s="111"/>
      <c r="H50" s="111"/>
      <c r="I50" s="111"/>
      <c r="J50" s="111"/>
    </row>
    <row r="51" spans="1:10" s="54" customFormat="1" x14ac:dyDescent="0.25">
      <c r="A51" s="54" t="s">
        <v>17</v>
      </c>
      <c r="B51" s="117" t="s">
        <v>67</v>
      </c>
      <c r="C51" s="125">
        <f>D13/D15*100</f>
        <v>108.94776287191786</v>
      </c>
      <c r="D51" s="125"/>
      <c r="E51" s="111">
        <f>E13/E15*100</f>
        <v>111.21872477804682</v>
      </c>
      <c r="F51" s="111">
        <f t="shared" ref="F51:I51" si="10">F13/F15*100</f>
        <v>25.393258426966291</v>
      </c>
      <c r="G51" s="111">
        <f t="shared" si="10"/>
        <v>93.763584684835308</v>
      </c>
      <c r="H51" s="111">
        <f t="shared" si="10"/>
        <v>67.341575415047686</v>
      </c>
      <c r="I51" s="111">
        <f t="shared" si="10"/>
        <v>97.309287298678754</v>
      </c>
      <c r="J51" s="117" t="s">
        <v>67</v>
      </c>
    </row>
    <row r="52" spans="1:10" s="54" customFormat="1" x14ac:dyDescent="0.25">
      <c r="A52" s="54" t="s">
        <v>18</v>
      </c>
      <c r="B52" s="111">
        <f>B20/B21*100</f>
        <v>19.440157596646358</v>
      </c>
      <c r="C52" s="125">
        <f>C20/C21*100</f>
        <v>24.023647207094161</v>
      </c>
      <c r="D52" s="125"/>
      <c r="E52" s="111">
        <f>E20/E21*100</f>
        <v>12.50888268302916</v>
      </c>
      <c r="F52" s="111">
        <f t="shared" ref="F52:I52" si="11">F20/F21*100</f>
        <v>2.6524746815194762</v>
      </c>
      <c r="G52" s="111">
        <f t="shared" si="11"/>
        <v>14.861185420498243</v>
      </c>
      <c r="H52" s="111">
        <f t="shared" si="11"/>
        <v>12.507778490080302</v>
      </c>
      <c r="I52" s="111">
        <f t="shared" si="11"/>
        <v>26.079453833758681</v>
      </c>
      <c r="J52" s="117" t="s">
        <v>67</v>
      </c>
    </row>
    <row r="53" spans="1:10" s="54" customFormat="1" x14ac:dyDescent="0.25">
      <c r="A53" s="54" t="s">
        <v>19</v>
      </c>
      <c r="B53" s="117" t="s">
        <v>67</v>
      </c>
      <c r="C53" s="125">
        <f>(C51+C52)/2</f>
        <v>66.485705039506016</v>
      </c>
      <c r="D53" s="125"/>
      <c r="E53" s="111">
        <f>(E51+E52)/2</f>
        <v>61.863803730537988</v>
      </c>
      <c r="F53" s="111">
        <f t="shared" ref="F53:I53" si="12">(F51+F52)/2</f>
        <v>14.022866554242883</v>
      </c>
      <c r="G53" s="111">
        <f t="shared" si="12"/>
        <v>54.312385052666777</v>
      </c>
      <c r="H53" s="111">
        <f t="shared" si="12"/>
        <v>39.924676952563992</v>
      </c>
      <c r="I53" s="111">
        <f t="shared" si="12"/>
        <v>61.694370566218716</v>
      </c>
      <c r="J53" s="117" t="s">
        <v>67</v>
      </c>
    </row>
    <row r="54" spans="1:10" s="54" customFormat="1" x14ac:dyDescent="0.25">
      <c r="B54" s="111"/>
      <c r="C54" s="110"/>
      <c r="D54" s="110"/>
      <c r="E54" s="111"/>
      <c r="F54" s="111"/>
      <c r="G54" s="111"/>
      <c r="H54" s="111"/>
      <c r="I54" s="111"/>
      <c r="J54" s="111"/>
    </row>
    <row r="55" spans="1:10" s="54" customFormat="1" x14ac:dyDescent="0.25">
      <c r="A55" s="54" t="s">
        <v>31</v>
      </c>
      <c r="B55" s="111"/>
      <c r="C55" s="110"/>
      <c r="D55" s="110"/>
      <c r="E55" s="111"/>
      <c r="F55" s="111"/>
      <c r="G55" s="111"/>
      <c r="H55" s="111"/>
      <c r="I55" s="111"/>
      <c r="J55" s="111"/>
    </row>
    <row r="56" spans="1:10" s="54" customFormat="1" x14ac:dyDescent="0.25">
      <c r="A56" s="54" t="s">
        <v>20</v>
      </c>
      <c r="B56" s="111">
        <f>B22/B20*100</f>
        <v>100</v>
      </c>
      <c r="C56" s="122">
        <f>C22/C20*100</f>
        <v>100</v>
      </c>
      <c r="D56" s="122"/>
      <c r="E56" s="111">
        <f>E22/E20*100</f>
        <v>100</v>
      </c>
      <c r="F56" s="111">
        <f t="shared" ref="F56:J56" si="13">F22/F20*100</f>
        <v>100</v>
      </c>
      <c r="G56" s="111">
        <f t="shared" si="13"/>
        <v>100</v>
      </c>
      <c r="H56" s="111">
        <f t="shared" si="13"/>
        <v>100</v>
      </c>
      <c r="I56" s="111">
        <f t="shared" si="13"/>
        <v>100</v>
      </c>
      <c r="J56" s="111">
        <f t="shared" si="13"/>
        <v>100</v>
      </c>
    </row>
    <row r="57" spans="1:10" s="54" customFormat="1" x14ac:dyDescent="0.25">
      <c r="B57" s="111"/>
      <c r="C57" s="110"/>
      <c r="D57" s="110"/>
      <c r="E57" s="111"/>
      <c r="F57" s="111"/>
      <c r="G57" s="111"/>
      <c r="H57" s="111"/>
      <c r="I57" s="111"/>
      <c r="J57" s="111"/>
    </row>
    <row r="58" spans="1:10" s="54" customFormat="1" x14ac:dyDescent="0.25">
      <c r="A58" s="54" t="s">
        <v>21</v>
      </c>
      <c r="B58" s="111"/>
      <c r="C58" s="110"/>
      <c r="D58" s="110"/>
      <c r="E58" s="111"/>
      <c r="F58" s="111"/>
      <c r="G58" s="111"/>
      <c r="H58" s="111"/>
      <c r="I58" s="111"/>
      <c r="J58" s="111"/>
    </row>
    <row r="59" spans="1:10" s="54" customFormat="1" x14ac:dyDescent="0.25">
      <c r="A59" s="54" t="s">
        <v>22</v>
      </c>
      <c r="B59" s="58">
        <f>((B13/B10)-1)*100</f>
        <v>15.771082521938173</v>
      </c>
      <c r="C59" s="120">
        <f>((D13/D10)-1)*100</f>
        <v>21.114591838435004</v>
      </c>
      <c r="D59" s="120"/>
      <c r="E59" s="58">
        <f>((E13/E10)-1)*100</f>
        <v>0</v>
      </c>
      <c r="F59" s="58">
        <f t="shared" ref="F59:I59" si="14">((F13/F10)-1)*100</f>
        <v>32.941176470588232</v>
      </c>
      <c r="G59" s="58">
        <f t="shared" si="14"/>
        <v>-4.9572070163545483</v>
      </c>
      <c r="H59" s="58">
        <f t="shared" si="14"/>
        <v>6.7196596506941431</v>
      </c>
      <c r="I59" s="58">
        <f t="shared" si="14"/>
        <v>-4.7619047619047672</v>
      </c>
      <c r="J59" s="117" t="s">
        <v>67</v>
      </c>
    </row>
    <row r="60" spans="1:10" s="54" customFormat="1" x14ac:dyDescent="0.25">
      <c r="A60" s="54" t="s">
        <v>23</v>
      </c>
      <c r="B60" s="58">
        <f>((B35/B34)-1)*100</f>
        <v>0.69983802743458501</v>
      </c>
      <c r="C60" s="120">
        <f>((C35/C34)-1)*100</f>
        <v>31.0335609794544</v>
      </c>
      <c r="D60" s="120"/>
      <c r="E60" s="58">
        <f>((E35/E34)-1)*100</f>
        <v>-14.255101330052245</v>
      </c>
      <c r="F60" s="58">
        <f t="shared" ref="F60:J60" si="15">((F35/F34)-1)*100</f>
        <v>51.106439421556217</v>
      </c>
      <c r="G60" s="58">
        <f t="shared" si="15"/>
        <v>-37.913066185190424</v>
      </c>
      <c r="H60" s="58">
        <f t="shared" si="15"/>
        <v>-13.727921529979026</v>
      </c>
      <c r="I60" s="58">
        <f t="shared" si="15"/>
        <v>-11.854069915679222</v>
      </c>
      <c r="J60" s="58">
        <f t="shared" si="15"/>
        <v>-56.027972442729521</v>
      </c>
    </row>
    <row r="61" spans="1:10" s="54" customFormat="1" x14ac:dyDescent="0.25">
      <c r="A61" s="54" t="s">
        <v>24</v>
      </c>
      <c r="B61" s="58">
        <f>((B37/B36)-1)*100</f>
        <v>-13.018142498276852</v>
      </c>
      <c r="C61" s="120">
        <f>((C37/C36)-1)*100</f>
        <v>8.1897391474110357</v>
      </c>
      <c r="D61" s="120"/>
      <c r="E61" s="58">
        <f>((E37/E36)-1)*100</f>
        <v>-14.255101330052234</v>
      </c>
      <c r="F61" s="58">
        <f t="shared" ref="F61:I61" si="16">((F37/F36)-1)*100</f>
        <v>13.66413584807329</v>
      </c>
      <c r="G61" s="58">
        <f t="shared" si="16"/>
        <v>-34.674758742103442</v>
      </c>
      <c r="H61" s="58">
        <f t="shared" si="16"/>
        <v>-19.160088448183288</v>
      </c>
      <c r="I61" s="58">
        <f t="shared" si="16"/>
        <v>-7.4467734114631696</v>
      </c>
      <c r="J61" s="117" t="s">
        <v>67</v>
      </c>
    </row>
    <row r="62" spans="1:10" s="54" customFormat="1" x14ac:dyDescent="0.25">
      <c r="B62" s="111"/>
      <c r="C62" s="110"/>
      <c r="D62" s="110"/>
      <c r="E62" s="111"/>
      <c r="F62" s="111"/>
      <c r="G62" s="111"/>
      <c r="H62" s="111"/>
      <c r="I62" s="111"/>
      <c r="J62" s="111"/>
    </row>
    <row r="63" spans="1:10" s="54" customFormat="1" x14ac:dyDescent="0.25">
      <c r="A63" s="54" t="s">
        <v>25</v>
      </c>
      <c r="B63" s="111"/>
      <c r="C63" s="110"/>
      <c r="D63" s="110"/>
      <c r="E63" s="111"/>
      <c r="F63" s="111"/>
      <c r="G63" s="111"/>
      <c r="H63" s="111"/>
      <c r="I63" s="111"/>
      <c r="J63" s="111"/>
    </row>
    <row r="64" spans="1:10" s="54" customFormat="1" x14ac:dyDescent="0.25">
      <c r="A64" s="54" t="s">
        <v>32</v>
      </c>
      <c r="B64" s="111">
        <f>(B19/B12)*3</f>
        <v>158866.69421340871</v>
      </c>
      <c r="C64" s="120">
        <f>(C19/D12)*3</f>
        <v>105000</v>
      </c>
      <c r="D64" s="120"/>
      <c r="E64" s="111">
        <f>(E19/E12)*3</f>
        <v>336000</v>
      </c>
      <c r="F64" s="111">
        <f t="shared" ref="F64:I64" si="17">(F19/F12)*3</f>
        <v>936000</v>
      </c>
      <c r="G64" s="111">
        <f t="shared" si="17"/>
        <v>150000</v>
      </c>
      <c r="H64" s="111">
        <f t="shared" si="17"/>
        <v>225000</v>
      </c>
      <c r="I64" s="111">
        <f t="shared" si="17"/>
        <v>321000</v>
      </c>
      <c r="J64" s="117" t="s">
        <v>67</v>
      </c>
    </row>
    <row r="65" spans="1:10" s="54" customFormat="1" x14ac:dyDescent="0.25">
      <c r="A65" s="54" t="s">
        <v>33</v>
      </c>
      <c r="B65" s="111">
        <f>(B20/B14)*3</f>
        <v>78062.909189671103</v>
      </c>
      <c r="C65" s="120">
        <f>(C20/D14)*3</f>
        <v>52814.143779852762</v>
      </c>
      <c r="D65" s="120"/>
      <c r="E65" s="111">
        <f>(E20/E14)*3</f>
        <v>120413.65166175853</v>
      </c>
      <c r="F65" s="111">
        <f t="shared" ref="F65:I65" si="18">(F20/F14)*3</f>
        <v>537079.64601769904</v>
      </c>
      <c r="G65" s="111">
        <f t="shared" si="18"/>
        <v>77240.712578752995</v>
      </c>
      <c r="H65" s="111">
        <f t="shared" si="18"/>
        <v>103652.96825939734</v>
      </c>
      <c r="I65" s="111">
        <f t="shared" si="18"/>
        <v>211707.62327468657</v>
      </c>
      <c r="J65" s="117" t="s">
        <v>67</v>
      </c>
    </row>
    <row r="66" spans="1:10" s="54" customFormat="1" x14ac:dyDescent="0.25">
      <c r="A66" s="54" t="s">
        <v>26</v>
      </c>
      <c r="B66" s="117" t="s">
        <v>67</v>
      </c>
      <c r="C66" s="125">
        <f>(C65/C64)*D48</f>
        <v>51.523810558913851</v>
      </c>
      <c r="D66" s="125"/>
      <c r="E66" s="111">
        <f>(E65/E64)*E48</f>
        <v>28.164825056251388</v>
      </c>
      <c r="F66" s="111">
        <f t="shared" ref="F66:I66" si="19">(F65/F64)*F48</f>
        <v>10.094959264958694</v>
      </c>
      <c r="G66" s="111">
        <f t="shared" si="19"/>
        <v>39.446401005239892</v>
      </c>
      <c r="H66" s="111">
        <f t="shared" si="19"/>
        <v>36.015965753568089</v>
      </c>
      <c r="I66" s="111">
        <f t="shared" si="19"/>
        <v>63.624373812383332</v>
      </c>
      <c r="J66" s="117" t="s">
        <v>67</v>
      </c>
    </row>
    <row r="67" spans="1:10" s="54" customFormat="1" x14ac:dyDescent="0.25">
      <c r="A67" s="54" t="s">
        <v>34</v>
      </c>
      <c r="B67" s="111">
        <f>B19/B12</f>
        <v>52955.564737802903</v>
      </c>
      <c r="C67" s="125">
        <f>C19/D12</f>
        <v>35000</v>
      </c>
      <c r="D67" s="125"/>
      <c r="E67" s="111">
        <f>E19/E12</f>
        <v>112000</v>
      </c>
      <c r="F67" s="111">
        <f>F19/F12</f>
        <v>312000</v>
      </c>
      <c r="G67" s="111">
        <f t="shared" ref="G67:I67" si="20">G19/G12</f>
        <v>50000</v>
      </c>
      <c r="H67" s="111">
        <f t="shared" si="20"/>
        <v>75000</v>
      </c>
      <c r="I67" s="111">
        <f t="shared" si="20"/>
        <v>107000</v>
      </c>
      <c r="J67" s="117" t="s">
        <v>67</v>
      </c>
    </row>
    <row r="68" spans="1:10" s="54" customFormat="1" x14ac:dyDescent="0.25">
      <c r="A68" s="54" t="s">
        <v>35</v>
      </c>
      <c r="B68" s="111">
        <f>B20/B14</f>
        <v>26020.96972989037</v>
      </c>
      <c r="C68" s="125">
        <f>C20/D14</f>
        <v>17604.714593284254</v>
      </c>
      <c r="D68" s="125"/>
      <c r="E68" s="111">
        <f>E20/E14</f>
        <v>40137.883887252843</v>
      </c>
      <c r="F68" s="111">
        <f>F20/F14</f>
        <v>179026.54867256636</v>
      </c>
      <c r="G68" s="111">
        <f t="shared" ref="G68:I68" si="21">G20/G14</f>
        <v>25746.904192917664</v>
      </c>
      <c r="H68" s="111">
        <f t="shared" si="21"/>
        <v>34550.989419799116</v>
      </c>
      <c r="I68" s="111">
        <f t="shared" si="21"/>
        <v>70569.207758228862</v>
      </c>
      <c r="J68" s="117" t="s">
        <v>67</v>
      </c>
    </row>
    <row r="69" spans="1:10" s="54" customFormat="1" x14ac:dyDescent="0.25">
      <c r="B69" s="111"/>
      <c r="C69" s="111"/>
      <c r="D69" s="111"/>
      <c r="E69" s="111"/>
      <c r="F69" s="111"/>
      <c r="G69" s="111"/>
      <c r="H69" s="111"/>
      <c r="I69" s="111"/>
      <c r="J69" s="111"/>
    </row>
    <row r="70" spans="1:10" s="54" customFormat="1" x14ac:dyDescent="0.25">
      <c r="A70" s="54" t="s">
        <v>27</v>
      </c>
      <c r="B70" s="111"/>
      <c r="C70" s="111"/>
      <c r="D70" s="111"/>
      <c r="E70" s="111"/>
      <c r="F70" s="111"/>
      <c r="G70" s="111"/>
      <c r="H70" s="111"/>
      <c r="I70" s="111"/>
      <c r="J70" s="111"/>
    </row>
    <row r="71" spans="1:10" s="54" customFormat="1" x14ac:dyDescent="0.25">
      <c r="A71" s="54" t="s">
        <v>28</v>
      </c>
      <c r="B71" s="111">
        <f>(B26/B25)*100</f>
        <v>92.532375500807262</v>
      </c>
      <c r="C71" s="111"/>
      <c r="D71" s="111"/>
      <c r="E71" s="111"/>
      <c r="F71" s="111"/>
      <c r="G71" s="111"/>
      <c r="H71" s="111"/>
      <c r="I71" s="111"/>
      <c r="J71" s="111"/>
    </row>
    <row r="72" spans="1:10" s="54" customFormat="1" x14ac:dyDescent="0.25">
      <c r="A72" s="54" t="s">
        <v>29</v>
      </c>
      <c r="B72" s="111">
        <f>(B20/B26)*100</f>
        <v>85.226233954987094</v>
      </c>
      <c r="C72" s="111"/>
      <c r="D72" s="111"/>
      <c r="E72" s="111"/>
      <c r="F72" s="111"/>
      <c r="G72" s="111"/>
      <c r="H72" s="111"/>
      <c r="I72" s="111"/>
      <c r="J72" s="111"/>
    </row>
    <row r="73" spans="1:10" s="54" customFormat="1" ht="15.75" thickBot="1" x14ac:dyDescent="0.3">
      <c r="A73" s="59"/>
      <c r="B73" s="83"/>
      <c r="C73" s="83"/>
      <c r="D73" s="83"/>
      <c r="E73" s="83"/>
      <c r="F73" s="83"/>
      <c r="G73" s="83"/>
      <c r="H73" s="83"/>
      <c r="I73" s="83"/>
      <c r="J73" s="83"/>
    </row>
    <row r="74" spans="1:10" ht="15.75" thickTop="1" x14ac:dyDescent="0.25"/>
    <row r="76" spans="1:10" x14ac:dyDescent="0.25">
      <c r="A76" s="46" t="s">
        <v>30</v>
      </c>
      <c r="B76" s="60"/>
    </row>
    <row r="77" spans="1:10" x14ac:dyDescent="0.25">
      <c r="A77" s="46" t="s">
        <v>119</v>
      </c>
    </row>
    <row r="78" spans="1:10" x14ac:dyDescent="0.25">
      <c r="A78" s="46" t="s">
        <v>45</v>
      </c>
    </row>
    <row r="79" spans="1:10" x14ac:dyDescent="0.25">
      <c r="A79" s="61" t="s">
        <v>58</v>
      </c>
    </row>
    <row r="80" spans="1:10" x14ac:dyDescent="0.25">
      <c r="A80" s="46" t="s">
        <v>54</v>
      </c>
    </row>
    <row r="81" spans="1:1" x14ac:dyDescent="0.25">
      <c r="A81" s="46" t="s">
        <v>120</v>
      </c>
    </row>
    <row r="82" spans="1:1" x14ac:dyDescent="0.25">
      <c r="A82" s="46" t="s">
        <v>121</v>
      </c>
    </row>
    <row r="83" spans="1:1" x14ac:dyDescent="0.25">
      <c r="A83" s="46" t="s">
        <v>46</v>
      </c>
    </row>
    <row r="84" spans="1:1" x14ac:dyDescent="0.25">
      <c r="A84" s="62" t="s">
        <v>47</v>
      </c>
    </row>
    <row r="85" spans="1:1" x14ac:dyDescent="0.25">
      <c r="A85" s="62" t="s">
        <v>48</v>
      </c>
    </row>
    <row r="86" spans="1:1" x14ac:dyDescent="0.25">
      <c r="A86" s="46" t="s">
        <v>122</v>
      </c>
    </row>
    <row r="88" spans="1:1" x14ac:dyDescent="0.25">
      <c r="A88" s="46" t="s">
        <v>123</v>
      </c>
    </row>
    <row r="158" spans="3:7" x14ac:dyDescent="0.25">
      <c r="C158" s="54"/>
      <c r="D158" s="54"/>
      <c r="E158" s="54"/>
      <c r="F158" s="54"/>
      <c r="G158" s="54"/>
    </row>
    <row r="159" spans="3:7" x14ac:dyDescent="0.25">
      <c r="C159" s="63"/>
    </row>
    <row r="160" spans="3:7" x14ac:dyDescent="0.25">
      <c r="C160" s="63"/>
    </row>
  </sheetData>
  <mergeCells count="29">
    <mergeCell ref="C68:D68"/>
    <mergeCell ref="C42:D42"/>
    <mergeCell ref="C43:D43"/>
    <mergeCell ref="A4:A5"/>
    <mergeCell ref="B4:B5"/>
    <mergeCell ref="C22:D22"/>
    <mergeCell ref="C31:D31"/>
    <mergeCell ref="C34:D34"/>
    <mergeCell ref="C35:D35"/>
    <mergeCell ref="C36:D36"/>
    <mergeCell ref="C37:D37"/>
    <mergeCell ref="C67:D67"/>
    <mergeCell ref="C64:D64"/>
    <mergeCell ref="C51:D51"/>
    <mergeCell ref="C66:D66"/>
    <mergeCell ref="C18:D18"/>
    <mergeCell ref="C65:D65"/>
    <mergeCell ref="A2:I2"/>
    <mergeCell ref="C61:D61"/>
    <mergeCell ref="C56:D56"/>
    <mergeCell ref="C47:D47"/>
    <mergeCell ref="C5:D5"/>
    <mergeCell ref="C52:D52"/>
    <mergeCell ref="C53:D53"/>
    <mergeCell ref="C19:D19"/>
    <mergeCell ref="C20:D20"/>
    <mergeCell ref="C21:D21"/>
    <mergeCell ref="C59:D59"/>
    <mergeCell ref="C60:D60"/>
  </mergeCells>
  <pageMargins left="0.7" right="0.7" top="0.75" bottom="0.75" header="0.3" footer="0.3"/>
  <pageSetup orientation="portrait" r:id="rId1"/>
  <ignoredErrors>
    <ignoredError sqref="B19:B21" formula="1"/>
    <ignoredError sqref="B44:I45 J44:J45 J38:J41 J73 B49:I50 D48:I48 B47:I47 D46:I46 C42:G42 B43:G43 J49:J50 J54:J58 J62:J63 J60 J69:J72 B67:I72 C66:I66 B54:I65 C53:I53 B52:I52 C51:I51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9"/>
  <sheetViews>
    <sheetView zoomScale="80" zoomScaleNormal="80" zoomScalePageLayoutView="90" workbookViewId="0">
      <selection activeCell="A4" sqref="A4:A5"/>
    </sheetView>
  </sheetViews>
  <sheetFormatPr baseColWidth="10" defaultColWidth="11.42578125" defaultRowHeight="15" x14ac:dyDescent="0.25"/>
  <cols>
    <col min="1" max="1" width="61.42578125" style="64" customWidth="1"/>
    <col min="2" max="10" width="18.7109375" style="64" customWidth="1"/>
    <col min="11" max="16384" width="11.42578125" style="64"/>
  </cols>
  <sheetData>
    <row r="2" spans="1:10" ht="15.75" x14ac:dyDescent="0.25">
      <c r="A2" s="136" t="s">
        <v>69</v>
      </c>
      <c r="B2" s="136"/>
      <c r="C2" s="136"/>
      <c r="D2" s="136"/>
      <c r="E2" s="136"/>
      <c r="F2" s="136"/>
      <c r="G2" s="136"/>
      <c r="H2" s="136"/>
      <c r="I2" s="136"/>
    </row>
    <row r="4" spans="1:10" ht="15" customHeight="1" x14ac:dyDescent="0.25">
      <c r="A4" s="141" t="s">
        <v>0</v>
      </c>
      <c r="B4" s="129" t="s">
        <v>59</v>
      </c>
      <c r="C4" s="9"/>
      <c r="D4" s="9"/>
      <c r="E4" s="9"/>
      <c r="F4" s="9"/>
      <c r="G4" s="65"/>
      <c r="H4" s="19"/>
      <c r="I4" s="19"/>
      <c r="J4" s="19"/>
    </row>
    <row r="5" spans="1:10" ht="51.75" customHeight="1" thickBot="1" x14ac:dyDescent="0.3">
      <c r="A5" s="142"/>
      <c r="B5" s="139"/>
      <c r="C5" s="140" t="s">
        <v>1</v>
      </c>
      <c r="D5" s="140"/>
      <c r="E5" s="40" t="s">
        <v>49</v>
      </c>
      <c r="F5" s="40" t="s">
        <v>50</v>
      </c>
      <c r="G5" s="18" t="s">
        <v>51</v>
      </c>
      <c r="H5" s="18" t="s">
        <v>60</v>
      </c>
      <c r="I5" s="40" t="s">
        <v>56</v>
      </c>
      <c r="J5" s="40" t="s">
        <v>61</v>
      </c>
    </row>
    <row r="6" spans="1:10" ht="15.75" thickTop="1" x14ac:dyDescent="0.25"/>
    <row r="7" spans="1:10" x14ac:dyDescent="0.25">
      <c r="A7" s="1" t="s">
        <v>2</v>
      </c>
      <c r="D7" s="3"/>
      <c r="E7" s="3"/>
    </row>
    <row r="8" spans="1:10" x14ac:dyDescent="0.25">
      <c r="D8" s="3"/>
      <c r="E8" s="3"/>
    </row>
    <row r="9" spans="1:10" x14ac:dyDescent="0.25">
      <c r="A9" s="64" t="s">
        <v>42</v>
      </c>
      <c r="B9" s="29" t="s">
        <v>43</v>
      </c>
      <c r="C9" s="66" t="s">
        <v>43</v>
      </c>
      <c r="D9" s="66" t="s">
        <v>44</v>
      </c>
      <c r="E9" s="29" t="s">
        <v>43</v>
      </c>
      <c r="F9" s="29" t="s">
        <v>43</v>
      </c>
      <c r="G9" s="29" t="s">
        <v>43</v>
      </c>
      <c r="H9" s="29" t="s">
        <v>43</v>
      </c>
      <c r="I9" s="29" t="s">
        <v>57</v>
      </c>
      <c r="J9" s="29" t="s">
        <v>43</v>
      </c>
    </row>
    <row r="10" spans="1:10" s="69" customFormat="1" x14ac:dyDescent="0.25">
      <c r="A10" s="67" t="s">
        <v>70</v>
      </c>
      <c r="B10" s="68">
        <v>166387</v>
      </c>
      <c r="C10" s="68">
        <v>115507</v>
      </c>
      <c r="D10" s="68">
        <v>147668</v>
      </c>
      <c r="E10" s="68">
        <v>1863</v>
      </c>
      <c r="F10" s="68">
        <v>135</v>
      </c>
      <c r="G10" s="68">
        <v>12116</v>
      </c>
      <c r="H10" s="68">
        <v>59611</v>
      </c>
      <c r="I10" s="68">
        <v>19747</v>
      </c>
      <c r="J10" s="68" t="s">
        <v>53</v>
      </c>
    </row>
    <row r="11" spans="1:10" s="69" customFormat="1" x14ac:dyDescent="0.25">
      <c r="A11" s="67" t="s">
        <v>71</v>
      </c>
      <c r="B11" s="70" t="s">
        <v>55</v>
      </c>
      <c r="C11" s="70" t="s">
        <v>55</v>
      </c>
      <c r="D11" s="42">
        <v>134175</v>
      </c>
      <c r="E11" s="42">
        <v>1979</v>
      </c>
      <c r="F11" s="42">
        <v>1729</v>
      </c>
      <c r="G11" s="42">
        <v>12039</v>
      </c>
      <c r="H11" s="42">
        <v>68439</v>
      </c>
      <c r="I11" s="42">
        <v>23177</v>
      </c>
      <c r="J11" s="68" t="s">
        <v>53</v>
      </c>
    </row>
    <row r="12" spans="1:10" s="69" customFormat="1" x14ac:dyDescent="0.25">
      <c r="A12" s="12" t="s">
        <v>66</v>
      </c>
      <c r="B12" s="70">
        <f>+SUM(D12:I12)</f>
        <v>674075</v>
      </c>
      <c r="C12" s="70" t="s">
        <v>55</v>
      </c>
      <c r="D12" s="42">
        <v>388450</v>
      </c>
      <c r="E12" s="42">
        <v>4455</v>
      </c>
      <c r="F12" s="42">
        <v>2617</v>
      </c>
      <c r="G12" s="42">
        <v>35963</v>
      </c>
      <c r="H12" s="42">
        <v>177939</v>
      </c>
      <c r="I12" s="42">
        <v>64651</v>
      </c>
      <c r="J12" s="68" t="s">
        <v>53</v>
      </c>
    </row>
    <row r="13" spans="1:10" s="69" customFormat="1" x14ac:dyDescent="0.25">
      <c r="A13" s="67" t="s">
        <v>72</v>
      </c>
      <c r="B13" s="68">
        <v>187590</v>
      </c>
      <c r="C13" s="68">
        <v>132775</v>
      </c>
      <c r="D13" s="68">
        <v>170668</v>
      </c>
      <c r="E13" s="68">
        <v>2072</v>
      </c>
      <c r="F13" s="68">
        <v>206</v>
      </c>
      <c r="G13" s="68">
        <v>13568</v>
      </c>
      <c r="H13" s="68">
        <v>68122</v>
      </c>
      <c r="I13" s="68">
        <v>19727</v>
      </c>
      <c r="J13" s="68" t="s">
        <v>53</v>
      </c>
    </row>
    <row r="14" spans="1:10" s="69" customFormat="1" x14ac:dyDescent="0.25">
      <c r="A14" s="12" t="s">
        <v>66</v>
      </c>
      <c r="B14" s="68">
        <f>+SUM(D14:I14)</f>
        <v>735153</v>
      </c>
      <c r="C14" s="68" t="s">
        <v>55</v>
      </c>
      <c r="D14" s="68">
        <v>465809</v>
      </c>
      <c r="E14" s="68">
        <v>5396</v>
      </c>
      <c r="F14" s="68">
        <v>534</v>
      </c>
      <c r="G14" s="68">
        <v>36094</v>
      </c>
      <c r="H14" s="68">
        <v>172374</v>
      </c>
      <c r="I14" s="68">
        <v>54946</v>
      </c>
      <c r="J14" s="68" t="s">
        <v>53</v>
      </c>
    </row>
    <row r="15" spans="1:10" s="69" customFormat="1" x14ac:dyDescent="0.25">
      <c r="A15" s="67" t="s">
        <v>65</v>
      </c>
      <c r="B15" s="70" t="s">
        <v>55</v>
      </c>
      <c r="C15" s="70" t="s">
        <v>55</v>
      </c>
      <c r="D15" s="42">
        <v>140216</v>
      </c>
      <c r="E15" s="42">
        <v>1981</v>
      </c>
      <c r="F15" s="42">
        <v>1732</v>
      </c>
      <c r="G15" s="42">
        <v>12040</v>
      </c>
      <c r="H15" s="42">
        <v>78300</v>
      </c>
      <c r="I15" s="71">
        <v>23180</v>
      </c>
      <c r="J15" s="68" t="s">
        <v>53</v>
      </c>
    </row>
    <row r="16" spans="1:10" s="69" customFormat="1" x14ac:dyDescent="0.25">
      <c r="B16" s="71"/>
      <c r="C16" s="71"/>
      <c r="D16" s="71"/>
      <c r="E16" s="71"/>
      <c r="F16" s="71"/>
      <c r="G16" s="71"/>
      <c r="H16" s="71"/>
      <c r="I16" s="71"/>
      <c r="J16" s="71"/>
    </row>
    <row r="17" spans="1:10" s="69" customFormat="1" x14ac:dyDescent="0.25">
      <c r="A17" s="72" t="s">
        <v>3</v>
      </c>
      <c r="B17" s="71"/>
      <c r="C17" s="71"/>
      <c r="D17" s="71"/>
      <c r="E17" s="71"/>
      <c r="F17" s="71"/>
      <c r="G17" s="71"/>
      <c r="H17" s="71"/>
      <c r="I17" s="71"/>
      <c r="J17" s="71"/>
    </row>
    <row r="18" spans="1:10" s="69" customFormat="1" x14ac:dyDescent="0.25">
      <c r="A18" s="67" t="s">
        <v>70</v>
      </c>
      <c r="B18" s="68">
        <f>C18+E18+F18+H18+G18+I18+J18</f>
        <v>33792313792.98</v>
      </c>
      <c r="C18" s="135">
        <v>12753197000</v>
      </c>
      <c r="D18" s="135"/>
      <c r="E18" s="68">
        <v>438849253</v>
      </c>
      <c r="F18" s="68">
        <v>64955000</v>
      </c>
      <c r="G18" s="68">
        <v>1837192000</v>
      </c>
      <c r="H18" s="68">
        <v>11621347037</v>
      </c>
      <c r="I18" s="68">
        <v>7070814311.9999981</v>
      </c>
      <c r="J18" s="68">
        <v>5959190.9799999986</v>
      </c>
    </row>
    <row r="19" spans="1:10" s="69" customFormat="1" x14ac:dyDescent="0.25">
      <c r="A19" s="67" t="s">
        <v>71</v>
      </c>
      <c r="B19" s="68">
        <f>SUM(C19:I19)</f>
        <v>36905160000</v>
      </c>
      <c r="C19" s="135">
        <v>13595750000</v>
      </c>
      <c r="D19" s="135"/>
      <c r="E19" s="68">
        <v>431674000</v>
      </c>
      <c r="F19" s="68">
        <v>816504000</v>
      </c>
      <c r="G19" s="68">
        <v>1798150000</v>
      </c>
      <c r="H19" s="68">
        <v>13345425000</v>
      </c>
      <c r="I19" s="68">
        <v>6917657000</v>
      </c>
      <c r="J19" s="68" t="s">
        <v>67</v>
      </c>
    </row>
    <row r="20" spans="1:10" s="69" customFormat="1" x14ac:dyDescent="0.25">
      <c r="A20" s="67" t="s">
        <v>72</v>
      </c>
      <c r="B20" s="68">
        <f>SUM(C20:H20)+I20+J20</f>
        <v>33027987367.189999</v>
      </c>
      <c r="C20" s="135">
        <v>12533690000</v>
      </c>
      <c r="D20" s="135"/>
      <c r="E20" s="68">
        <v>463890000</v>
      </c>
      <c r="F20" s="68">
        <v>106828200</v>
      </c>
      <c r="G20" s="68">
        <v>2091751936</v>
      </c>
      <c r="H20" s="68">
        <v>10851206051</v>
      </c>
      <c r="I20" s="68">
        <v>6975349759.9999981</v>
      </c>
      <c r="J20" s="68">
        <v>5271420.1899999995</v>
      </c>
    </row>
    <row r="21" spans="1:10" s="69" customFormat="1" x14ac:dyDescent="0.25">
      <c r="A21" s="67" t="s">
        <v>65</v>
      </c>
      <c r="B21" s="68">
        <f>SUM(C21:H21)+I21</f>
        <v>143479918000</v>
      </c>
      <c r="C21" s="138">
        <v>51662380000</v>
      </c>
      <c r="D21" s="138"/>
      <c r="E21" s="68">
        <v>1635520000</v>
      </c>
      <c r="F21" s="68">
        <v>4333992000</v>
      </c>
      <c r="G21" s="68">
        <v>7204400000</v>
      </c>
      <c r="H21" s="68">
        <v>52407975000</v>
      </c>
      <c r="I21" s="68">
        <v>26235651000</v>
      </c>
      <c r="J21" s="42" t="s">
        <v>67</v>
      </c>
    </row>
    <row r="22" spans="1:10" s="69" customFormat="1" x14ac:dyDescent="0.25">
      <c r="A22" s="67" t="s">
        <v>80</v>
      </c>
      <c r="B22" s="68">
        <f>SUM(C22:H22)+I22+J22</f>
        <v>33027987367.189999</v>
      </c>
      <c r="C22" s="135">
        <f>C20</f>
        <v>12533690000</v>
      </c>
      <c r="D22" s="135"/>
      <c r="E22" s="68">
        <f>E20</f>
        <v>463890000</v>
      </c>
      <c r="F22" s="68">
        <f t="shared" ref="F22:J22" si="0">F20</f>
        <v>106828200</v>
      </c>
      <c r="G22" s="68">
        <f t="shared" si="0"/>
        <v>2091751936</v>
      </c>
      <c r="H22" s="68">
        <f t="shared" si="0"/>
        <v>10851206051</v>
      </c>
      <c r="I22" s="68">
        <f t="shared" si="0"/>
        <v>6975349759.9999981</v>
      </c>
      <c r="J22" s="68">
        <f t="shared" si="0"/>
        <v>5271420.1899999995</v>
      </c>
    </row>
    <row r="23" spans="1:10" s="69" customFormat="1" x14ac:dyDescent="0.25">
      <c r="B23" s="68"/>
      <c r="C23" s="68"/>
      <c r="D23" s="68"/>
      <c r="E23" s="68"/>
      <c r="F23" s="71"/>
      <c r="G23" s="71"/>
      <c r="H23" s="71"/>
      <c r="I23" s="71"/>
      <c r="J23" s="71"/>
    </row>
    <row r="24" spans="1:10" s="69" customFormat="1" x14ac:dyDescent="0.25">
      <c r="A24" s="72" t="s">
        <v>4</v>
      </c>
      <c r="B24" s="68"/>
      <c r="C24" s="68"/>
      <c r="D24" s="68"/>
      <c r="E24" s="68"/>
      <c r="F24" s="71"/>
      <c r="G24" s="71"/>
      <c r="H24" s="71"/>
      <c r="I24" s="71"/>
      <c r="J24" s="71"/>
    </row>
    <row r="25" spans="1:10" s="69" customFormat="1" x14ac:dyDescent="0.25">
      <c r="A25" s="67" t="s">
        <v>71</v>
      </c>
      <c r="B25" s="68">
        <f>B19</f>
        <v>36905160000</v>
      </c>
      <c r="C25" s="68"/>
      <c r="D25" s="68"/>
      <c r="E25" s="68"/>
      <c r="F25" s="71"/>
      <c r="G25" s="71"/>
      <c r="H25" s="71"/>
      <c r="I25" s="71"/>
      <c r="J25" s="71"/>
    </row>
    <row r="26" spans="1:10" s="69" customFormat="1" x14ac:dyDescent="0.25">
      <c r="A26" s="67" t="s">
        <v>72</v>
      </c>
      <c r="B26" s="68">
        <v>35201827375.190002</v>
      </c>
      <c r="C26" s="68"/>
      <c r="D26" s="68"/>
      <c r="E26" s="68"/>
      <c r="F26" s="71"/>
      <c r="G26" s="71"/>
      <c r="H26" s="71"/>
      <c r="I26" s="71"/>
      <c r="J26" s="71"/>
    </row>
    <row r="27" spans="1:10" s="69" customFormat="1" x14ac:dyDescent="0.25">
      <c r="B27" s="71"/>
      <c r="C27" s="71"/>
      <c r="D27" s="71"/>
      <c r="E27" s="71"/>
      <c r="F27" s="71"/>
      <c r="G27" s="71"/>
      <c r="H27" s="71"/>
      <c r="I27" s="71"/>
      <c r="J27" s="71"/>
    </row>
    <row r="28" spans="1:10" s="69" customFormat="1" x14ac:dyDescent="0.25">
      <c r="A28" s="69" t="s">
        <v>5</v>
      </c>
      <c r="B28" s="71"/>
      <c r="C28" s="71"/>
      <c r="D28" s="71"/>
      <c r="E28" s="71"/>
      <c r="F28" s="71"/>
      <c r="G28" s="71"/>
      <c r="H28" s="71"/>
      <c r="I28" s="71"/>
      <c r="J28" s="71"/>
    </row>
    <row r="29" spans="1:10" s="69" customFormat="1" x14ac:dyDescent="0.25">
      <c r="A29" s="67" t="s">
        <v>81</v>
      </c>
      <c r="B29" s="84">
        <v>1.0088033727000001</v>
      </c>
      <c r="C29" s="84">
        <v>1.0088033727000001</v>
      </c>
      <c r="D29" s="84">
        <v>1.0088033727000001</v>
      </c>
      <c r="E29" s="84">
        <v>1.0088033727000001</v>
      </c>
      <c r="F29" s="84">
        <v>1.0088033727000001</v>
      </c>
      <c r="G29" s="84">
        <v>1.0088033727000001</v>
      </c>
      <c r="H29" s="84">
        <v>1.0088033727000001</v>
      </c>
      <c r="I29" s="84">
        <v>1.0088033727000001</v>
      </c>
      <c r="J29" s="84">
        <v>1.0088033727000001</v>
      </c>
    </row>
    <row r="30" spans="1:10" s="69" customFormat="1" x14ac:dyDescent="0.25">
      <c r="A30" s="67" t="s">
        <v>82</v>
      </c>
      <c r="B30" s="84">
        <v>1.0303325644000001</v>
      </c>
      <c r="C30" s="84">
        <v>1.0303325644000001</v>
      </c>
      <c r="D30" s="84">
        <v>1.0303325644000001</v>
      </c>
      <c r="E30" s="84">
        <v>1.0303325644000001</v>
      </c>
      <c r="F30" s="84">
        <v>1.0303325644000001</v>
      </c>
      <c r="G30" s="84">
        <v>1.0303325644000001</v>
      </c>
      <c r="H30" s="84">
        <v>1.0303325644000001</v>
      </c>
      <c r="I30" s="84">
        <v>1.0303325644000001</v>
      </c>
      <c r="J30" s="84">
        <v>1.0303325644000001</v>
      </c>
    </row>
    <row r="31" spans="1:10" s="69" customFormat="1" x14ac:dyDescent="0.25">
      <c r="A31" s="67" t="s">
        <v>6</v>
      </c>
      <c r="B31" s="85">
        <v>359918</v>
      </c>
      <c r="C31" s="137">
        <v>139696</v>
      </c>
      <c r="D31" s="137"/>
      <c r="E31" s="85">
        <v>140011</v>
      </c>
      <c r="F31" s="85" t="s">
        <v>67</v>
      </c>
      <c r="G31" s="85">
        <v>76403</v>
      </c>
      <c r="H31" s="85" t="s">
        <v>67</v>
      </c>
      <c r="I31" s="85" t="s">
        <v>67</v>
      </c>
      <c r="J31" s="85" t="s">
        <v>67</v>
      </c>
    </row>
    <row r="32" spans="1:10" x14ac:dyDescent="0.25">
      <c r="A32" s="69"/>
      <c r="B32" s="86"/>
      <c r="C32" s="86"/>
      <c r="D32" s="86"/>
      <c r="E32" s="86"/>
      <c r="F32" s="87"/>
      <c r="G32" s="87"/>
      <c r="H32" s="87"/>
      <c r="I32" s="87"/>
      <c r="J32" s="87"/>
    </row>
    <row r="33" spans="1:10" s="69" customFormat="1" x14ac:dyDescent="0.25">
      <c r="A33" s="7" t="s">
        <v>7</v>
      </c>
      <c r="B33" s="86"/>
      <c r="C33" s="86"/>
      <c r="D33" s="86"/>
      <c r="E33" s="86"/>
      <c r="F33" s="86"/>
      <c r="G33" s="86"/>
      <c r="H33" s="86"/>
      <c r="I33" s="86"/>
      <c r="J33" s="86"/>
    </row>
    <row r="34" spans="1:10" s="69" customFormat="1" x14ac:dyDescent="0.25">
      <c r="A34" s="69" t="s">
        <v>128</v>
      </c>
      <c r="B34" s="88">
        <f>B18/B29</f>
        <v>33497423489.512089</v>
      </c>
      <c r="C34" s="134">
        <f>C18/C29</f>
        <v>12641905593.422882</v>
      </c>
      <c r="D34" s="134"/>
      <c r="E34" s="88">
        <f>E18/E29</f>
        <v>435019613.2130754</v>
      </c>
      <c r="F34" s="88">
        <f t="shared" ref="F34:J34" si="1">F18/F29</f>
        <v>64388166.968704656</v>
      </c>
      <c r="G34" s="88">
        <f t="shared" si="1"/>
        <v>1821159652.8299353</v>
      </c>
      <c r="H34" s="88">
        <f t="shared" si="1"/>
        <v>11519932775.300087</v>
      </c>
      <c r="I34" s="88">
        <f t="shared" si="1"/>
        <v>7009110499.9732494</v>
      </c>
      <c r="J34" s="88">
        <f t="shared" si="1"/>
        <v>5907187.8041511606</v>
      </c>
    </row>
    <row r="35" spans="1:10" s="69" customFormat="1" x14ac:dyDescent="0.25">
      <c r="A35" s="69" t="s">
        <v>129</v>
      </c>
      <c r="B35" s="88">
        <f>B20/B30</f>
        <v>32055657084.296265</v>
      </c>
      <c r="C35" s="134">
        <f>C20/C30</f>
        <v>12164703352.163601</v>
      </c>
      <c r="D35" s="134"/>
      <c r="E35" s="88">
        <f>E20/E30</f>
        <v>450233270.33261335</v>
      </c>
      <c r="F35" s="88">
        <f t="shared" ref="F35:J35" si="2">F20/F30</f>
        <v>103683221.99173616</v>
      </c>
      <c r="G35" s="88">
        <f t="shared" si="2"/>
        <v>2030171624.4580727</v>
      </c>
      <c r="H35" s="88">
        <f t="shared" si="2"/>
        <v>10531751034.501225</v>
      </c>
      <c r="I35" s="88">
        <f t="shared" si="2"/>
        <v>6769998349.0883808</v>
      </c>
      <c r="J35" s="88">
        <f t="shared" si="2"/>
        <v>5116231.7606352065</v>
      </c>
    </row>
    <row r="36" spans="1:10" s="69" customFormat="1" x14ac:dyDescent="0.25">
      <c r="A36" s="69" t="s">
        <v>130</v>
      </c>
      <c r="B36" s="88">
        <f>B34/B10</f>
        <v>201322.35985691243</v>
      </c>
      <c r="C36" s="134">
        <f>C34/D10</f>
        <v>85610.32582159224</v>
      </c>
      <c r="D36" s="134"/>
      <c r="E36" s="88">
        <f>E34/E10</f>
        <v>233504.89168710433</v>
      </c>
      <c r="F36" s="88">
        <f t="shared" ref="F36:I36" si="3">F34/F10</f>
        <v>476949.38495336781</v>
      </c>
      <c r="G36" s="88">
        <f t="shared" si="3"/>
        <v>150310.30478952915</v>
      </c>
      <c r="H36" s="88">
        <f t="shared" si="3"/>
        <v>193251.79539514665</v>
      </c>
      <c r="I36" s="88">
        <f t="shared" si="3"/>
        <v>354945.58667003846</v>
      </c>
      <c r="J36" s="114" t="s">
        <v>67</v>
      </c>
    </row>
    <row r="37" spans="1:10" s="69" customFormat="1" x14ac:dyDescent="0.25">
      <c r="A37" s="69" t="s">
        <v>131</v>
      </c>
      <c r="B37" s="88">
        <f>B35/B13</f>
        <v>170881.48133853759</v>
      </c>
      <c r="C37" s="134">
        <f>C35/D13</f>
        <v>71277.001852506626</v>
      </c>
      <c r="D37" s="134"/>
      <c r="E37" s="88">
        <f>E35/E13</f>
        <v>217294.04938832691</v>
      </c>
      <c r="F37" s="88">
        <f t="shared" ref="F37:I37" si="4">F35/F13</f>
        <v>503316.6116103697</v>
      </c>
      <c r="G37" s="88">
        <f t="shared" si="4"/>
        <v>149629.39449130843</v>
      </c>
      <c r="H37" s="88">
        <f t="shared" si="4"/>
        <v>154601.31872965011</v>
      </c>
      <c r="I37" s="88">
        <f t="shared" si="4"/>
        <v>343184.38430011563</v>
      </c>
      <c r="J37" s="114" t="s">
        <v>67</v>
      </c>
    </row>
    <row r="38" spans="1:10" s="69" customFormat="1" x14ac:dyDescent="0.25">
      <c r="B38" s="86"/>
      <c r="C38" s="86"/>
      <c r="D38" s="86"/>
      <c r="E38" s="86"/>
      <c r="F38" s="86"/>
      <c r="G38" s="86"/>
      <c r="H38" s="86"/>
      <c r="I38" s="86"/>
      <c r="J38" s="86"/>
    </row>
    <row r="39" spans="1:10" s="69" customFormat="1" x14ac:dyDescent="0.25">
      <c r="A39" s="7" t="s">
        <v>8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s="69" customFormat="1" x14ac:dyDescent="0.25">
      <c r="B40" s="86"/>
      <c r="C40" s="86"/>
      <c r="D40" s="86"/>
      <c r="E40" s="86"/>
      <c r="F40" s="86"/>
      <c r="G40" s="86"/>
      <c r="H40" s="86"/>
      <c r="I40" s="86"/>
      <c r="J40" s="86"/>
    </row>
    <row r="41" spans="1:10" s="69" customFormat="1" x14ac:dyDescent="0.25">
      <c r="A41" s="69" t="s">
        <v>9</v>
      </c>
      <c r="B41" s="86"/>
      <c r="C41" s="86"/>
      <c r="D41" s="86"/>
      <c r="E41" s="86"/>
      <c r="F41" s="86"/>
      <c r="G41" s="86"/>
      <c r="H41" s="86"/>
      <c r="I41" s="86"/>
      <c r="J41" s="86"/>
    </row>
    <row r="42" spans="1:10" s="69" customFormat="1" x14ac:dyDescent="0.25">
      <c r="A42" s="69" t="s">
        <v>10</v>
      </c>
      <c r="B42" s="114" t="s">
        <v>67</v>
      </c>
      <c r="C42" s="144">
        <f>(D11/C31)*100</f>
        <v>96.047846752949255</v>
      </c>
      <c r="D42" s="144"/>
      <c r="E42" s="113">
        <f>(E11/E31)*100</f>
        <v>1.4134603709708524</v>
      </c>
      <c r="F42" s="114" t="s">
        <v>53</v>
      </c>
      <c r="G42" s="113">
        <f t="shared" ref="G42" si="5">G11/G31*100</f>
        <v>15.757234663560332</v>
      </c>
      <c r="H42" s="114" t="s">
        <v>67</v>
      </c>
      <c r="I42" s="114" t="s">
        <v>67</v>
      </c>
      <c r="J42" s="114" t="s">
        <v>67</v>
      </c>
    </row>
    <row r="43" spans="1:10" s="69" customFormat="1" x14ac:dyDescent="0.25">
      <c r="A43" s="69" t="s">
        <v>11</v>
      </c>
      <c r="B43" s="114">
        <f>(B13/B31)*100</f>
        <v>52.120205157841504</v>
      </c>
      <c r="C43" s="144">
        <f>(D13/C31)*100</f>
        <v>122.17099988546558</v>
      </c>
      <c r="D43" s="144"/>
      <c r="E43" s="113">
        <f>(E13/E31)*100</f>
        <v>1.479883723421731</v>
      </c>
      <c r="F43" s="114" t="s">
        <v>53</v>
      </c>
      <c r="G43" s="113">
        <f>(G13/G31)*100</f>
        <v>17.758464981741554</v>
      </c>
      <c r="H43" s="114" t="s">
        <v>67</v>
      </c>
      <c r="I43" s="114" t="s">
        <v>67</v>
      </c>
      <c r="J43" s="114" t="s">
        <v>67</v>
      </c>
    </row>
    <row r="44" spans="1:10" s="69" customFormat="1" x14ac:dyDescent="0.25">
      <c r="B44" s="86"/>
      <c r="C44" s="86"/>
      <c r="D44" s="86"/>
      <c r="E44" s="86"/>
      <c r="F44" s="86"/>
      <c r="G44" s="86"/>
      <c r="H44" s="86"/>
      <c r="I44" s="86"/>
      <c r="J44" s="86"/>
    </row>
    <row r="45" spans="1:10" s="69" customFormat="1" x14ac:dyDescent="0.25">
      <c r="A45" s="69" t="s">
        <v>12</v>
      </c>
      <c r="B45" s="86"/>
      <c r="C45" s="86"/>
      <c r="D45" s="86"/>
      <c r="E45" s="86"/>
      <c r="F45" s="86"/>
      <c r="G45" s="86"/>
      <c r="H45" s="86"/>
      <c r="I45" s="86"/>
      <c r="J45" s="86"/>
    </row>
    <row r="46" spans="1:10" s="69" customFormat="1" x14ac:dyDescent="0.25">
      <c r="A46" s="69" t="s">
        <v>13</v>
      </c>
      <c r="B46" s="114" t="s">
        <v>67</v>
      </c>
      <c r="C46" s="114" t="s">
        <v>67</v>
      </c>
      <c r="D46" s="113">
        <f>D13/D11*100</f>
        <v>127.1980622321595</v>
      </c>
      <c r="E46" s="113">
        <f>E13/E11*100</f>
        <v>104.69934310257707</v>
      </c>
      <c r="F46" s="113">
        <f t="shared" ref="F46:I46" si="6">F13/F11*100</f>
        <v>11.914401388085599</v>
      </c>
      <c r="G46" s="113">
        <f t="shared" si="6"/>
        <v>112.70039039787359</v>
      </c>
      <c r="H46" s="113">
        <f t="shared" si="6"/>
        <v>99.536813804994225</v>
      </c>
      <c r="I46" s="113">
        <f t="shared" si="6"/>
        <v>85.114553220865517</v>
      </c>
      <c r="J46" s="114" t="s">
        <v>67</v>
      </c>
    </row>
    <row r="47" spans="1:10" s="69" customFormat="1" x14ac:dyDescent="0.25">
      <c r="A47" s="69" t="s">
        <v>14</v>
      </c>
      <c r="B47" s="113">
        <f>B20/B19*100</f>
        <v>89.494226192732938</v>
      </c>
      <c r="C47" s="134">
        <f>C20/C19*100</f>
        <v>92.188294136035154</v>
      </c>
      <c r="D47" s="134"/>
      <c r="E47" s="113">
        <f>E20/E19*100</f>
        <v>107.46303923794345</v>
      </c>
      <c r="F47" s="113">
        <f t="shared" ref="F47:I47" si="7">F20/F19*100</f>
        <v>13.083610123159225</v>
      </c>
      <c r="G47" s="113">
        <f t="shared" si="7"/>
        <v>116.32800022245084</v>
      </c>
      <c r="H47" s="113">
        <f t="shared" si="7"/>
        <v>81.310307097750723</v>
      </c>
      <c r="I47" s="113">
        <f t="shared" si="7"/>
        <v>100.83399278108178</v>
      </c>
      <c r="J47" s="114" t="s">
        <v>67</v>
      </c>
    </row>
    <row r="48" spans="1:10" s="69" customFormat="1" x14ac:dyDescent="0.25">
      <c r="A48" s="69" t="s">
        <v>15</v>
      </c>
      <c r="B48" s="114" t="s">
        <v>67</v>
      </c>
      <c r="C48" s="114" t="s">
        <v>67</v>
      </c>
      <c r="D48" s="113">
        <f>AVERAGE(D46,C47)</f>
        <v>109.69317818409732</v>
      </c>
      <c r="E48" s="113">
        <f>AVERAGE(E46:E47)</f>
        <v>106.08119117026027</v>
      </c>
      <c r="F48" s="113">
        <f t="shared" ref="F48:I48" si="8">AVERAGE(F46:F47)</f>
        <v>12.499005755622413</v>
      </c>
      <c r="G48" s="113">
        <f t="shared" si="8"/>
        <v>114.51419531016222</v>
      </c>
      <c r="H48" s="113">
        <f t="shared" si="8"/>
        <v>90.423560451372481</v>
      </c>
      <c r="I48" s="113">
        <f t="shared" si="8"/>
        <v>92.974273000973653</v>
      </c>
      <c r="J48" s="114" t="s">
        <v>67</v>
      </c>
    </row>
    <row r="49" spans="1:10" s="69" customFormat="1" x14ac:dyDescent="0.25">
      <c r="B49" s="113"/>
      <c r="C49" s="113"/>
      <c r="D49" s="113"/>
      <c r="E49" s="113"/>
      <c r="F49" s="86"/>
      <c r="G49" s="86"/>
      <c r="H49" s="86"/>
      <c r="I49" s="86"/>
      <c r="J49" s="86"/>
    </row>
    <row r="50" spans="1:10" s="69" customFormat="1" x14ac:dyDescent="0.25">
      <c r="A50" s="69" t="s">
        <v>16</v>
      </c>
      <c r="B50" s="86"/>
      <c r="C50" s="86"/>
      <c r="D50" s="86"/>
      <c r="E50" s="86"/>
      <c r="F50" s="86"/>
      <c r="G50" s="86"/>
      <c r="H50" s="86"/>
      <c r="I50" s="86"/>
      <c r="J50" s="86"/>
    </row>
    <row r="51" spans="1:10" s="69" customFormat="1" x14ac:dyDescent="0.25">
      <c r="A51" s="69" t="s">
        <v>17</v>
      </c>
      <c r="B51" s="114" t="s">
        <v>67</v>
      </c>
      <c r="C51" s="143">
        <f>D13/D15*100</f>
        <v>121.71792092200604</v>
      </c>
      <c r="D51" s="143"/>
      <c r="E51" s="113">
        <f>E13/E15*100</f>
        <v>104.59363957597174</v>
      </c>
      <c r="F51" s="113">
        <f t="shared" ref="F51:I51" si="9">F13/F15*100</f>
        <v>11.893764434180138</v>
      </c>
      <c r="G51" s="113">
        <f t="shared" si="9"/>
        <v>112.69102990033221</v>
      </c>
      <c r="H51" s="113">
        <f t="shared" si="9"/>
        <v>87.001277139208185</v>
      </c>
      <c r="I51" s="113">
        <f t="shared" si="9"/>
        <v>85.103537532355475</v>
      </c>
      <c r="J51" s="114" t="s">
        <v>67</v>
      </c>
    </row>
    <row r="52" spans="1:10" s="69" customFormat="1" x14ac:dyDescent="0.25">
      <c r="A52" s="69" t="s">
        <v>18</v>
      </c>
      <c r="B52" s="113">
        <f>B20/B21*100</f>
        <v>23.019240481577359</v>
      </c>
      <c r="C52" s="143">
        <f>C20/C21*100</f>
        <v>24.260767699823351</v>
      </c>
      <c r="D52" s="143"/>
      <c r="E52" s="113">
        <f>E20/E21*100</f>
        <v>28.363456270788497</v>
      </c>
      <c r="F52" s="113">
        <f t="shared" ref="F52:I52" si="10">F20/F21*100</f>
        <v>2.4648914903396224</v>
      </c>
      <c r="G52" s="113">
        <f t="shared" si="10"/>
        <v>29.0343669979457</v>
      </c>
      <c r="H52" s="113">
        <f t="shared" si="10"/>
        <v>20.705257264757893</v>
      </c>
      <c r="I52" s="113">
        <f t="shared" si="10"/>
        <v>26.587294365213193</v>
      </c>
      <c r="J52" s="114" t="s">
        <v>67</v>
      </c>
    </row>
    <row r="53" spans="1:10" s="69" customFormat="1" x14ac:dyDescent="0.25">
      <c r="A53" s="69" t="s">
        <v>19</v>
      </c>
      <c r="B53" s="114" t="s">
        <v>67</v>
      </c>
      <c r="C53" s="143">
        <f>(C51+C52)/2</f>
        <v>72.989344310914703</v>
      </c>
      <c r="D53" s="143"/>
      <c r="E53" s="113">
        <f>(E51+E52)/2</f>
        <v>66.47854792338012</v>
      </c>
      <c r="F53" s="113">
        <f t="shared" ref="F53:I53" si="11">(F51+F52)/2</f>
        <v>7.1793279622598805</v>
      </c>
      <c r="G53" s="113">
        <f t="shared" si="11"/>
        <v>70.862698449138961</v>
      </c>
      <c r="H53" s="113">
        <f t="shared" si="11"/>
        <v>53.853267201983037</v>
      </c>
      <c r="I53" s="113">
        <f t="shared" si="11"/>
        <v>55.845415948784336</v>
      </c>
      <c r="J53" s="114" t="s">
        <v>67</v>
      </c>
    </row>
    <row r="54" spans="1:10" s="69" customFormat="1" x14ac:dyDescent="0.25">
      <c r="B54" s="86"/>
      <c r="C54" s="112"/>
      <c r="D54" s="112"/>
      <c r="E54" s="86"/>
      <c r="F54" s="86"/>
      <c r="G54" s="86"/>
      <c r="H54" s="86"/>
      <c r="I54" s="86"/>
      <c r="J54" s="86"/>
    </row>
    <row r="55" spans="1:10" s="69" customFormat="1" x14ac:dyDescent="0.25">
      <c r="A55" s="69" t="s">
        <v>31</v>
      </c>
      <c r="B55" s="86"/>
      <c r="C55" s="112"/>
      <c r="D55" s="112"/>
      <c r="E55" s="86"/>
      <c r="F55" s="86"/>
      <c r="G55" s="86"/>
      <c r="H55" s="86"/>
      <c r="I55" s="86"/>
      <c r="J55" s="86"/>
    </row>
    <row r="56" spans="1:10" s="69" customFormat="1" x14ac:dyDescent="0.25">
      <c r="A56" s="69" t="s">
        <v>20</v>
      </c>
      <c r="B56" s="89">
        <f>B22/B20*100</f>
        <v>100</v>
      </c>
      <c r="C56" s="145">
        <f>C22/C20*100</f>
        <v>100</v>
      </c>
      <c r="D56" s="145"/>
      <c r="E56" s="89">
        <f>E22/E20*100</f>
        <v>100</v>
      </c>
      <c r="F56" s="89">
        <f t="shared" ref="F56:J56" si="12">F22/F20*100</f>
        <v>100</v>
      </c>
      <c r="G56" s="89">
        <f t="shared" si="12"/>
        <v>100</v>
      </c>
      <c r="H56" s="89">
        <f t="shared" si="12"/>
        <v>100</v>
      </c>
      <c r="I56" s="89">
        <f t="shared" si="12"/>
        <v>100</v>
      </c>
      <c r="J56" s="89">
        <f t="shared" si="12"/>
        <v>100</v>
      </c>
    </row>
    <row r="57" spans="1:10" s="69" customFormat="1" x14ac:dyDescent="0.25">
      <c r="B57" s="86"/>
      <c r="C57" s="112"/>
      <c r="D57" s="112"/>
      <c r="E57" s="86"/>
      <c r="F57" s="86"/>
      <c r="G57" s="86"/>
      <c r="H57" s="86"/>
      <c r="I57" s="86"/>
      <c r="J57" s="86"/>
    </row>
    <row r="58" spans="1:10" s="69" customFormat="1" x14ac:dyDescent="0.25">
      <c r="A58" s="69" t="s">
        <v>21</v>
      </c>
      <c r="B58" s="86"/>
      <c r="C58" s="112"/>
      <c r="D58" s="112"/>
      <c r="E58" s="86"/>
      <c r="F58" s="86"/>
      <c r="G58" s="86"/>
      <c r="H58" s="86"/>
      <c r="I58" s="86"/>
      <c r="J58" s="86"/>
    </row>
    <row r="59" spans="1:10" s="69" customFormat="1" x14ac:dyDescent="0.25">
      <c r="A59" s="69" t="s">
        <v>22</v>
      </c>
      <c r="B59" s="113">
        <f>((B13/B10)-1)*100</f>
        <v>12.743183061176655</v>
      </c>
      <c r="C59" s="143">
        <f>((D13/D10)-1)*100</f>
        <v>15.575480131104902</v>
      </c>
      <c r="D59" s="143"/>
      <c r="E59" s="113">
        <f>((E13/E10)-1)*100</f>
        <v>11.218464841653253</v>
      </c>
      <c r="F59" s="113">
        <f t="shared" ref="F59:I59" si="13">((F13/F10)-1)*100</f>
        <v>52.592592592592588</v>
      </c>
      <c r="G59" s="113">
        <f t="shared" si="13"/>
        <v>11.984153185869918</v>
      </c>
      <c r="H59" s="113">
        <f t="shared" si="13"/>
        <v>14.277566220999471</v>
      </c>
      <c r="I59" s="113">
        <f t="shared" si="13"/>
        <v>-0.10128120727198597</v>
      </c>
      <c r="J59" s="114" t="s">
        <v>67</v>
      </c>
    </row>
    <row r="60" spans="1:10" s="69" customFormat="1" x14ac:dyDescent="0.25">
      <c r="A60" s="69" t="s">
        <v>23</v>
      </c>
      <c r="B60" s="113">
        <f>((B35/B34)-1)*100</f>
        <v>-4.3041113465554615</v>
      </c>
      <c r="C60" s="143">
        <f>((C35/C34)-1)*100</f>
        <v>-3.774765107465694</v>
      </c>
      <c r="D60" s="143"/>
      <c r="E60" s="113">
        <f>((E35/E34)-1)*100</f>
        <v>3.4972347584903529</v>
      </c>
      <c r="F60" s="113">
        <f t="shared" ref="F60:J60" si="14">((F35/F34)-1)*100</f>
        <v>61.028379705436464</v>
      </c>
      <c r="G60" s="113">
        <f t="shared" si="14"/>
        <v>11.476861531790995</v>
      </c>
      <c r="H60" s="113">
        <f t="shared" si="14"/>
        <v>-8.5780165568120736</v>
      </c>
      <c r="I60" s="113">
        <f t="shared" si="14"/>
        <v>-3.411447870393558</v>
      </c>
      <c r="J60" s="113">
        <f t="shared" si="14"/>
        <v>-13.389722313553754</v>
      </c>
    </row>
    <row r="61" spans="1:10" s="69" customFormat="1" x14ac:dyDescent="0.25">
      <c r="A61" s="69" t="s">
        <v>24</v>
      </c>
      <c r="B61" s="113">
        <f>((B37/B36)-1)*100</f>
        <v>-15.120465774398006</v>
      </c>
      <c r="C61" s="143">
        <f>((C37/C36)-1)*100</f>
        <v>-16.742517717962624</v>
      </c>
      <c r="D61" s="143"/>
      <c r="E61" s="113">
        <f>((E37/E36)-1)*100</f>
        <v>-6.942399442534974</v>
      </c>
      <c r="F61" s="113">
        <f t="shared" ref="F61:I61" si="15">((F37/F36)-1)*100</f>
        <v>5.5283070885141949</v>
      </c>
      <c r="G61" s="113">
        <f t="shared" si="15"/>
        <v>-0.4530030719944067</v>
      </c>
      <c r="H61" s="113">
        <f t="shared" si="15"/>
        <v>-20.000060846248267</v>
      </c>
      <c r="I61" s="113">
        <f t="shared" si="15"/>
        <v>-3.3135226388534278</v>
      </c>
      <c r="J61" s="114" t="s">
        <v>67</v>
      </c>
    </row>
    <row r="62" spans="1:10" s="69" customFormat="1" x14ac:dyDescent="0.25">
      <c r="B62" s="113"/>
      <c r="C62" s="112"/>
      <c r="D62" s="112"/>
      <c r="E62" s="113"/>
      <c r="F62" s="86"/>
      <c r="G62" s="86"/>
      <c r="H62" s="86"/>
      <c r="I62" s="86"/>
      <c r="J62" s="86"/>
    </row>
    <row r="63" spans="1:10" s="69" customFormat="1" x14ac:dyDescent="0.25">
      <c r="A63" s="69" t="s">
        <v>25</v>
      </c>
      <c r="B63" s="86"/>
      <c r="C63" s="112"/>
      <c r="D63" s="112"/>
      <c r="E63" s="86"/>
      <c r="F63" s="86"/>
      <c r="G63" s="86"/>
      <c r="H63" s="86"/>
      <c r="I63" s="86"/>
      <c r="J63" s="86"/>
    </row>
    <row r="64" spans="1:10" s="69" customFormat="1" x14ac:dyDescent="0.25">
      <c r="A64" s="69" t="s">
        <v>32</v>
      </c>
      <c r="B64" s="88">
        <f>(B19/B12)*3</f>
        <v>164248.01394503578</v>
      </c>
      <c r="C64" s="143">
        <f>(C19/D12)*3</f>
        <v>105000</v>
      </c>
      <c r="D64" s="143"/>
      <c r="E64" s="88">
        <f>(E19/E12)*3</f>
        <v>290689.56228956231</v>
      </c>
      <c r="F64" s="88">
        <f t="shared" ref="F64:I64" si="16">(F19/F12)*3</f>
        <v>936000</v>
      </c>
      <c r="G64" s="88">
        <f t="shared" si="16"/>
        <v>150000</v>
      </c>
      <c r="H64" s="88">
        <f t="shared" si="16"/>
        <v>225000</v>
      </c>
      <c r="I64" s="88">
        <f t="shared" si="16"/>
        <v>321000</v>
      </c>
      <c r="J64" s="114" t="s">
        <v>67</v>
      </c>
    </row>
    <row r="65" spans="1:10" s="69" customFormat="1" x14ac:dyDescent="0.25">
      <c r="A65" s="69" t="s">
        <v>33</v>
      </c>
      <c r="B65" s="88">
        <f>(B20/B14)*3</f>
        <v>134780.05544637644</v>
      </c>
      <c r="C65" s="143">
        <f>(C20/D14)*3</f>
        <v>80722.077074509085</v>
      </c>
      <c r="D65" s="143"/>
      <c r="E65" s="88">
        <f>(E20/E14)*3</f>
        <v>257907.70941438104</v>
      </c>
      <c r="F65" s="88">
        <f t="shared" ref="F65:I65" si="17">(F20/F14)*3</f>
        <v>600158.42696629209</v>
      </c>
      <c r="G65" s="88">
        <f t="shared" si="17"/>
        <v>173858.69695794315</v>
      </c>
      <c r="H65" s="88">
        <f t="shared" si="17"/>
        <v>188854.57292283059</v>
      </c>
      <c r="I65" s="88">
        <f t="shared" si="17"/>
        <v>380847.54631820321</v>
      </c>
      <c r="J65" s="114" t="s">
        <v>67</v>
      </c>
    </row>
    <row r="66" spans="1:10" s="69" customFormat="1" x14ac:dyDescent="0.25">
      <c r="A66" s="69" t="s">
        <v>26</v>
      </c>
      <c r="B66" s="114" t="s">
        <v>67</v>
      </c>
      <c r="C66" s="143">
        <f>(C65/C64)*D48</f>
        <v>84.330106513567259</v>
      </c>
      <c r="D66" s="143"/>
      <c r="E66" s="113">
        <f>(E65/E64)*E48</f>
        <v>94.118126606203447</v>
      </c>
      <c r="F66" s="113">
        <f t="shared" ref="F66:I66" si="18">(F65/F64)*F48</f>
        <v>8.0142987531377976</v>
      </c>
      <c r="G66" s="113">
        <f t="shared" si="18"/>
        <v>132.72859186541473</v>
      </c>
      <c r="H66" s="113">
        <f t="shared" si="18"/>
        <v>75.897346183136463</v>
      </c>
      <c r="I66" s="113">
        <f t="shared" si="18"/>
        <v>110.3084851811202</v>
      </c>
      <c r="J66" s="114" t="s">
        <v>67</v>
      </c>
    </row>
    <row r="67" spans="1:10" s="69" customFormat="1" x14ac:dyDescent="0.25">
      <c r="A67" s="69" t="s">
        <v>34</v>
      </c>
      <c r="B67" s="89">
        <f>B19/B12</f>
        <v>54749.337981678596</v>
      </c>
      <c r="C67" s="143">
        <f>C19/D12</f>
        <v>35000</v>
      </c>
      <c r="D67" s="143"/>
      <c r="E67" s="89">
        <f>E19/E12</f>
        <v>96896.520763187436</v>
      </c>
      <c r="F67" s="89">
        <f>F19/F12</f>
        <v>312000</v>
      </c>
      <c r="G67" s="89">
        <f t="shared" ref="G67:I67" si="19">G19/G12</f>
        <v>50000</v>
      </c>
      <c r="H67" s="89">
        <f t="shared" si="19"/>
        <v>75000</v>
      </c>
      <c r="I67" s="89">
        <f t="shared" si="19"/>
        <v>107000</v>
      </c>
      <c r="J67" s="114" t="s">
        <v>67</v>
      </c>
    </row>
    <row r="68" spans="1:10" s="69" customFormat="1" x14ac:dyDescent="0.25">
      <c r="A68" s="69" t="s">
        <v>35</v>
      </c>
      <c r="B68" s="89">
        <f>B20/B14</f>
        <v>44926.685148792152</v>
      </c>
      <c r="C68" s="143">
        <f>C20/D14</f>
        <v>26907.359024836362</v>
      </c>
      <c r="D68" s="143"/>
      <c r="E68" s="89">
        <f>E20/E14</f>
        <v>85969.236471460346</v>
      </c>
      <c r="F68" s="89">
        <f>F20/F14</f>
        <v>200052.80898876404</v>
      </c>
      <c r="G68" s="89">
        <f t="shared" ref="G68:I68" si="20">G20/G14</f>
        <v>57952.898985981046</v>
      </c>
      <c r="H68" s="89">
        <f t="shared" si="20"/>
        <v>62951.524307610198</v>
      </c>
      <c r="I68" s="89">
        <f t="shared" si="20"/>
        <v>126949.18210606775</v>
      </c>
      <c r="J68" s="114" t="s">
        <v>67</v>
      </c>
    </row>
    <row r="69" spans="1:10" s="69" customFormat="1" x14ac:dyDescent="0.25">
      <c r="B69" s="113"/>
      <c r="C69" s="113"/>
      <c r="D69" s="113"/>
      <c r="E69" s="113"/>
      <c r="F69" s="86"/>
      <c r="G69" s="86"/>
      <c r="H69" s="86"/>
      <c r="I69" s="86"/>
      <c r="J69" s="86"/>
    </row>
    <row r="70" spans="1:10" s="69" customFormat="1" x14ac:dyDescent="0.25">
      <c r="A70" s="69" t="s">
        <v>27</v>
      </c>
      <c r="B70" s="113"/>
      <c r="C70" s="113"/>
      <c r="D70" s="113"/>
      <c r="E70" s="113"/>
      <c r="F70" s="86"/>
      <c r="G70" s="86"/>
      <c r="H70" s="86"/>
      <c r="I70" s="86"/>
      <c r="J70" s="86"/>
    </row>
    <row r="71" spans="1:10" s="69" customFormat="1" x14ac:dyDescent="0.25">
      <c r="A71" s="69" t="s">
        <v>28</v>
      </c>
      <c r="B71" s="113">
        <f>(B26/B25)*100</f>
        <v>95.38456783601535</v>
      </c>
      <c r="C71" s="113"/>
      <c r="D71" s="113"/>
      <c r="E71" s="113"/>
      <c r="F71" s="86"/>
      <c r="G71" s="86"/>
      <c r="H71" s="86"/>
      <c r="I71" s="86"/>
      <c r="J71" s="86"/>
    </row>
    <row r="72" spans="1:10" s="69" customFormat="1" x14ac:dyDescent="0.25">
      <c r="A72" s="69" t="s">
        <v>29</v>
      </c>
      <c r="B72" s="113">
        <f>(B20/B26)*100</f>
        <v>93.824638747214266</v>
      </c>
      <c r="C72" s="113"/>
      <c r="D72" s="113"/>
      <c r="E72" s="113"/>
      <c r="F72" s="86"/>
      <c r="G72" s="86"/>
      <c r="H72" s="86"/>
      <c r="I72" s="86"/>
      <c r="J72" s="86"/>
    </row>
    <row r="73" spans="1:10" s="69" customFormat="1" ht="15.75" thickBot="1" x14ac:dyDescent="0.3">
      <c r="A73" s="74"/>
      <c r="B73" s="90"/>
      <c r="C73" s="90"/>
      <c r="D73" s="90"/>
      <c r="E73" s="90"/>
      <c r="F73" s="90"/>
      <c r="G73" s="90"/>
      <c r="H73" s="90"/>
      <c r="I73" s="90"/>
      <c r="J73" s="90"/>
    </row>
    <row r="74" spans="1:10" ht="15.75" thickTop="1" x14ac:dyDescent="0.25">
      <c r="A74" s="75"/>
    </row>
    <row r="75" spans="1:10" x14ac:dyDescent="0.25">
      <c r="A75" s="75"/>
    </row>
    <row r="76" spans="1:10" x14ac:dyDescent="0.25">
      <c r="A76" s="2" t="s">
        <v>30</v>
      </c>
      <c r="B76" s="2"/>
    </row>
    <row r="77" spans="1:10" x14ac:dyDescent="0.25">
      <c r="A77" s="2" t="s">
        <v>119</v>
      </c>
      <c r="B77" s="76"/>
      <c r="C77" s="76"/>
      <c r="D77" s="76"/>
      <c r="E77" s="76"/>
    </row>
    <row r="78" spans="1:10" x14ac:dyDescent="0.25">
      <c r="A78" s="2" t="s">
        <v>45</v>
      </c>
    </row>
    <row r="79" spans="1:10" x14ac:dyDescent="0.25">
      <c r="A79" s="75" t="s">
        <v>58</v>
      </c>
    </row>
    <row r="80" spans="1:10" x14ac:dyDescent="0.25">
      <c r="A80" s="2" t="s">
        <v>54</v>
      </c>
    </row>
    <row r="81" spans="1:1" x14ac:dyDescent="0.25">
      <c r="A81" s="2" t="s">
        <v>120</v>
      </c>
    </row>
    <row r="82" spans="1:1" x14ac:dyDescent="0.25">
      <c r="A82" s="2" t="s">
        <v>121</v>
      </c>
    </row>
    <row r="83" spans="1:1" x14ac:dyDescent="0.25">
      <c r="A83" s="2" t="s">
        <v>46</v>
      </c>
    </row>
    <row r="84" spans="1:1" x14ac:dyDescent="0.25">
      <c r="A84" s="15" t="s">
        <v>47</v>
      </c>
    </row>
    <row r="85" spans="1:1" x14ac:dyDescent="0.25">
      <c r="A85" s="15" t="s">
        <v>48</v>
      </c>
    </row>
    <row r="86" spans="1:1" x14ac:dyDescent="0.25">
      <c r="A86" s="2" t="s">
        <v>122</v>
      </c>
    </row>
    <row r="87" spans="1:1" x14ac:dyDescent="0.25">
      <c r="A87" s="2"/>
    </row>
    <row r="88" spans="1:1" x14ac:dyDescent="0.25">
      <c r="A88" s="2" t="s">
        <v>123</v>
      </c>
    </row>
    <row r="89" spans="1:1" x14ac:dyDescent="0.25">
      <c r="A89" s="77"/>
    </row>
  </sheetData>
  <mergeCells count="29">
    <mergeCell ref="C67:D67"/>
    <mergeCell ref="C68:D68"/>
    <mergeCell ref="C42:D42"/>
    <mergeCell ref="C43:D43"/>
    <mergeCell ref="C47:D47"/>
    <mergeCell ref="C60:D60"/>
    <mergeCell ref="C61:D61"/>
    <mergeCell ref="C64:D64"/>
    <mergeCell ref="C65:D65"/>
    <mergeCell ref="C66:D66"/>
    <mergeCell ref="C59:D59"/>
    <mergeCell ref="C51:D51"/>
    <mergeCell ref="C52:D52"/>
    <mergeCell ref="C53:D53"/>
    <mergeCell ref="C56:D56"/>
    <mergeCell ref="A2:I2"/>
    <mergeCell ref="C31:D31"/>
    <mergeCell ref="C21:D21"/>
    <mergeCell ref="C19:D19"/>
    <mergeCell ref="B4:B5"/>
    <mergeCell ref="C5:D5"/>
    <mergeCell ref="C18:D18"/>
    <mergeCell ref="C20:D20"/>
    <mergeCell ref="A4:A5"/>
    <mergeCell ref="C34:D34"/>
    <mergeCell ref="C35:D35"/>
    <mergeCell ref="C36:D36"/>
    <mergeCell ref="C37:D37"/>
    <mergeCell ref="C22:D22"/>
  </mergeCells>
  <pageMargins left="0.7" right="0.7" top="0.75" bottom="0.75" header="0.3" footer="0.3"/>
  <pageSetup paperSize="9" orientation="portrait" r:id="rId1"/>
  <ignoredErrors>
    <ignoredError sqref="B21" formula="1"/>
    <ignoredError sqref="B44:J45 B49:J50 D48:I48 B47:I47 D46:I46 B43:G43 B54:J58 B52:I52 B62:J63 B61:I61 B60:J60 B59:I59 B69:J73 B64:I64 B65:I65 B67:I68 C66:I66 C53:I53 C51:I51 C42:G42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9"/>
  <sheetViews>
    <sheetView zoomScale="80" zoomScaleNormal="80" zoomScalePageLayoutView="90" workbookViewId="0">
      <selection activeCell="A4" sqref="A4:A5"/>
    </sheetView>
  </sheetViews>
  <sheetFormatPr baseColWidth="10" defaultColWidth="11.42578125" defaultRowHeight="15" x14ac:dyDescent="0.25"/>
  <cols>
    <col min="1" max="1" width="62.7109375" style="69" customWidth="1"/>
    <col min="2" max="10" width="18.7109375" style="69" customWidth="1"/>
    <col min="11" max="16384" width="11.42578125" style="69"/>
  </cols>
  <sheetData>
    <row r="2" spans="1:10" ht="15.75" x14ac:dyDescent="0.25">
      <c r="A2" s="148" t="s">
        <v>73</v>
      </c>
      <c r="B2" s="148"/>
      <c r="C2" s="148"/>
      <c r="D2" s="148"/>
      <c r="E2" s="148"/>
      <c r="F2" s="148"/>
      <c r="G2" s="148"/>
      <c r="H2" s="148"/>
      <c r="I2" s="148"/>
    </row>
    <row r="4" spans="1:10" ht="15" customHeight="1" x14ac:dyDescent="0.25">
      <c r="A4" s="152" t="s">
        <v>0</v>
      </c>
      <c r="B4" s="129" t="s">
        <v>59</v>
      </c>
      <c r="C4" s="25"/>
      <c r="D4" s="25"/>
      <c r="E4" s="25"/>
      <c r="F4" s="25"/>
      <c r="G4" s="25"/>
      <c r="H4" s="26"/>
      <c r="I4" s="26"/>
      <c r="J4" s="26"/>
    </row>
    <row r="5" spans="1:10" ht="51.75" customHeight="1" thickBot="1" x14ac:dyDescent="0.3">
      <c r="A5" s="153"/>
      <c r="B5" s="139"/>
      <c r="C5" s="151" t="s">
        <v>1</v>
      </c>
      <c r="D5" s="151"/>
      <c r="E5" s="27" t="s">
        <v>49</v>
      </c>
      <c r="F5" s="27" t="s">
        <v>50</v>
      </c>
      <c r="G5" s="28" t="s">
        <v>51</v>
      </c>
      <c r="H5" s="28" t="s">
        <v>60</v>
      </c>
      <c r="I5" s="27" t="s">
        <v>56</v>
      </c>
      <c r="J5" s="27" t="s">
        <v>61</v>
      </c>
    </row>
    <row r="6" spans="1:10" ht="15.75" thickTop="1" x14ac:dyDescent="0.25">
      <c r="E6" s="78"/>
    </row>
    <row r="7" spans="1:10" x14ac:dyDescent="0.25">
      <c r="A7" s="7" t="s">
        <v>2</v>
      </c>
    </row>
    <row r="9" spans="1:10" x14ac:dyDescent="0.25">
      <c r="A9" s="69" t="s">
        <v>42</v>
      </c>
      <c r="B9" s="79" t="s">
        <v>93</v>
      </c>
      <c r="C9" s="79" t="s">
        <v>43</v>
      </c>
      <c r="D9" s="79" t="s">
        <v>44</v>
      </c>
      <c r="E9" s="41" t="s">
        <v>43</v>
      </c>
      <c r="F9" s="41" t="s">
        <v>43</v>
      </c>
      <c r="G9" s="41" t="s">
        <v>43</v>
      </c>
      <c r="H9" s="41" t="s">
        <v>43</v>
      </c>
      <c r="I9" s="41" t="s">
        <v>57</v>
      </c>
      <c r="J9" s="41" t="s">
        <v>43</v>
      </c>
    </row>
    <row r="10" spans="1:10" x14ac:dyDescent="0.25">
      <c r="A10" s="67" t="s">
        <v>74</v>
      </c>
      <c r="B10" s="80">
        <v>177171</v>
      </c>
      <c r="C10" s="80">
        <v>124543</v>
      </c>
      <c r="D10" s="80">
        <v>160472</v>
      </c>
      <c r="E10" s="80">
        <v>1821</v>
      </c>
      <c r="F10" s="80">
        <v>167</v>
      </c>
      <c r="G10" s="80">
        <v>12372</v>
      </c>
      <c r="H10" s="80">
        <v>64049</v>
      </c>
      <c r="I10" s="80">
        <v>19375</v>
      </c>
      <c r="J10" s="80" t="s">
        <v>53</v>
      </c>
    </row>
    <row r="11" spans="1:10" x14ac:dyDescent="0.25">
      <c r="A11" s="67" t="s">
        <v>75</v>
      </c>
      <c r="B11" s="37" t="s">
        <v>55</v>
      </c>
      <c r="C11" s="37" t="s">
        <v>55</v>
      </c>
      <c r="D11" s="80">
        <v>140164</v>
      </c>
      <c r="E11" s="80">
        <v>1980</v>
      </c>
      <c r="F11" s="80">
        <v>1731</v>
      </c>
      <c r="G11" s="80">
        <v>12040</v>
      </c>
      <c r="H11" s="80">
        <v>75940</v>
      </c>
      <c r="I11" s="80">
        <v>23178</v>
      </c>
      <c r="J11" s="80" t="s">
        <v>53</v>
      </c>
    </row>
    <row r="12" spans="1:10" x14ac:dyDescent="0.25">
      <c r="A12" s="12" t="s">
        <v>66</v>
      </c>
      <c r="B12" s="37">
        <f>+SUM(D12:I12)</f>
        <v>758392</v>
      </c>
      <c r="C12" s="37" t="s">
        <v>55</v>
      </c>
      <c r="D12" s="80">
        <v>420292</v>
      </c>
      <c r="E12" s="80">
        <v>5938</v>
      </c>
      <c r="F12" s="80">
        <v>5193</v>
      </c>
      <c r="G12" s="80">
        <v>36119</v>
      </c>
      <c r="H12" s="80">
        <v>221318</v>
      </c>
      <c r="I12" s="80">
        <v>69532</v>
      </c>
      <c r="J12" s="80" t="s">
        <v>53</v>
      </c>
    </row>
    <row r="13" spans="1:10" x14ac:dyDescent="0.25">
      <c r="A13" s="67" t="s">
        <v>76</v>
      </c>
      <c r="B13" s="80">
        <v>200993</v>
      </c>
      <c r="C13" s="80">
        <v>140594</v>
      </c>
      <c r="D13" s="80">
        <v>181199</v>
      </c>
      <c r="E13" s="80">
        <v>2271</v>
      </c>
      <c r="F13" s="80">
        <v>226</v>
      </c>
      <c r="G13" s="80">
        <v>14238</v>
      </c>
      <c r="H13" s="80">
        <v>75071</v>
      </c>
      <c r="I13" s="80">
        <v>21386</v>
      </c>
      <c r="J13" s="80" t="s">
        <v>53</v>
      </c>
    </row>
    <row r="14" spans="1:10" x14ac:dyDescent="0.25">
      <c r="A14" s="12" t="s">
        <v>66</v>
      </c>
      <c r="B14" s="37">
        <f>+SUM(D14,E14,F14,G14,H14,I14)</f>
        <v>813298</v>
      </c>
      <c r="C14" s="80" t="s">
        <v>55</v>
      </c>
      <c r="D14" s="80">
        <v>503707</v>
      </c>
      <c r="E14" s="80">
        <v>6494</v>
      </c>
      <c r="F14" s="80">
        <v>629</v>
      </c>
      <c r="G14" s="80">
        <v>39135</v>
      </c>
      <c r="H14" s="80">
        <v>204718</v>
      </c>
      <c r="I14" s="80">
        <v>58615</v>
      </c>
      <c r="J14" s="80" t="s">
        <v>53</v>
      </c>
    </row>
    <row r="15" spans="1:10" x14ac:dyDescent="0.25">
      <c r="A15" s="67" t="s">
        <v>65</v>
      </c>
      <c r="B15" s="80" t="s">
        <v>55</v>
      </c>
      <c r="C15" s="80" t="s">
        <v>55</v>
      </c>
      <c r="D15" s="80">
        <v>140216</v>
      </c>
      <c r="E15" s="80">
        <v>1981</v>
      </c>
      <c r="F15" s="80">
        <v>1732</v>
      </c>
      <c r="G15" s="80">
        <v>12040</v>
      </c>
      <c r="H15" s="80">
        <v>78300</v>
      </c>
      <c r="I15" s="80">
        <v>23180</v>
      </c>
      <c r="J15" s="80" t="s">
        <v>53</v>
      </c>
    </row>
    <row r="16" spans="1:10" x14ac:dyDescent="0.25">
      <c r="B16" s="79"/>
      <c r="C16" s="79"/>
      <c r="D16" s="79"/>
      <c r="E16" s="79"/>
      <c r="F16" s="79"/>
      <c r="G16" s="79"/>
      <c r="H16" s="79"/>
      <c r="I16" s="79"/>
      <c r="J16" s="79"/>
    </row>
    <row r="17" spans="1:10" x14ac:dyDescent="0.25">
      <c r="A17" s="72" t="s">
        <v>3</v>
      </c>
      <c r="B17" s="79"/>
      <c r="C17" s="79"/>
      <c r="D17" s="79"/>
      <c r="E17" s="79"/>
      <c r="F17" s="79"/>
      <c r="G17" s="79"/>
      <c r="H17" s="79"/>
      <c r="I17" s="79"/>
      <c r="J17" s="79"/>
    </row>
    <row r="18" spans="1:10" x14ac:dyDescent="0.25">
      <c r="A18" s="67" t="s">
        <v>74</v>
      </c>
      <c r="B18" s="80">
        <f>SUM(C18:J18)</f>
        <v>32398290327.519997</v>
      </c>
      <c r="C18" s="147">
        <v>11979493000</v>
      </c>
      <c r="D18" s="147"/>
      <c r="E18" s="80">
        <v>431437931</v>
      </c>
      <c r="F18" s="80">
        <v>94428000</v>
      </c>
      <c r="G18" s="80">
        <v>1826857000</v>
      </c>
      <c r="H18" s="80">
        <v>11372681367.999996</v>
      </c>
      <c r="I18" s="80">
        <v>6688828375.000001</v>
      </c>
      <c r="J18" s="80">
        <v>4564653.5199999996</v>
      </c>
    </row>
    <row r="19" spans="1:10" x14ac:dyDescent="0.25">
      <c r="A19" s="67" t="s">
        <v>75</v>
      </c>
      <c r="B19" s="80">
        <f>SUM(C19:J19)</f>
        <v>42638324000</v>
      </c>
      <c r="C19" s="147">
        <v>14710220000</v>
      </c>
      <c r="D19" s="147"/>
      <c r="E19" s="80">
        <v>463164000</v>
      </c>
      <c r="F19" s="80">
        <v>1620216000</v>
      </c>
      <c r="G19" s="80">
        <v>1805950000</v>
      </c>
      <c r="H19" s="80">
        <v>16598850000</v>
      </c>
      <c r="I19" s="80">
        <v>7439924000</v>
      </c>
      <c r="J19" s="80" t="s">
        <v>53</v>
      </c>
    </row>
    <row r="20" spans="1:10" x14ac:dyDescent="0.25">
      <c r="A20" s="67" t="s">
        <v>76</v>
      </c>
      <c r="B20" s="80">
        <f>SUM(C20:J20)</f>
        <v>34598857134.320007</v>
      </c>
      <c r="C20" s="147">
        <v>13103965000</v>
      </c>
      <c r="D20" s="147"/>
      <c r="E20" s="80">
        <v>535753000</v>
      </c>
      <c r="F20" s="80">
        <v>114058100.00000003</v>
      </c>
      <c r="G20" s="80">
        <v>2083977598</v>
      </c>
      <c r="H20" s="80">
        <v>12073568268.000004</v>
      </c>
      <c r="I20" s="80">
        <v>6676962010.000001</v>
      </c>
      <c r="J20" s="80">
        <v>10573158.32</v>
      </c>
    </row>
    <row r="21" spans="1:10" x14ac:dyDescent="0.25">
      <c r="A21" s="67" t="s">
        <v>65</v>
      </c>
      <c r="B21" s="80">
        <f>SUM(C21:J21)</f>
        <v>143479918000</v>
      </c>
      <c r="C21" s="150">
        <v>51662380000</v>
      </c>
      <c r="D21" s="150"/>
      <c r="E21" s="80">
        <v>1635520000</v>
      </c>
      <c r="F21" s="80">
        <v>4333992000</v>
      </c>
      <c r="G21" s="80">
        <v>7204400000</v>
      </c>
      <c r="H21" s="80">
        <v>52407975000</v>
      </c>
      <c r="I21" s="80">
        <v>26235651000</v>
      </c>
      <c r="J21" s="80" t="s">
        <v>53</v>
      </c>
    </row>
    <row r="22" spans="1:10" x14ac:dyDescent="0.25">
      <c r="A22" s="67" t="s">
        <v>77</v>
      </c>
      <c r="B22" s="80">
        <f>SUM(C22:J22)</f>
        <v>34598857134.320007</v>
      </c>
      <c r="C22" s="147">
        <f>C20</f>
        <v>13103965000</v>
      </c>
      <c r="D22" s="147"/>
      <c r="E22" s="80">
        <f>E20</f>
        <v>535753000</v>
      </c>
      <c r="F22" s="80">
        <f t="shared" ref="F22:J22" si="0">F20</f>
        <v>114058100.00000003</v>
      </c>
      <c r="G22" s="80">
        <f t="shared" si="0"/>
        <v>2083977598</v>
      </c>
      <c r="H22" s="80">
        <f t="shared" si="0"/>
        <v>12073568268.000004</v>
      </c>
      <c r="I22" s="80">
        <f t="shared" si="0"/>
        <v>6676962010.000001</v>
      </c>
      <c r="J22" s="80">
        <f t="shared" si="0"/>
        <v>10573158.32</v>
      </c>
    </row>
    <row r="23" spans="1:10" x14ac:dyDescent="0.25">
      <c r="B23" s="80"/>
      <c r="C23" s="80"/>
      <c r="D23" s="80"/>
      <c r="E23" s="80"/>
      <c r="F23" s="79"/>
      <c r="G23" s="34"/>
      <c r="H23" s="79"/>
      <c r="I23" s="79"/>
      <c r="J23" s="79"/>
    </row>
    <row r="24" spans="1:10" x14ac:dyDescent="0.25">
      <c r="A24" s="72" t="s">
        <v>4</v>
      </c>
      <c r="B24" s="80"/>
      <c r="C24" s="80"/>
      <c r="D24" s="80"/>
      <c r="E24" s="80"/>
      <c r="F24" s="79"/>
      <c r="G24" s="79"/>
      <c r="H24" s="79"/>
      <c r="I24" s="79"/>
      <c r="J24" s="79"/>
    </row>
    <row r="25" spans="1:10" x14ac:dyDescent="0.25">
      <c r="A25" s="67" t="s">
        <v>75</v>
      </c>
      <c r="B25" s="68">
        <f>B19</f>
        <v>42638324000</v>
      </c>
      <c r="C25" s="80"/>
      <c r="D25" s="80"/>
      <c r="E25" s="80"/>
      <c r="F25" s="79"/>
      <c r="G25" s="79"/>
      <c r="H25" s="79"/>
      <c r="I25" s="79"/>
      <c r="J25" s="79"/>
    </row>
    <row r="26" spans="1:10" x14ac:dyDescent="0.25">
      <c r="A26" s="67" t="s">
        <v>76</v>
      </c>
      <c r="B26" s="68">
        <v>36374057682.040001</v>
      </c>
      <c r="C26" s="41"/>
      <c r="D26" s="80"/>
      <c r="E26" s="80"/>
      <c r="F26" s="79"/>
      <c r="G26" s="79"/>
      <c r="H26" s="79"/>
      <c r="I26" s="79"/>
      <c r="J26" s="79"/>
    </row>
    <row r="27" spans="1:10" x14ac:dyDescent="0.25">
      <c r="B27" s="79"/>
      <c r="C27" s="79"/>
      <c r="D27" s="79"/>
      <c r="E27" s="79"/>
      <c r="F27" s="79"/>
      <c r="G27" s="79"/>
      <c r="H27" s="79"/>
      <c r="I27" s="79"/>
      <c r="J27" s="79"/>
    </row>
    <row r="28" spans="1:10" x14ac:dyDescent="0.25">
      <c r="A28" s="69" t="s">
        <v>5</v>
      </c>
      <c r="B28" s="79"/>
      <c r="C28" s="79"/>
      <c r="D28" s="79"/>
      <c r="E28" s="79"/>
      <c r="F28" s="79"/>
      <c r="G28" s="79"/>
      <c r="H28" s="79"/>
      <c r="I28" s="79"/>
      <c r="J28" s="79"/>
    </row>
    <row r="29" spans="1:10" x14ac:dyDescent="0.25">
      <c r="A29" s="67" t="s">
        <v>78</v>
      </c>
      <c r="B29" s="39">
        <v>1.0123857380000001</v>
      </c>
      <c r="C29" s="39">
        <v>1.0123857380000001</v>
      </c>
      <c r="D29" s="39">
        <v>1.0123857380000001</v>
      </c>
      <c r="E29" s="39">
        <v>1.0123857380000001</v>
      </c>
      <c r="F29" s="39">
        <v>1.0123857380000001</v>
      </c>
      <c r="G29" s="39">
        <v>1.0123857380000001</v>
      </c>
      <c r="H29" s="39">
        <v>1.0123857380000001</v>
      </c>
      <c r="I29" s="39">
        <v>1.0123857380000001</v>
      </c>
      <c r="J29" s="39">
        <v>1.0123857380000001</v>
      </c>
    </row>
    <row r="30" spans="1:10" x14ac:dyDescent="0.25">
      <c r="A30" s="67" t="s">
        <v>79</v>
      </c>
      <c r="B30" s="39">
        <v>1.0303325644000001</v>
      </c>
      <c r="C30" s="39">
        <v>1.0303325644000001</v>
      </c>
      <c r="D30" s="39">
        <v>1.0303325644000001</v>
      </c>
      <c r="E30" s="39">
        <v>1.0303325644000001</v>
      </c>
      <c r="F30" s="39">
        <v>1.0303325644000001</v>
      </c>
      <c r="G30" s="39">
        <v>1.0303325644000001</v>
      </c>
      <c r="H30" s="39">
        <v>1.0303325644000001</v>
      </c>
      <c r="I30" s="39">
        <v>1.0303325644000001</v>
      </c>
      <c r="J30" s="39">
        <v>1.0303325644000001</v>
      </c>
    </row>
    <row r="31" spans="1:10" x14ac:dyDescent="0.25">
      <c r="A31" s="67" t="s">
        <v>6</v>
      </c>
      <c r="B31" s="41">
        <v>359918</v>
      </c>
      <c r="C31" s="149">
        <v>139696</v>
      </c>
      <c r="D31" s="149"/>
      <c r="E31" s="41">
        <v>140011</v>
      </c>
      <c r="F31" s="41" t="s">
        <v>67</v>
      </c>
      <c r="G31" s="41">
        <v>76403</v>
      </c>
      <c r="H31" s="41" t="s">
        <v>67</v>
      </c>
      <c r="I31" s="41" t="s">
        <v>67</v>
      </c>
      <c r="J31" s="41" t="s">
        <v>67</v>
      </c>
    </row>
    <row r="33" spans="1:10" x14ac:dyDescent="0.25">
      <c r="A33" s="7" t="s">
        <v>7</v>
      </c>
    </row>
    <row r="34" spans="1:10" x14ac:dyDescent="0.25">
      <c r="A34" s="69" t="s">
        <v>132</v>
      </c>
      <c r="B34" s="88">
        <f>B18/B29</f>
        <v>32001922895.045757</v>
      </c>
      <c r="C34" s="146">
        <f>C18/C29</f>
        <v>11832933387.29353</v>
      </c>
      <c r="D34" s="146"/>
      <c r="E34" s="88">
        <f>E18/E29</f>
        <v>426159629.48304588</v>
      </c>
      <c r="F34" s="88">
        <f t="shared" ref="F34:J34" si="1">F18/F29</f>
        <v>93272748.178520858</v>
      </c>
      <c r="G34" s="88">
        <f t="shared" si="1"/>
        <v>1804506850.9252348</v>
      </c>
      <c r="H34" s="88">
        <f t="shared" si="1"/>
        <v>11233545615.199091</v>
      </c>
      <c r="I34" s="88">
        <f t="shared" si="1"/>
        <v>6606995855.3683224</v>
      </c>
      <c r="J34" s="88">
        <f t="shared" si="1"/>
        <v>4508808.5980128646</v>
      </c>
    </row>
    <row r="35" spans="1:10" x14ac:dyDescent="0.25">
      <c r="A35" s="69" t="s">
        <v>133</v>
      </c>
      <c r="B35" s="88">
        <f>B20/B30</f>
        <v>33580281095.422985</v>
      </c>
      <c r="C35" s="146">
        <f>C20/C30</f>
        <v>12718189692.112577</v>
      </c>
      <c r="D35" s="146"/>
      <c r="E35" s="88">
        <f>E20/E30</f>
        <v>519980653.34563929</v>
      </c>
      <c r="F35" s="88">
        <f t="shared" ref="F35:J35" si="2">F20/F30</f>
        <v>110700276.7270781</v>
      </c>
      <c r="G35" s="88">
        <f t="shared" si="2"/>
        <v>2022626159.7521918</v>
      </c>
      <c r="H35" s="88">
        <f t="shared" si="2"/>
        <v>11718127413.580177</v>
      </c>
      <c r="I35" s="88">
        <f t="shared" si="2"/>
        <v>6480395010.9916573</v>
      </c>
      <c r="J35" s="88">
        <f t="shared" si="2"/>
        <v>10261888.913660739</v>
      </c>
    </row>
    <row r="36" spans="1:10" x14ac:dyDescent="0.25">
      <c r="A36" s="69" t="s">
        <v>134</v>
      </c>
      <c r="B36" s="88">
        <f>B34/B10</f>
        <v>180627.31990588616</v>
      </c>
      <c r="C36" s="134">
        <f>C34/D10</f>
        <v>73738.305668861416</v>
      </c>
      <c r="D36" s="134"/>
      <c r="E36" s="88">
        <f>E34/E10</f>
        <v>234025.05737674129</v>
      </c>
      <c r="F36" s="88">
        <f t="shared" ref="F36:I36" si="3">F34/F10</f>
        <v>558519.45017078356</v>
      </c>
      <c r="G36" s="88">
        <f t="shared" si="3"/>
        <v>145854.09399654338</v>
      </c>
      <c r="H36" s="88">
        <f t="shared" si="3"/>
        <v>175389.86737028044</v>
      </c>
      <c r="I36" s="88">
        <f t="shared" si="3"/>
        <v>341006.23769642954</v>
      </c>
      <c r="J36" s="114" t="s">
        <v>67</v>
      </c>
    </row>
    <row r="37" spans="1:10" x14ac:dyDescent="0.25">
      <c r="A37" s="69" t="s">
        <v>135</v>
      </c>
      <c r="B37" s="88">
        <f>B35/B13</f>
        <v>167071.89352575951</v>
      </c>
      <c r="C37" s="134">
        <f>C35/D13</f>
        <v>70189.072191968924</v>
      </c>
      <c r="D37" s="134"/>
      <c r="E37" s="88">
        <f>E35/E13</f>
        <v>228965.50125303358</v>
      </c>
      <c r="F37" s="88">
        <f t="shared" ref="F37:I37" si="4">F35/F13</f>
        <v>489824.2333056553</v>
      </c>
      <c r="G37" s="88">
        <f t="shared" si="4"/>
        <v>142058.30592444105</v>
      </c>
      <c r="H37" s="88">
        <f t="shared" si="4"/>
        <v>156093.92992740442</v>
      </c>
      <c r="I37" s="88">
        <f t="shared" si="4"/>
        <v>303020.4344427035</v>
      </c>
      <c r="J37" s="114" t="s">
        <v>67</v>
      </c>
    </row>
    <row r="38" spans="1:10" x14ac:dyDescent="0.25">
      <c r="B38" s="86"/>
      <c r="C38" s="86"/>
      <c r="D38" s="86"/>
      <c r="E38" s="86"/>
      <c r="F38" s="86"/>
      <c r="G38" s="86"/>
      <c r="H38" s="86"/>
      <c r="I38" s="86"/>
      <c r="J38" s="86"/>
    </row>
    <row r="39" spans="1:10" x14ac:dyDescent="0.25">
      <c r="A39" s="7" t="s">
        <v>8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25"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25">
      <c r="A41" s="69" t="s">
        <v>9</v>
      </c>
      <c r="B41" s="86"/>
      <c r="C41" s="86"/>
      <c r="D41" s="86"/>
      <c r="E41" s="86"/>
      <c r="F41" s="86"/>
      <c r="G41" s="86"/>
      <c r="H41" s="86"/>
      <c r="I41" s="86"/>
      <c r="J41" s="86"/>
    </row>
    <row r="42" spans="1:10" x14ac:dyDescent="0.25">
      <c r="A42" s="69" t="s">
        <v>10</v>
      </c>
      <c r="B42" s="114" t="s">
        <v>67</v>
      </c>
      <c r="C42" s="144">
        <f>(D11/C31)*100</f>
        <v>100.33501317145803</v>
      </c>
      <c r="D42" s="144"/>
      <c r="E42" s="113">
        <f>(E11/E31)*100</f>
        <v>1.4141746005670983</v>
      </c>
      <c r="F42" s="114" t="s">
        <v>53</v>
      </c>
      <c r="G42" s="113">
        <f t="shared" ref="G42" si="5">G11/G31*100</f>
        <v>15.758543512689293</v>
      </c>
      <c r="H42" s="114" t="s">
        <v>67</v>
      </c>
      <c r="I42" s="114" t="s">
        <v>67</v>
      </c>
      <c r="J42" s="114" t="s">
        <v>67</v>
      </c>
    </row>
    <row r="43" spans="1:10" x14ac:dyDescent="0.25">
      <c r="A43" s="69" t="s">
        <v>11</v>
      </c>
      <c r="B43" s="114">
        <f>(B13/B31)*100</f>
        <v>55.844108935924297</v>
      </c>
      <c r="C43" s="144">
        <f>(D13/C31)*100</f>
        <v>129.70951208338107</v>
      </c>
      <c r="D43" s="144"/>
      <c r="E43" s="113">
        <f>(E13/E31)*100</f>
        <v>1.6220154130746869</v>
      </c>
      <c r="F43" s="114" t="s">
        <v>53</v>
      </c>
      <c r="G43" s="113">
        <f>(G13/G31)*100</f>
        <v>18.63539389814536</v>
      </c>
      <c r="H43" s="114" t="s">
        <v>67</v>
      </c>
      <c r="I43" s="114" t="s">
        <v>67</v>
      </c>
      <c r="J43" s="114" t="s">
        <v>67</v>
      </c>
    </row>
    <row r="44" spans="1:10" x14ac:dyDescent="0.25">
      <c r="B44" s="86"/>
      <c r="C44" s="86"/>
      <c r="D44" s="86"/>
      <c r="E44" s="86"/>
      <c r="F44" s="86"/>
      <c r="G44" s="86"/>
      <c r="H44" s="86"/>
      <c r="I44" s="86"/>
      <c r="J44" s="86"/>
    </row>
    <row r="45" spans="1:10" x14ac:dyDescent="0.25">
      <c r="A45" s="69" t="s">
        <v>12</v>
      </c>
      <c r="B45" s="86"/>
      <c r="C45" s="86"/>
      <c r="D45" s="86"/>
      <c r="E45" s="86"/>
      <c r="F45" s="86"/>
      <c r="G45" s="86"/>
      <c r="H45" s="86"/>
      <c r="I45" s="86"/>
      <c r="J45" s="86"/>
    </row>
    <row r="46" spans="1:10" x14ac:dyDescent="0.25">
      <c r="A46" s="69" t="s">
        <v>13</v>
      </c>
      <c r="B46" s="114" t="s">
        <v>67</v>
      </c>
      <c r="C46" s="114" t="s">
        <v>67</v>
      </c>
      <c r="D46" s="113">
        <f>D13/D11*100</f>
        <v>129.27641905196771</v>
      </c>
      <c r="E46" s="113">
        <f>E13/E11*100</f>
        <v>114.6969696969697</v>
      </c>
      <c r="F46" s="113">
        <f t="shared" ref="F46:I46" si="6">F13/F11*100</f>
        <v>13.056036972848064</v>
      </c>
      <c r="G46" s="113">
        <f t="shared" si="6"/>
        <v>118.25581395348837</v>
      </c>
      <c r="H46" s="113">
        <f t="shared" si="6"/>
        <v>98.855675533315775</v>
      </c>
      <c r="I46" s="113">
        <f t="shared" si="6"/>
        <v>92.268530503063246</v>
      </c>
      <c r="J46" s="114" t="s">
        <v>67</v>
      </c>
    </row>
    <row r="47" spans="1:10" x14ac:dyDescent="0.25">
      <c r="A47" s="69" t="s">
        <v>14</v>
      </c>
      <c r="B47" s="113">
        <f>B20/B19*100</f>
        <v>81.144974493650381</v>
      </c>
      <c r="C47" s="134">
        <f>C20/C19*100</f>
        <v>89.080686760633085</v>
      </c>
      <c r="D47" s="134"/>
      <c r="E47" s="113">
        <f>E20/E19*100</f>
        <v>115.67241840903006</v>
      </c>
      <c r="F47" s="113">
        <f t="shared" ref="F47:I47" si="7">F20/F19*100</f>
        <v>7.0396848321458387</v>
      </c>
      <c r="G47" s="113">
        <f t="shared" si="7"/>
        <v>115.39508834685346</v>
      </c>
      <c r="H47" s="113">
        <f t="shared" si="7"/>
        <v>72.737377999078262</v>
      </c>
      <c r="I47" s="113">
        <f t="shared" si="7"/>
        <v>89.745029787938705</v>
      </c>
      <c r="J47" s="114" t="s">
        <v>67</v>
      </c>
    </row>
    <row r="48" spans="1:10" x14ac:dyDescent="0.25">
      <c r="A48" s="69" t="s">
        <v>15</v>
      </c>
      <c r="B48" s="114" t="s">
        <v>67</v>
      </c>
      <c r="C48" s="114" t="s">
        <v>67</v>
      </c>
      <c r="D48" s="113">
        <f>AVERAGE(D46,C47)</f>
        <v>109.1785529063004</v>
      </c>
      <c r="E48" s="113">
        <f>AVERAGE(E46:E47)</f>
        <v>115.18469405299987</v>
      </c>
      <c r="F48" s="113">
        <f t="shared" ref="F48:I48" si="8">AVERAGE(F46:F47)</f>
        <v>10.047860902496952</v>
      </c>
      <c r="G48" s="113">
        <f t="shared" si="8"/>
        <v>116.82545115017092</v>
      </c>
      <c r="H48" s="113">
        <f t="shared" si="8"/>
        <v>85.796526766197019</v>
      </c>
      <c r="I48" s="113">
        <f t="shared" si="8"/>
        <v>91.006780145500983</v>
      </c>
      <c r="J48" s="114" t="s">
        <v>67</v>
      </c>
    </row>
    <row r="49" spans="1:10" x14ac:dyDescent="0.25">
      <c r="B49" s="113"/>
      <c r="C49" s="113"/>
      <c r="D49" s="113"/>
      <c r="E49" s="113"/>
      <c r="F49" s="86"/>
      <c r="G49" s="86"/>
      <c r="H49" s="86"/>
      <c r="I49" s="86"/>
      <c r="J49" s="86"/>
    </row>
    <row r="50" spans="1:10" x14ac:dyDescent="0.25">
      <c r="A50" s="69" t="s">
        <v>16</v>
      </c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25">
      <c r="A51" s="69" t="s">
        <v>17</v>
      </c>
      <c r="B51" s="114" t="s">
        <v>67</v>
      </c>
      <c r="C51" s="143">
        <f>D13/D15*100</f>
        <v>129.22847606549894</v>
      </c>
      <c r="D51" s="143"/>
      <c r="E51" s="113">
        <f>E13/E15*100</f>
        <v>114.63907117617364</v>
      </c>
      <c r="F51" s="113">
        <f t="shared" ref="F51:I51" si="9">F13/F15*100</f>
        <v>13.048498845265588</v>
      </c>
      <c r="G51" s="113">
        <f t="shared" si="9"/>
        <v>118.25581395348837</v>
      </c>
      <c r="H51" s="113">
        <f t="shared" si="9"/>
        <v>95.876117496807154</v>
      </c>
      <c r="I51" s="113">
        <f t="shared" si="9"/>
        <v>92.260569456427959</v>
      </c>
      <c r="J51" s="114" t="s">
        <v>67</v>
      </c>
    </row>
    <row r="52" spans="1:10" x14ac:dyDescent="0.25">
      <c r="A52" s="69" t="s">
        <v>18</v>
      </c>
      <c r="B52" s="113">
        <f>B20/B21*100</f>
        <v>24.11407646212901</v>
      </c>
      <c r="C52" s="143">
        <f>C20/C21*100</f>
        <v>25.364617348252249</v>
      </c>
      <c r="D52" s="143"/>
      <c r="E52" s="113">
        <f>E20/E21*100</f>
        <v>32.757349344550967</v>
      </c>
      <c r="F52" s="113">
        <f t="shared" ref="F52:I52" si="10">F20/F21*100</f>
        <v>2.6317099800830279</v>
      </c>
      <c r="G52" s="113">
        <f t="shared" si="10"/>
        <v>28.926456026872465</v>
      </c>
      <c r="H52" s="113">
        <f t="shared" si="10"/>
        <v>23.037654608864404</v>
      </c>
      <c r="I52" s="113">
        <f t="shared" si="10"/>
        <v>25.449957426251785</v>
      </c>
      <c r="J52" s="114" t="s">
        <v>67</v>
      </c>
    </row>
    <row r="53" spans="1:10" x14ac:dyDescent="0.25">
      <c r="A53" s="69" t="s">
        <v>19</v>
      </c>
      <c r="B53" s="114" t="s">
        <v>67</v>
      </c>
      <c r="C53" s="143">
        <f>(C51+C52)/2</f>
        <v>77.296546706875588</v>
      </c>
      <c r="D53" s="143"/>
      <c r="E53" s="113">
        <f>(E51+E52)/2</f>
        <v>73.698210260362302</v>
      </c>
      <c r="F53" s="113">
        <f t="shared" ref="F53:I53" si="11">(F51+F52)/2</f>
        <v>7.8401044126743074</v>
      </c>
      <c r="G53" s="113">
        <f t="shared" si="11"/>
        <v>73.591134990180421</v>
      </c>
      <c r="H53" s="113">
        <f t="shared" si="11"/>
        <v>59.456886052835777</v>
      </c>
      <c r="I53" s="113">
        <f t="shared" si="11"/>
        <v>58.855263441339872</v>
      </c>
      <c r="J53" s="114" t="s">
        <v>67</v>
      </c>
    </row>
    <row r="54" spans="1:10" x14ac:dyDescent="0.25">
      <c r="B54" s="86"/>
      <c r="C54" s="112"/>
      <c r="D54" s="112"/>
      <c r="E54" s="86"/>
      <c r="F54" s="86"/>
      <c r="G54" s="86"/>
      <c r="H54" s="86"/>
      <c r="I54" s="86"/>
      <c r="J54" s="86"/>
    </row>
    <row r="55" spans="1:10" x14ac:dyDescent="0.25">
      <c r="A55" s="69" t="s">
        <v>31</v>
      </c>
      <c r="B55" s="86"/>
      <c r="C55" s="112"/>
      <c r="D55" s="112"/>
      <c r="E55" s="86"/>
      <c r="F55" s="86"/>
      <c r="G55" s="86"/>
      <c r="H55" s="86"/>
      <c r="I55" s="86"/>
      <c r="J55" s="86"/>
    </row>
    <row r="56" spans="1:10" x14ac:dyDescent="0.25">
      <c r="A56" s="69" t="s">
        <v>20</v>
      </c>
      <c r="B56" s="89">
        <f>B22/B20*100</f>
        <v>100</v>
      </c>
      <c r="C56" s="145">
        <f>C22/C20*100</f>
        <v>100</v>
      </c>
      <c r="D56" s="145"/>
      <c r="E56" s="89">
        <f>E22/E20*100</f>
        <v>100</v>
      </c>
      <c r="F56" s="89">
        <f t="shared" ref="F56:J56" si="12">F22/F20*100</f>
        <v>100</v>
      </c>
      <c r="G56" s="89">
        <f t="shared" si="12"/>
        <v>100</v>
      </c>
      <c r="H56" s="89">
        <f t="shared" si="12"/>
        <v>100</v>
      </c>
      <c r="I56" s="89">
        <f t="shared" si="12"/>
        <v>100</v>
      </c>
      <c r="J56" s="89">
        <f t="shared" si="12"/>
        <v>100</v>
      </c>
    </row>
    <row r="57" spans="1:10" x14ac:dyDescent="0.25">
      <c r="B57" s="86"/>
      <c r="C57" s="112"/>
      <c r="D57" s="112"/>
      <c r="E57" s="86"/>
      <c r="F57" s="86"/>
      <c r="G57" s="86"/>
      <c r="H57" s="86"/>
      <c r="I57" s="86"/>
      <c r="J57" s="86"/>
    </row>
    <row r="58" spans="1:10" x14ac:dyDescent="0.25">
      <c r="A58" s="69" t="s">
        <v>21</v>
      </c>
      <c r="B58" s="86"/>
      <c r="C58" s="112"/>
      <c r="D58" s="112"/>
      <c r="E58" s="86"/>
      <c r="F58" s="86"/>
      <c r="G58" s="86"/>
      <c r="H58" s="86"/>
      <c r="I58" s="86"/>
      <c r="J58" s="86"/>
    </row>
    <row r="59" spans="1:10" x14ac:dyDescent="0.25">
      <c r="A59" s="69" t="s">
        <v>22</v>
      </c>
      <c r="B59" s="113">
        <f>((B13/B10)-1)*100</f>
        <v>13.445767083777827</v>
      </c>
      <c r="C59" s="143">
        <f>((D13/D10)-1)*100</f>
        <v>12.916271997607055</v>
      </c>
      <c r="D59" s="143"/>
      <c r="E59" s="113">
        <f>((E13/E10)-1)*100</f>
        <v>24.711696869851728</v>
      </c>
      <c r="F59" s="113">
        <f t="shared" ref="F59:I59" si="13">((F13/F10)-1)*100</f>
        <v>35.32934131736527</v>
      </c>
      <c r="G59" s="113">
        <f t="shared" si="13"/>
        <v>15.082444228903968</v>
      </c>
      <c r="H59" s="113">
        <f t="shared" si="13"/>
        <v>17.208699589376874</v>
      </c>
      <c r="I59" s="113">
        <f t="shared" si="13"/>
        <v>10.379354838709688</v>
      </c>
      <c r="J59" s="114" t="s">
        <v>67</v>
      </c>
    </row>
    <row r="60" spans="1:10" x14ac:dyDescent="0.25">
      <c r="A60" s="69" t="s">
        <v>23</v>
      </c>
      <c r="B60" s="113">
        <f>((B35/B34)-1)*100</f>
        <v>4.932073005592974</v>
      </c>
      <c r="C60" s="143">
        <f>((C35/C34)-1)*100</f>
        <v>7.4812920502844715</v>
      </c>
      <c r="D60" s="143"/>
      <c r="E60" s="113">
        <f>((E35/E34)-1)*100</f>
        <v>22.015464950634399</v>
      </c>
      <c r="F60" s="113">
        <f t="shared" ref="F60:J60" si="14">((F35/F34)-1)*100</f>
        <v>18.684480610779829</v>
      </c>
      <c r="G60" s="113">
        <f t="shared" si="14"/>
        <v>12.087474686788768</v>
      </c>
      <c r="H60" s="113">
        <f t="shared" si="14"/>
        <v>4.3137030371376506</v>
      </c>
      <c r="I60" s="113">
        <f t="shared" si="14"/>
        <v>-1.9161635204265948</v>
      </c>
      <c r="J60" s="113">
        <f t="shared" si="14"/>
        <v>127.59646346893918</v>
      </c>
    </row>
    <row r="61" spans="1:10" x14ac:dyDescent="0.25">
      <c r="A61" s="69" t="s">
        <v>24</v>
      </c>
      <c r="B61" s="113">
        <f>((B37/B36)-1)*100</f>
        <v>-7.5046379402570746</v>
      </c>
      <c r="C61" s="143">
        <f>((C37/C36)-1)*100</f>
        <v>-4.813283197516272</v>
      </c>
      <c r="D61" s="143"/>
      <c r="E61" s="113">
        <f>((E37/E36)-1)*100</f>
        <v>-2.1619719616445487</v>
      </c>
      <c r="F61" s="113">
        <f t="shared" ref="F61:I61" si="15">((F37/F36)-1)*100</f>
        <v>-12.299520964600729</v>
      </c>
      <c r="G61" s="113">
        <f t="shared" si="15"/>
        <v>-2.6024556240377361</v>
      </c>
      <c r="H61" s="113">
        <f t="shared" si="15"/>
        <v>-11.001740141657512</v>
      </c>
      <c r="I61" s="113">
        <f t="shared" si="15"/>
        <v>-11.13932798130859</v>
      </c>
      <c r="J61" s="114" t="s">
        <v>67</v>
      </c>
    </row>
    <row r="62" spans="1:10" x14ac:dyDescent="0.25">
      <c r="B62" s="113"/>
      <c r="C62" s="112"/>
      <c r="D62" s="112"/>
      <c r="E62" s="113"/>
      <c r="F62" s="86"/>
      <c r="G62" s="86"/>
      <c r="H62" s="86"/>
      <c r="I62" s="86"/>
      <c r="J62" s="86"/>
    </row>
    <row r="63" spans="1:10" x14ac:dyDescent="0.25">
      <c r="A63" s="69" t="s">
        <v>25</v>
      </c>
      <c r="B63" s="86"/>
      <c r="C63" s="112"/>
      <c r="D63" s="112"/>
      <c r="E63" s="86"/>
      <c r="F63" s="86"/>
      <c r="G63" s="86"/>
      <c r="H63" s="86"/>
      <c r="I63" s="86"/>
      <c r="J63" s="86"/>
    </row>
    <row r="64" spans="1:10" x14ac:dyDescent="0.25">
      <c r="A64" s="69" t="s">
        <v>32</v>
      </c>
      <c r="B64" s="88">
        <f>(B19/B12)*3</f>
        <v>168666.03550670366</v>
      </c>
      <c r="C64" s="143">
        <f>(C19/D12)*3</f>
        <v>105000</v>
      </c>
      <c r="D64" s="143"/>
      <c r="E64" s="88">
        <f>(E19/E12)*3</f>
        <v>234000</v>
      </c>
      <c r="F64" s="88">
        <f t="shared" ref="F64:I64" si="16">(F19/F12)*3</f>
        <v>936000</v>
      </c>
      <c r="G64" s="88">
        <f t="shared" si="16"/>
        <v>150000</v>
      </c>
      <c r="H64" s="88">
        <f t="shared" si="16"/>
        <v>225000</v>
      </c>
      <c r="I64" s="88">
        <f t="shared" si="16"/>
        <v>321000</v>
      </c>
      <c r="J64" s="114" t="s">
        <v>67</v>
      </c>
    </row>
    <row r="65" spans="1:10" x14ac:dyDescent="0.25">
      <c r="A65" s="69" t="s">
        <v>33</v>
      </c>
      <c r="B65" s="88">
        <f>(B20/B14)*3</f>
        <v>127624.27966496909</v>
      </c>
      <c r="C65" s="143">
        <f>(C20/D14)*3</f>
        <v>78045.163160329321</v>
      </c>
      <c r="D65" s="143"/>
      <c r="E65" s="88">
        <f>(E20/E14)*3</f>
        <v>247499.0760702187</v>
      </c>
      <c r="F65" s="88">
        <f t="shared" ref="F65:I65" si="17">(F20/F14)*3</f>
        <v>543997.29729729751</v>
      </c>
      <c r="G65" s="88">
        <f t="shared" si="17"/>
        <v>159752.97799923341</v>
      </c>
      <c r="H65" s="88">
        <f t="shared" si="17"/>
        <v>176929.75118944113</v>
      </c>
      <c r="I65" s="88">
        <f t="shared" si="17"/>
        <v>341736.51846796897</v>
      </c>
      <c r="J65" s="114" t="s">
        <v>67</v>
      </c>
    </row>
    <row r="66" spans="1:10" x14ac:dyDescent="0.25">
      <c r="A66" s="69" t="s">
        <v>26</v>
      </c>
      <c r="B66" s="114" t="s">
        <v>67</v>
      </c>
      <c r="C66" s="143">
        <f>(C65/C64)*D48</f>
        <v>81.151028335055827</v>
      </c>
      <c r="D66" s="143"/>
      <c r="E66" s="113">
        <f>(E65/E64)*E48</f>
        <v>121.82951006644565</v>
      </c>
      <c r="F66" s="113">
        <f t="shared" ref="F66:I66" si="18">(F65/F64)*F48</f>
        <v>5.8397533916426561</v>
      </c>
      <c r="G66" s="113">
        <f t="shared" si="18"/>
        <v>124.42142484895848</v>
      </c>
      <c r="H66" s="113">
        <f t="shared" si="18"/>
        <v>67.46648059405095</v>
      </c>
      <c r="I66" s="113">
        <f t="shared" si="18"/>
        <v>96.885795027736407</v>
      </c>
      <c r="J66" s="114" t="s">
        <v>67</v>
      </c>
    </row>
    <row r="67" spans="1:10" x14ac:dyDescent="0.25">
      <c r="A67" s="69" t="s">
        <v>34</v>
      </c>
      <c r="B67" s="89">
        <f>B19/B12</f>
        <v>56222.011835567886</v>
      </c>
      <c r="C67" s="143">
        <f>C19/D12</f>
        <v>35000</v>
      </c>
      <c r="D67" s="143"/>
      <c r="E67" s="89">
        <f>E19/E12</f>
        <v>78000</v>
      </c>
      <c r="F67" s="89">
        <f>F19/F12</f>
        <v>312000</v>
      </c>
      <c r="G67" s="89">
        <f t="shared" ref="G67:I67" si="19">G19/G12</f>
        <v>50000</v>
      </c>
      <c r="H67" s="89">
        <f t="shared" si="19"/>
        <v>75000</v>
      </c>
      <c r="I67" s="89">
        <f t="shared" si="19"/>
        <v>107000</v>
      </c>
      <c r="J67" s="114" t="s">
        <v>67</v>
      </c>
    </row>
    <row r="68" spans="1:10" x14ac:dyDescent="0.25">
      <c r="A68" s="69" t="s">
        <v>35</v>
      </c>
      <c r="B68" s="89">
        <f>B20/B14</f>
        <v>42541.426554989695</v>
      </c>
      <c r="C68" s="143">
        <f>C20/D14</f>
        <v>26015.054386776439</v>
      </c>
      <c r="D68" s="143"/>
      <c r="E68" s="89">
        <f>E20/E14</f>
        <v>82499.692023406227</v>
      </c>
      <c r="F68" s="89">
        <f>F20/F14</f>
        <v>181332.43243243248</v>
      </c>
      <c r="G68" s="89">
        <f t="shared" ref="G68:I68" si="20">G20/G14</f>
        <v>53250.992666411141</v>
      </c>
      <c r="H68" s="89">
        <f t="shared" si="20"/>
        <v>58976.583729813712</v>
      </c>
      <c r="I68" s="89">
        <f t="shared" si="20"/>
        <v>113912.17282265633</v>
      </c>
      <c r="J68" s="114" t="s">
        <v>67</v>
      </c>
    </row>
    <row r="69" spans="1:10" x14ac:dyDescent="0.25">
      <c r="B69" s="113"/>
      <c r="C69" s="113"/>
      <c r="D69" s="113"/>
      <c r="E69" s="113"/>
      <c r="F69" s="86"/>
      <c r="G69" s="86"/>
      <c r="H69" s="86"/>
      <c r="I69" s="86"/>
      <c r="J69" s="86"/>
    </row>
    <row r="70" spans="1:10" x14ac:dyDescent="0.25">
      <c r="A70" s="69" t="s">
        <v>27</v>
      </c>
      <c r="B70" s="113"/>
      <c r="C70" s="113"/>
      <c r="D70" s="113"/>
      <c r="E70" s="113"/>
      <c r="F70" s="86"/>
      <c r="G70" s="86"/>
      <c r="H70" s="86"/>
      <c r="I70" s="86"/>
      <c r="J70" s="86"/>
    </row>
    <row r="71" spans="1:10" x14ac:dyDescent="0.25">
      <c r="A71" s="69" t="s">
        <v>28</v>
      </c>
      <c r="B71" s="113">
        <f>(B26/B25)*100</f>
        <v>85.308366440575853</v>
      </c>
      <c r="C71" s="113"/>
      <c r="D71" s="113"/>
      <c r="E71" s="113"/>
      <c r="F71" s="86"/>
      <c r="G71" s="86"/>
      <c r="H71" s="86"/>
      <c r="I71" s="86"/>
      <c r="J71" s="86"/>
    </row>
    <row r="72" spans="1:10" x14ac:dyDescent="0.25">
      <c r="A72" s="69" t="s">
        <v>29</v>
      </c>
      <c r="B72" s="113">
        <f>(B20/B26)*100</f>
        <v>95.119597150151009</v>
      </c>
      <c r="C72" s="113"/>
      <c r="D72" s="113"/>
      <c r="E72" s="113"/>
      <c r="F72" s="86"/>
      <c r="G72" s="86"/>
      <c r="H72" s="86"/>
      <c r="I72" s="86"/>
      <c r="J72" s="86"/>
    </row>
    <row r="73" spans="1:10" ht="15.75" thickBot="1" x14ac:dyDescent="0.3">
      <c r="A73" s="74"/>
      <c r="B73" s="90"/>
      <c r="C73" s="90"/>
      <c r="D73" s="90"/>
      <c r="E73" s="90"/>
      <c r="F73" s="90"/>
      <c r="G73" s="90"/>
      <c r="H73" s="90"/>
      <c r="I73" s="90"/>
      <c r="J73" s="90"/>
    </row>
    <row r="74" spans="1:10" ht="15.75" thickTop="1" x14ac:dyDescent="0.25">
      <c r="A74" s="75"/>
    </row>
    <row r="75" spans="1:10" x14ac:dyDescent="0.25">
      <c r="A75" s="75"/>
    </row>
    <row r="76" spans="1:10" x14ac:dyDescent="0.25">
      <c r="A76" s="2" t="s">
        <v>30</v>
      </c>
      <c r="B76" s="13"/>
    </row>
    <row r="77" spans="1:10" x14ac:dyDescent="0.25">
      <c r="A77" s="2" t="s">
        <v>119</v>
      </c>
      <c r="B77" s="73"/>
      <c r="C77" s="73"/>
      <c r="D77" s="73"/>
      <c r="E77" s="73"/>
    </row>
    <row r="78" spans="1:10" x14ac:dyDescent="0.25">
      <c r="A78" s="2" t="s">
        <v>45</v>
      </c>
    </row>
    <row r="79" spans="1:10" x14ac:dyDescent="0.25">
      <c r="A79" s="75" t="s">
        <v>58</v>
      </c>
    </row>
    <row r="80" spans="1:10" x14ac:dyDescent="0.25">
      <c r="A80" s="2" t="s">
        <v>54</v>
      </c>
    </row>
    <row r="81" spans="1:1" x14ac:dyDescent="0.25">
      <c r="A81" s="2" t="s">
        <v>120</v>
      </c>
    </row>
    <row r="82" spans="1:1" x14ac:dyDescent="0.25">
      <c r="A82" s="2" t="s">
        <v>121</v>
      </c>
    </row>
    <row r="83" spans="1:1" x14ac:dyDescent="0.25">
      <c r="A83" s="2" t="s">
        <v>46</v>
      </c>
    </row>
    <row r="84" spans="1:1" x14ac:dyDescent="0.25">
      <c r="A84" s="15" t="s">
        <v>47</v>
      </c>
    </row>
    <row r="85" spans="1:1" x14ac:dyDescent="0.25">
      <c r="A85" s="15" t="s">
        <v>48</v>
      </c>
    </row>
    <row r="86" spans="1:1" x14ac:dyDescent="0.25">
      <c r="A86" s="2" t="s">
        <v>122</v>
      </c>
    </row>
    <row r="87" spans="1:1" x14ac:dyDescent="0.25">
      <c r="A87" s="2"/>
    </row>
    <row r="88" spans="1:1" x14ac:dyDescent="0.25">
      <c r="A88" s="2" t="s">
        <v>123</v>
      </c>
    </row>
    <row r="89" spans="1:1" x14ac:dyDescent="0.25">
      <c r="A89" s="77"/>
    </row>
  </sheetData>
  <mergeCells count="29">
    <mergeCell ref="C67:D67"/>
    <mergeCell ref="C68:D68"/>
    <mergeCell ref="C42:D42"/>
    <mergeCell ref="C43:D43"/>
    <mergeCell ref="C47:D47"/>
    <mergeCell ref="C60:D60"/>
    <mergeCell ref="C61:D61"/>
    <mergeCell ref="C64:D64"/>
    <mergeCell ref="C65:D65"/>
    <mergeCell ref="C66:D66"/>
    <mergeCell ref="C59:D59"/>
    <mergeCell ref="C51:D51"/>
    <mergeCell ref="C52:D52"/>
    <mergeCell ref="C53:D53"/>
    <mergeCell ref="C56:D56"/>
    <mergeCell ref="A2:I2"/>
    <mergeCell ref="C31:D31"/>
    <mergeCell ref="C21:D21"/>
    <mergeCell ref="C19:D19"/>
    <mergeCell ref="B4:B5"/>
    <mergeCell ref="C18:D18"/>
    <mergeCell ref="C20:D20"/>
    <mergeCell ref="C5:D5"/>
    <mergeCell ref="A4:A5"/>
    <mergeCell ref="C34:D34"/>
    <mergeCell ref="C35:D35"/>
    <mergeCell ref="C36:D36"/>
    <mergeCell ref="C37:D37"/>
    <mergeCell ref="C22:D22"/>
  </mergeCells>
  <pageMargins left="0.7" right="0.7" top="0.75" bottom="0.75" header="0.3" footer="0.3"/>
  <pageSetup paperSize="9" orientation="portrait" r:id="rId1"/>
  <ignoredErrors>
    <ignoredError sqref="B44:J45 B49:J50 D48:I48 B47:I47 D46:I46 B43:G43 B54:J58 B52:I52 B62:J63 B61:I61 B60:J60 B59:I59 B69:J73 B64:I65 C53:I53 C51:I51 B67:I68 C66:I66 C42:G42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0"/>
  <sheetViews>
    <sheetView zoomScale="80" zoomScaleNormal="80" zoomScalePageLayoutView="90" workbookViewId="0">
      <selection activeCell="A4" sqref="A4:A5"/>
    </sheetView>
  </sheetViews>
  <sheetFormatPr baseColWidth="10" defaultColWidth="11.42578125" defaultRowHeight="15" x14ac:dyDescent="0.25"/>
  <cols>
    <col min="1" max="1" width="61.85546875" style="64" customWidth="1"/>
    <col min="2" max="10" width="18.7109375" style="64" customWidth="1"/>
    <col min="11" max="16384" width="11.42578125" style="64"/>
  </cols>
  <sheetData>
    <row r="2" spans="1:10" ht="15.75" x14ac:dyDescent="0.25">
      <c r="A2" s="136" t="s">
        <v>86</v>
      </c>
      <c r="B2" s="136"/>
      <c r="C2" s="136"/>
      <c r="D2" s="136"/>
      <c r="E2" s="136"/>
      <c r="F2" s="136"/>
      <c r="G2" s="136"/>
      <c r="H2" s="136"/>
      <c r="I2" s="136"/>
    </row>
    <row r="4" spans="1:10" ht="15" customHeight="1" x14ac:dyDescent="0.25">
      <c r="A4" s="141" t="s">
        <v>0</v>
      </c>
      <c r="B4" s="129" t="s">
        <v>59</v>
      </c>
      <c r="C4" s="9"/>
      <c r="D4" s="9"/>
      <c r="E4" s="9"/>
      <c r="F4" s="9"/>
      <c r="G4" s="9"/>
      <c r="H4" s="19"/>
      <c r="I4" s="19"/>
      <c r="J4" s="19"/>
    </row>
    <row r="5" spans="1:10" ht="51.75" customHeight="1" thickBot="1" x14ac:dyDescent="0.3">
      <c r="A5" s="142"/>
      <c r="B5" s="139"/>
      <c r="C5" s="140" t="s">
        <v>1</v>
      </c>
      <c r="D5" s="140"/>
      <c r="E5" s="40" t="s">
        <v>49</v>
      </c>
      <c r="F5" s="40" t="s">
        <v>50</v>
      </c>
      <c r="G5" s="18" t="s">
        <v>51</v>
      </c>
      <c r="H5" s="28" t="s">
        <v>60</v>
      </c>
      <c r="I5" s="27" t="s">
        <v>56</v>
      </c>
      <c r="J5" s="27" t="s">
        <v>61</v>
      </c>
    </row>
    <row r="6" spans="1:10" ht="15.75" thickTop="1" x14ac:dyDescent="0.25"/>
    <row r="7" spans="1:10" x14ac:dyDescent="0.25">
      <c r="A7" s="1" t="s">
        <v>2</v>
      </c>
      <c r="D7" s="3"/>
      <c r="E7" s="3"/>
    </row>
    <row r="8" spans="1:10" x14ac:dyDescent="0.25">
      <c r="D8" s="3"/>
      <c r="E8" s="3"/>
    </row>
    <row r="9" spans="1:10" x14ac:dyDescent="0.25">
      <c r="A9" s="64" t="s">
        <v>42</v>
      </c>
      <c r="B9" s="66" t="s">
        <v>93</v>
      </c>
      <c r="C9" s="66" t="s">
        <v>43</v>
      </c>
      <c r="D9" s="66" t="s">
        <v>44</v>
      </c>
      <c r="E9" s="66" t="s">
        <v>43</v>
      </c>
      <c r="F9" s="66" t="s">
        <v>43</v>
      </c>
      <c r="G9" s="66" t="s">
        <v>43</v>
      </c>
      <c r="H9" s="29" t="s">
        <v>43</v>
      </c>
      <c r="I9" s="29" t="s">
        <v>57</v>
      </c>
      <c r="J9" s="29" t="s">
        <v>43</v>
      </c>
    </row>
    <row r="10" spans="1:10" s="69" customFormat="1" x14ac:dyDescent="0.25">
      <c r="A10" s="67" t="s">
        <v>87</v>
      </c>
      <c r="B10" s="80">
        <v>199899</v>
      </c>
      <c r="C10" s="80">
        <v>128132</v>
      </c>
      <c r="D10" s="80">
        <v>163409</v>
      </c>
      <c r="E10" s="80">
        <v>1753</v>
      </c>
      <c r="F10" s="79">
        <v>171</v>
      </c>
      <c r="G10" s="80">
        <v>12513</v>
      </c>
      <c r="H10" s="80">
        <v>85186</v>
      </c>
      <c r="I10" s="79">
        <v>20660</v>
      </c>
      <c r="J10" s="79" t="s">
        <v>53</v>
      </c>
    </row>
    <row r="11" spans="1:10" s="69" customFormat="1" x14ac:dyDescent="0.25">
      <c r="A11" s="67" t="s">
        <v>88</v>
      </c>
      <c r="B11" s="80" t="s">
        <v>55</v>
      </c>
      <c r="C11" s="37" t="s">
        <v>55</v>
      </c>
      <c r="D11" s="80">
        <v>140216</v>
      </c>
      <c r="E11" s="80">
        <v>1981</v>
      </c>
      <c r="F11" s="80">
        <v>1732</v>
      </c>
      <c r="G11" s="80">
        <v>12040</v>
      </c>
      <c r="H11" s="80">
        <v>78300</v>
      </c>
      <c r="I11" s="80">
        <v>23180</v>
      </c>
      <c r="J11" s="80" t="s">
        <v>53</v>
      </c>
    </row>
    <row r="12" spans="1:10" s="69" customFormat="1" x14ac:dyDescent="0.25">
      <c r="A12" s="12" t="s">
        <v>66</v>
      </c>
      <c r="B12" s="80">
        <f>+SUM(D12:I12)</f>
        <v>544263</v>
      </c>
      <c r="C12" s="37" t="s">
        <v>55</v>
      </c>
      <c r="D12" s="80">
        <v>287216</v>
      </c>
      <c r="E12" s="80">
        <v>4163</v>
      </c>
      <c r="F12" s="80">
        <v>4749</v>
      </c>
      <c r="G12" s="80">
        <v>36120</v>
      </c>
      <c r="H12" s="80">
        <v>163216</v>
      </c>
      <c r="I12" s="80">
        <v>48799</v>
      </c>
      <c r="J12" s="80" t="s">
        <v>53</v>
      </c>
    </row>
    <row r="13" spans="1:10" s="69" customFormat="1" x14ac:dyDescent="0.25">
      <c r="A13" s="67" t="s">
        <v>89</v>
      </c>
      <c r="B13" s="80">
        <v>206143</v>
      </c>
      <c r="C13" s="80">
        <v>141207</v>
      </c>
      <c r="D13" s="80">
        <v>180820</v>
      </c>
      <c r="E13" s="80">
        <v>2285</v>
      </c>
      <c r="F13" s="80">
        <v>230</v>
      </c>
      <c r="G13" s="80">
        <v>13266</v>
      </c>
      <c r="H13" s="80">
        <v>79173</v>
      </c>
      <c r="I13" s="80">
        <v>22498</v>
      </c>
      <c r="J13" s="80" t="s">
        <v>53</v>
      </c>
    </row>
    <row r="14" spans="1:10" s="69" customFormat="1" x14ac:dyDescent="0.25">
      <c r="A14" s="12" t="s">
        <v>66</v>
      </c>
      <c r="B14" s="80">
        <f>+SUM(D14:I14)</f>
        <v>588577</v>
      </c>
      <c r="C14" s="37" t="s">
        <v>55</v>
      </c>
      <c r="D14" s="80">
        <v>349130</v>
      </c>
      <c r="E14" s="80">
        <v>5081</v>
      </c>
      <c r="F14" s="80">
        <v>668</v>
      </c>
      <c r="G14" s="80">
        <v>36957</v>
      </c>
      <c r="H14" s="80">
        <v>141646</v>
      </c>
      <c r="I14" s="80">
        <v>55095</v>
      </c>
      <c r="J14" s="80" t="s">
        <v>53</v>
      </c>
    </row>
    <row r="15" spans="1:10" s="69" customFormat="1" x14ac:dyDescent="0.25">
      <c r="A15" s="67" t="s">
        <v>65</v>
      </c>
      <c r="B15" s="80" t="s">
        <v>55</v>
      </c>
      <c r="C15" s="37" t="s">
        <v>55</v>
      </c>
      <c r="D15" s="80">
        <v>140216</v>
      </c>
      <c r="E15" s="80">
        <v>1981</v>
      </c>
      <c r="F15" s="80">
        <v>1732</v>
      </c>
      <c r="G15" s="80">
        <v>12040</v>
      </c>
      <c r="H15" s="80">
        <v>78300</v>
      </c>
      <c r="I15" s="80">
        <v>23180</v>
      </c>
      <c r="J15" s="80" t="s">
        <v>53</v>
      </c>
    </row>
    <row r="16" spans="1:10" s="69" customFormat="1" x14ac:dyDescent="0.25">
      <c r="B16" s="79"/>
      <c r="C16" s="79"/>
      <c r="D16" s="79"/>
      <c r="E16" s="79"/>
      <c r="F16" s="79"/>
      <c r="G16" s="79"/>
      <c r="H16" s="79"/>
      <c r="I16" s="79"/>
      <c r="J16" s="79"/>
    </row>
    <row r="17" spans="1:10" s="69" customFormat="1" x14ac:dyDescent="0.25">
      <c r="A17" s="72" t="s">
        <v>3</v>
      </c>
      <c r="B17" s="79"/>
      <c r="C17" s="79"/>
      <c r="D17" s="79"/>
      <c r="E17" s="79"/>
      <c r="F17" s="79"/>
      <c r="G17" s="79"/>
      <c r="H17" s="79"/>
      <c r="I17" s="79"/>
      <c r="J17" s="79"/>
    </row>
    <row r="18" spans="1:10" s="69" customFormat="1" x14ac:dyDescent="0.25">
      <c r="A18" s="67" t="s">
        <v>87</v>
      </c>
      <c r="B18" s="80">
        <f>C18+H18+I18+G18+E18+F18+J18</f>
        <v>36963714543.400002</v>
      </c>
      <c r="C18" s="147">
        <v>12590557500</v>
      </c>
      <c r="D18" s="147"/>
      <c r="E18" s="80">
        <v>341653612.99999976</v>
      </c>
      <c r="F18" s="80">
        <v>95089000</v>
      </c>
      <c r="G18" s="80">
        <v>1816910000</v>
      </c>
      <c r="H18" s="80">
        <v>14964430458.000004</v>
      </c>
      <c r="I18" s="80">
        <v>7146348343</v>
      </c>
      <c r="J18" s="80">
        <v>8725629.4000000022</v>
      </c>
    </row>
    <row r="19" spans="1:10" s="69" customFormat="1" x14ac:dyDescent="0.25">
      <c r="A19" s="67" t="s">
        <v>88</v>
      </c>
      <c r="B19" s="80">
        <f>SUM(C19:I19)</f>
        <v>31127655000</v>
      </c>
      <c r="C19" s="147">
        <v>10052560000</v>
      </c>
      <c r="D19" s="147"/>
      <c r="E19" s="80">
        <v>324714000</v>
      </c>
      <c r="F19" s="80">
        <v>1481688000</v>
      </c>
      <c r="G19" s="80">
        <v>1806000000</v>
      </c>
      <c r="H19" s="80">
        <v>12241200000</v>
      </c>
      <c r="I19" s="80">
        <v>5221493000</v>
      </c>
      <c r="J19" s="80" t="s">
        <v>53</v>
      </c>
    </row>
    <row r="20" spans="1:10" s="69" customFormat="1" x14ac:dyDescent="0.25">
      <c r="A20" s="67" t="s">
        <v>89</v>
      </c>
      <c r="B20" s="80">
        <f>SUM(C20:J20)</f>
        <v>32784785719.580009</v>
      </c>
      <c r="C20" s="147">
        <v>12598192000</v>
      </c>
      <c r="D20" s="147"/>
      <c r="E20" s="80">
        <v>409746674</v>
      </c>
      <c r="F20" s="80">
        <v>118408699.99999997</v>
      </c>
      <c r="G20" s="80">
        <v>1942480498</v>
      </c>
      <c r="H20" s="80">
        <v>11943220603.000004</v>
      </c>
      <c r="I20" s="80">
        <v>5755079063.0000038</v>
      </c>
      <c r="J20" s="80">
        <v>17658181.579999998</v>
      </c>
    </row>
    <row r="21" spans="1:10" s="69" customFormat="1" x14ac:dyDescent="0.25">
      <c r="A21" s="67" t="s">
        <v>65</v>
      </c>
      <c r="B21" s="80">
        <f>SUM(C21:J21)</f>
        <v>143479918000</v>
      </c>
      <c r="C21" s="154">
        <v>51662380000</v>
      </c>
      <c r="D21" s="154"/>
      <c r="E21" s="80">
        <v>1635520000</v>
      </c>
      <c r="F21" s="80">
        <v>4333992000</v>
      </c>
      <c r="G21" s="80">
        <v>7204400000</v>
      </c>
      <c r="H21" s="80">
        <v>52407975000</v>
      </c>
      <c r="I21" s="80">
        <v>26235651000</v>
      </c>
      <c r="J21" s="80" t="s">
        <v>53</v>
      </c>
    </row>
    <row r="22" spans="1:10" s="69" customFormat="1" x14ac:dyDescent="0.25">
      <c r="A22" s="67" t="s">
        <v>90</v>
      </c>
      <c r="B22" s="80">
        <f>SUM(C22:J22)</f>
        <v>32784785719.580009</v>
      </c>
      <c r="C22" s="147">
        <f>C20</f>
        <v>12598192000</v>
      </c>
      <c r="D22" s="147"/>
      <c r="E22" s="80">
        <f>E20</f>
        <v>409746674</v>
      </c>
      <c r="F22" s="80">
        <f t="shared" ref="F22:J22" si="0">F20</f>
        <v>118408699.99999997</v>
      </c>
      <c r="G22" s="80">
        <f t="shared" si="0"/>
        <v>1942480498</v>
      </c>
      <c r="H22" s="80">
        <f t="shared" si="0"/>
        <v>11943220603.000004</v>
      </c>
      <c r="I22" s="80">
        <f t="shared" si="0"/>
        <v>5755079063.0000038</v>
      </c>
      <c r="J22" s="80">
        <f t="shared" si="0"/>
        <v>17658181.579999998</v>
      </c>
    </row>
    <row r="23" spans="1:10" s="69" customFormat="1" x14ac:dyDescent="0.25">
      <c r="B23" s="80"/>
      <c r="C23" s="80"/>
      <c r="D23" s="80"/>
      <c r="E23" s="80"/>
      <c r="F23" s="79"/>
      <c r="G23" s="79"/>
      <c r="H23" s="79"/>
      <c r="I23" s="79"/>
      <c r="J23" s="79"/>
    </row>
    <row r="24" spans="1:10" s="69" customFormat="1" x14ac:dyDescent="0.25">
      <c r="A24" s="72" t="s">
        <v>4</v>
      </c>
      <c r="B24" s="80"/>
      <c r="C24" s="80"/>
      <c r="D24" s="80"/>
      <c r="E24" s="80"/>
      <c r="F24" s="79"/>
      <c r="G24" s="79"/>
      <c r="H24" s="79"/>
      <c r="I24" s="79"/>
      <c r="J24" s="79"/>
    </row>
    <row r="25" spans="1:10" s="69" customFormat="1" x14ac:dyDescent="0.25">
      <c r="A25" s="67" t="s">
        <v>88</v>
      </c>
      <c r="B25" s="80">
        <f>B19</f>
        <v>31127655000</v>
      </c>
      <c r="C25" s="80"/>
      <c r="D25" s="80"/>
      <c r="E25" s="80"/>
      <c r="F25" s="79"/>
      <c r="G25" s="79"/>
      <c r="H25" s="79"/>
      <c r="I25" s="79"/>
      <c r="J25" s="79"/>
    </row>
    <row r="26" spans="1:10" s="69" customFormat="1" x14ac:dyDescent="0.25">
      <c r="A26" s="67" t="s">
        <v>89</v>
      </c>
      <c r="B26" s="80">
        <v>33575914098.259995</v>
      </c>
      <c r="C26" s="41"/>
      <c r="D26" s="80"/>
      <c r="E26" s="80"/>
      <c r="F26" s="79"/>
      <c r="G26" s="79"/>
      <c r="H26" s="79"/>
      <c r="I26" s="79"/>
      <c r="J26" s="79"/>
    </row>
    <row r="27" spans="1:10" s="69" customFormat="1" x14ac:dyDescent="0.25">
      <c r="B27" s="79"/>
      <c r="C27" s="79"/>
      <c r="D27" s="79"/>
      <c r="E27" s="79"/>
      <c r="F27" s="79"/>
      <c r="G27" s="79"/>
      <c r="H27" s="79"/>
      <c r="I27" s="79"/>
      <c r="J27" s="79"/>
    </row>
    <row r="28" spans="1:10" s="69" customFormat="1" x14ac:dyDescent="0.25">
      <c r="A28" s="69" t="s">
        <v>5</v>
      </c>
      <c r="B28" s="79"/>
      <c r="C28" s="79"/>
      <c r="D28" s="79"/>
      <c r="E28" s="79"/>
      <c r="F28" s="79"/>
      <c r="G28" s="79"/>
      <c r="H28" s="79"/>
      <c r="I28" s="79"/>
      <c r="J28" s="79"/>
    </row>
    <row r="29" spans="1:10" s="69" customFormat="1" x14ac:dyDescent="0.25">
      <c r="A29" s="67" t="s">
        <v>91</v>
      </c>
      <c r="B29" s="39">
        <v>1.0245</v>
      </c>
      <c r="C29" s="39">
        <v>1.0245</v>
      </c>
      <c r="D29" s="39">
        <v>1.0245</v>
      </c>
      <c r="E29" s="39">
        <v>1.0245</v>
      </c>
      <c r="F29" s="39">
        <v>1.0245</v>
      </c>
      <c r="G29" s="39">
        <v>1.0245</v>
      </c>
      <c r="H29" s="39">
        <v>1.0245</v>
      </c>
      <c r="I29" s="39">
        <v>1.0245</v>
      </c>
      <c r="J29" s="39">
        <v>1.0245</v>
      </c>
    </row>
    <row r="30" spans="1:10" s="69" customFormat="1" x14ac:dyDescent="0.25">
      <c r="A30" s="67" t="s">
        <v>92</v>
      </c>
      <c r="B30" s="39">
        <v>1.0451999999999999</v>
      </c>
      <c r="C30" s="39">
        <v>1.0451999999999999</v>
      </c>
      <c r="D30" s="39">
        <v>1.0451999999999999</v>
      </c>
      <c r="E30" s="39">
        <v>1.0451999999999999</v>
      </c>
      <c r="F30" s="39">
        <v>1.0451999999999999</v>
      </c>
      <c r="G30" s="39">
        <v>1.0451999999999999</v>
      </c>
      <c r="H30" s="39">
        <v>1.0451999999999999</v>
      </c>
      <c r="I30" s="39">
        <v>1.0451999999999999</v>
      </c>
      <c r="J30" s="39">
        <v>1.0451999999999999</v>
      </c>
    </row>
    <row r="31" spans="1:10" s="69" customFormat="1" x14ac:dyDescent="0.25">
      <c r="A31" s="67" t="s">
        <v>6</v>
      </c>
      <c r="B31" s="41">
        <v>359918</v>
      </c>
      <c r="C31" s="149">
        <v>139696</v>
      </c>
      <c r="D31" s="149"/>
      <c r="E31" s="41">
        <v>140011</v>
      </c>
      <c r="F31" s="41" t="s">
        <v>67</v>
      </c>
      <c r="G31" s="41">
        <v>76403</v>
      </c>
      <c r="H31" s="41" t="s">
        <v>67</v>
      </c>
      <c r="I31" s="41" t="s">
        <v>67</v>
      </c>
      <c r="J31" s="41" t="s">
        <v>67</v>
      </c>
    </row>
    <row r="32" spans="1:10" x14ac:dyDescent="0.25">
      <c r="A32" s="69"/>
      <c r="B32" s="69"/>
      <c r="C32" s="69"/>
      <c r="D32" s="69"/>
      <c r="E32" s="69"/>
    </row>
    <row r="33" spans="1:10" s="69" customFormat="1" x14ac:dyDescent="0.25">
      <c r="A33" s="7" t="s">
        <v>7</v>
      </c>
    </row>
    <row r="34" spans="1:10" s="69" customFormat="1" x14ac:dyDescent="0.25">
      <c r="A34" s="69" t="s">
        <v>136</v>
      </c>
      <c r="B34" s="88">
        <f>B18/B29</f>
        <v>36079760413.274773</v>
      </c>
      <c r="C34" s="146">
        <f>C18/C29</f>
        <v>12289465592.972181</v>
      </c>
      <c r="D34" s="146"/>
      <c r="E34" s="88">
        <f>E18/E29</f>
        <v>333483272.81600761</v>
      </c>
      <c r="F34" s="88">
        <f t="shared" ref="F34:J34" si="1">F18/F29</f>
        <v>92815031.722791612</v>
      </c>
      <c r="G34" s="88">
        <f t="shared" si="1"/>
        <v>1773460224.4997561</v>
      </c>
      <c r="H34" s="88">
        <f t="shared" si="1"/>
        <v>14606569505.124454</v>
      </c>
      <c r="I34" s="88">
        <f t="shared" si="1"/>
        <v>6975449822.3523674</v>
      </c>
      <c r="J34" s="88">
        <f t="shared" si="1"/>
        <v>8516963.7872132771</v>
      </c>
    </row>
    <row r="35" spans="1:10" s="69" customFormat="1" x14ac:dyDescent="0.25">
      <c r="A35" s="69" t="s">
        <v>137</v>
      </c>
      <c r="B35" s="88">
        <f>B20/B30</f>
        <v>31366997435.495609</v>
      </c>
      <c r="C35" s="146">
        <f>C20/C30</f>
        <v>12053379257.558363</v>
      </c>
      <c r="D35" s="146"/>
      <c r="E35" s="88">
        <f>E20/E30</f>
        <v>392027051.28205132</v>
      </c>
      <c r="F35" s="88">
        <f t="shared" ref="F35:J35" si="2">F20/F30</f>
        <v>113288078.83658628</v>
      </c>
      <c r="G35" s="88">
        <f t="shared" si="2"/>
        <v>1858477323.0003829</v>
      </c>
      <c r="H35" s="88">
        <f t="shared" si="2"/>
        <v>11426732302.908539</v>
      </c>
      <c r="I35" s="88">
        <f t="shared" si="2"/>
        <v>5506198873.8997364</v>
      </c>
      <c r="J35" s="88">
        <f t="shared" si="2"/>
        <v>16894548.00995025</v>
      </c>
    </row>
    <row r="36" spans="1:10" s="69" customFormat="1" x14ac:dyDescent="0.25">
      <c r="A36" s="69" t="s">
        <v>138</v>
      </c>
      <c r="B36" s="88">
        <f>B34/B10</f>
        <v>180489.94949086674</v>
      </c>
      <c r="C36" s="134">
        <f>C34/D10</f>
        <v>75206.785384967661</v>
      </c>
      <c r="D36" s="134"/>
      <c r="E36" s="88">
        <f>E34/E10</f>
        <v>190235.75174900604</v>
      </c>
      <c r="F36" s="88">
        <f t="shared" ref="F36:I36" si="3">F34/F10</f>
        <v>542777.96329117904</v>
      </c>
      <c r="G36" s="88">
        <f t="shared" si="3"/>
        <v>141729.41936384208</v>
      </c>
      <c r="H36" s="88">
        <f t="shared" si="3"/>
        <v>171466.78450830482</v>
      </c>
      <c r="I36" s="88">
        <f t="shared" si="3"/>
        <v>337630.67871986289</v>
      </c>
      <c r="J36" s="114" t="s">
        <v>67</v>
      </c>
    </row>
    <row r="37" spans="1:10" s="69" customFormat="1" x14ac:dyDescent="0.25">
      <c r="A37" s="69" t="s">
        <v>139</v>
      </c>
      <c r="B37" s="88">
        <f>B35/B13</f>
        <v>152161.35127312405</v>
      </c>
      <c r="C37" s="134">
        <f>C35/D13</f>
        <v>66659.546828660343</v>
      </c>
      <c r="D37" s="134"/>
      <c r="E37" s="88">
        <f>E35/E13</f>
        <v>171565.44913875332</v>
      </c>
      <c r="F37" s="88">
        <f t="shared" ref="F37:I37" si="4">F35/F13</f>
        <v>492556.86450689688</v>
      </c>
      <c r="G37" s="88">
        <f t="shared" si="4"/>
        <v>140093.27023973939</v>
      </c>
      <c r="H37" s="88">
        <f t="shared" si="4"/>
        <v>144326.1251046258</v>
      </c>
      <c r="I37" s="88">
        <f t="shared" si="4"/>
        <v>244741.70476930111</v>
      </c>
      <c r="J37" s="114" t="s">
        <v>67</v>
      </c>
    </row>
    <row r="38" spans="1:10" s="69" customFormat="1" x14ac:dyDescent="0.25">
      <c r="B38" s="86"/>
      <c r="C38" s="86"/>
      <c r="D38" s="86"/>
      <c r="E38" s="86"/>
      <c r="F38" s="86"/>
      <c r="G38" s="86"/>
      <c r="H38" s="86"/>
      <c r="I38" s="86"/>
      <c r="J38" s="86"/>
    </row>
    <row r="39" spans="1:10" s="69" customFormat="1" x14ac:dyDescent="0.25">
      <c r="A39" s="7" t="s">
        <v>8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s="69" customFormat="1" x14ac:dyDescent="0.25">
      <c r="B40" s="86"/>
      <c r="C40" s="86"/>
      <c r="D40" s="86"/>
      <c r="E40" s="86"/>
      <c r="F40" s="86"/>
      <c r="G40" s="86"/>
      <c r="H40" s="86"/>
      <c r="I40" s="86"/>
      <c r="J40" s="86"/>
    </row>
    <row r="41" spans="1:10" s="69" customFormat="1" x14ac:dyDescent="0.25">
      <c r="A41" s="69" t="s">
        <v>9</v>
      </c>
      <c r="B41" s="86"/>
      <c r="C41" s="86"/>
      <c r="D41" s="86"/>
      <c r="E41" s="86"/>
      <c r="F41" s="86"/>
      <c r="G41" s="86"/>
      <c r="H41" s="86"/>
      <c r="I41" s="86"/>
      <c r="J41" s="86"/>
    </row>
    <row r="42" spans="1:10" s="69" customFormat="1" x14ac:dyDescent="0.25">
      <c r="A42" s="69" t="s">
        <v>10</v>
      </c>
      <c r="B42" s="114" t="s">
        <v>67</v>
      </c>
      <c r="C42" s="144">
        <f>(D11/C31)*100</f>
        <v>100.37223685717558</v>
      </c>
      <c r="D42" s="144"/>
      <c r="E42" s="113">
        <f>(E11/E31)*100</f>
        <v>1.4148888301633442</v>
      </c>
      <c r="F42" s="114" t="s">
        <v>53</v>
      </c>
      <c r="G42" s="113">
        <f t="shared" ref="G42" si="5">G11/G31*100</f>
        <v>15.758543512689293</v>
      </c>
      <c r="H42" s="114" t="s">
        <v>67</v>
      </c>
      <c r="I42" s="114" t="s">
        <v>67</v>
      </c>
      <c r="J42" s="114" t="s">
        <v>67</v>
      </c>
    </row>
    <row r="43" spans="1:10" s="69" customFormat="1" x14ac:dyDescent="0.25">
      <c r="A43" s="69" t="s">
        <v>11</v>
      </c>
      <c r="B43" s="114">
        <f>(B13/B31)*100</f>
        <v>57.274990414483298</v>
      </c>
      <c r="C43" s="144">
        <f>(D13/C31)*100</f>
        <v>129.43820868170886</v>
      </c>
      <c r="D43" s="144"/>
      <c r="E43" s="113">
        <f>(E13/E31)*100</f>
        <v>1.632014627422131</v>
      </c>
      <c r="F43" s="114" t="s">
        <v>53</v>
      </c>
      <c r="G43" s="113">
        <f>(G13/G31)*100</f>
        <v>17.363192544795361</v>
      </c>
      <c r="H43" s="114" t="s">
        <v>67</v>
      </c>
      <c r="I43" s="114" t="s">
        <v>67</v>
      </c>
      <c r="J43" s="114" t="s">
        <v>67</v>
      </c>
    </row>
    <row r="44" spans="1:10" s="69" customFormat="1" x14ac:dyDescent="0.25">
      <c r="B44" s="86"/>
      <c r="C44" s="86"/>
      <c r="D44" s="86"/>
      <c r="E44" s="86"/>
      <c r="F44" s="86"/>
      <c r="G44" s="86"/>
      <c r="H44" s="86"/>
      <c r="I44" s="86"/>
      <c r="J44" s="86"/>
    </row>
    <row r="45" spans="1:10" s="69" customFormat="1" x14ac:dyDescent="0.25">
      <c r="A45" s="69" t="s">
        <v>12</v>
      </c>
      <c r="B45" s="86"/>
      <c r="C45" s="86"/>
      <c r="D45" s="86"/>
      <c r="E45" s="86"/>
      <c r="F45" s="86"/>
      <c r="G45" s="86"/>
      <c r="H45" s="86"/>
      <c r="I45" s="86"/>
      <c r="J45" s="86"/>
    </row>
    <row r="46" spans="1:10" s="69" customFormat="1" x14ac:dyDescent="0.25">
      <c r="A46" s="69" t="s">
        <v>13</v>
      </c>
      <c r="B46" s="114" t="s">
        <v>67</v>
      </c>
      <c r="C46" s="114" t="s">
        <v>67</v>
      </c>
      <c r="D46" s="113">
        <f>D13/D11*100</f>
        <v>128.95817880983626</v>
      </c>
      <c r="E46" s="113">
        <f>E13/E11*100</f>
        <v>115.34578495709238</v>
      </c>
      <c r="F46" s="113">
        <f t="shared" ref="F46:I46" si="6">F13/F11*100</f>
        <v>13.279445727482678</v>
      </c>
      <c r="G46" s="113">
        <f t="shared" si="6"/>
        <v>110.1827242524917</v>
      </c>
      <c r="H46" s="113">
        <f t="shared" si="6"/>
        <v>101.11494252873563</v>
      </c>
      <c r="I46" s="113">
        <f t="shared" si="6"/>
        <v>97.057808455565137</v>
      </c>
      <c r="J46" s="114" t="s">
        <v>67</v>
      </c>
    </row>
    <row r="47" spans="1:10" s="69" customFormat="1" x14ac:dyDescent="0.25">
      <c r="A47" s="69" t="s">
        <v>14</v>
      </c>
      <c r="B47" s="113">
        <f>B20/B19*100</f>
        <v>105.3236606470356</v>
      </c>
      <c r="C47" s="134">
        <f>C20/C19*100</f>
        <v>125.3232211496375</v>
      </c>
      <c r="D47" s="134"/>
      <c r="E47" s="113">
        <f>E20/E19*100</f>
        <v>126.18694420320651</v>
      </c>
      <c r="F47" s="113">
        <f t="shared" ref="F47:I47" si="7">F20/F19*100</f>
        <v>7.9914732386305323</v>
      </c>
      <c r="G47" s="113">
        <f t="shared" si="7"/>
        <v>107.55705968992248</v>
      </c>
      <c r="H47" s="113">
        <f t="shared" si="7"/>
        <v>97.565766452635387</v>
      </c>
      <c r="I47" s="113">
        <f t="shared" si="7"/>
        <v>110.21903242999662</v>
      </c>
      <c r="J47" s="114" t="s">
        <v>67</v>
      </c>
    </row>
    <row r="48" spans="1:10" s="69" customFormat="1" x14ac:dyDescent="0.25">
      <c r="A48" s="69" t="s">
        <v>15</v>
      </c>
      <c r="B48" s="114" t="s">
        <v>67</v>
      </c>
      <c r="C48" s="114" t="s">
        <v>67</v>
      </c>
      <c r="D48" s="113">
        <f>AVERAGE(D46,C47)</f>
        <v>127.14069997973688</v>
      </c>
      <c r="E48" s="113">
        <f>AVERAGE(E46:E47)</f>
        <v>120.76636458014944</v>
      </c>
      <c r="F48" s="113">
        <f t="shared" ref="F48:I48" si="8">AVERAGE(F46:F47)</f>
        <v>10.635459483056605</v>
      </c>
      <c r="G48" s="113">
        <f t="shared" si="8"/>
        <v>108.8698919712071</v>
      </c>
      <c r="H48" s="113">
        <f t="shared" si="8"/>
        <v>99.340354490685513</v>
      </c>
      <c r="I48" s="113">
        <f t="shared" si="8"/>
        <v>103.63842044278087</v>
      </c>
      <c r="J48" s="114" t="s">
        <v>67</v>
      </c>
    </row>
    <row r="49" spans="1:10" s="69" customFormat="1" x14ac:dyDescent="0.25">
      <c r="B49" s="113"/>
      <c r="C49" s="113"/>
      <c r="D49" s="113"/>
      <c r="E49" s="113"/>
      <c r="F49" s="86"/>
      <c r="G49" s="86"/>
      <c r="H49" s="86"/>
      <c r="I49" s="86"/>
      <c r="J49" s="86"/>
    </row>
    <row r="50" spans="1:10" s="69" customFormat="1" x14ac:dyDescent="0.25">
      <c r="A50" s="69" t="s">
        <v>16</v>
      </c>
      <c r="B50" s="86"/>
      <c r="C50" s="86"/>
      <c r="D50" s="86"/>
      <c r="E50" s="86"/>
      <c r="F50" s="86"/>
      <c r="G50" s="86"/>
      <c r="H50" s="86"/>
      <c r="I50" s="86"/>
      <c r="J50" s="86"/>
    </row>
    <row r="51" spans="1:10" s="69" customFormat="1" x14ac:dyDescent="0.25">
      <c r="A51" s="69" t="s">
        <v>17</v>
      </c>
      <c r="B51" s="114" t="s">
        <v>67</v>
      </c>
      <c r="C51" s="143">
        <f>D13/D15*100</f>
        <v>128.95817880983626</v>
      </c>
      <c r="D51" s="143"/>
      <c r="E51" s="113">
        <f>E13/E15*100</f>
        <v>115.34578495709238</v>
      </c>
      <c r="F51" s="113">
        <f t="shared" ref="F51:I51" si="9">F13/F15*100</f>
        <v>13.279445727482678</v>
      </c>
      <c r="G51" s="113">
        <f t="shared" si="9"/>
        <v>110.1827242524917</v>
      </c>
      <c r="H51" s="113">
        <f t="shared" si="9"/>
        <v>101.11494252873563</v>
      </c>
      <c r="I51" s="113">
        <f t="shared" si="9"/>
        <v>97.057808455565137</v>
      </c>
      <c r="J51" s="114" t="s">
        <v>67</v>
      </c>
    </row>
    <row r="52" spans="1:10" s="69" customFormat="1" x14ac:dyDescent="0.25">
      <c r="A52" s="69" t="s">
        <v>18</v>
      </c>
      <c r="B52" s="113">
        <f>B20/B21*100</f>
        <v>22.849738260639381</v>
      </c>
      <c r="C52" s="143">
        <f>C20/C21*100</f>
        <v>24.385620639234968</v>
      </c>
      <c r="D52" s="143"/>
      <c r="E52" s="113">
        <f>E20/E21*100</f>
        <v>25.052990730776759</v>
      </c>
      <c r="F52" s="113">
        <f t="shared" ref="F52:I52" si="10">F20/F21*100</f>
        <v>2.7320931833745878</v>
      </c>
      <c r="G52" s="113">
        <f t="shared" si="10"/>
        <v>26.962418771861639</v>
      </c>
      <c r="H52" s="113">
        <f t="shared" si="10"/>
        <v>22.788937376420296</v>
      </c>
      <c r="I52" s="113">
        <f t="shared" si="10"/>
        <v>21.936101616079601</v>
      </c>
      <c r="J52" s="114" t="s">
        <v>67</v>
      </c>
    </row>
    <row r="53" spans="1:10" s="69" customFormat="1" x14ac:dyDescent="0.25">
      <c r="A53" s="69" t="s">
        <v>19</v>
      </c>
      <c r="B53" s="114" t="s">
        <v>67</v>
      </c>
      <c r="C53" s="143">
        <f>(C51+C52)/2</f>
        <v>76.671899724535606</v>
      </c>
      <c r="D53" s="143"/>
      <c r="E53" s="113">
        <f>(E51+E52)/2</f>
        <v>70.199387843934574</v>
      </c>
      <c r="F53" s="113">
        <f t="shared" ref="F53:I53" si="11">(F51+F52)/2</f>
        <v>8.0057694554286325</v>
      </c>
      <c r="G53" s="113">
        <f t="shared" si="11"/>
        <v>68.572571512176665</v>
      </c>
      <c r="H53" s="113">
        <f t="shared" si="11"/>
        <v>61.951939952577959</v>
      </c>
      <c r="I53" s="113">
        <f t="shared" si="11"/>
        <v>59.496955035822367</v>
      </c>
      <c r="J53" s="114" t="s">
        <v>67</v>
      </c>
    </row>
    <row r="54" spans="1:10" s="69" customFormat="1" x14ac:dyDescent="0.25">
      <c r="B54" s="86"/>
      <c r="C54" s="112"/>
      <c r="D54" s="112"/>
      <c r="E54" s="86"/>
      <c r="F54" s="86"/>
      <c r="G54" s="86"/>
      <c r="H54" s="86"/>
      <c r="I54" s="86"/>
      <c r="J54" s="86"/>
    </row>
    <row r="55" spans="1:10" s="69" customFormat="1" x14ac:dyDescent="0.25">
      <c r="A55" s="69" t="s">
        <v>31</v>
      </c>
      <c r="B55" s="86"/>
      <c r="C55" s="112"/>
      <c r="D55" s="112"/>
      <c r="E55" s="86"/>
      <c r="F55" s="86"/>
      <c r="G55" s="86"/>
      <c r="H55" s="86"/>
      <c r="I55" s="86"/>
      <c r="J55" s="86"/>
    </row>
    <row r="56" spans="1:10" s="69" customFormat="1" x14ac:dyDescent="0.25">
      <c r="A56" s="69" t="s">
        <v>20</v>
      </c>
      <c r="B56" s="89">
        <f>B22/B20*100</f>
        <v>100</v>
      </c>
      <c r="C56" s="145">
        <f>C22/C20*100</f>
        <v>100</v>
      </c>
      <c r="D56" s="145"/>
      <c r="E56" s="89">
        <f>E22/E20*100</f>
        <v>100</v>
      </c>
      <c r="F56" s="89">
        <f t="shared" ref="F56:J56" si="12">F22/F20*100</f>
        <v>100</v>
      </c>
      <c r="G56" s="89">
        <f t="shared" si="12"/>
        <v>100</v>
      </c>
      <c r="H56" s="89">
        <f t="shared" si="12"/>
        <v>100</v>
      </c>
      <c r="I56" s="89">
        <f t="shared" si="12"/>
        <v>100</v>
      </c>
      <c r="J56" s="89">
        <f t="shared" si="12"/>
        <v>100</v>
      </c>
    </row>
    <row r="57" spans="1:10" s="69" customFormat="1" x14ac:dyDescent="0.25">
      <c r="B57" s="86"/>
      <c r="C57" s="112"/>
      <c r="D57" s="112"/>
      <c r="E57" s="86"/>
      <c r="F57" s="86"/>
      <c r="G57" s="86"/>
      <c r="H57" s="86"/>
      <c r="I57" s="86"/>
      <c r="J57" s="86"/>
    </row>
    <row r="58" spans="1:10" s="69" customFormat="1" x14ac:dyDescent="0.25">
      <c r="A58" s="69" t="s">
        <v>21</v>
      </c>
      <c r="B58" s="86"/>
      <c r="C58" s="112"/>
      <c r="D58" s="112"/>
      <c r="E58" s="86"/>
      <c r="F58" s="86"/>
      <c r="G58" s="86"/>
      <c r="H58" s="86"/>
      <c r="I58" s="86"/>
      <c r="J58" s="86"/>
    </row>
    <row r="59" spans="1:10" s="69" customFormat="1" x14ac:dyDescent="0.25">
      <c r="A59" s="69" t="s">
        <v>22</v>
      </c>
      <c r="B59" s="113">
        <f>((B13/B10)-1)*100</f>
        <v>3.1235774065903277</v>
      </c>
      <c r="C59" s="143">
        <f>((D13/D10)-1)*100</f>
        <v>10.65485989143804</v>
      </c>
      <c r="D59" s="143"/>
      <c r="E59" s="113">
        <f>((E13/E10)-1)*100</f>
        <v>30.347974900171138</v>
      </c>
      <c r="F59" s="113">
        <f t="shared" ref="F59:I59" si="13">((F13/F10)-1)*100</f>
        <v>34.502923976608187</v>
      </c>
      <c r="G59" s="113">
        <f t="shared" si="13"/>
        <v>6.0177415487892683</v>
      </c>
      <c r="H59" s="113">
        <f t="shared" si="13"/>
        <v>-7.0586716127063127</v>
      </c>
      <c r="I59" s="113">
        <f t="shared" si="13"/>
        <v>8.8964181994191769</v>
      </c>
      <c r="J59" s="114" t="s">
        <v>67</v>
      </c>
    </row>
    <row r="60" spans="1:10" s="69" customFormat="1" x14ac:dyDescent="0.25">
      <c r="A60" s="69" t="s">
        <v>23</v>
      </c>
      <c r="B60" s="113">
        <f>((B35/B34)-1)*100</f>
        <v>-13.062068383484061</v>
      </c>
      <c r="C60" s="143">
        <f>((C35/C34)-1)*100</f>
        <v>-1.9210463923575838</v>
      </c>
      <c r="D60" s="143"/>
      <c r="E60" s="113">
        <f>((E35/E34)-1)*100</f>
        <v>17.555236870409384</v>
      </c>
      <c r="F60" s="113">
        <f t="shared" ref="F60:J60" si="14">((F35/F34)-1)*100</f>
        <v>22.057900249327101</v>
      </c>
      <c r="G60" s="113">
        <f t="shared" si="14"/>
        <v>4.7938542588181088</v>
      </c>
      <c r="H60" s="113">
        <f t="shared" si="14"/>
        <v>-21.76991114238238</v>
      </c>
      <c r="I60" s="113">
        <f t="shared" si="14"/>
        <v>-21.063171349100863</v>
      </c>
      <c r="J60" s="113">
        <f t="shared" si="14"/>
        <v>98.363506433060593</v>
      </c>
    </row>
    <row r="61" spans="1:10" s="69" customFormat="1" x14ac:dyDescent="0.25">
      <c r="A61" s="69" t="s">
        <v>24</v>
      </c>
      <c r="B61" s="113">
        <f>((B37/B36)-1)*100</f>
        <v>-15.695388190673853</v>
      </c>
      <c r="C61" s="143">
        <f>((C37/C36)-1)*100</f>
        <v>-11.364983242610105</v>
      </c>
      <c r="D61" s="143"/>
      <c r="E61" s="113">
        <f>((E37/E36)-1)*100</f>
        <v>-9.8142974906662239</v>
      </c>
      <c r="F61" s="113">
        <f t="shared" ref="F61:I61" si="15">((F37/F36)-1)*100</f>
        <v>-9.2526045972394222</v>
      </c>
      <c r="G61" s="113">
        <f t="shared" si="15"/>
        <v>-1.1544174324897516</v>
      </c>
      <c r="H61" s="113">
        <f t="shared" si="15"/>
        <v>-15.828522988581783</v>
      </c>
      <c r="I61" s="113">
        <f t="shared" si="15"/>
        <v>-27.512006403788057</v>
      </c>
      <c r="J61" s="114" t="s">
        <v>67</v>
      </c>
    </row>
    <row r="62" spans="1:10" s="69" customFormat="1" x14ac:dyDescent="0.25">
      <c r="B62" s="113"/>
      <c r="C62" s="112"/>
      <c r="D62" s="112"/>
      <c r="E62" s="113"/>
      <c r="F62" s="86"/>
      <c r="G62" s="86"/>
      <c r="H62" s="86"/>
      <c r="I62" s="86"/>
      <c r="J62" s="86"/>
    </row>
    <row r="63" spans="1:10" s="69" customFormat="1" x14ac:dyDescent="0.25">
      <c r="A63" s="69" t="s">
        <v>25</v>
      </c>
      <c r="B63" s="86"/>
      <c r="C63" s="112"/>
      <c r="D63" s="112"/>
      <c r="E63" s="86"/>
      <c r="F63" s="86"/>
      <c r="G63" s="86"/>
      <c r="H63" s="86"/>
      <c r="I63" s="86"/>
      <c r="J63" s="86"/>
    </row>
    <row r="64" spans="1:10" s="69" customFormat="1" x14ac:dyDescent="0.25">
      <c r="A64" s="69" t="s">
        <v>32</v>
      </c>
      <c r="B64" s="88">
        <f>(B19/B12)*3</f>
        <v>171576.91226484254</v>
      </c>
      <c r="C64" s="143">
        <f>(C19/D12)*3</f>
        <v>105000</v>
      </c>
      <c r="D64" s="143"/>
      <c r="E64" s="88">
        <f>(E19/E12)*3</f>
        <v>234000</v>
      </c>
      <c r="F64" s="88">
        <f t="shared" ref="F64:I64" si="16">(F19/F12)*3</f>
        <v>936000</v>
      </c>
      <c r="G64" s="88">
        <f t="shared" si="16"/>
        <v>150000</v>
      </c>
      <c r="H64" s="88">
        <f t="shared" si="16"/>
        <v>225000</v>
      </c>
      <c r="I64" s="88">
        <f t="shared" si="16"/>
        <v>321000</v>
      </c>
      <c r="J64" s="114" t="s">
        <v>67</v>
      </c>
    </row>
    <row r="65" spans="1:10" s="69" customFormat="1" x14ac:dyDescent="0.25">
      <c r="A65" s="69" t="s">
        <v>33</v>
      </c>
      <c r="B65" s="88">
        <f>(B20/B14)*3</f>
        <v>167105.33568036134</v>
      </c>
      <c r="C65" s="143">
        <f>(C20/D14)*3</f>
        <v>108253.59035316358</v>
      </c>
      <c r="D65" s="143"/>
      <c r="E65" s="88">
        <f>(E20/E14)*3</f>
        <v>241928.75851210393</v>
      </c>
      <c r="F65" s="88">
        <f t="shared" ref="F65:I65" si="17">(F20/F14)*3</f>
        <v>531775.59880239505</v>
      </c>
      <c r="G65" s="88">
        <f t="shared" si="17"/>
        <v>157681.67042779448</v>
      </c>
      <c r="H65" s="88">
        <f t="shared" si="17"/>
        <v>252952.16108467596</v>
      </c>
      <c r="I65" s="88">
        <f t="shared" si="17"/>
        <v>313372.12431255128</v>
      </c>
      <c r="J65" s="114" t="s">
        <v>67</v>
      </c>
    </row>
    <row r="66" spans="1:10" s="69" customFormat="1" x14ac:dyDescent="0.25">
      <c r="A66" s="69" t="s">
        <v>26</v>
      </c>
      <c r="B66" s="114" t="s">
        <v>67</v>
      </c>
      <c r="C66" s="143">
        <f>(C65/C64)*D48</f>
        <v>131.08035478877056</v>
      </c>
      <c r="D66" s="143"/>
      <c r="E66" s="113">
        <f>(E65/E64)*E48</f>
        <v>124.85836176451143</v>
      </c>
      <c r="F66" s="113">
        <f t="shared" ref="F66:I66" si="18">(F65/F64)*F48</f>
        <v>6.0423908495096548</v>
      </c>
      <c r="G66" s="113">
        <f t="shared" si="18"/>
        <v>114.4452428354231</v>
      </c>
      <c r="H66" s="113">
        <f t="shared" si="18"/>
        <v>111.68158822816309</v>
      </c>
      <c r="I66" s="113">
        <f t="shared" si="18"/>
        <v>101.1756759331825</v>
      </c>
      <c r="J66" s="114" t="s">
        <v>67</v>
      </c>
    </row>
    <row r="67" spans="1:10" s="69" customFormat="1" x14ac:dyDescent="0.25">
      <c r="A67" s="69" t="s">
        <v>34</v>
      </c>
      <c r="B67" s="89">
        <f>B19/B12</f>
        <v>57192.304088280849</v>
      </c>
      <c r="C67" s="143">
        <f>C19/D12</f>
        <v>35000</v>
      </c>
      <c r="D67" s="143"/>
      <c r="E67" s="89">
        <f>E19/E12</f>
        <v>78000</v>
      </c>
      <c r="F67" s="89">
        <f>F19/F12</f>
        <v>312000</v>
      </c>
      <c r="G67" s="89">
        <f t="shared" ref="G67:I67" si="19">G19/G12</f>
        <v>50000</v>
      </c>
      <c r="H67" s="89">
        <f t="shared" si="19"/>
        <v>75000</v>
      </c>
      <c r="I67" s="89">
        <f t="shared" si="19"/>
        <v>107000</v>
      </c>
      <c r="J67" s="114" t="s">
        <v>67</v>
      </c>
    </row>
    <row r="68" spans="1:10" s="69" customFormat="1" x14ac:dyDescent="0.25">
      <c r="A68" s="69" t="s">
        <v>35</v>
      </c>
      <c r="B68" s="89">
        <f>B20/B14</f>
        <v>55701.778560120445</v>
      </c>
      <c r="C68" s="143">
        <f>C20/D14</f>
        <v>36084.530117721195</v>
      </c>
      <c r="D68" s="143"/>
      <c r="E68" s="89">
        <f>E20/E14</f>
        <v>80642.919504034639</v>
      </c>
      <c r="F68" s="89">
        <f>F20/F14</f>
        <v>177258.53293413168</v>
      </c>
      <c r="G68" s="89">
        <f t="shared" ref="G68:I68" si="20">G20/G14</f>
        <v>52560.556809264825</v>
      </c>
      <c r="H68" s="89">
        <f t="shared" si="20"/>
        <v>84317.387028225319</v>
      </c>
      <c r="I68" s="89">
        <f t="shared" si="20"/>
        <v>104457.37477085042</v>
      </c>
      <c r="J68" s="114" t="s">
        <v>67</v>
      </c>
    </row>
    <row r="69" spans="1:10" s="69" customFormat="1" x14ac:dyDescent="0.25">
      <c r="B69" s="113"/>
      <c r="C69" s="113"/>
      <c r="D69" s="113"/>
      <c r="E69" s="113"/>
      <c r="F69" s="86"/>
      <c r="G69" s="86"/>
      <c r="H69" s="86"/>
      <c r="I69" s="86"/>
      <c r="J69" s="86"/>
    </row>
    <row r="70" spans="1:10" s="69" customFormat="1" x14ac:dyDescent="0.25">
      <c r="A70" s="69" t="s">
        <v>27</v>
      </c>
      <c r="B70" s="113"/>
      <c r="C70" s="113"/>
      <c r="D70" s="113"/>
      <c r="E70" s="113"/>
      <c r="F70" s="86"/>
      <c r="G70" s="86"/>
      <c r="H70" s="86"/>
      <c r="I70" s="86"/>
      <c r="J70" s="86"/>
    </row>
    <row r="71" spans="1:10" s="69" customFormat="1" x14ac:dyDescent="0.25">
      <c r="A71" s="69" t="s">
        <v>28</v>
      </c>
      <c r="B71" s="113">
        <f>(B26/B25)*100</f>
        <v>107.86522177227933</v>
      </c>
      <c r="C71" s="113"/>
      <c r="D71" s="113"/>
      <c r="E71" s="113"/>
      <c r="F71" s="86"/>
      <c r="G71" s="86"/>
      <c r="H71" s="86"/>
      <c r="I71" s="86"/>
      <c r="J71" s="86"/>
    </row>
    <row r="72" spans="1:10" s="69" customFormat="1" x14ac:dyDescent="0.25">
      <c r="A72" s="69" t="s">
        <v>29</v>
      </c>
      <c r="B72" s="113">
        <f>(B20/B26)*100</f>
        <v>97.6437622029746</v>
      </c>
      <c r="C72" s="113"/>
      <c r="D72" s="113"/>
      <c r="E72" s="113"/>
      <c r="F72" s="86"/>
      <c r="G72" s="86"/>
      <c r="H72" s="86"/>
      <c r="I72" s="86"/>
      <c r="J72" s="86"/>
    </row>
    <row r="73" spans="1:10" s="69" customFormat="1" ht="15.75" thickBot="1" x14ac:dyDescent="0.3">
      <c r="A73" s="74"/>
      <c r="B73" s="90"/>
      <c r="C73" s="90"/>
      <c r="D73" s="90"/>
      <c r="E73" s="90"/>
      <c r="F73" s="90"/>
      <c r="G73" s="90"/>
      <c r="H73" s="90"/>
      <c r="I73" s="90"/>
      <c r="J73" s="90"/>
    </row>
    <row r="74" spans="1:10" ht="15.75" thickTop="1" x14ac:dyDescent="0.25">
      <c r="A74" s="75"/>
    </row>
    <row r="75" spans="1:10" x14ac:dyDescent="0.25">
      <c r="A75" s="75"/>
    </row>
    <row r="76" spans="1:10" x14ac:dyDescent="0.25">
      <c r="A76" s="2" t="s">
        <v>30</v>
      </c>
      <c r="B76" s="2"/>
    </row>
    <row r="77" spans="1:10" x14ac:dyDescent="0.25">
      <c r="A77" s="2" t="s">
        <v>119</v>
      </c>
      <c r="B77" s="76"/>
      <c r="C77" s="76"/>
      <c r="D77" s="76"/>
      <c r="E77" s="76"/>
    </row>
    <row r="78" spans="1:10" x14ac:dyDescent="0.25">
      <c r="A78" s="2" t="s">
        <v>45</v>
      </c>
    </row>
    <row r="79" spans="1:10" x14ac:dyDescent="0.25">
      <c r="A79" s="75" t="s">
        <v>58</v>
      </c>
    </row>
    <row r="80" spans="1:10" x14ac:dyDescent="0.25">
      <c r="A80" s="2" t="s">
        <v>54</v>
      </c>
    </row>
    <row r="81" spans="1:1" x14ac:dyDescent="0.25">
      <c r="A81" s="2" t="s">
        <v>120</v>
      </c>
    </row>
    <row r="82" spans="1:1" x14ac:dyDescent="0.25">
      <c r="A82" s="2" t="s">
        <v>121</v>
      </c>
    </row>
    <row r="83" spans="1:1" x14ac:dyDescent="0.25">
      <c r="A83" s="2" t="s">
        <v>46</v>
      </c>
    </row>
    <row r="84" spans="1:1" x14ac:dyDescent="0.25">
      <c r="A84" s="15" t="s">
        <v>47</v>
      </c>
    </row>
    <row r="85" spans="1:1" x14ac:dyDescent="0.25">
      <c r="A85" s="15" t="s">
        <v>48</v>
      </c>
    </row>
    <row r="86" spans="1:1" x14ac:dyDescent="0.25">
      <c r="A86" s="2" t="s">
        <v>122</v>
      </c>
    </row>
    <row r="87" spans="1:1" x14ac:dyDescent="0.25">
      <c r="A87" s="2"/>
    </row>
    <row r="88" spans="1:1" x14ac:dyDescent="0.25">
      <c r="A88" s="2" t="s">
        <v>123</v>
      </c>
    </row>
    <row r="90" spans="1:1" x14ac:dyDescent="0.25">
      <c r="A90" s="77"/>
    </row>
  </sheetData>
  <mergeCells count="29">
    <mergeCell ref="C67:D67"/>
    <mergeCell ref="C68:D68"/>
    <mergeCell ref="C42:D42"/>
    <mergeCell ref="C43:D43"/>
    <mergeCell ref="C47:D47"/>
    <mergeCell ref="C60:D60"/>
    <mergeCell ref="C61:D61"/>
    <mergeCell ref="C64:D64"/>
    <mergeCell ref="C65:D65"/>
    <mergeCell ref="C66:D66"/>
    <mergeCell ref="C59:D59"/>
    <mergeCell ref="C51:D51"/>
    <mergeCell ref="C52:D52"/>
    <mergeCell ref="C53:D53"/>
    <mergeCell ref="C56:D56"/>
    <mergeCell ref="A2:I2"/>
    <mergeCell ref="C31:D31"/>
    <mergeCell ref="C21:D21"/>
    <mergeCell ref="C19:D19"/>
    <mergeCell ref="B4:B5"/>
    <mergeCell ref="C18:D18"/>
    <mergeCell ref="C20:D20"/>
    <mergeCell ref="C5:D5"/>
    <mergeCell ref="A4:A5"/>
    <mergeCell ref="C34:D34"/>
    <mergeCell ref="C35:D35"/>
    <mergeCell ref="C36:D36"/>
    <mergeCell ref="C37:D37"/>
    <mergeCell ref="C22:D22"/>
  </mergeCells>
  <pageMargins left="0.7" right="0.7" top="0.75" bottom="0.75" header="0.3" footer="0.3"/>
  <ignoredErrors>
    <ignoredError sqref="B44:J45 C42:G42 B43:G43 B49:J50 D48:I48 B47:I47 D46:I46 B54:J58 B52:I52 B62:J63 B61:I61 B60:J60 B59:I59 B69:J72 B64:I65 B67:I68 C66:I66 C53:I53 C51:I51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0"/>
  <sheetViews>
    <sheetView zoomScale="80" zoomScaleNormal="80" zoomScalePageLayoutView="90" workbookViewId="0">
      <selection activeCell="A4" sqref="A4:A5"/>
    </sheetView>
  </sheetViews>
  <sheetFormatPr baseColWidth="10" defaultColWidth="11.42578125" defaultRowHeight="15" x14ac:dyDescent="0.25"/>
  <cols>
    <col min="1" max="1" width="61" customWidth="1"/>
    <col min="2" max="10" width="18.85546875" customWidth="1"/>
  </cols>
  <sheetData>
    <row r="2" spans="1:10" ht="15.75" x14ac:dyDescent="0.25">
      <c r="A2" s="136" t="s">
        <v>94</v>
      </c>
      <c r="B2" s="136"/>
      <c r="C2" s="136"/>
      <c r="D2" s="136"/>
      <c r="E2" s="136"/>
      <c r="F2" s="136"/>
      <c r="G2" s="136"/>
      <c r="H2" s="136"/>
      <c r="I2" s="136"/>
    </row>
    <row r="4" spans="1:10" ht="15" customHeight="1" x14ac:dyDescent="0.25">
      <c r="A4" s="159" t="s">
        <v>0</v>
      </c>
      <c r="B4" s="129" t="s">
        <v>59</v>
      </c>
      <c r="C4" s="9"/>
      <c r="D4" s="9"/>
      <c r="E4" s="9"/>
      <c r="F4" s="9"/>
      <c r="G4" s="9"/>
      <c r="H4" s="19"/>
      <c r="I4" s="19"/>
      <c r="J4" s="19"/>
    </row>
    <row r="5" spans="1:10" ht="51.75" customHeight="1" thickBot="1" x14ac:dyDescent="0.3">
      <c r="A5" s="160"/>
      <c r="B5" s="139"/>
      <c r="C5" s="140" t="s">
        <v>1</v>
      </c>
      <c r="D5" s="140"/>
      <c r="E5" s="17" t="s">
        <v>49</v>
      </c>
      <c r="F5" s="17" t="s">
        <v>50</v>
      </c>
      <c r="G5" s="18" t="s">
        <v>51</v>
      </c>
      <c r="H5" s="28" t="s">
        <v>60</v>
      </c>
      <c r="I5" s="27" t="s">
        <v>56</v>
      </c>
      <c r="J5" s="27" t="s">
        <v>61</v>
      </c>
    </row>
    <row r="6" spans="1:10" ht="15.75" thickTop="1" x14ac:dyDescent="0.25"/>
    <row r="7" spans="1:10" x14ac:dyDescent="0.25">
      <c r="A7" s="1" t="s">
        <v>2</v>
      </c>
      <c r="D7" s="3"/>
      <c r="E7" s="3"/>
    </row>
    <row r="8" spans="1:10" x14ac:dyDescent="0.25">
      <c r="D8" s="3"/>
      <c r="E8" s="3"/>
    </row>
    <row r="9" spans="1:10" x14ac:dyDescent="0.25">
      <c r="A9" t="s">
        <v>42</v>
      </c>
      <c r="B9" s="31" t="s">
        <v>93</v>
      </c>
      <c r="C9" s="31" t="s">
        <v>43</v>
      </c>
      <c r="D9" s="31" t="s">
        <v>44</v>
      </c>
      <c r="E9" s="31" t="s">
        <v>43</v>
      </c>
      <c r="F9" s="31" t="s">
        <v>43</v>
      </c>
      <c r="G9" s="31" t="s">
        <v>43</v>
      </c>
      <c r="H9" s="29" t="s">
        <v>43</v>
      </c>
      <c r="I9" s="29" t="s">
        <v>57</v>
      </c>
      <c r="J9" s="29" t="s">
        <v>43</v>
      </c>
    </row>
    <row r="10" spans="1:10" s="6" customFormat="1" x14ac:dyDescent="0.25">
      <c r="A10" s="5" t="s">
        <v>95</v>
      </c>
      <c r="B10" s="33">
        <v>171689</v>
      </c>
      <c r="C10" s="33">
        <v>120146</v>
      </c>
      <c r="D10" s="33">
        <v>154819</v>
      </c>
      <c r="E10" s="33">
        <v>1943</v>
      </c>
      <c r="F10" s="33">
        <v>144</v>
      </c>
      <c r="G10" s="33">
        <v>12806</v>
      </c>
      <c r="H10" s="33">
        <v>60535</v>
      </c>
      <c r="I10" s="33">
        <v>22043</v>
      </c>
      <c r="J10" s="33" t="s">
        <v>53</v>
      </c>
    </row>
    <row r="11" spans="1:10" s="6" customFormat="1" x14ac:dyDescent="0.25">
      <c r="A11" s="5" t="s">
        <v>96</v>
      </c>
      <c r="B11" s="33" t="str">
        <f>'II Trimestre'!B11</f>
        <v>n.d</v>
      </c>
      <c r="C11" s="33" t="str">
        <f>'II Trimestre'!C11</f>
        <v>n.d</v>
      </c>
      <c r="D11" s="33">
        <f>'II Trimestre'!D11</f>
        <v>134175</v>
      </c>
      <c r="E11" s="33">
        <f>'II Trimestre'!E11</f>
        <v>1979</v>
      </c>
      <c r="F11" s="33">
        <f>'II Trimestre'!F11</f>
        <v>1729</v>
      </c>
      <c r="G11" s="33">
        <f>'II Trimestre'!G11</f>
        <v>12039</v>
      </c>
      <c r="H11" s="33">
        <f>'II Trimestre'!H11</f>
        <v>68439</v>
      </c>
      <c r="I11" s="33">
        <f>'II Trimestre'!I11</f>
        <v>23177</v>
      </c>
      <c r="J11" s="33" t="s">
        <v>53</v>
      </c>
    </row>
    <row r="12" spans="1:10" s="6" customFormat="1" x14ac:dyDescent="0.25">
      <c r="A12" s="12" t="s">
        <v>66</v>
      </c>
      <c r="B12" s="33">
        <f>+'I Trimestre'!B12+'II Trimestre'!B12</f>
        <v>1293628</v>
      </c>
      <c r="C12" s="33" t="str">
        <f>'II Trimestre'!C12</f>
        <v>n.d</v>
      </c>
      <c r="D12" s="33">
        <f>+'I Trimestre'!D12+'II Trimestre'!D12</f>
        <v>768560</v>
      </c>
      <c r="E12" s="33">
        <f>+'I Trimestre'!E12+'II Trimestre'!E12</f>
        <v>8169</v>
      </c>
      <c r="F12" s="33">
        <f>+'I Trimestre'!F12+'II Trimestre'!F12</f>
        <v>3949</v>
      </c>
      <c r="G12" s="33">
        <f>+'I Trimestre'!G12+'II Trimestre'!G12</f>
        <v>71849</v>
      </c>
      <c r="H12" s="33">
        <f>+'I Trimestre'!H12+'II Trimestre'!H12</f>
        <v>314239</v>
      </c>
      <c r="I12" s="33">
        <f>+'I Trimestre'!I12+'II Trimestre'!I12</f>
        <v>126862</v>
      </c>
      <c r="J12" s="33" t="s">
        <v>53</v>
      </c>
    </row>
    <row r="13" spans="1:10" s="6" customFormat="1" x14ac:dyDescent="0.25">
      <c r="A13" s="5" t="s">
        <v>97</v>
      </c>
      <c r="B13" s="33">
        <v>194924</v>
      </c>
      <c r="C13" s="33">
        <v>139030</v>
      </c>
      <c r="D13" s="33">
        <v>180384</v>
      </c>
      <c r="E13" s="33">
        <v>2104</v>
      </c>
      <c r="F13" s="33">
        <v>206</v>
      </c>
      <c r="G13" s="33">
        <v>14493</v>
      </c>
      <c r="H13" s="33">
        <v>69651</v>
      </c>
      <c r="I13" s="33">
        <v>22925</v>
      </c>
      <c r="J13" s="33" t="s">
        <v>53</v>
      </c>
    </row>
    <row r="14" spans="1:10" s="6" customFormat="1" x14ac:dyDescent="0.25">
      <c r="A14" s="12" t="s">
        <v>66</v>
      </c>
      <c r="B14" s="33">
        <f>+'I Trimestre'!B14+'II Trimestre'!B14</f>
        <v>1729490</v>
      </c>
      <c r="C14" s="33" t="str">
        <f>'II Trimestre'!C14</f>
        <v>n.d</v>
      </c>
      <c r="D14" s="33">
        <f>+'I Trimestre'!D14+'II Trimestre'!D14</f>
        <v>1148116</v>
      </c>
      <c r="E14" s="33">
        <f>+'I Trimestre'!E14+'II Trimestre'!E14</f>
        <v>10150</v>
      </c>
      <c r="F14" s="33">
        <f>+'I Trimestre'!F14+'II Trimestre'!F14</f>
        <v>760</v>
      </c>
      <c r="G14" s="33">
        <f>+'I Trimestre'!G14+'II Trimestre'!G14</f>
        <v>77521</v>
      </c>
      <c r="H14" s="33">
        <f>+'I Trimestre'!H14+'II Trimestre'!H14</f>
        <v>347796</v>
      </c>
      <c r="I14" s="33">
        <f>+'I Trimestre'!I14+'II Trimestre'!I14</f>
        <v>145147</v>
      </c>
      <c r="J14" s="33" t="s">
        <v>53</v>
      </c>
    </row>
    <row r="15" spans="1:10" s="6" customFormat="1" x14ac:dyDescent="0.25">
      <c r="A15" s="5" t="s">
        <v>65</v>
      </c>
      <c r="B15" s="33" t="str">
        <f>'II Trimestre'!B15</f>
        <v>n.d</v>
      </c>
      <c r="C15" s="33" t="str">
        <f>'II Trimestre'!C15</f>
        <v>n.d</v>
      </c>
      <c r="D15" s="33">
        <f>'II Trimestre'!D15</f>
        <v>140216</v>
      </c>
      <c r="E15" s="33">
        <f>'II Trimestre'!E15</f>
        <v>1981</v>
      </c>
      <c r="F15" s="33">
        <f>'II Trimestre'!F15</f>
        <v>1732</v>
      </c>
      <c r="G15" s="33">
        <f>'II Trimestre'!G15</f>
        <v>12040</v>
      </c>
      <c r="H15" s="33">
        <f>'II Trimestre'!H15</f>
        <v>78300</v>
      </c>
      <c r="I15" s="33">
        <f>'II Trimestre'!I15</f>
        <v>23180</v>
      </c>
      <c r="J15" s="33" t="s">
        <v>53</v>
      </c>
    </row>
    <row r="16" spans="1:10" s="6" customFormat="1" x14ac:dyDescent="0.25">
      <c r="B16" s="32"/>
      <c r="C16" s="32"/>
      <c r="D16" s="32"/>
      <c r="E16" s="32"/>
      <c r="F16" s="32"/>
      <c r="G16" s="32"/>
      <c r="H16" s="32"/>
      <c r="I16" s="32"/>
      <c r="J16" s="32"/>
    </row>
    <row r="17" spans="1:10" s="6" customFormat="1" x14ac:dyDescent="0.25">
      <c r="A17" s="4" t="s">
        <v>3</v>
      </c>
      <c r="B17" s="32"/>
      <c r="C17" s="32"/>
      <c r="D17" s="32"/>
      <c r="E17" s="32"/>
      <c r="F17" s="32"/>
      <c r="G17" s="32"/>
      <c r="H17" s="32"/>
      <c r="I17" s="32"/>
      <c r="J17" s="32"/>
    </row>
    <row r="18" spans="1:10" s="6" customFormat="1" x14ac:dyDescent="0.25">
      <c r="A18" s="5" t="s">
        <v>95</v>
      </c>
      <c r="B18" s="33">
        <f>C18+H18+G18+E18+F18+I18+J18</f>
        <v>58831837145.699997</v>
      </c>
      <c r="C18" s="157">
        <f>+SUM('I Trimestre'!C18:D18+'II Trimestre'!C18:D18)</f>
        <v>21686746000</v>
      </c>
      <c r="D18" s="157"/>
      <c r="E18" s="33">
        <f>+SUM('I Trimestre'!E18+'II Trimestre'!E18)</f>
        <v>655721066</v>
      </c>
      <c r="F18" s="33">
        <f>+SUM('I Trimestre'!F18+'II Trimestre'!F18)</f>
        <v>91049000</v>
      </c>
      <c r="G18" s="33">
        <f>+SUM('I Trimestre'!G18+'II Trimestre'!G18)</f>
        <v>3511387000</v>
      </c>
      <c r="H18" s="33">
        <f>+SUM('I Trimestre'!H18+'II Trimestre'!H18)</f>
        <v>18467901029</v>
      </c>
      <c r="I18" s="33">
        <f>+SUM('I Trimestre'!I18+'II Trimestre'!I18)</f>
        <v>14108373840</v>
      </c>
      <c r="J18" s="33">
        <f>+SUM('I Trimestre'!J18+'II Trimestre'!J18)</f>
        <v>310659210.70000005</v>
      </c>
    </row>
    <row r="19" spans="1:10" s="6" customFormat="1" x14ac:dyDescent="0.25">
      <c r="A19" s="5" t="s">
        <v>96</v>
      </c>
      <c r="B19" s="33">
        <f>SUM(C19:J19)</f>
        <v>69713939000</v>
      </c>
      <c r="C19" s="157">
        <f>'I Trimestre'!C19:D19+'II Trimestre'!C19:D19</f>
        <v>26899600000</v>
      </c>
      <c r="D19" s="157"/>
      <c r="E19" s="33">
        <f>'I Trimestre'!E19+'II Trimestre'!E19</f>
        <v>847642000</v>
      </c>
      <c r="F19" s="33">
        <f>'I Trimestre'!F19+'II Trimestre'!F19</f>
        <v>1232088000</v>
      </c>
      <c r="G19" s="33">
        <f>'I Trimestre'!G19+'II Trimestre'!G19</f>
        <v>3592450000</v>
      </c>
      <c r="H19" s="33">
        <f>'I Trimestre'!H19+'II Trimestre'!H19</f>
        <v>23567925000</v>
      </c>
      <c r="I19" s="33">
        <f>'I Trimestre'!I19+'II Trimestre'!I19</f>
        <v>13574234000</v>
      </c>
      <c r="J19" s="33" t="s">
        <v>67</v>
      </c>
    </row>
    <row r="20" spans="1:10" s="6" customFormat="1" x14ac:dyDescent="0.25">
      <c r="A20" s="5" t="s">
        <v>97</v>
      </c>
      <c r="B20" s="33">
        <f>SUM(C20:J20)</f>
        <v>58901600345.5</v>
      </c>
      <c r="C20" s="157">
        <f>'I Trimestre'!C20:D20+'II Trimestre'!C20:D20</f>
        <v>24545510000</v>
      </c>
      <c r="D20" s="157"/>
      <c r="E20" s="33">
        <f>'I Trimestre'!E20+'II Trimestre'!E20</f>
        <v>654705500</v>
      </c>
      <c r="F20" s="33">
        <f>'I Trimestre'!F20+'II Trimestre'!F20</f>
        <v>147288200</v>
      </c>
      <c r="G20" s="33">
        <f>'I Trimestre'!G20+'II Trimestre'!G20</f>
        <v>3158368936</v>
      </c>
      <c r="H20" s="33">
        <f>'I Trimestre'!H20+'II Trimestre'!H20</f>
        <v>16912209717</v>
      </c>
      <c r="I20" s="33">
        <f>'I Trimestre'!I20+'II Trimestre'!I20</f>
        <v>13340762869</v>
      </c>
      <c r="J20" s="33">
        <f>'I Trimestre'!J20+'II Trimestre'!J20</f>
        <v>142755123.5</v>
      </c>
    </row>
    <row r="21" spans="1:10" s="6" customFormat="1" x14ac:dyDescent="0.25">
      <c r="A21" s="5" t="s">
        <v>65</v>
      </c>
      <c r="B21" s="33">
        <f>SUM(C21:J21)</f>
        <v>143479918000</v>
      </c>
      <c r="C21" s="157">
        <f>+'II Trimestre'!C21</f>
        <v>51662380000</v>
      </c>
      <c r="D21" s="157"/>
      <c r="E21" s="33">
        <f>'II Trimestre'!E21</f>
        <v>1635520000</v>
      </c>
      <c r="F21" s="33">
        <f>'II Trimestre'!F21</f>
        <v>4333992000</v>
      </c>
      <c r="G21" s="33">
        <f>'II Trimestre'!G21</f>
        <v>7204400000</v>
      </c>
      <c r="H21" s="33">
        <f>'II Trimestre'!H21</f>
        <v>52407975000</v>
      </c>
      <c r="I21" s="33">
        <f>'II Trimestre'!I21</f>
        <v>26235651000</v>
      </c>
      <c r="J21" s="33" t="str">
        <f>'II Trimestre'!J21</f>
        <v xml:space="preserve">n.d. </v>
      </c>
    </row>
    <row r="22" spans="1:10" s="6" customFormat="1" x14ac:dyDescent="0.25">
      <c r="A22" s="5" t="s">
        <v>98</v>
      </c>
      <c r="B22" s="33">
        <f>SUM(C22:J22)</f>
        <v>58901600345.5</v>
      </c>
      <c r="C22" s="158">
        <f>C20</f>
        <v>24545510000</v>
      </c>
      <c r="D22" s="158"/>
      <c r="E22" s="33">
        <f>E20</f>
        <v>654705500</v>
      </c>
      <c r="F22" s="33">
        <f t="shared" ref="F22:J22" si="0">F20</f>
        <v>147288200</v>
      </c>
      <c r="G22" s="33">
        <f t="shared" si="0"/>
        <v>3158368936</v>
      </c>
      <c r="H22" s="33">
        <f t="shared" si="0"/>
        <v>16912209717</v>
      </c>
      <c r="I22" s="33">
        <f t="shared" si="0"/>
        <v>13340762869</v>
      </c>
      <c r="J22" s="33">
        <f t="shared" si="0"/>
        <v>142755123.5</v>
      </c>
    </row>
    <row r="23" spans="1:10" s="6" customFormat="1" x14ac:dyDescent="0.25">
      <c r="B23" s="33"/>
      <c r="C23" s="33"/>
      <c r="D23" s="33"/>
      <c r="E23" s="33"/>
      <c r="F23" s="32"/>
      <c r="G23" s="32"/>
      <c r="H23" s="32"/>
      <c r="I23" s="32"/>
      <c r="J23" s="32"/>
    </row>
    <row r="24" spans="1:10" s="6" customFormat="1" x14ac:dyDescent="0.25">
      <c r="A24" s="4" t="s">
        <v>4</v>
      </c>
      <c r="B24" s="33"/>
      <c r="C24" s="33"/>
      <c r="D24" s="33"/>
      <c r="E24" s="33"/>
      <c r="F24" s="32"/>
      <c r="G24" s="32"/>
      <c r="H24" s="32"/>
      <c r="I24" s="32"/>
      <c r="J24" s="32"/>
    </row>
    <row r="25" spans="1:10" s="6" customFormat="1" x14ac:dyDescent="0.25">
      <c r="A25" s="5" t="s">
        <v>96</v>
      </c>
      <c r="B25" s="33">
        <f>'I Trimestre'!B25+'II Trimestre'!B25</f>
        <v>69713939000</v>
      </c>
      <c r="C25" s="33"/>
      <c r="D25" s="33"/>
      <c r="E25" s="33"/>
      <c r="F25" s="32"/>
      <c r="G25" s="32"/>
      <c r="H25" s="32"/>
      <c r="I25" s="32"/>
      <c r="J25" s="32"/>
    </row>
    <row r="26" spans="1:10" s="6" customFormat="1" x14ac:dyDescent="0.25">
      <c r="A26" s="5" t="s">
        <v>97</v>
      </c>
      <c r="B26" s="33">
        <f>'I Trimestre'!B26+'II Trimestre'!B26</f>
        <v>65560569956.699997</v>
      </c>
      <c r="C26" s="33"/>
      <c r="D26" s="33"/>
      <c r="E26" s="33"/>
      <c r="F26" s="32"/>
      <c r="G26" s="32"/>
      <c r="H26" s="32"/>
      <c r="I26" s="32"/>
      <c r="J26" s="32"/>
    </row>
    <row r="27" spans="1:10" s="6" customFormat="1" x14ac:dyDescent="0.25">
      <c r="B27" s="32"/>
      <c r="C27" s="32"/>
      <c r="D27" s="32"/>
      <c r="E27" s="32"/>
      <c r="F27" s="32"/>
      <c r="G27" s="32"/>
      <c r="H27" s="32"/>
      <c r="I27" s="32"/>
      <c r="J27" s="32"/>
    </row>
    <row r="28" spans="1:10" s="6" customFormat="1" x14ac:dyDescent="0.25">
      <c r="A28" s="6" t="s">
        <v>5</v>
      </c>
      <c r="B28" s="32"/>
      <c r="C28" s="32"/>
      <c r="D28" s="32"/>
      <c r="E28" s="32"/>
      <c r="F28" s="32"/>
      <c r="G28" s="32"/>
      <c r="H28" s="32"/>
      <c r="I28" s="32"/>
      <c r="J28" s="32"/>
    </row>
    <row r="29" spans="1:10" s="6" customFormat="1" x14ac:dyDescent="0.25">
      <c r="A29" s="5" t="s">
        <v>99</v>
      </c>
      <c r="B29" s="39">
        <v>1.0088033727000001</v>
      </c>
      <c r="C29" s="39">
        <v>1.0088033727000001</v>
      </c>
      <c r="D29" s="39">
        <v>1.0088033727000001</v>
      </c>
      <c r="E29" s="39">
        <v>1.0088033727000001</v>
      </c>
      <c r="F29" s="39">
        <v>1.0088033727000001</v>
      </c>
      <c r="G29" s="39">
        <v>1.0088033727000001</v>
      </c>
      <c r="H29" s="39">
        <v>1.0088033727000001</v>
      </c>
      <c r="I29" s="39">
        <v>1.0088033727000001</v>
      </c>
      <c r="J29" s="39">
        <v>1.0088033727000001</v>
      </c>
    </row>
    <row r="30" spans="1:10" s="6" customFormat="1" x14ac:dyDescent="0.25">
      <c r="A30" s="5" t="s">
        <v>100</v>
      </c>
      <c r="B30" s="39">
        <v>1.0303325644000001</v>
      </c>
      <c r="C30" s="39">
        <v>1.0303325644000001</v>
      </c>
      <c r="D30" s="39">
        <v>1.0303325644000001</v>
      </c>
      <c r="E30" s="39">
        <v>1.0303325644000001</v>
      </c>
      <c r="F30" s="39">
        <v>1.0303325644000001</v>
      </c>
      <c r="G30" s="39">
        <v>1.0303325644000001</v>
      </c>
      <c r="H30" s="39">
        <v>1.0303325644000001</v>
      </c>
      <c r="I30" s="39">
        <v>1.0303325644000001</v>
      </c>
      <c r="J30" s="39">
        <v>1.0303325644000001</v>
      </c>
    </row>
    <row r="31" spans="1:10" s="6" customFormat="1" x14ac:dyDescent="0.25">
      <c r="A31" s="5" t="s">
        <v>6</v>
      </c>
      <c r="B31" s="30">
        <v>359918</v>
      </c>
      <c r="C31" s="149">
        <v>139696</v>
      </c>
      <c r="D31" s="149"/>
      <c r="E31" s="30">
        <v>140011</v>
      </c>
      <c r="F31" s="35" t="s">
        <v>67</v>
      </c>
      <c r="G31" s="30">
        <v>76403</v>
      </c>
      <c r="H31" s="30" t="s">
        <v>67</v>
      </c>
      <c r="I31" s="36" t="s">
        <v>67</v>
      </c>
      <c r="J31" s="36" t="s">
        <v>67</v>
      </c>
    </row>
    <row r="32" spans="1:10" x14ac:dyDescent="0.25">
      <c r="A32" s="6"/>
      <c r="B32" s="6"/>
      <c r="C32" s="6"/>
      <c r="D32" s="6"/>
      <c r="E32" s="6"/>
    </row>
    <row r="33" spans="1:10" s="6" customFormat="1" x14ac:dyDescent="0.25">
      <c r="A33" s="7" t="s">
        <v>7</v>
      </c>
    </row>
    <row r="34" spans="1:10" s="6" customFormat="1" x14ac:dyDescent="0.25">
      <c r="A34" s="6" t="s">
        <v>140</v>
      </c>
      <c r="B34" s="91">
        <f>B18/B29</f>
        <v>58318438198.952698</v>
      </c>
      <c r="C34" s="155">
        <f>C18/C29</f>
        <v>21497495534.691525</v>
      </c>
      <c r="D34" s="155"/>
      <c r="E34" s="91">
        <f>E18/E29</f>
        <v>649998883.57332015</v>
      </c>
      <c r="F34" s="91">
        <f t="shared" ref="F34:J34" si="1">F18/F29</f>
        <v>90254456.38262783</v>
      </c>
      <c r="G34" s="91">
        <f t="shared" si="1"/>
        <v>3480744707.0701094</v>
      </c>
      <c r="H34" s="91">
        <f t="shared" si="1"/>
        <v>18306739974.086128</v>
      </c>
      <c r="I34" s="91">
        <f t="shared" si="1"/>
        <v>13985256415.469555</v>
      </c>
      <c r="J34" s="91">
        <f t="shared" si="1"/>
        <v>307948227.67943352</v>
      </c>
    </row>
    <row r="35" spans="1:10" s="6" customFormat="1" x14ac:dyDescent="0.25">
      <c r="A35" s="6" t="s">
        <v>141</v>
      </c>
      <c r="B35" s="91">
        <f>B20/B30</f>
        <v>57167561601.627655</v>
      </c>
      <c r="C35" s="155">
        <f>C20/C30</f>
        <v>23822900341.205597</v>
      </c>
      <c r="D35" s="155"/>
      <c r="E35" s="91">
        <f>E20/E30</f>
        <v>635431240.96175551</v>
      </c>
      <c r="F35" s="91">
        <f t="shared" ref="F35:J35" si="2">F20/F30</f>
        <v>142952096.33189771</v>
      </c>
      <c r="G35" s="91">
        <f t="shared" si="2"/>
        <v>3065387861.2865472</v>
      </c>
      <c r="H35" s="91">
        <f t="shared" si="2"/>
        <v>16414321260.289965</v>
      </c>
      <c r="I35" s="91">
        <f t="shared" si="2"/>
        <v>12948016329.82338</v>
      </c>
      <c r="J35" s="91">
        <f t="shared" si="2"/>
        <v>138552471.7285156</v>
      </c>
    </row>
    <row r="36" spans="1:10" s="6" customFormat="1" x14ac:dyDescent="0.25">
      <c r="A36" s="6" t="s">
        <v>142</v>
      </c>
      <c r="B36" s="91">
        <f>B34/B10</f>
        <v>339674.86675880634</v>
      </c>
      <c r="C36" s="156">
        <f>C34/D10</f>
        <v>138855.6671641822</v>
      </c>
      <c r="D36" s="156"/>
      <c r="E36" s="91">
        <f>E34/E10</f>
        <v>334533.65083547099</v>
      </c>
      <c r="F36" s="91">
        <f t="shared" ref="F36:I36" si="3">F34/F10</f>
        <v>626767.05821269331</v>
      </c>
      <c r="G36" s="91">
        <f t="shared" si="3"/>
        <v>271805.77128456265</v>
      </c>
      <c r="H36" s="91">
        <f t="shared" si="3"/>
        <v>302415.79208864504</v>
      </c>
      <c r="I36" s="91">
        <f t="shared" si="3"/>
        <v>634453.40541076777</v>
      </c>
      <c r="J36" s="93" t="s">
        <v>67</v>
      </c>
    </row>
    <row r="37" spans="1:10" s="6" customFormat="1" x14ac:dyDescent="0.25">
      <c r="A37" s="6" t="s">
        <v>143</v>
      </c>
      <c r="B37" s="91">
        <f>B35/B13</f>
        <v>293281.2870740784</v>
      </c>
      <c r="C37" s="156">
        <f>C35/D13</f>
        <v>132067.70190929127</v>
      </c>
      <c r="D37" s="156"/>
      <c r="E37" s="91">
        <f>E35/E13</f>
        <v>302011.04608448455</v>
      </c>
      <c r="F37" s="91">
        <f t="shared" ref="F37:I37" si="4">F35/F13</f>
        <v>693942.21520338696</v>
      </c>
      <c r="G37" s="91">
        <f t="shared" si="4"/>
        <v>211508.16678993634</v>
      </c>
      <c r="H37" s="91">
        <f t="shared" si="4"/>
        <v>235665.26338875198</v>
      </c>
      <c r="I37" s="91">
        <f t="shared" si="4"/>
        <v>564798.96749502199</v>
      </c>
      <c r="J37" s="93" t="s">
        <v>67</v>
      </c>
    </row>
    <row r="38" spans="1:10" s="6" customFormat="1" x14ac:dyDescent="0.25">
      <c r="B38" s="92"/>
      <c r="C38" s="92"/>
      <c r="D38" s="92"/>
      <c r="E38" s="92"/>
      <c r="F38" s="92"/>
      <c r="G38" s="92"/>
      <c r="H38" s="92"/>
      <c r="I38" s="92"/>
      <c r="J38" s="92"/>
    </row>
    <row r="39" spans="1:10" s="6" customFormat="1" x14ac:dyDescent="0.25">
      <c r="A39" s="7" t="s">
        <v>8</v>
      </c>
      <c r="B39" s="92"/>
      <c r="C39" s="92"/>
      <c r="D39" s="92"/>
      <c r="E39" s="92"/>
      <c r="F39" s="92"/>
      <c r="G39" s="92"/>
      <c r="H39" s="92"/>
      <c r="I39" s="92"/>
      <c r="J39" s="92"/>
    </row>
    <row r="40" spans="1:10" s="6" customFormat="1" x14ac:dyDescent="0.25">
      <c r="B40" s="92"/>
      <c r="C40" s="92"/>
      <c r="D40" s="92"/>
      <c r="E40" s="92"/>
      <c r="F40" s="92"/>
      <c r="G40" s="92"/>
      <c r="H40" s="92"/>
      <c r="I40" s="92"/>
      <c r="J40" s="92"/>
    </row>
    <row r="41" spans="1:10" s="6" customFormat="1" x14ac:dyDescent="0.25">
      <c r="A41" s="6" t="s">
        <v>9</v>
      </c>
      <c r="B41" s="92"/>
      <c r="C41" s="92"/>
      <c r="D41" s="92"/>
      <c r="E41" s="92"/>
      <c r="F41" s="92"/>
      <c r="G41" s="92"/>
      <c r="H41" s="92"/>
      <c r="I41" s="92"/>
      <c r="J41" s="92"/>
    </row>
    <row r="42" spans="1:10" s="6" customFormat="1" x14ac:dyDescent="0.25">
      <c r="A42" s="6" t="s">
        <v>10</v>
      </c>
      <c r="B42" s="93" t="s">
        <v>67</v>
      </c>
      <c r="C42" s="162">
        <f>D11/C31*100</f>
        <v>96.047846752949255</v>
      </c>
      <c r="D42" s="162"/>
      <c r="E42" s="116">
        <f>E11/E31*100</f>
        <v>1.4134603709708524</v>
      </c>
      <c r="F42" s="93" t="s">
        <v>53</v>
      </c>
      <c r="G42" s="116">
        <f t="shared" ref="G42" si="5">G11/G31*100</f>
        <v>15.757234663560332</v>
      </c>
      <c r="H42" s="93" t="s">
        <v>67</v>
      </c>
      <c r="I42" s="93" t="s">
        <v>67</v>
      </c>
      <c r="J42" s="93" t="s">
        <v>67</v>
      </c>
    </row>
    <row r="43" spans="1:10" s="6" customFormat="1" x14ac:dyDescent="0.25">
      <c r="A43" s="6" t="s">
        <v>11</v>
      </c>
      <c r="B43" s="114">
        <f>(B13/B31)*100</f>
        <v>54.157891519735045</v>
      </c>
      <c r="C43" s="162">
        <f>D13/C31*100</f>
        <v>129.12610239376934</v>
      </c>
      <c r="D43" s="162"/>
      <c r="E43" s="116">
        <f>E13/E31*100</f>
        <v>1.5027390705016035</v>
      </c>
      <c r="F43" s="93" t="s">
        <v>53</v>
      </c>
      <c r="G43" s="116">
        <f t="shared" ref="G43" si="6">G13/G31*100</f>
        <v>18.969150426030392</v>
      </c>
      <c r="H43" s="93" t="s">
        <v>67</v>
      </c>
      <c r="I43" s="93" t="s">
        <v>67</v>
      </c>
      <c r="J43" s="93" t="s">
        <v>67</v>
      </c>
    </row>
    <row r="44" spans="1:10" s="6" customFormat="1" x14ac:dyDescent="0.25">
      <c r="B44" s="92"/>
      <c r="C44" s="92"/>
      <c r="D44" s="92"/>
      <c r="E44" s="92"/>
      <c r="F44" s="92"/>
      <c r="G44" s="92"/>
      <c r="H44" s="92"/>
      <c r="I44" s="94"/>
      <c r="J44" s="92"/>
    </row>
    <row r="45" spans="1:10" s="6" customFormat="1" x14ac:dyDescent="0.25">
      <c r="A45" s="6" t="s">
        <v>12</v>
      </c>
      <c r="B45" s="92"/>
      <c r="C45" s="92"/>
      <c r="D45" s="92"/>
      <c r="E45" s="92"/>
      <c r="F45" s="92"/>
      <c r="G45" s="92"/>
      <c r="H45" s="92"/>
      <c r="I45" s="94"/>
      <c r="J45" s="92"/>
    </row>
    <row r="46" spans="1:10" s="6" customFormat="1" x14ac:dyDescent="0.25">
      <c r="A46" s="6" t="s">
        <v>13</v>
      </c>
      <c r="B46" s="93" t="s">
        <v>67</v>
      </c>
      <c r="C46" s="93" t="s">
        <v>67</v>
      </c>
      <c r="D46" s="95">
        <f>D13/D11*100</f>
        <v>134.43935159306875</v>
      </c>
      <c r="E46" s="116">
        <f>E13/E11*100</f>
        <v>106.31632137443152</v>
      </c>
      <c r="F46" s="116">
        <f t="shared" ref="F46:I46" si="7">F13/F11*100</f>
        <v>11.914401388085599</v>
      </c>
      <c r="G46" s="116">
        <f t="shared" si="7"/>
        <v>120.38375280338897</v>
      </c>
      <c r="H46" s="116">
        <f t="shared" si="7"/>
        <v>101.7709200894227</v>
      </c>
      <c r="I46" s="116">
        <f t="shared" si="7"/>
        <v>98.912715191784955</v>
      </c>
      <c r="J46" s="93" t="s">
        <v>67</v>
      </c>
    </row>
    <row r="47" spans="1:10" s="6" customFormat="1" x14ac:dyDescent="0.25">
      <c r="A47" s="6" t="s">
        <v>14</v>
      </c>
      <c r="B47" s="116">
        <f>B20/B19*100</f>
        <v>84.490420696928354</v>
      </c>
      <c r="C47" s="163">
        <f>C20/C19*100</f>
        <v>91.248605927225682</v>
      </c>
      <c r="D47" s="163"/>
      <c r="E47" s="116">
        <f>E20/E19*100</f>
        <v>77.238445003904957</v>
      </c>
      <c r="F47" s="116">
        <f t="shared" ref="F47:I47" si="8">F20/F19*100</f>
        <v>11.954357156307017</v>
      </c>
      <c r="G47" s="116">
        <f t="shared" si="8"/>
        <v>87.916851619368401</v>
      </c>
      <c r="H47" s="116">
        <f t="shared" si="8"/>
        <v>71.759434557772906</v>
      </c>
      <c r="I47" s="116">
        <f t="shared" si="8"/>
        <v>98.280041945644953</v>
      </c>
      <c r="J47" s="93" t="s">
        <v>67</v>
      </c>
    </row>
    <row r="48" spans="1:10" s="6" customFormat="1" x14ac:dyDescent="0.25">
      <c r="A48" s="6" t="s">
        <v>15</v>
      </c>
      <c r="B48" s="93" t="s">
        <v>67</v>
      </c>
      <c r="C48" s="93" t="s">
        <v>67</v>
      </c>
      <c r="D48" s="95">
        <f>AVERAGE(D46,C47)</f>
        <v>112.84397876014722</v>
      </c>
      <c r="E48" s="116">
        <f>AVERAGE(E46:E47)</f>
        <v>91.777383189168233</v>
      </c>
      <c r="F48" s="116">
        <f t="shared" ref="F48:I48" si="9">AVERAGE(F46:F47)</f>
        <v>11.934379272196308</v>
      </c>
      <c r="G48" s="116">
        <f t="shared" si="9"/>
        <v>104.15030221137869</v>
      </c>
      <c r="H48" s="116">
        <f t="shared" si="9"/>
        <v>86.765177323597811</v>
      </c>
      <c r="I48" s="116">
        <f t="shared" si="9"/>
        <v>98.596378568714954</v>
      </c>
      <c r="J48" s="93" t="s">
        <v>67</v>
      </c>
    </row>
    <row r="49" spans="1:10" s="6" customFormat="1" x14ac:dyDescent="0.25">
      <c r="B49" s="116"/>
      <c r="C49" s="116"/>
      <c r="D49" s="116"/>
      <c r="E49" s="116"/>
      <c r="F49" s="92"/>
      <c r="G49" s="92"/>
      <c r="H49" s="92"/>
      <c r="I49" s="94"/>
      <c r="J49" s="92"/>
    </row>
    <row r="50" spans="1:10" s="6" customFormat="1" x14ac:dyDescent="0.25">
      <c r="A50" s="6" t="s">
        <v>16</v>
      </c>
      <c r="B50" s="92"/>
      <c r="C50" s="92"/>
      <c r="D50" s="92"/>
      <c r="E50" s="92"/>
      <c r="F50" s="92"/>
      <c r="G50" s="92"/>
      <c r="H50" s="92"/>
      <c r="I50" s="94"/>
      <c r="J50" s="92"/>
    </row>
    <row r="51" spans="1:10" s="6" customFormat="1" x14ac:dyDescent="0.25">
      <c r="A51" s="6" t="s">
        <v>17</v>
      </c>
      <c r="B51" s="93" t="s">
        <v>67</v>
      </c>
      <c r="C51" s="164">
        <f>D13/D15*100</f>
        <v>128.64722998801849</v>
      </c>
      <c r="D51" s="164"/>
      <c r="E51" s="95">
        <f>E13/E15*100</f>
        <v>106.20898536092882</v>
      </c>
      <c r="F51" s="95">
        <f>F13/F15*100</f>
        <v>11.893764434180138</v>
      </c>
      <c r="G51" s="95">
        <f t="shared" ref="G51:I51" si="10">G13/G15*100</f>
        <v>120.37375415282392</v>
      </c>
      <c r="H51" s="95">
        <f t="shared" si="10"/>
        <v>88.954022988505741</v>
      </c>
      <c r="I51" s="95">
        <f t="shared" si="10"/>
        <v>98.899913718723042</v>
      </c>
      <c r="J51" s="93" t="s">
        <v>67</v>
      </c>
    </row>
    <row r="52" spans="1:10" s="6" customFormat="1" x14ac:dyDescent="0.25">
      <c r="A52" s="6" t="s">
        <v>18</v>
      </c>
      <c r="B52" s="116">
        <f>B20/B21*100</f>
        <v>41.052156403866917</v>
      </c>
      <c r="C52" s="161">
        <f>C20/C21*100</f>
        <v>47.511380621643831</v>
      </c>
      <c r="D52" s="161"/>
      <c r="E52" s="116">
        <f>E20/E21*100</f>
        <v>40.030418460183917</v>
      </c>
      <c r="F52" s="116">
        <f t="shared" ref="F52:I52" si="11">F20/F21*100</f>
        <v>3.3984418983699092</v>
      </c>
      <c r="G52" s="116">
        <f t="shared" si="11"/>
        <v>43.839444450613513</v>
      </c>
      <c r="H52" s="116">
        <f t="shared" si="11"/>
        <v>32.270298016666352</v>
      </c>
      <c r="I52" s="116">
        <f t="shared" si="11"/>
        <v>50.849749712709624</v>
      </c>
      <c r="J52" s="93" t="s">
        <v>67</v>
      </c>
    </row>
    <row r="53" spans="1:10" s="6" customFormat="1" x14ac:dyDescent="0.25">
      <c r="A53" s="6" t="s">
        <v>19</v>
      </c>
      <c r="B53" s="93" t="s">
        <v>67</v>
      </c>
      <c r="C53" s="161">
        <f>(C51+C52)/2</f>
        <v>88.079305304831166</v>
      </c>
      <c r="D53" s="161"/>
      <c r="E53" s="116">
        <f>(E51+E52)/2</f>
        <v>73.119701910556373</v>
      </c>
      <c r="F53" s="116">
        <f t="shared" ref="F53:I53" si="12">(F51+F52)/2</f>
        <v>7.6461031662750241</v>
      </c>
      <c r="G53" s="116">
        <f t="shared" si="12"/>
        <v>82.106599301718717</v>
      </c>
      <c r="H53" s="116">
        <f t="shared" si="12"/>
        <v>60.61216050258605</v>
      </c>
      <c r="I53" s="116">
        <f t="shared" si="12"/>
        <v>74.87483171571634</v>
      </c>
      <c r="J53" s="93" t="s">
        <v>67</v>
      </c>
    </row>
    <row r="54" spans="1:10" s="6" customFormat="1" x14ac:dyDescent="0.25">
      <c r="B54" s="92"/>
      <c r="C54" s="115"/>
      <c r="D54" s="115"/>
      <c r="E54" s="92"/>
      <c r="F54" s="92"/>
      <c r="G54" s="92"/>
      <c r="H54" s="92"/>
      <c r="I54" s="94"/>
      <c r="J54" s="92"/>
    </row>
    <row r="55" spans="1:10" s="6" customFormat="1" x14ac:dyDescent="0.25">
      <c r="A55" s="6" t="s">
        <v>31</v>
      </c>
      <c r="B55" s="92"/>
      <c r="C55" s="115"/>
      <c r="D55" s="115"/>
      <c r="E55" s="92"/>
      <c r="F55" s="92"/>
      <c r="G55" s="92"/>
      <c r="H55" s="92"/>
      <c r="I55" s="94"/>
      <c r="J55" s="92"/>
    </row>
    <row r="56" spans="1:10" s="6" customFormat="1" x14ac:dyDescent="0.25">
      <c r="A56" s="6" t="s">
        <v>20</v>
      </c>
      <c r="B56" s="116">
        <f>B22/B20*100</f>
        <v>100</v>
      </c>
      <c r="C56" s="161">
        <f>C22/C20*100</f>
        <v>100</v>
      </c>
      <c r="D56" s="161"/>
      <c r="E56" s="116">
        <f>E22/E20*100</f>
        <v>100</v>
      </c>
      <c r="F56" s="116">
        <f t="shared" ref="F56:J56" si="13">F22/F20*100</f>
        <v>100</v>
      </c>
      <c r="G56" s="116">
        <f t="shared" si="13"/>
        <v>100</v>
      </c>
      <c r="H56" s="116">
        <f t="shared" si="13"/>
        <v>100</v>
      </c>
      <c r="I56" s="116">
        <f t="shared" si="13"/>
        <v>100</v>
      </c>
      <c r="J56" s="116">
        <f t="shared" si="13"/>
        <v>100</v>
      </c>
    </row>
    <row r="57" spans="1:10" s="6" customFormat="1" x14ac:dyDescent="0.25">
      <c r="B57" s="92"/>
      <c r="C57" s="115"/>
      <c r="D57" s="115"/>
      <c r="E57" s="92"/>
      <c r="F57" s="92"/>
      <c r="G57" s="92"/>
      <c r="H57" s="92"/>
      <c r="I57" s="94"/>
      <c r="J57" s="92"/>
    </row>
    <row r="58" spans="1:10" s="6" customFormat="1" x14ac:dyDescent="0.25">
      <c r="A58" s="6" t="s">
        <v>21</v>
      </c>
      <c r="B58" s="92"/>
      <c r="C58" s="115"/>
      <c r="D58" s="115"/>
      <c r="E58" s="92"/>
      <c r="F58" s="92"/>
      <c r="G58" s="92"/>
      <c r="H58" s="92"/>
      <c r="I58" s="94"/>
      <c r="J58" s="92"/>
    </row>
    <row r="59" spans="1:10" s="6" customFormat="1" x14ac:dyDescent="0.25">
      <c r="A59" s="6" t="s">
        <v>22</v>
      </c>
      <c r="B59" s="116">
        <f>((B13/B10)-1)*100</f>
        <v>13.533190827601072</v>
      </c>
      <c r="C59" s="161">
        <f>((D13/D10)-1)*100</f>
        <v>16.512831112460358</v>
      </c>
      <c r="D59" s="161"/>
      <c r="E59" s="116">
        <f>((E13/E10)-1)*100</f>
        <v>8.2861554297478222</v>
      </c>
      <c r="F59" s="116">
        <f t="shared" ref="F59:I59" si="14">((F13/F10)-1)*100</f>
        <v>43.055555555555557</v>
      </c>
      <c r="G59" s="116">
        <f t="shared" si="14"/>
        <v>13.173512416054978</v>
      </c>
      <c r="H59" s="116">
        <f t="shared" si="14"/>
        <v>15.059056744032384</v>
      </c>
      <c r="I59" s="116">
        <f t="shared" si="14"/>
        <v>4.0012702445220816</v>
      </c>
      <c r="J59" s="93" t="s">
        <v>67</v>
      </c>
    </row>
    <row r="60" spans="1:10" s="6" customFormat="1" x14ac:dyDescent="0.25">
      <c r="A60" s="6" t="s">
        <v>23</v>
      </c>
      <c r="B60" s="116">
        <f>((B35/B34)-1)*100</f>
        <v>-1.9734352168328639</v>
      </c>
      <c r="C60" s="161">
        <f>((C35/C34)-1)*100</f>
        <v>10.817096357859256</v>
      </c>
      <c r="D60" s="161"/>
      <c r="E60" s="116">
        <f>((E35/E34)-1)*100</f>
        <v>-2.2411796357987734</v>
      </c>
      <c r="F60" s="116">
        <f t="shared" ref="F60:J60" si="15">((F35/F34)-1)*100</f>
        <v>58.387853698726744</v>
      </c>
      <c r="G60" s="116">
        <f t="shared" si="15"/>
        <v>-11.9329879304244</v>
      </c>
      <c r="H60" s="116">
        <f t="shared" si="15"/>
        <v>-10.337278600531564</v>
      </c>
      <c r="I60" s="116">
        <f t="shared" si="15"/>
        <v>-7.4166683458077305</v>
      </c>
      <c r="J60" s="116">
        <f t="shared" si="15"/>
        <v>-55.007868441852082</v>
      </c>
    </row>
    <row r="61" spans="1:10" s="6" customFormat="1" x14ac:dyDescent="0.25">
      <c r="A61" s="6" t="s">
        <v>24</v>
      </c>
      <c r="B61" s="116">
        <f>((B37/B36)-1)*100</f>
        <v>-13.658231510449292</v>
      </c>
      <c r="C61" s="161">
        <f>((C37/C36)-1)*100</f>
        <v>-4.8885042962379615</v>
      </c>
      <c r="D61" s="161"/>
      <c r="E61" s="116">
        <f>((E37/E36)-1)*100</f>
        <v>-9.7217737796373669</v>
      </c>
      <c r="F61" s="116">
        <f t="shared" ref="F61:I61" si="16">((F37/F36)-1)*100</f>
        <v>10.717722973867239</v>
      </c>
      <c r="G61" s="116">
        <f t="shared" si="16"/>
        <v>-22.184078067826864</v>
      </c>
      <c r="H61" s="116">
        <f t="shared" si="16"/>
        <v>-22.072434854965163</v>
      </c>
      <c r="I61" s="116">
        <f t="shared" si="16"/>
        <v>-10.978653014030082</v>
      </c>
      <c r="J61" s="93" t="s">
        <v>67</v>
      </c>
    </row>
    <row r="62" spans="1:10" s="6" customFormat="1" x14ac:dyDescent="0.25">
      <c r="B62" s="116"/>
      <c r="C62" s="115"/>
      <c r="D62" s="115"/>
      <c r="E62" s="116"/>
      <c r="F62" s="92"/>
      <c r="G62" s="92"/>
      <c r="H62" s="92"/>
      <c r="I62" s="94"/>
      <c r="J62" s="92"/>
    </row>
    <row r="63" spans="1:10" s="6" customFormat="1" x14ac:dyDescent="0.25">
      <c r="A63" s="6" t="s">
        <v>25</v>
      </c>
      <c r="B63" s="92"/>
      <c r="C63" s="115"/>
      <c r="D63" s="115"/>
      <c r="E63" s="92"/>
      <c r="F63" s="92"/>
      <c r="G63" s="92"/>
      <c r="H63" s="92"/>
      <c r="I63" s="94"/>
      <c r="J63" s="92"/>
    </row>
    <row r="64" spans="1:10" s="6" customFormat="1" x14ac:dyDescent="0.25">
      <c r="A64" s="6" t="s">
        <v>36</v>
      </c>
      <c r="B64" s="91">
        <f>(B19/B12)*6</f>
        <v>323341.51239769085</v>
      </c>
      <c r="C64" s="161">
        <f>(C19/D12)*6</f>
        <v>210000</v>
      </c>
      <c r="D64" s="161"/>
      <c r="E64" s="91">
        <f>(E19/E12)*6</f>
        <v>622579.50789570331</v>
      </c>
      <c r="F64" s="91">
        <f t="shared" ref="F64:I64" si="17">(F19/F12)*6</f>
        <v>1872000</v>
      </c>
      <c r="G64" s="91">
        <f t="shared" si="17"/>
        <v>300000</v>
      </c>
      <c r="H64" s="91">
        <f t="shared" si="17"/>
        <v>450000</v>
      </c>
      <c r="I64" s="91">
        <f t="shared" si="17"/>
        <v>642000</v>
      </c>
      <c r="J64" s="93" t="s">
        <v>67</v>
      </c>
    </row>
    <row r="65" spans="1:10" s="6" customFormat="1" x14ac:dyDescent="0.25">
      <c r="A65" s="6" t="s">
        <v>37</v>
      </c>
      <c r="B65" s="91">
        <f>(B20/B14)*6</f>
        <v>204343.24689532752</v>
      </c>
      <c r="C65" s="161">
        <f>(C20/D14)*6</f>
        <v>128273.67617906205</v>
      </c>
      <c r="D65" s="161"/>
      <c r="E65" s="91">
        <f>(E20/E14)*6</f>
        <v>387018.02955665026</v>
      </c>
      <c r="F65" s="91">
        <f t="shared" ref="F65:I65" si="18">(F20/F14)*6</f>
        <v>1162801.5789473685</v>
      </c>
      <c r="G65" s="91">
        <f t="shared" si="18"/>
        <v>244452.64658608637</v>
      </c>
      <c r="H65" s="91">
        <f t="shared" si="18"/>
        <v>291760.85493220162</v>
      </c>
      <c r="I65" s="91">
        <f t="shared" si="18"/>
        <v>551472.48798803973</v>
      </c>
      <c r="J65" s="93" t="s">
        <v>67</v>
      </c>
    </row>
    <row r="66" spans="1:10" s="6" customFormat="1" x14ac:dyDescent="0.25">
      <c r="A66" s="6" t="s">
        <v>26</v>
      </c>
      <c r="B66" s="93" t="s">
        <v>67</v>
      </c>
      <c r="C66" s="164">
        <f>(C65/C64)*D48</f>
        <v>68.928152334457536</v>
      </c>
      <c r="D66" s="164"/>
      <c r="E66" s="116">
        <f>E65/E64*E48</f>
        <v>57.052154061080785</v>
      </c>
      <c r="F66" s="116">
        <f t="shared" ref="F66:I66" si="19">F65/F64*F48</f>
        <v>7.4130956524928493</v>
      </c>
      <c r="G66" s="116">
        <f t="shared" si="19"/>
        <v>84.866056727707488</v>
      </c>
      <c r="H66" s="116">
        <f t="shared" si="19"/>
        <v>56.254849587282159</v>
      </c>
      <c r="I66" s="116">
        <f t="shared" si="19"/>
        <v>84.693442672741227</v>
      </c>
      <c r="J66" s="93" t="s">
        <v>67</v>
      </c>
    </row>
    <row r="67" spans="1:10" s="6" customFormat="1" x14ac:dyDescent="0.25">
      <c r="A67" s="6" t="s">
        <v>34</v>
      </c>
      <c r="B67" s="96">
        <f>B19/B12</f>
        <v>53890.252066281806</v>
      </c>
      <c r="C67" s="161">
        <f>C19/D12</f>
        <v>35000</v>
      </c>
      <c r="D67" s="161"/>
      <c r="E67" s="96">
        <f>E19/E12</f>
        <v>103763.25131595055</v>
      </c>
      <c r="F67" s="96">
        <f>F19/F12</f>
        <v>312000</v>
      </c>
      <c r="G67" s="96">
        <f t="shared" ref="G67:I67" si="20">G19/G12</f>
        <v>50000</v>
      </c>
      <c r="H67" s="96">
        <f t="shared" si="20"/>
        <v>75000</v>
      </c>
      <c r="I67" s="96">
        <f t="shared" si="20"/>
        <v>107000</v>
      </c>
      <c r="J67" s="93" t="s">
        <v>67</v>
      </c>
    </row>
    <row r="68" spans="1:10" s="6" customFormat="1" x14ac:dyDescent="0.25">
      <c r="A68" s="6" t="s">
        <v>35</v>
      </c>
      <c r="B68" s="96">
        <f>B20/B14</f>
        <v>34057.207815887923</v>
      </c>
      <c r="C68" s="161">
        <f>C20/D14</f>
        <v>21378.946029843675</v>
      </c>
      <c r="D68" s="161"/>
      <c r="E68" s="96">
        <f>E20/E14</f>
        <v>64503.004926108377</v>
      </c>
      <c r="F68" s="96">
        <f t="shared" ref="F68:I68" si="21">F20/F14</f>
        <v>193800.26315789475</v>
      </c>
      <c r="G68" s="96">
        <f t="shared" si="21"/>
        <v>40742.107764347726</v>
      </c>
      <c r="H68" s="96">
        <f t="shared" si="21"/>
        <v>48626.809155366936</v>
      </c>
      <c r="I68" s="96">
        <f t="shared" si="21"/>
        <v>91912.081331339956</v>
      </c>
      <c r="J68" s="93" t="s">
        <v>67</v>
      </c>
    </row>
    <row r="69" spans="1:10" s="6" customFormat="1" x14ac:dyDescent="0.25">
      <c r="B69" s="116"/>
      <c r="C69" s="116"/>
      <c r="D69" s="116"/>
      <c r="E69" s="116"/>
      <c r="F69" s="92"/>
      <c r="G69" s="92"/>
      <c r="H69" s="92"/>
      <c r="I69" s="94"/>
      <c r="J69" s="92"/>
    </row>
    <row r="70" spans="1:10" s="6" customFormat="1" x14ac:dyDescent="0.25">
      <c r="A70" s="6" t="s">
        <v>27</v>
      </c>
      <c r="B70" s="116"/>
      <c r="C70" s="116"/>
      <c r="D70" s="116"/>
      <c r="E70" s="116"/>
      <c r="F70" s="92"/>
      <c r="G70" s="92"/>
      <c r="H70" s="92"/>
      <c r="I70" s="94"/>
      <c r="J70" s="92"/>
    </row>
    <row r="71" spans="1:10" s="6" customFormat="1" x14ac:dyDescent="0.25">
      <c r="A71" s="6" t="s">
        <v>28</v>
      </c>
      <c r="B71" s="116">
        <f>(B26/B25)*100</f>
        <v>94.042268873517529</v>
      </c>
      <c r="C71" s="116"/>
      <c r="D71" s="116"/>
      <c r="E71" s="116"/>
      <c r="F71" s="92"/>
      <c r="G71" s="92"/>
      <c r="H71" s="92"/>
      <c r="I71" s="94"/>
      <c r="J71" s="92"/>
    </row>
    <row r="72" spans="1:10" s="6" customFormat="1" x14ac:dyDescent="0.25">
      <c r="A72" s="6" t="s">
        <v>29</v>
      </c>
      <c r="B72" s="116">
        <f>(B20/B26)*100</f>
        <v>89.843026661302716</v>
      </c>
      <c r="C72" s="116"/>
      <c r="D72" s="116"/>
      <c r="E72" s="116"/>
      <c r="F72" s="92"/>
      <c r="G72" s="92"/>
      <c r="H72" s="92"/>
      <c r="I72" s="94"/>
      <c r="J72" s="92"/>
    </row>
    <row r="73" spans="1:10" s="6" customFormat="1" ht="15.75" thickBot="1" x14ac:dyDescent="0.3">
      <c r="A73" s="45"/>
      <c r="B73" s="97"/>
      <c r="C73" s="97"/>
      <c r="D73" s="97"/>
      <c r="E73" s="97"/>
      <c r="F73" s="97"/>
      <c r="G73" s="97"/>
      <c r="H73" s="97"/>
      <c r="I73" s="98"/>
      <c r="J73" s="98"/>
    </row>
    <row r="74" spans="1:10" ht="15.75" thickTop="1" x14ac:dyDescent="0.25">
      <c r="A74" s="20"/>
    </row>
    <row r="75" spans="1:10" x14ac:dyDescent="0.25">
      <c r="A75" s="20"/>
    </row>
    <row r="76" spans="1:10" x14ac:dyDescent="0.25">
      <c r="A76" s="2" t="s">
        <v>30</v>
      </c>
      <c r="B76" s="11"/>
    </row>
    <row r="77" spans="1:10" x14ac:dyDescent="0.25">
      <c r="A77" s="2" t="s">
        <v>119</v>
      </c>
      <c r="B77" s="8"/>
      <c r="C77" s="8"/>
      <c r="D77" s="8"/>
      <c r="E77" s="8"/>
    </row>
    <row r="78" spans="1:10" x14ac:dyDescent="0.25">
      <c r="A78" s="2" t="s">
        <v>45</v>
      </c>
    </row>
    <row r="79" spans="1:10" x14ac:dyDescent="0.25">
      <c r="A79" s="22" t="s">
        <v>58</v>
      </c>
    </row>
    <row r="80" spans="1:10" x14ac:dyDescent="0.25">
      <c r="A80" s="21" t="s">
        <v>54</v>
      </c>
    </row>
    <row r="81" spans="1:1" x14ac:dyDescent="0.25">
      <c r="A81" s="2" t="s">
        <v>120</v>
      </c>
    </row>
    <row r="82" spans="1:1" x14ac:dyDescent="0.25">
      <c r="A82" s="2" t="s">
        <v>121</v>
      </c>
    </row>
    <row r="83" spans="1:1" x14ac:dyDescent="0.25">
      <c r="A83" s="2" t="s">
        <v>46</v>
      </c>
    </row>
    <row r="84" spans="1:1" x14ac:dyDescent="0.25">
      <c r="A84" s="15" t="s">
        <v>47</v>
      </c>
    </row>
    <row r="85" spans="1:1" x14ac:dyDescent="0.25">
      <c r="A85" s="15" t="s">
        <v>48</v>
      </c>
    </row>
    <row r="86" spans="1:1" x14ac:dyDescent="0.25">
      <c r="A86" s="2" t="s">
        <v>122</v>
      </c>
    </row>
    <row r="87" spans="1:1" x14ac:dyDescent="0.25">
      <c r="A87" s="2"/>
    </row>
    <row r="88" spans="1:1" x14ac:dyDescent="0.25">
      <c r="A88" s="2" t="s">
        <v>123</v>
      </c>
    </row>
    <row r="90" spans="1:1" x14ac:dyDescent="0.25">
      <c r="A90" s="24"/>
    </row>
  </sheetData>
  <mergeCells count="29">
    <mergeCell ref="C67:D67"/>
    <mergeCell ref="C68:D68"/>
    <mergeCell ref="C42:D42"/>
    <mergeCell ref="C43:D43"/>
    <mergeCell ref="C47:D47"/>
    <mergeCell ref="C60:D60"/>
    <mergeCell ref="C61:D61"/>
    <mergeCell ref="C64:D64"/>
    <mergeCell ref="C65:D65"/>
    <mergeCell ref="C66:D66"/>
    <mergeCell ref="C59:D59"/>
    <mergeCell ref="C51:D51"/>
    <mergeCell ref="C52:D52"/>
    <mergeCell ref="C53:D53"/>
    <mergeCell ref="C56:D56"/>
    <mergeCell ref="C34:D34"/>
    <mergeCell ref="C35:D35"/>
    <mergeCell ref="C36:D36"/>
    <mergeCell ref="C37:D37"/>
    <mergeCell ref="A2:I2"/>
    <mergeCell ref="C31:D31"/>
    <mergeCell ref="C21:D21"/>
    <mergeCell ref="B4:B5"/>
    <mergeCell ref="C18:D18"/>
    <mergeCell ref="C19:D19"/>
    <mergeCell ref="C20:D20"/>
    <mergeCell ref="C5:D5"/>
    <mergeCell ref="C22:D22"/>
    <mergeCell ref="A4:A5"/>
  </mergeCells>
  <pageMargins left="0.7" right="0.7" top="0.75" bottom="0.75" header="0.3" footer="0.3"/>
  <pageSetup orientation="portrait" horizontalDpi="4294967292" verticalDpi="4294967292" r:id="rId1"/>
  <ignoredErrors>
    <ignoredError sqref="C18:D20" formulaRange="1"/>
    <ignoredError sqref="B44:J45 C42:G42 B43:G43 B49:J50 D48:I48 B47:I47 D46:I46 B54:J58 C53:I53 B52:I52 C51:I51 B62:J63 B61:I61 B60:J60 B59:I59 B69:J73 C66:I66 B64:I65 B67:I68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9"/>
  <sheetViews>
    <sheetView zoomScale="80" zoomScaleNormal="80" zoomScalePageLayoutView="90" workbookViewId="0">
      <selection activeCell="A4" sqref="A4:A5"/>
    </sheetView>
  </sheetViews>
  <sheetFormatPr baseColWidth="10" defaultColWidth="11.42578125" defaultRowHeight="15" x14ac:dyDescent="0.25"/>
  <cols>
    <col min="1" max="1" width="61.42578125" customWidth="1"/>
    <col min="2" max="10" width="18.7109375" customWidth="1"/>
  </cols>
  <sheetData>
    <row r="2" spans="1:10" ht="15.75" x14ac:dyDescent="0.25">
      <c r="A2" s="136" t="s">
        <v>101</v>
      </c>
      <c r="B2" s="136"/>
      <c r="C2" s="136"/>
      <c r="D2" s="136"/>
      <c r="E2" s="136"/>
      <c r="F2" s="136"/>
      <c r="G2" s="136"/>
      <c r="H2" s="136"/>
      <c r="I2" s="136"/>
    </row>
    <row r="4" spans="1:10" ht="15" customHeight="1" x14ac:dyDescent="0.25">
      <c r="A4" s="159" t="s">
        <v>0</v>
      </c>
      <c r="B4" s="129" t="s">
        <v>59</v>
      </c>
      <c r="C4" s="9"/>
      <c r="D4" s="9"/>
      <c r="E4" s="9"/>
      <c r="F4" s="9"/>
      <c r="G4" s="9"/>
      <c r="H4" s="19"/>
      <c r="I4" s="19"/>
      <c r="J4" s="19"/>
    </row>
    <row r="5" spans="1:10" ht="51.75" customHeight="1" thickBot="1" x14ac:dyDescent="0.3">
      <c r="A5" s="160"/>
      <c r="B5" s="139"/>
      <c r="C5" s="140" t="s">
        <v>1</v>
      </c>
      <c r="D5" s="140"/>
      <c r="E5" s="17" t="s">
        <v>49</v>
      </c>
      <c r="F5" s="17" t="s">
        <v>50</v>
      </c>
      <c r="G5" s="18" t="s">
        <v>51</v>
      </c>
      <c r="H5" s="28" t="s">
        <v>60</v>
      </c>
      <c r="I5" s="27" t="s">
        <v>56</v>
      </c>
      <c r="J5" s="27" t="s">
        <v>61</v>
      </c>
    </row>
    <row r="6" spans="1:10" ht="15.75" thickTop="1" x14ac:dyDescent="0.25"/>
    <row r="7" spans="1:10" x14ac:dyDescent="0.25">
      <c r="A7" s="1" t="s">
        <v>2</v>
      </c>
      <c r="D7" s="3"/>
      <c r="E7" s="3"/>
    </row>
    <row r="8" spans="1:10" x14ac:dyDescent="0.25">
      <c r="D8" s="3"/>
      <c r="E8" s="3"/>
    </row>
    <row r="9" spans="1:10" x14ac:dyDescent="0.25">
      <c r="A9" t="s">
        <v>42</v>
      </c>
      <c r="B9" s="31" t="s">
        <v>93</v>
      </c>
      <c r="C9" s="31" t="s">
        <v>43</v>
      </c>
      <c r="D9" s="31" t="s">
        <v>44</v>
      </c>
      <c r="E9" s="31" t="s">
        <v>43</v>
      </c>
      <c r="F9" s="31" t="s">
        <v>43</v>
      </c>
      <c r="G9" s="31" t="s">
        <v>43</v>
      </c>
      <c r="H9" s="29" t="s">
        <v>43</v>
      </c>
      <c r="I9" s="29" t="s">
        <v>57</v>
      </c>
      <c r="J9" s="29" t="s">
        <v>43</v>
      </c>
    </row>
    <row r="10" spans="1:10" s="6" customFormat="1" x14ac:dyDescent="0.25">
      <c r="A10" s="5" t="s">
        <v>102</v>
      </c>
      <c r="B10" s="33">
        <v>190632</v>
      </c>
      <c r="C10" s="33">
        <v>133235</v>
      </c>
      <c r="D10" s="33">
        <v>173343</v>
      </c>
      <c r="E10" s="33">
        <v>2026</v>
      </c>
      <c r="F10" s="33">
        <v>172</v>
      </c>
      <c r="G10" s="33">
        <v>13702</v>
      </c>
      <c r="H10" s="33">
        <v>71168</v>
      </c>
      <c r="I10" s="33">
        <v>22728</v>
      </c>
      <c r="J10" s="33" t="str">
        <f>'III Trimestre'!J10</f>
        <v>n.d.</v>
      </c>
    </row>
    <row r="11" spans="1:10" s="6" customFormat="1" x14ac:dyDescent="0.25">
      <c r="A11" s="5" t="s">
        <v>103</v>
      </c>
      <c r="B11" s="33" t="str">
        <f>'III Trimestre'!B11</f>
        <v>n.d</v>
      </c>
      <c r="C11" s="33" t="str">
        <f>'III Trimestre'!C11</f>
        <v>n.d</v>
      </c>
      <c r="D11" s="33">
        <f>'III Trimestre'!D11</f>
        <v>140164</v>
      </c>
      <c r="E11" s="33">
        <f>'III Trimestre'!E11</f>
        <v>1980</v>
      </c>
      <c r="F11" s="33">
        <f>'III Trimestre'!F11</f>
        <v>1731</v>
      </c>
      <c r="G11" s="33">
        <f>'III Trimestre'!G11</f>
        <v>12040</v>
      </c>
      <c r="H11" s="33">
        <f>'III Trimestre'!H11</f>
        <v>75940</v>
      </c>
      <c r="I11" s="33">
        <f>'III Trimestre'!I11</f>
        <v>23178</v>
      </c>
      <c r="J11" s="33" t="str">
        <f>'III Trimestre'!J11</f>
        <v>n.d.</v>
      </c>
    </row>
    <row r="12" spans="1:10" s="6" customFormat="1" x14ac:dyDescent="0.25">
      <c r="A12" s="12" t="s">
        <v>66</v>
      </c>
      <c r="B12" s="33">
        <f>+'I Trimestre'!B12+'II Trimestre'!B12+'III Trimestre'!B12</f>
        <v>2052020</v>
      </c>
      <c r="C12" s="33" t="str">
        <f>'III Trimestre'!C12</f>
        <v>n.d</v>
      </c>
      <c r="D12" s="33">
        <f>+'I Trimestre'!D12+'II Trimestre'!D12+'III Trimestre'!D12</f>
        <v>1188852</v>
      </c>
      <c r="E12" s="33">
        <f>+'I Trimestre'!E12+'II Trimestre'!E12+'III Trimestre'!E12</f>
        <v>14107</v>
      </c>
      <c r="F12" s="33">
        <f>+'I Trimestre'!F12+'II Trimestre'!F12+'III Trimestre'!F12</f>
        <v>9142</v>
      </c>
      <c r="G12" s="33">
        <f>+'I Trimestre'!G12+'II Trimestre'!G12+'III Trimestre'!G12</f>
        <v>107968</v>
      </c>
      <c r="H12" s="33">
        <f>+'I Trimestre'!H12+'II Trimestre'!H12+'III Trimestre'!H12</f>
        <v>535557</v>
      </c>
      <c r="I12" s="33">
        <f>+'I Trimestre'!I12+'II Trimestre'!I12+'III Trimestre'!I12</f>
        <v>196394</v>
      </c>
      <c r="J12" s="33" t="str">
        <f>'III Trimestre'!J12</f>
        <v>n.d.</v>
      </c>
    </row>
    <row r="13" spans="1:10" s="6" customFormat="1" x14ac:dyDescent="0.25">
      <c r="A13" s="5" t="s">
        <v>104</v>
      </c>
      <c r="B13" s="33">
        <v>216115</v>
      </c>
      <c r="C13" s="33">
        <v>149767</v>
      </c>
      <c r="D13" s="33">
        <v>195200</v>
      </c>
      <c r="E13" s="33">
        <v>2348</v>
      </c>
      <c r="F13" s="33">
        <v>231</v>
      </c>
      <c r="G13" s="33">
        <v>16116</v>
      </c>
      <c r="H13" s="33">
        <v>85860</v>
      </c>
      <c r="I13" s="33">
        <v>25498</v>
      </c>
      <c r="J13" s="33" t="str">
        <f>'III Trimestre'!J13</f>
        <v>n.d.</v>
      </c>
    </row>
    <row r="14" spans="1:10" s="6" customFormat="1" x14ac:dyDescent="0.25">
      <c r="A14" s="12" t="s">
        <v>66</v>
      </c>
      <c r="B14" s="33">
        <f>+'I Trimestre'!B14+'II Trimestre'!B14+'III Trimestre'!B14</f>
        <v>2542788</v>
      </c>
      <c r="C14" s="33" t="str">
        <f>'III Trimestre'!C14</f>
        <v>n.d</v>
      </c>
      <c r="D14" s="33">
        <f>+'I Trimestre'!D14+'II Trimestre'!D14+'III Trimestre'!D14</f>
        <v>1651823</v>
      </c>
      <c r="E14" s="33">
        <f>+'I Trimestre'!E14+'II Trimestre'!E14+'III Trimestre'!E14</f>
        <v>16644</v>
      </c>
      <c r="F14" s="33">
        <f>+'I Trimestre'!F14+'II Trimestre'!F14+'III Trimestre'!F14</f>
        <v>1389</v>
      </c>
      <c r="G14" s="33">
        <f>+'I Trimestre'!G14+'II Trimestre'!G14+'III Trimestre'!G14</f>
        <v>116656</v>
      </c>
      <c r="H14" s="33">
        <f>+'I Trimestre'!H14+'II Trimestre'!H14+'III Trimestre'!H14</f>
        <v>552514</v>
      </c>
      <c r="I14" s="33">
        <f>+'I Trimestre'!I14+'II Trimestre'!I14+'III Trimestre'!I14</f>
        <v>203762</v>
      </c>
      <c r="J14" s="33" t="str">
        <f>'III Trimestre'!J14</f>
        <v>n.d.</v>
      </c>
    </row>
    <row r="15" spans="1:10" s="6" customFormat="1" x14ac:dyDescent="0.25">
      <c r="A15" s="5" t="s">
        <v>65</v>
      </c>
      <c r="B15" s="33" t="str">
        <f>'III Trimestre'!B15</f>
        <v>n.d</v>
      </c>
      <c r="C15" s="33" t="str">
        <f>'III Trimestre'!C15</f>
        <v>n.d</v>
      </c>
      <c r="D15" s="33">
        <f>'III Trimestre'!D15</f>
        <v>140216</v>
      </c>
      <c r="E15" s="33">
        <f>'III Trimestre'!E15</f>
        <v>1981</v>
      </c>
      <c r="F15" s="33">
        <f>'III Trimestre'!F15</f>
        <v>1732</v>
      </c>
      <c r="G15" s="33">
        <f>'III Trimestre'!G15</f>
        <v>12040</v>
      </c>
      <c r="H15" s="33">
        <f>'III Trimestre'!H15</f>
        <v>78300</v>
      </c>
      <c r="I15" s="33">
        <f>'III Trimestre'!I15</f>
        <v>23180</v>
      </c>
      <c r="J15" s="33" t="str">
        <f>'III Trimestre'!J15</f>
        <v>n.d.</v>
      </c>
    </row>
    <row r="16" spans="1:10" s="6" customFormat="1" x14ac:dyDescent="0.25">
      <c r="B16" s="32"/>
      <c r="C16" s="32"/>
      <c r="D16" s="32"/>
      <c r="E16" s="32"/>
      <c r="F16" s="32"/>
      <c r="G16" s="32"/>
      <c r="H16" s="32"/>
      <c r="I16" s="32"/>
      <c r="J16" s="32"/>
    </row>
    <row r="17" spans="1:10" s="6" customFormat="1" x14ac:dyDescent="0.25">
      <c r="A17" s="4" t="s">
        <v>3</v>
      </c>
      <c r="B17" s="32"/>
      <c r="C17" s="32"/>
      <c r="D17" s="32"/>
      <c r="E17" s="32"/>
      <c r="F17" s="32"/>
      <c r="G17" s="32"/>
      <c r="H17" s="32"/>
      <c r="I17" s="32"/>
      <c r="J17" s="32"/>
    </row>
    <row r="18" spans="1:10" s="6" customFormat="1" x14ac:dyDescent="0.25">
      <c r="A18" s="5" t="s">
        <v>102</v>
      </c>
      <c r="B18" s="33">
        <f>C18+I18+H18+G18+E18+F18</f>
        <v>90914903609</v>
      </c>
      <c r="C18" s="157">
        <f>'I Trimestre'!C18:D18+'II Trimestre'!C18:D18+'III Trimestre'!C18:D18</f>
        <v>33666239000</v>
      </c>
      <c r="D18" s="157"/>
      <c r="E18" s="33">
        <f>'I Trimestre'!E18+'II Trimestre'!E18+'III Trimestre'!E18</f>
        <v>1087158997</v>
      </c>
      <c r="F18" s="33">
        <f>'I Trimestre'!F18+'II Trimestre'!F18+'III Trimestre'!F18</f>
        <v>185477000</v>
      </c>
      <c r="G18" s="33">
        <f>'I Trimestre'!G18+'II Trimestre'!G18+'III Trimestre'!G18</f>
        <v>5338244000</v>
      </c>
      <c r="H18" s="33">
        <f>'I Trimestre'!H18+'II Trimestre'!H18+'III Trimestre'!H18</f>
        <v>29840582396.999996</v>
      </c>
      <c r="I18" s="33">
        <f>'I Trimestre'!I18+'II Trimestre'!I18+'III Trimestre'!I18</f>
        <v>20797202215</v>
      </c>
      <c r="J18" s="33">
        <f>'I Trimestre'!J18+'II Trimestre'!J18+'III Trimestre'!J18</f>
        <v>315223864.22000003</v>
      </c>
    </row>
    <row r="19" spans="1:10" s="6" customFormat="1" x14ac:dyDescent="0.25">
      <c r="A19" s="5" t="s">
        <v>103</v>
      </c>
      <c r="B19" s="33">
        <f>SUM(C19:J19)</f>
        <v>112352263000</v>
      </c>
      <c r="C19" s="157">
        <f>'I Trimestre'!C19:D19+'II Trimestre'!C19:D19+'III Trimestre'!C19:D19</f>
        <v>41609820000</v>
      </c>
      <c r="D19" s="157"/>
      <c r="E19" s="33">
        <f>'I Trimestre'!E19+'II Trimestre'!E19+'III Trimestre'!E19</f>
        <v>1310806000</v>
      </c>
      <c r="F19" s="33">
        <f>'I Trimestre'!F19+'II Trimestre'!F19+'III Trimestre'!F19</f>
        <v>2852304000</v>
      </c>
      <c r="G19" s="33">
        <f>'I Trimestre'!G19+'II Trimestre'!G19+'III Trimestre'!G19</f>
        <v>5398400000</v>
      </c>
      <c r="H19" s="33">
        <f>'I Trimestre'!H19+'II Trimestre'!H19+'III Trimestre'!H19</f>
        <v>40166775000</v>
      </c>
      <c r="I19" s="33">
        <f>'I Trimestre'!I19+'II Trimestre'!I19+'III Trimestre'!I19</f>
        <v>21014158000</v>
      </c>
      <c r="J19" s="33" t="s">
        <v>53</v>
      </c>
    </row>
    <row r="20" spans="1:10" s="6" customFormat="1" x14ac:dyDescent="0.25">
      <c r="A20" s="5" t="s">
        <v>104</v>
      </c>
      <c r="B20" s="33">
        <f>SUM(C20:J20)</f>
        <v>93500457479.820007</v>
      </c>
      <c r="C20" s="157">
        <f>'I Trimestre'!C20:D20+'II Trimestre'!C20:D20+'III Trimestre'!C20:D20</f>
        <v>37649475000</v>
      </c>
      <c r="D20" s="157"/>
      <c r="E20" s="33">
        <f>'I Trimestre'!E20+'II Trimestre'!E20+'III Trimestre'!E20</f>
        <v>1190458500</v>
      </c>
      <c r="F20" s="33">
        <f>'I Trimestre'!F20+'II Trimestre'!F20+'III Trimestre'!F20</f>
        <v>261346300.00000003</v>
      </c>
      <c r="G20" s="33">
        <f>'I Trimestre'!G20+'II Trimestre'!G20+'III Trimestre'!G20</f>
        <v>5242346534</v>
      </c>
      <c r="H20" s="33">
        <f>'I Trimestre'!H20+'II Trimestre'!H20+'III Trimestre'!H20</f>
        <v>28985777985.000004</v>
      </c>
      <c r="I20" s="33">
        <f>'I Trimestre'!I20+'II Trimestre'!I20+'III Trimestre'!I20</f>
        <v>20017724879</v>
      </c>
      <c r="J20" s="33">
        <f>'I Trimestre'!J20+'II Trimestre'!J20+'III Trimestre'!J20</f>
        <v>153328281.81999999</v>
      </c>
    </row>
    <row r="21" spans="1:10" s="6" customFormat="1" x14ac:dyDescent="0.25">
      <c r="A21" s="5" t="s">
        <v>65</v>
      </c>
      <c r="B21" s="33">
        <f>SUM(C21:J21)</f>
        <v>143479918000</v>
      </c>
      <c r="C21" s="158">
        <f>'III Trimestre'!C21</f>
        <v>51662380000</v>
      </c>
      <c r="D21" s="158"/>
      <c r="E21" s="33">
        <f>'III Trimestre'!E21</f>
        <v>1635520000</v>
      </c>
      <c r="F21" s="33">
        <f>'III Trimestre'!F21</f>
        <v>4333992000</v>
      </c>
      <c r="G21" s="33">
        <f>'III Trimestre'!G21</f>
        <v>7204400000</v>
      </c>
      <c r="H21" s="33">
        <f>'III Trimestre'!H21</f>
        <v>52407975000</v>
      </c>
      <c r="I21" s="33">
        <f>'III Trimestre'!I21</f>
        <v>26235651000</v>
      </c>
      <c r="J21" s="33" t="str">
        <f>'III Trimestre'!J21</f>
        <v>n.d.</v>
      </c>
    </row>
    <row r="22" spans="1:10" s="6" customFormat="1" x14ac:dyDescent="0.25">
      <c r="A22" s="5" t="s">
        <v>105</v>
      </c>
      <c r="B22" s="33">
        <f>SUM(C22:J22)</f>
        <v>93500457479.820007</v>
      </c>
      <c r="C22" s="158">
        <f>C20</f>
        <v>37649475000</v>
      </c>
      <c r="D22" s="158"/>
      <c r="E22" s="33">
        <f t="shared" ref="E22:J22" si="0">E20</f>
        <v>1190458500</v>
      </c>
      <c r="F22" s="33">
        <f t="shared" si="0"/>
        <v>261346300.00000003</v>
      </c>
      <c r="G22" s="33">
        <f t="shared" si="0"/>
        <v>5242346534</v>
      </c>
      <c r="H22" s="33">
        <f t="shared" si="0"/>
        <v>28985777985.000004</v>
      </c>
      <c r="I22" s="33">
        <f t="shared" si="0"/>
        <v>20017724879</v>
      </c>
      <c r="J22" s="33">
        <f t="shared" si="0"/>
        <v>153328281.81999999</v>
      </c>
    </row>
    <row r="23" spans="1:10" s="6" customFormat="1" x14ac:dyDescent="0.25">
      <c r="B23" s="33"/>
      <c r="C23" s="33"/>
      <c r="D23" s="33"/>
      <c r="E23" s="33"/>
      <c r="F23" s="32"/>
      <c r="G23" s="32"/>
      <c r="H23" s="32"/>
      <c r="I23" s="32"/>
      <c r="J23" s="32"/>
    </row>
    <row r="24" spans="1:10" s="6" customFormat="1" x14ac:dyDescent="0.25">
      <c r="A24" s="4" t="s">
        <v>4</v>
      </c>
      <c r="B24" s="33"/>
      <c r="C24" s="33"/>
      <c r="D24" s="33"/>
      <c r="E24" s="33"/>
      <c r="F24" s="32"/>
      <c r="G24" s="32"/>
      <c r="H24" s="32"/>
      <c r="I24" s="32"/>
      <c r="J24" s="32"/>
    </row>
    <row r="25" spans="1:10" s="6" customFormat="1" x14ac:dyDescent="0.25">
      <c r="A25" s="5" t="s">
        <v>103</v>
      </c>
      <c r="B25" s="33">
        <f>'I Trimestre'!B25+'II Trimestre'!B25+'III Trimestre'!B25</f>
        <v>112352263000</v>
      </c>
      <c r="C25" s="33"/>
      <c r="D25" s="33"/>
      <c r="E25" s="33"/>
      <c r="F25" s="32"/>
      <c r="G25" s="32"/>
      <c r="H25" s="32"/>
      <c r="I25" s="32"/>
      <c r="J25" s="32"/>
    </row>
    <row r="26" spans="1:10" s="6" customFormat="1" x14ac:dyDescent="0.25">
      <c r="A26" s="5" t="s">
        <v>104</v>
      </c>
      <c r="B26" s="33">
        <f>'I Trimestre'!B26+'II Trimestre'!B26+'III Trimestre'!B26</f>
        <v>101934627638.73999</v>
      </c>
      <c r="C26" s="33"/>
      <c r="D26" s="33"/>
      <c r="E26" s="33"/>
      <c r="F26" s="32"/>
      <c r="G26" s="32"/>
      <c r="H26" s="32"/>
      <c r="I26" s="32"/>
      <c r="J26" s="32"/>
    </row>
    <row r="27" spans="1:10" s="6" customFormat="1" x14ac:dyDescent="0.25">
      <c r="B27" s="32"/>
      <c r="C27" s="32"/>
      <c r="D27" s="32"/>
      <c r="E27" s="32"/>
      <c r="F27" s="32"/>
      <c r="G27" s="32"/>
      <c r="H27" s="32"/>
      <c r="I27" s="32"/>
      <c r="J27" s="32"/>
    </row>
    <row r="28" spans="1:10" s="6" customFormat="1" x14ac:dyDescent="0.25">
      <c r="A28" s="6" t="s">
        <v>5</v>
      </c>
      <c r="B28" s="32"/>
      <c r="C28" s="32"/>
      <c r="D28" s="32"/>
      <c r="E28" s="32"/>
      <c r="F28" s="32"/>
      <c r="G28" s="32"/>
      <c r="H28" s="32"/>
      <c r="I28" s="32"/>
      <c r="J28" s="32"/>
    </row>
    <row r="29" spans="1:10" s="6" customFormat="1" x14ac:dyDescent="0.25">
      <c r="A29" s="5" t="s">
        <v>106</v>
      </c>
      <c r="B29" s="39">
        <v>1.0123857379999999</v>
      </c>
      <c r="C29" s="39">
        <v>1.0123857379999999</v>
      </c>
      <c r="D29" s="39">
        <v>1.0123857379999999</v>
      </c>
      <c r="E29" s="39">
        <v>1.0123857379999999</v>
      </c>
      <c r="F29" s="39">
        <v>1.0123857379999999</v>
      </c>
      <c r="G29" s="39">
        <v>1.0123857379999999</v>
      </c>
      <c r="H29" s="39">
        <v>1.0123857379999999</v>
      </c>
      <c r="I29" s="39">
        <v>1.0123857379999999</v>
      </c>
      <c r="J29" s="39">
        <v>1.0123857379999999</v>
      </c>
    </row>
    <row r="30" spans="1:10" s="6" customFormat="1" x14ac:dyDescent="0.25">
      <c r="A30" s="5" t="s">
        <v>107</v>
      </c>
      <c r="B30" s="39">
        <v>1.0303325644000001</v>
      </c>
      <c r="C30" s="39">
        <v>1.0303325644000001</v>
      </c>
      <c r="D30" s="39">
        <v>1.0303325644000001</v>
      </c>
      <c r="E30" s="39">
        <v>1.0303325644000001</v>
      </c>
      <c r="F30" s="39">
        <v>1.0303325644000001</v>
      </c>
      <c r="G30" s="39">
        <v>1.0303325644000001</v>
      </c>
      <c r="H30" s="39">
        <v>1.0303325644000001</v>
      </c>
      <c r="I30" s="39">
        <v>1.0303325644000001</v>
      </c>
      <c r="J30" s="39">
        <v>1.0303325644000001</v>
      </c>
    </row>
    <row r="31" spans="1:10" s="6" customFormat="1" x14ac:dyDescent="0.25">
      <c r="A31" s="5" t="s">
        <v>6</v>
      </c>
      <c r="B31" s="81">
        <v>359918</v>
      </c>
      <c r="C31" s="149">
        <v>139696</v>
      </c>
      <c r="D31" s="149"/>
      <c r="E31" s="30">
        <v>140011</v>
      </c>
      <c r="F31" s="35" t="s">
        <v>67</v>
      </c>
      <c r="G31" s="30">
        <v>76403</v>
      </c>
      <c r="H31" s="30" t="s">
        <v>67</v>
      </c>
      <c r="I31" s="36" t="s">
        <v>67</v>
      </c>
      <c r="J31" s="36" t="s">
        <v>67</v>
      </c>
    </row>
    <row r="32" spans="1:10" x14ac:dyDescent="0.25">
      <c r="A32" s="6"/>
      <c r="B32" s="6"/>
      <c r="C32" s="6"/>
      <c r="D32" s="6"/>
      <c r="E32" s="6"/>
    </row>
    <row r="33" spans="1:10" s="6" customFormat="1" x14ac:dyDescent="0.25">
      <c r="A33" s="7" t="s">
        <v>7</v>
      </c>
    </row>
    <row r="34" spans="1:10" s="6" customFormat="1" x14ac:dyDescent="0.25">
      <c r="A34" s="6" t="s">
        <v>108</v>
      </c>
      <c r="B34" s="91">
        <f>B18/B29</f>
        <v>89802631740.551056</v>
      </c>
      <c r="C34" s="155">
        <f>C18/C29</f>
        <v>33254359219.351234</v>
      </c>
      <c r="D34" s="155"/>
      <c r="E34" s="91">
        <f>E18/E29</f>
        <v>1073858467.3740239</v>
      </c>
      <c r="F34" s="91">
        <f t="shared" ref="F34:I34" si="1">F18/F29</f>
        <v>183207835.74689198</v>
      </c>
      <c r="G34" s="91">
        <f t="shared" si="1"/>
        <v>5272934810.9406109</v>
      </c>
      <c r="H34" s="91">
        <f t="shared" si="1"/>
        <v>29475506496.121738</v>
      </c>
      <c r="I34" s="91">
        <f t="shared" si="1"/>
        <v>20542764911.01656</v>
      </c>
      <c r="J34" s="91">
        <f t="shared" ref="J34" si="2">J18/J29</f>
        <v>311367349.80357862</v>
      </c>
    </row>
    <row r="35" spans="1:10" s="6" customFormat="1" x14ac:dyDescent="0.25">
      <c r="A35" s="6" t="s">
        <v>109</v>
      </c>
      <c r="B35" s="91">
        <f>B20/B30</f>
        <v>90747842697.050644</v>
      </c>
      <c r="C35" s="155">
        <f>C20/C30</f>
        <v>36541090033.318176</v>
      </c>
      <c r="D35" s="155"/>
      <c r="E35" s="91">
        <f>E20/E30</f>
        <v>1155411894.3073947</v>
      </c>
      <c r="F35" s="91">
        <f t="shared" ref="F35:I35" si="3">F20/F30</f>
        <v>253652373.05897579</v>
      </c>
      <c r="G35" s="91">
        <f t="shared" si="3"/>
        <v>5088014021.0387392</v>
      </c>
      <c r="H35" s="91">
        <f t="shared" si="3"/>
        <v>28132448673.87014</v>
      </c>
      <c r="I35" s="91">
        <f t="shared" si="3"/>
        <v>19428411340.815037</v>
      </c>
      <c r="J35" s="91">
        <f t="shared" ref="J35" si="4">J20/J30</f>
        <v>148814360.64217633</v>
      </c>
    </row>
    <row r="36" spans="1:10" s="6" customFormat="1" x14ac:dyDescent="0.25">
      <c r="A36" s="6" t="s">
        <v>110</v>
      </c>
      <c r="B36" s="91">
        <f>B34/B10</f>
        <v>471078.4744457964</v>
      </c>
      <c r="C36" s="156">
        <f>C34/D10</f>
        <v>191841.37357350014</v>
      </c>
      <c r="D36" s="156"/>
      <c r="E36" s="91">
        <f>E34/E10</f>
        <v>530038.73019448365</v>
      </c>
      <c r="F36" s="91">
        <f t="shared" ref="F36:I36" si="5">F34/F10</f>
        <v>1065161.8357377441</v>
      </c>
      <c r="G36" s="91">
        <f t="shared" si="5"/>
        <v>384829.57312367618</v>
      </c>
      <c r="H36" s="91">
        <f t="shared" si="5"/>
        <v>414167.97572113504</v>
      </c>
      <c r="I36" s="91">
        <f t="shared" si="5"/>
        <v>903852.73279727914</v>
      </c>
      <c r="J36" s="106" t="s">
        <v>67</v>
      </c>
    </row>
    <row r="37" spans="1:10" s="6" customFormat="1" x14ac:dyDescent="0.25">
      <c r="A37" s="6" t="s">
        <v>111</v>
      </c>
      <c r="B37" s="91">
        <f>B35/B13</f>
        <v>419905.3406614564</v>
      </c>
      <c r="C37" s="165">
        <f>C35/D13</f>
        <v>187198.20713790049</v>
      </c>
      <c r="D37" s="165"/>
      <c r="E37" s="91">
        <f>E35/E13</f>
        <v>492083.43028423964</v>
      </c>
      <c r="F37" s="91">
        <f t="shared" ref="F37:I37" si="6">F35/F13</f>
        <v>1098062.2210345273</v>
      </c>
      <c r="G37" s="91">
        <f t="shared" si="6"/>
        <v>315711.96457177581</v>
      </c>
      <c r="H37" s="91">
        <f t="shared" si="6"/>
        <v>327654.88788574585</v>
      </c>
      <c r="I37" s="91">
        <f t="shared" si="6"/>
        <v>761958.24538454146</v>
      </c>
      <c r="J37" s="106" t="s">
        <v>67</v>
      </c>
    </row>
    <row r="38" spans="1:10" s="6" customFormat="1" x14ac:dyDescent="0.25">
      <c r="B38" s="92"/>
      <c r="C38" s="92"/>
      <c r="D38" s="92"/>
      <c r="E38" s="92"/>
      <c r="F38" s="92"/>
      <c r="G38" s="92"/>
      <c r="H38" s="92"/>
      <c r="I38" s="92"/>
      <c r="J38" s="92"/>
    </row>
    <row r="39" spans="1:10" s="6" customFormat="1" x14ac:dyDescent="0.25">
      <c r="A39" s="7" t="s">
        <v>8</v>
      </c>
      <c r="B39" s="92"/>
      <c r="C39" s="92"/>
      <c r="D39" s="92"/>
      <c r="E39" s="92"/>
      <c r="F39" s="92"/>
      <c r="G39" s="92"/>
      <c r="H39" s="92"/>
      <c r="I39" s="92"/>
      <c r="J39" s="92"/>
    </row>
    <row r="40" spans="1:10" s="6" customFormat="1" x14ac:dyDescent="0.25">
      <c r="B40" s="92"/>
      <c r="C40" s="92"/>
      <c r="D40" s="92"/>
      <c r="E40" s="92"/>
      <c r="F40" s="92"/>
      <c r="G40" s="92"/>
      <c r="H40" s="92"/>
      <c r="I40" s="92"/>
      <c r="J40" s="92"/>
    </row>
    <row r="41" spans="1:10" s="6" customFormat="1" x14ac:dyDescent="0.25">
      <c r="A41" s="6" t="s">
        <v>9</v>
      </c>
      <c r="B41" s="92"/>
      <c r="C41" s="92"/>
      <c r="D41" s="92"/>
      <c r="E41" s="92"/>
      <c r="F41" s="92"/>
      <c r="G41" s="92"/>
      <c r="H41" s="92"/>
      <c r="I41" s="92"/>
      <c r="J41" s="92"/>
    </row>
    <row r="42" spans="1:10" s="6" customFormat="1" x14ac:dyDescent="0.25">
      <c r="A42" s="6" t="s">
        <v>10</v>
      </c>
      <c r="B42" s="106" t="s">
        <v>67</v>
      </c>
      <c r="C42" s="162">
        <f>D11/C31*100</f>
        <v>100.33501317145803</v>
      </c>
      <c r="D42" s="162"/>
      <c r="E42" s="116">
        <f>E11/E31*100</f>
        <v>1.4141746005670983</v>
      </c>
      <c r="F42" s="93" t="s">
        <v>53</v>
      </c>
      <c r="G42" s="116">
        <f t="shared" ref="G42" si="7">G11/G31*100</f>
        <v>15.758543512689293</v>
      </c>
      <c r="H42" s="106" t="s">
        <v>67</v>
      </c>
      <c r="I42" s="106" t="s">
        <v>67</v>
      </c>
      <c r="J42" s="106" t="s">
        <v>67</v>
      </c>
    </row>
    <row r="43" spans="1:10" s="6" customFormat="1" x14ac:dyDescent="0.25">
      <c r="A43" s="6" t="s">
        <v>11</v>
      </c>
      <c r="B43" s="114">
        <f>(B13/B31)*100</f>
        <v>60.045621502675608</v>
      </c>
      <c r="C43" s="166">
        <f>(D13/C31)*100</f>
        <v>139.73198946283358</v>
      </c>
      <c r="D43" s="166"/>
      <c r="E43" s="116">
        <f>E13/E31*100</f>
        <v>1.6770110919856296</v>
      </c>
      <c r="F43" s="93" t="s">
        <v>53</v>
      </c>
      <c r="G43" s="116">
        <f t="shared" ref="G43" si="8">G13/G31*100</f>
        <v>21.093412562333942</v>
      </c>
      <c r="H43" s="106" t="s">
        <v>67</v>
      </c>
      <c r="I43" s="106" t="s">
        <v>67</v>
      </c>
      <c r="J43" s="106" t="s">
        <v>67</v>
      </c>
    </row>
    <row r="44" spans="1:10" s="6" customFormat="1" x14ac:dyDescent="0.25">
      <c r="B44" s="92"/>
      <c r="C44" s="92"/>
      <c r="D44" s="92"/>
      <c r="E44" s="92"/>
      <c r="F44" s="92"/>
      <c r="G44" s="92"/>
      <c r="H44" s="92"/>
      <c r="I44" s="99"/>
      <c r="J44" s="92"/>
    </row>
    <row r="45" spans="1:10" s="6" customFormat="1" x14ac:dyDescent="0.25">
      <c r="A45" s="6" t="s">
        <v>12</v>
      </c>
      <c r="B45" s="92"/>
      <c r="C45" s="92"/>
      <c r="D45" s="92"/>
      <c r="E45" s="92"/>
      <c r="F45" s="92"/>
      <c r="G45" s="92"/>
      <c r="H45" s="92"/>
      <c r="I45" s="99"/>
      <c r="J45" s="92"/>
    </row>
    <row r="46" spans="1:10" s="6" customFormat="1" x14ac:dyDescent="0.25">
      <c r="A46" s="6" t="s">
        <v>13</v>
      </c>
      <c r="B46" s="106" t="s">
        <v>67</v>
      </c>
      <c r="C46" s="106" t="s">
        <v>67</v>
      </c>
      <c r="D46" s="109">
        <f>D13/D11*100</f>
        <v>139.26543192260493</v>
      </c>
      <c r="E46" s="116">
        <f>E13/E11*100</f>
        <v>118.58585858585859</v>
      </c>
      <c r="F46" s="116">
        <f t="shared" ref="F46:H46" si="9">F13/F11*100</f>
        <v>13.344887348353554</v>
      </c>
      <c r="G46" s="116">
        <f t="shared" si="9"/>
        <v>133.85382059800662</v>
      </c>
      <c r="H46" s="116">
        <f t="shared" si="9"/>
        <v>113.06294442981302</v>
      </c>
      <c r="I46" s="116">
        <f t="shared" ref="I46" si="10">I13/I11*100</f>
        <v>110.00949175942705</v>
      </c>
      <c r="J46" s="106" t="s">
        <v>67</v>
      </c>
    </row>
    <row r="47" spans="1:10" s="6" customFormat="1" x14ac:dyDescent="0.25">
      <c r="A47" s="6" t="s">
        <v>14</v>
      </c>
      <c r="B47" s="116">
        <f>B20/B19*100</f>
        <v>83.220804800184581</v>
      </c>
      <c r="C47" s="167">
        <f>C20/C19*100</f>
        <v>90.482186656899742</v>
      </c>
      <c r="D47" s="167"/>
      <c r="E47" s="116">
        <f>E20/E19*100</f>
        <v>90.818816819575133</v>
      </c>
      <c r="F47" s="116">
        <f t="shared" ref="F47:H47" si="11">F20/F19*100</f>
        <v>9.1626383442999071</v>
      </c>
      <c r="G47" s="116">
        <f t="shared" si="11"/>
        <v>97.109264485773565</v>
      </c>
      <c r="H47" s="116">
        <f t="shared" si="11"/>
        <v>72.163567986227434</v>
      </c>
      <c r="I47" s="116">
        <f t="shared" ref="I47" si="12">I20/I19*100</f>
        <v>95.258277200542608</v>
      </c>
      <c r="J47" s="106" t="s">
        <v>67</v>
      </c>
    </row>
    <row r="48" spans="1:10" s="6" customFormat="1" x14ac:dyDescent="0.25">
      <c r="A48" s="6" t="s">
        <v>15</v>
      </c>
      <c r="B48" s="106" t="s">
        <v>67</v>
      </c>
      <c r="C48" s="106" t="s">
        <v>67</v>
      </c>
      <c r="D48" s="109">
        <f>AVERAGE(D46,C47)</f>
        <v>114.87380928975233</v>
      </c>
      <c r="E48" s="116">
        <f>AVERAGE(E46:E47)</f>
        <v>104.70233770271686</v>
      </c>
      <c r="F48" s="116">
        <f t="shared" ref="F48:H48" si="13">AVERAGE(F46:F47)</f>
        <v>11.25376284632673</v>
      </c>
      <c r="G48" s="116">
        <f t="shared" si="13"/>
        <v>115.48154254189009</v>
      </c>
      <c r="H48" s="116">
        <f t="shared" si="13"/>
        <v>92.613256208020232</v>
      </c>
      <c r="I48" s="116">
        <f t="shared" ref="I48" si="14">AVERAGE(I46:I47)</f>
        <v>102.63388447998483</v>
      </c>
      <c r="J48" s="106" t="s">
        <v>67</v>
      </c>
    </row>
    <row r="49" spans="1:10" s="6" customFormat="1" x14ac:dyDescent="0.25">
      <c r="B49" s="116"/>
      <c r="C49" s="116"/>
      <c r="D49" s="116"/>
      <c r="E49" s="116"/>
      <c r="F49" s="92"/>
      <c r="G49" s="92"/>
      <c r="H49" s="92"/>
      <c r="I49" s="92"/>
      <c r="J49" s="92"/>
    </row>
    <row r="50" spans="1:10" s="6" customFormat="1" x14ac:dyDescent="0.25">
      <c r="A50" s="6" t="s">
        <v>16</v>
      </c>
      <c r="B50" s="92"/>
      <c r="C50" s="92"/>
      <c r="D50" s="92"/>
      <c r="E50" s="92"/>
      <c r="F50" s="92"/>
      <c r="G50" s="92"/>
      <c r="H50" s="92"/>
      <c r="I50" s="92"/>
      <c r="J50" s="92"/>
    </row>
    <row r="51" spans="1:10" s="6" customFormat="1" x14ac:dyDescent="0.25">
      <c r="A51" s="6" t="s">
        <v>17</v>
      </c>
      <c r="B51" s="106" t="s">
        <v>67</v>
      </c>
      <c r="C51" s="164" t="s">
        <v>67</v>
      </c>
      <c r="D51" s="164"/>
      <c r="E51" s="95">
        <f>E13/E15*100</f>
        <v>118.52599697122666</v>
      </c>
      <c r="F51" s="95">
        <f t="shared" ref="F51:H51" si="15">F13/F15*100</f>
        <v>13.337182448036952</v>
      </c>
      <c r="G51" s="95">
        <f t="shared" si="15"/>
        <v>133.85382059800662</v>
      </c>
      <c r="H51" s="95">
        <f t="shared" si="15"/>
        <v>109.6551724137931</v>
      </c>
      <c r="I51" s="95">
        <f t="shared" ref="I51" si="16">I13/I15*100</f>
        <v>110.00000000000001</v>
      </c>
      <c r="J51" s="106" t="s">
        <v>67</v>
      </c>
    </row>
    <row r="52" spans="1:10" s="6" customFormat="1" x14ac:dyDescent="0.25">
      <c r="A52" s="6" t="s">
        <v>18</v>
      </c>
      <c r="B52" s="116">
        <f>B20/B21*100</f>
        <v>65.166232865995937</v>
      </c>
      <c r="C52" s="161">
        <f>C20/C21*100</f>
        <v>72.875997969896076</v>
      </c>
      <c r="D52" s="161"/>
      <c r="E52" s="116">
        <f>E20/E21*100</f>
        <v>72.787767804734884</v>
      </c>
      <c r="F52" s="116">
        <f t="shared" ref="F52:H52" si="17">F20/F21*100</f>
        <v>6.0301518784529371</v>
      </c>
      <c r="G52" s="116">
        <f t="shared" si="17"/>
        <v>72.765900477485985</v>
      </c>
      <c r="H52" s="116">
        <f t="shared" si="17"/>
        <v>55.307952625530753</v>
      </c>
      <c r="I52" s="116">
        <f t="shared" ref="I52" si="18">I20/I21*100</f>
        <v>76.299707138961409</v>
      </c>
      <c r="J52" s="106" t="s">
        <v>67</v>
      </c>
    </row>
    <row r="53" spans="1:10" s="6" customFormat="1" x14ac:dyDescent="0.25">
      <c r="A53" s="6" t="s">
        <v>19</v>
      </c>
      <c r="B53" s="106" t="s">
        <v>67</v>
      </c>
      <c r="C53" s="161" t="s">
        <v>67</v>
      </c>
      <c r="D53" s="161"/>
      <c r="E53" s="116">
        <f>(E51+E52)/2</f>
        <v>95.656882387980772</v>
      </c>
      <c r="F53" s="116">
        <f t="shared" ref="F53:H53" si="19">(F51+F52)/2</f>
        <v>9.6836671632449445</v>
      </c>
      <c r="G53" s="116">
        <f t="shared" si="19"/>
        <v>103.3098605377463</v>
      </c>
      <c r="H53" s="116">
        <f t="shared" si="19"/>
        <v>82.481562519661921</v>
      </c>
      <c r="I53" s="116">
        <f t="shared" ref="I53" si="20">(I51+I52)/2</f>
        <v>93.149853569480712</v>
      </c>
      <c r="J53" s="106" t="s">
        <v>67</v>
      </c>
    </row>
    <row r="54" spans="1:10" s="6" customFormat="1" x14ac:dyDescent="0.25">
      <c r="B54" s="92"/>
      <c r="C54" s="115"/>
      <c r="D54" s="115"/>
      <c r="E54" s="92"/>
      <c r="F54" s="92"/>
      <c r="G54" s="92"/>
      <c r="H54" s="92"/>
      <c r="I54" s="92"/>
      <c r="J54" s="92"/>
    </row>
    <row r="55" spans="1:10" s="6" customFormat="1" x14ac:dyDescent="0.25">
      <c r="A55" s="6" t="s">
        <v>31</v>
      </c>
      <c r="B55" s="92"/>
      <c r="C55" s="115"/>
      <c r="D55" s="115"/>
      <c r="E55" s="92"/>
      <c r="F55" s="92"/>
      <c r="G55" s="92"/>
      <c r="H55" s="92"/>
      <c r="I55" s="92"/>
      <c r="J55" s="92"/>
    </row>
    <row r="56" spans="1:10" s="6" customFormat="1" x14ac:dyDescent="0.25">
      <c r="A56" s="6" t="s">
        <v>20</v>
      </c>
      <c r="B56" s="96">
        <f>B22/B20*100</f>
        <v>100</v>
      </c>
      <c r="C56" s="168">
        <f>C22/C20*100</f>
        <v>100</v>
      </c>
      <c r="D56" s="168"/>
      <c r="E56" s="96">
        <f>E22/E20*100</f>
        <v>100</v>
      </c>
      <c r="F56" s="96">
        <f t="shared" ref="F56:H56" si="21">F22/F20*100</f>
        <v>100</v>
      </c>
      <c r="G56" s="96">
        <f t="shared" si="21"/>
        <v>100</v>
      </c>
      <c r="H56" s="96">
        <f t="shared" si="21"/>
        <v>100</v>
      </c>
      <c r="I56" s="96">
        <f t="shared" ref="I56:J56" si="22">I22/I20*100</f>
        <v>100</v>
      </c>
      <c r="J56" s="96">
        <f t="shared" si="22"/>
        <v>100</v>
      </c>
    </row>
    <row r="57" spans="1:10" s="6" customFormat="1" x14ac:dyDescent="0.25">
      <c r="B57" s="92"/>
      <c r="C57" s="115"/>
      <c r="D57" s="115"/>
      <c r="E57" s="92"/>
      <c r="F57" s="92"/>
      <c r="G57" s="92"/>
      <c r="H57" s="92"/>
      <c r="I57" s="92"/>
      <c r="J57" s="92"/>
    </row>
    <row r="58" spans="1:10" s="6" customFormat="1" x14ac:dyDescent="0.25">
      <c r="A58" s="6" t="s">
        <v>21</v>
      </c>
      <c r="B58" s="92"/>
      <c r="C58" s="115"/>
      <c r="D58" s="115"/>
      <c r="E58" s="92"/>
      <c r="F58" s="92"/>
      <c r="G58" s="92"/>
      <c r="H58" s="92"/>
      <c r="I58" s="92"/>
      <c r="J58" s="92"/>
    </row>
    <row r="59" spans="1:10" s="6" customFormat="1" x14ac:dyDescent="0.25">
      <c r="A59" s="6" t="s">
        <v>22</v>
      </c>
      <c r="B59" s="116">
        <f>((B13/B10)-1)*100</f>
        <v>13.367640270258917</v>
      </c>
      <c r="C59" s="161">
        <f>((C13/C10)-1)*100</f>
        <v>12.408151011370894</v>
      </c>
      <c r="D59" s="161"/>
      <c r="E59" s="116">
        <f>((E13/E10)-1)*100</f>
        <v>15.893385982231001</v>
      </c>
      <c r="F59" s="116">
        <f t="shared" ref="F59:H59" si="23">((F13/F10)-1)*100</f>
        <v>34.302325581395344</v>
      </c>
      <c r="G59" s="116">
        <f t="shared" si="23"/>
        <v>17.617866004962778</v>
      </c>
      <c r="H59" s="116">
        <f t="shared" si="23"/>
        <v>20.644109712230208</v>
      </c>
      <c r="I59" s="116">
        <f t="shared" ref="I59" si="24">((I13/I10)-1)*100</f>
        <v>12.18760999648012</v>
      </c>
      <c r="J59" s="106" t="s">
        <v>67</v>
      </c>
    </row>
    <row r="60" spans="1:10" s="6" customFormat="1" x14ac:dyDescent="0.25">
      <c r="A60" s="6" t="s">
        <v>23</v>
      </c>
      <c r="B60" s="116">
        <f>((B35/B34)-1)*100</f>
        <v>1.0525426016805284</v>
      </c>
      <c r="C60" s="161">
        <f>((C35/C34)-1)*100</f>
        <v>9.8836089196220112</v>
      </c>
      <c r="D60" s="161"/>
      <c r="E60" s="116">
        <f>((E35/E34)-1)*100</f>
        <v>7.5944297513245607</v>
      </c>
      <c r="F60" s="116">
        <f t="shared" ref="F60:H60" si="25">((F35/F34)-1)*100</f>
        <v>38.4506137659993</v>
      </c>
      <c r="G60" s="116">
        <f t="shared" si="25"/>
        <v>-3.5069803919856257</v>
      </c>
      <c r="H60" s="116">
        <f t="shared" si="25"/>
        <v>-4.5565216069427432</v>
      </c>
      <c r="I60" s="116">
        <f t="shared" ref="I60:J60" si="26">((I35/I34)-1)*100</f>
        <v>-5.4245549468558751</v>
      </c>
      <c r="J60" s="116">
        <f t="shared" si="26"/>
        <v>-52.206176808180558</v>
      </c>
    </row>
    <row r="61" spans="1:10" s="6" customFormat="1" x14ac:dyDescent="0.25">
      <c r="A61" s="6" t="s">
        <v>24</v>
      </c>
      <c r="B61" s="116">
        <f>((B37/B36)-1)*100</f>
        <v>-10.862974336609843</v>
      </c>
      <c r="C61" s="161">
        <f>((C37/C36)-1)*100</f>
        <v>-2.4203154664239945</v>
      </c>
      <c r="D61" s="161"/>
      <c r="E61" s="116">
        <f>((E37/E36)-1)*100</f>
        <v>-7.160854056139887</v>
      </c>
      <c r="F61" s="116">
        <f t="shared" ref="F61:H61" si="27">((F37/F36)-1)*100</f>
        <v>3.0887686915665791</v>
      </c>
      <c r="G61" s="116">
        <f t="shared" si="27"/>
        <v>-17.960576156055296</v>
      </c>
      <c r="H61" s="116">
        <f t="shared" si="27"/>
        <v>-20.88840589008737</v>
      </c>
      <c r="I61" s="116">
        <f t="shared" ref="I61" si="28">((I37/I36)-1)*100</f>
        <v>-15.698850295401224</v>
      </c>
      <c r="J61" s="106" t="s">
        <v>67</v>
      </c>
    </row>
    <row r="62" spans="1:10" s="6" customFormat="1" x14ac:dyDescent="0.25">
      <c r="B62" s="116"/>
      <c r="C62" s="115"/>
      <c r="D62" s="115"/>
      <c r="E62" s="116"/>
      <c r="F62" s="92"/>
      <c r="G62" s="92"/>
      <c r="H62" s="92"/>
      <c r="I62" s="92"/>
      <c r="J62" s="92"/>
    </row>
    <row r="63" spans="1:10" s="6" customFormat="1" x14ac:dyDescent="0.25">
      <c r="A63" s="6" t="s">
        <v>25</v>
      </c>
      <c r="B63" s="92"/>
      <c r="C63" s="115"/>
      <c r="D63" s="115"/>
      <c r="E63" s="92"/>
      <c r="F63" s="92"/>
      <c r="G63" s="92"/>
      <c r="H63" s="92"/>
      <c r="I63" s="92"/>
      <c r="J63" s="92"/>
    </row>
    <row r="64" spans="1:10" s="6" customFormat="1" x14ac:dyDescent="0.25">
      <c r="A64" s="6" t="s">
        <v>38</v>
      </c>
      <c r="B64" s="91">
        <f>(B19/B12)*9</f>
        <v>492768.28052358166</v>
      </c>
      <c r="C64" s="161">
        <f>(C19/D12)*9</f>
        <v>315000</v>
      </c>
      <c r="D64" s="161"/>
      <c r="E64" s="91">
        <f>(E19/E12*9)</f>
        <v>836269.51158999081</v>
      </c>
      <c r="F64" s="91">
        <f t="shared" ref="F64:H64" si="29">(F19/F12*9)</f>
        <v>2808000</v>
      </c>
      <c r="G64" s="91">
        <f t="shared" si="29"/>
        <v>450000</v>
      </c>
      <c r="H64" s="91">
        <f t="shared" si="29"/>
        <v>675000</v>
      </c>
      <c r="I64" s="91">
        <f t="shared" ref="I64" si="30">(I19/I12*9)</f>
        <v>963000</v>
      </c>
      <c r="J64" s="106" t="s">
        <v>67</v>
      </c>
    </row>
    <row r="65" spans="1:10" s="6" customFormat="1" x14ac:dyDescent="0.25">
      <c r="A65" s="6" t="s">
        <v>39</v>
      </c>
      <c r="B65" s="91">
        <f>(B20/B14)*9</f>
        <v>330937.58398984896</v>
      </c>
      <c r="C65" s="164">
        <f>(C20/D14)*9</f>
        <v>205134.13059389533</v>
      </c>
      <c r="D65" s="164"/>
      <c r="E65" s="91">
        <f>(E20/E14)*9</f>
        <v>643723.05335255945</v>
      </c>
      <c r="F65" s="91">
        <f t="shared" ref="F65:H65" si="31">(F20/F14)*9</f>
        <v>1693388.5529157671</v>
      </c>
      <c r="G65" s="91">
        <f t="shared" si="31"/>
        <v>404446.56773762172</v>
      </c>
      <c r="H65" s="91">
        <f t="shared" si="31"/>
        <v>472154.55511534552</v>
      </c>
      <c r="I65" s="91">
        <f t="shared" ref="I65" si="32">(I20/I14)*9</f>
        <v>884166.44865578471</v>
      </c>
      <c r="J65" s="106" t="s">
        <v>67</v>
      </c>
    </row>
    <row r="66" spans="1:10" s="6" customFormat="1" x14ac:dyDescent="0.25">
      <c r="A66" s="6" t="s">
        <v>26</v>
      </c>
      <c r="B66" s="106" t="s">
        <v>67</v>
      </c>
      <c r="C66" s="164">
        <f>(C65/C64)*D48</f>
        <v>74.808060306864391</v>
      </c>
      <c r="D66" s="164"/>
      <c r="E66" s="116">
        <f>(E65/E64)*E48</f>
        <v>80.59519997446526</v>
      </c>
      <c r="F66" s="116">
        <f t="shared" ref="F66:H66" si="33">(F65/F64)*F48</f>
        <v>6.7866784833327793</v>
      </c>
      <c r="G66" s="116">
        <f t="shared" si="33"/>
        <v>103.79136337358577</v>
      </c>
      <c r="H66" s="116">
        <f t="shared" si="33"/>
        <v>64.781882641009332</v>
      </c>
      <c r="I66" s="116">
        <f t="shared" ref="I66" si="34">(I65/I64)*I48</f>
        <v>94.232021965125895</v>
      </c>
      <c r="J66" s="106" t="s">
        <v>67</v>
      </c>
    </row>
    <row r="67" spans="1:10" s="6" customFormat="1" x14ac:dyDescent="0.25">
      <c r="A67" s="6" t="s">
        <v>34</v>
      </c>
      <c r="B67" s="96">
        <f>B19/B12</f>
        <v>54752.031169286849</v>
      </c>
      <c r="C67" s="161">
        <f>C19/D12</f>
        <v>35000</v>
      </c>
      <c r="D67" s="161"/>
      <c r="E67" s="96">
        <f>E19/E12</f>
        <v>92918.834621110087</v>
      </c>
      <c r="F67" s="96">
        <f t="shared" ref="F67:H67" si="35">F19/F12</f>
        <v>312000</v>
      </c>
      <c r="G67" s="96">
        <f t="shared" si="35"/>
        <v>50000</v>
      </c>
      <c r="H67" s="96">
        <f t="shared" si="35"/>
        <v>75000</v>
      </c>
      <c r="I67" s="96">
        <f t="shared" ref="I67" si="36">I19/I12</f>
        <v>107000</v>
      </c>
      <c r="J67" s="106" t="s">
        <v>67</v>
      </c>
    </row>
    <row r="68" spans="1:10" s="6" customFormat="1" x14ac:dyDescent="0.25">
      <c r="A68" s="6" t="s">
        <v>35</v>
      </c>
      <c r="B68" s="96">
        <f>B20/B14</f>
        <v>36770.842665538774</v>
      </c>
      <c r="C68" s="164">
        <f>C20/D14</f>
        <v>22792.681177099483</v>
      </c>
      <c r="D68" s="164"/>
      <c r="E68" s="96">
        <f>E20/E14</f>
        <v>71524.783705839945</v>
      </c>
      <c r="F68" s="96">
        <f t="shared" ref="F68:H68" si="37">F20/F14</f>
        <v>188154.28365730745</v>
      </c>
      <c r="G68" s="96">
        <f t="shared" si="37"/>
        <v>44938.507526402413</v>
      </c>
      <c r="H68" s="96">
        <f t="shared" si="37"/>
        <v>52461.617235038393</v>
      </c>
      <c r="I68" s="96">
        <f t="shared" ref="I68" si="38">I20/I14</f>
        <v>98240.716517309411</v>
      </c>
      <c r="J68" s="106" t="s">
        <v>67</v>
      </c>
    </row>
    <row r="69" spans="1:10" s="6" customFormat="1" x14ac:dyDescent="0.25">
      <c r="B69" s="116"/>
      <c r="C69" s="116"/>
      <c r="D69" s="116"/>
      <c r="E69" s="116"/>
      <c r="F69" s="92"/>
      <c r="G69" s="92"/>
      <c r="H69" s="92"/>
      <c r="I69" s="99"/>
      <c r="J69" s="92"/>
    </row>
    <row r="70" spans="1:10" s="6" customFormat="1" x14ac:dyDescent="0.25">
      <c r="A70" s="6" t="s">
        <v>27</v>
      </c>
      <c r="B70" s="116"/>
      <c r="C70" s="116"/>
      <c r="D70" s="116"/>
      <c r="E70" s="116"/>
      <c r="F70" s="92"/>
      <c r="G70" s="92"/>
      <c r="H70" s="92"/>
      <c r="I70" s="99"/>
      <c r="J70" s="92"/>
    </row>
    <row r="71" spans="1:10" s="6" customFormat="1" x14ac:dyDescent="0.25">
      <c r="A71" s="6" t="s">
        <v>28</v>
      </c>
      <c r="B71" s="116">
        <f>(B26/B25)*100</f>
        <v>90.727703133794463</v>
      </c>
      <c r="C71" s="116"/>
      <c r="D71" s="116"/>
      <c r="E71" s="116"/>
      <c r="F71" s="92"/>
      <c r="G71" s="92"/>
      <c r="H71" s="92"/>
      <c r="I71" s="99"/>
      <c r="J71" s="92"/>
    </row>
    <row r="72" spans="1:10" s="6" customFormat="1" x14ac:dyDescent="0.25">
      <c r="A72" s="6" t="s">
        <v>29</v>
      </c>
      <c r="B72" s="116">
        <f>(B20/B26)*100</f>
        <v>91.725902812132716</v>
      </c>
      <c r="C72" s="116"/>
      <c r="D72" s="116"/>
      <c r="E72" s="116"/>
      <c r="F72" s="92"/>
      <c r="G72" s="92"/>
      <c r="H72" s="92"/>
      <c r="I72" s="99"/>
      <c r="J72" s="92"/>
    </row>
    <row r="73" spans="1:10" s="6" customFormat="1" ht="15.75" thickBot="1" x14ac:dyDescent="0.3">
      <c r="A73" s="45"/>
      <c r="B73" s="118"/>
      <c r="C73" s="118"/>
      <c r="D73" s="118"/>
      <c r="E73" s="118"/>
      <c r="F73" s="118"/>
      <c r="G73" s="118"/>
      <c r="H73" s="118"/>
      <c r="I73" s="119"/>
      <c r="J73" s="119"/>
    </row>
    <row r="74" spans="1:10" ht="15.75" thickTop="1" x14ac:dyDescent="0.25">
      <c r="A74" s="20"/>
    </row>
    <row r="75" spans="1:10" x14ac:dyDescent="0.25">
      <c r="A75" s="20"/>
    </row>
    <row r="76" spans="1:10" x14ac:dyDescent="0.25">
      <c r="A76" s="2" t="s">
        <v>30</v>
      </c>
      <c r="B76" s="11"/>
    </row>
    <row r="77" spans="1:10" x14ac:dyDescent="0.25">
      <c r="A77" s="2" t="s">
        <v>119</v>
      </c>
      <c r="B77" s="8"/>
      <c r="C77" s="8"/>
      <c r="D77" s="8"/>
      <c r="E77" s="8"/>
    </row>
    <row r="78" spans="1:10" x14ac:dyDescent="0.25">
      <c r="A78" s="2" t="s">
        <v>45</v>
      </c>
    </row>
    <row r="79" spans="1:10" x14ac:dyDescent="0.25">
      <c r="A79" s="22" t="s">
        <v>58</v>
      </c>
    </row>
    <row r="80" spans="1:10" x14ac:dyDescent="0.25">
      <c r="A80" s="21" t="s">
        <v>54</v>
      </c>
    </row>
    <row r="81" spans="1:1" x14ac:dyDescent="0.25">
      <c r="A81" s="2" t="s">
        <v>120</v>
      </c>
    </row>
    <row r="82" spans="1:1" x14ac:dyDescent="0.25">
      <c r="A82" s="2" t="s">
        <v>121</v>
      </c>
    </row>
    <row r="83" spans="1:1" x14ac:dyDescent="0.25">
      <c r="A83" s="2" t="s">
        <v>46</v>
      </c>
    </row>
    <row r="84" spans="1:1" x14ac:dyDescent="0.25">
      <c r="A84" s="15" t="s">
        <v>47</v>
      </c>
    </row>
    <row r="85" spans="1:1" x14ac:dyDescent="0.25">
      <c r="A85" s="15" t="s">
        <v>48</v>
      </c>
    </row>
    <row r="86" spans="1:1" x14ac:dyDescent="0.25">
      <c r="A86" s="2" t="s">
        <v>122</v>
      </c>
    </row>
    <row r="87" spans="1:1" x14ac:dyDescent="0.25">
      <c r="A87" s="2"/>
    </row>
    <row r="88" spans="1:1" x14ac:dyDescent="0.25">
      <c r="A88" s="2" t="s">
        <v>123</v>
      </c>
    </row>
    <row r="89" spans="1:1" x14ac:dyDescent="0.25">
      <c r="A89" s="24"/>
    </row>
  </sheetData>
  <mergeCells count="29">
    <mergeCell ref="C67:D67"/>
    <mergeCell ref="C68:D68"/>
    <mergeCell ref="C42:D42"/>
    <mergeCell ref="C43:D43"/>
    <mergeCell ref="C47:D47"/>
    <mergeCell ref="C60:D60"/>
    <mergeCell ref="C61:D61"/>
    <mergeCell ref="C64:D64"/>
    <mergeCell ref="C65:D65"/>
    <mergeCell ref="C66:D66"/>
    <mergeCell ref="C59:D59"/>
    <mergeCell ref="C51:D51"/>
    <mergeCell ref="C52:D52"/>
    <mergeCell ref="C53:D53"/>
    <mergeCell ref="C56:D56"/>
    <mergeCell ref="C34:D34"/>
    <mergeCell ref="C35:D35"/>
    <mergeCell ref="C36:D36"/>
    <mergeCell ref="C37:D37"/>
    <mergeCell ref="A2:I2"/>
    <mergeCell ref="C31:D31"/>
    <mergeCell ref="C21:D21"/>
    <mergeCell ref="B4:B5"/>
    <mergeCell ref="C18:D18"/>
    <mergeCell ref="C19:D19"/>
    <mergeCell ref="C20:D20"/>
    <mergeCell ref="C5:D5"/>
    <mergeCell ref="C22:D22"/>
    <mergeCell ref="A4:A5"/>
  </mergeCells>
  <pageMargins left="0.7" right="0.7" top="0.75" bottom="0.75" header="0.3" footer="0.3"/>
  <pageSetup orientation="portrait" horizontalDpi="4294967292" verticalDpi="4294967292"/>
  <ignoredErrors>
    <ignoredError sqref="C18:D20" formulaRange="1"/>
    <ignoredError sqref="B69:J72 B44:I45 J44:J45 J38:J41 B49:I50 D48:I48 B47:I47 D46:I46 C42:G42 B43:G43 J49:J50 J54:J58 J62:J63 J60 B67:I68 C66:I66 B54:I65 D53:I53 B52:I52 D51:I51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8"/>
  <sheetViews>
    <sheetView zoomScale="80" zoomScaleNormal="80" zoomScalePageLayoutView="90" workbookViewId="0">
      <selection activeCell="A4" sqref="A4:A5"/>
    </sheetView>
  </sheetViews>
  <sheetFormatPr baseColWidth="10" defaultColWidth="11.42578125" defaultRowHeight="15" x14ac:dyDescent="0.25"/>
  <cols>
    <col min="1" max="1" width="63.5703125" style="2" customWidth="1"/>
    <col min="2" max="10" width="18.7109375" style="2" customWidth="1"/>
    <col min="11" max="16384" width="11.42578125" style="2"/>
  </cols>
  <sheetData>
    <row r="2" spans="1:10" ht="15.75" x14ac:dyDescent="0.25">
      <c r="A2" s="121" t="s">
        <v>112</v>
      </c>
      <c r="B2" s="121"/>
      <c r="C2" s="121"/>
      <c r="D2" s="121"/>
      <c r="E2" s="121"/>
      <c r="F2" s="121"/>
      <c r="G2" s="121"/>
      <c r="H2" s="121"/>
      <c r="I2" s="121"/>
    </row>
    <row r="4" spans="1:10" ht="15" customHeight="1" x14ac:dyDescent="0.25">
      <c r="A4" s="169" t="s">
        <v>0</v>
      </c>
      <c r="B4" s="129" t="s">
        <v>59</v>
      </c>
      <c r="C4" s="9"/>
      <c r="D4" s="9"/>
      <c r="E4" s="9"/>
      <c r="F4" s="9"/>
      <c r="G4" s="9"/>
      <c r="H4" s="19"/>
      <c r="I4" s="19"/>
      <c r="J4" s="19"/>
    </row>
    <row r="5" spans="1:10" ht="51.75" customHeight="1" thickBot="1" x14ac:dyDescent="0.3">
      <c r="A5" s="170"/>
      <c r="B5" s="139"/>
      <c r="C5" s="140" t="s">
        <v>1</v>
      </c>
      <c r="D5" s="140"/>
      <c r="E5" s="17" t="s">
        <v>49</v>
      </c>
      <c r="F5" s="17" t="s">
        <v>50</v>
      </c>
      <c r="G5" s="18" t="s">
        <v>51</v>
      </c>
      <c r="H5" s="18" t="s">
        <v>60</v>
      </c>
      <c r="I5" s="23" t="s">
        <v>56</v>
      </c>
      <c r="J5" s="23" t="s">
        <v>61</v>
      </c>
    </row>
    <row r="6" spans="1:10" ht="15.75" thickTop="1" x14ac:dyDescent="0.25">
      <c r="E6" s="16"/>
    </row>
    <row r="7" spans="1:10" x14ac:dyDescent="0.25">
      <c r="A7" s="10" t="s">
        <v>2</v>
      </c>
    </row>
    <row r="9" spans="1:10" x14ac:dyDescent="0.25">
      <c r="A9" s="2" t="s">
        <v>42</v>
      </c>
      <c r="B9" s="29" t="s">
        <v>93</v>
      </c>
      <c r="C9" s="29" t="s">
        <v>43</v>
      </c>
      <c r="D9" s="29" t="s">
        <v>44</v>
      </c>
      <c r="E9" s="31" t="s">
        <v>43</v>
      </c>
      <c r="F9" s="31" t="s">
        <v>43</v>
      </c>
      <c r="G9" s="31" t="s">
        <v>43</v>
      </c>
      <c r="H9" s="29" t="s">
        <v>43</v>
      </c>
      <c r="I9" s="29" t="s">
        <v>57</v>
      </c>
      <c r="J9" s="29" t="s">
        <v>43</v>
      </c>
    </row>
    <row r="10" spans="1:10" s="13" customFormat="1" x14ac:dyDescent="0.25">
      <c r="A10" s="12" t="s">
        <v>113</v>
      </c>
      <c r="B10" s="33">
        <v>223080</v>
      </c>
      <c r="C10" s="33">
        <v>126924</v>
      </c>
      <c r="D10" s="33">
        <v>161085</v>
      </c>
      <c r="E10" s="33">
        <v>2050</v>
      </c>
      <c r="F10" s="33">
        <v>184</v>
      </c>
      <c r="G10" s="33">
        <v>14443</v>
      </c>
      <c r="H10" s="33">
        <v>107782</v>
      </c>
      <c r="I10" s="33">
        <v>25305</v>
      </c>
      <c r="J10" s="33" t="str">
        <f>'IV Trimestre'!J10</f>
        <v>n.d.</v>
      </c>
    </row>
    <row r="11" spans="1:10" s="13" customFormat="1" x14ac:dyDescent="0.25">
      <c r="A11" s="12" t="s">
        <v>114</v>
      </c>
      <c r="B11" s="33" t="str">
        <f>'IV Trimestre'!B11</f>
        <v>n.d</v>
      </c>
      <c r="C11" s="33" t="str">
        <f>'IV Trimestre'!C11</f>
        <v>n.d</v>
      </c>
      <c r="D11" s="33">
        <f>'IV Trimestre'!D11</f>
        <v>140216</v>
      </c>
      <c r="E11" s="33">
        <f>'IV Trimestre'!E11</f>
        <v>1981</v>
      </c>
      <c r="F11" s="33">
        <f>'IV Trimestre'!F11</f>
        <v>1732</v>
      </c>
      <c r="G11" s="33">
        <f>'IV Trimestre'!G11</f>
        <v>12040</v>
      </c>
      <c r="H11" s="33">
        <f>'IV Trimestre'!H11</f>
        <v>78300</v>
      </c>
      <c r="I11" s="33">
        <f>'IV Trimestre'!I11</f>
        <v>23180</v>
      </c>
      <c r="J11" s="33" t="str">
        <f>'IV Trimestre'!J11</f>
        <v>n.d.</v>
      </c>
    </row>
    <row r="12" spans="1:10" s="13" customFormat="1" x14ac:dyDescent="0.25">
      <c r="A12" s="12" t="s">
        <v>66</v>
      </c>
      <c r="B12" s="33">
        <f>+SUM(D12:I12)</f>
        <v>2596283</v>
      </c>
      <c r="C12" s="33" t="str">
        <f>'IV Trimestre'!C12</f>
        <v>n.d</v>
      </c>
      <c r="D12" s="33">
        <v>1476068</v>
      </c>
      <c r="E12" s="33">
        <v>18270</v>
      </c>
      <c r="F12" s="33">
        <v>13891</v>
      </c>
      <c r="G12" s="33">
        <v>144088</v>
      </c>
      <c r="H12" s="33">
        <v>698773</v>
      </c>
      <c r="I12" s="33">
        <v>245193</v>
      </c>
      <c r="J12" s="33" t="str">
        <f>'IV Trimestre'!J12</f>
        <v>n.d.</v>
      </c>
    </row>
    <row r="13" spans="1:10" s="13" customFormat="1" x14ac:dyDescent="0.25">
      <c r="A13" s="12" t="s">
        <v>115</v>
      </c>
      <c r="B13" s="33">
        <v>232691</v>
      </c>
      <c r="C13" s="33">
        <v>154637</v>
      </c>
      <c r="D13" s="33">
        <v>201503</v>
      </c>
      <c r="E13" s="33">
        <v>2447</v>
      </c>
      <c r="F13" s="33">
        <v>250</v>
      </c>
      <c r="G13" s="33">
        <v>16748</v>
      </c>
      <c r="H13" s="33">
        <v>102271</v>
      </c>
      <c r="I13" s="33">
        <v>28266</v>
      </c>
      <c r="J13" s="33" t="str">
        <f>'IV Trimestre'!J13</f>
        <v>n.d.</v>
      </c>
    </row>
    <row r="14" spans="1:10" s="13" customFormat="1" x14ac:dyDescent="0.25">
      <c r="A14" s="12" t="s">
        <v>66</v>
      </c>
      <c r="B14" s="33">
        <f>+SUM(D14:I14)</f>
        <v>3131365</v>
      </c>
      <c r="C14" s="33" t="str">
        <f>'IV Trimestre'!C14</f>
        <v>n.d</v>
      </c>
      <c r="D14" s="33">
        <f>+SUM('I Trimestre'!D14+'II Trimestre'!D14+'III Trimestre'!D14+'IV Trimestre'!D14)</f>
        <v>2000953</v>
      </c>
      <c r="E14" s="33">
        <f>+SUM('I Trimestre'!E14+'II Trimestre'!E14+'III Trimestre'!E14+'IV Trimestre'!E14)</f>
        <v>21725</v>
      </c>
      <c r="F14" s="33">
        <f>+SUM('I Trimestre'!F14+'II Trimestre'!F14+'III Trimestre'!F14+'IV Trimestre'!F14)</f>
        <v>2057</v>
      </c>
      <c r="G14" s="33">
        <f>+SUM('I Trimestre'!G14+'II Trimestre'!G14+'III Trimestre'!G14+'IV Trimestre'!G14)</f>
        <v>153613</v>
      </c>
      <c r="H14" s="33">
        <f>+SUM('I Trimestre'!H14+'II Trimestre'!H14+'III Trimestre'!H14+'IV Trimestre'!H14)</f>
        <v>694160</v>
      </c>
      <c r="I14" s="33">
        <f>+SUM('I Trimestre'!I14+'II Trimestre'!I14+'III Trimestre'!I14+'IV Trimestre'!I14)</f>
        <v>258857</v>
      </c>
      <c r="J14" s="33" t="str">
        <f>'IV Trimestre'!J14</f>
        <v>n.d.</v>
      </c>
    </row>
    <row r="15" spans="1:10" s="13" customFormat="1" x14ac:dyDescent="0.25">
      <c r="A15" s="12" t="s">
        <v>65</v>
      </c>
      <c r="B15" s="33" t="str">
        <f>'IV Trimestre'!B15</f>
        <v>n.d</v>
      </c>
      <c r="C15" s="33" t="str">
        <f>'IV Trimestre'!C15</f>
        <v>n.d</v>
      </c>
      <c r="D15" s="33">
        <f>'IV Trimestre'!D15</f>
        <v>140216</v>
      </c>
      <c r="E15" s="33">
        <f>'IV Trimestre'!E15</f>
        <v>1981</v>
      </c>
      <c r="F15" s="33">
        <f>'IV Trimestre'!F15</f>
        <v>1732</v>
      </c>
      <c r="G15" s="33">
        <f>'IV Trimestre'!G15</f>
        <v>12040</v>
      </c>
      <c r="H15" s="33">
        <f>'IV Trimestre'!H15</f>
        <v>78300</v>
      </c>
      <c r="I15" s="33">
        <f>'IV Trimestre'!I15</f>
        <v>23180</v>
      </c>
      <c r="J15" s="33" t="str">
        <f>'IV Trimestre'!J15</f>
        <v>n.d.</v>
      </c>
    </row>
    <row r="16" spans="1:10" s="13" customFormat="1" x14ac:dyDescent="0.25">
      <c r="B16" s="30"/>
      <c r="C16" s="30"/>
      <c r="D16" s="30"/>
      <c r="E16" s="30"/>
      <c r="F16" s="30"/>
      <c r="G16" s="30"/>
      <c r="H16" s="30"/>
      <c r="I16" s="30"/>
      <c r="J16" s="30"/>
    </row>
    <row r="17" spans="1:10" s="13" customFormat="1" x14ac:dyDescent="0.25">
      <c r="A17" s="14" t="s">
        <v>3</v>
      </c>
      <c r="B17" s="30"/>
      <c r="C17" s="30"/>
      <c r="D17" s="30"/>
      <c r="E17" s="30"/>
      <c r="F17" s="30"/>
      <c r="G17" s="30"/>
      <c r="H17" s="30"/>
      <c r="I17" s="30"/>
      <c r="J17" s="30"/>
    </row>
    <row r="18" spans="1:10" s="13" customFormat="1" x14ac:dyDescent="0.25">
      <c r="A18" s="12" t="s">
        <v>113</v>
      </c>
      <c r="B18" s="33">
        <f>C18+I18+G18+H18+E18+F18+J18</f>
        <v>128193842016.62</v>
      </c>
      <c r="C18" s="157">
        <f>'I Trimestre'!C18:D18+'II Trimestre'!C18:D18+'III Trimestre'!C18:D18+'IV Trimestre'!C18:D18</f>
        <v>46256796500</v>
      </c>
      <c r="D18" s="157"/>
      <c r="E18" s="33">
        <f>'I Trimestre'!E18+'II Trimestre'!E18+'III Trimestre'!E18+'IV Trimestre'!E18</f>
        <v>1428812609.9999998</v>
      </c>
      <c r="F18" s="33">
        <f>'I Trimestre'!F18+'II Trimestre'!F18+'III Trimestre'!F18+'IV Trimestre'!F18</f>
        <v>280566000</v>
      </c>
      <c r="G18" s="33">
        <f>'I Trimestre'!G18+'II Trimestre'!G18+'III Trimestre'!G18+'IV Trimestre'!G18</f>
        <v>7155154000</v>
      </c>
      <c r="H18" s="33">
        <f>'I Trimestre'!H18+'II Trimestre'!H18+'III Trimestre'!H18+'IV Trimestre'!H18</f>
        <v>44805012855</v>
      </c>
      <c r="I18" s="33">
        <f>'I Trimestre'!I18+'II Trimestre'!I18+'III Trimestre'!I18+'IV Trimestre'!I18</f>
        <v>27943550558</v>
      </c>
      <c r="J18" s="33">
        <f>'I Trimestre'!J18+'II Trimestre'!J18+'III Trimestre'!J18+'IV Trimestre'!J18</f>
        <v>323949493.62</v>
      </c>
    </row>
    <row r="19" spans="1:10" s="13" customFormat="1" x14ac:dyDescent="0.25">
      <c r="A19" s="12" t="s">
        <v>114</v>
      </c>
      <c r="B19" s="33">
        <f>SUM(C19:I19)</f>
        <v>143479918000</v>
      </c>
      <c r="C19" s="157">
        <f>'I Trimestre'!C19:D19+'II Trimestre'!C19:D19+'III Trimestre'!C19:D19+'IV Trimestre'!C19:D19</f>
        <v>51662380000</v>
      </c>
      <c r="D19" s="157"/>
      <c r="E19" s="33">
        <f>+'I Trimestre'!E19+'II Trimestre'!E19+'III Trimestre'!E19+'IV Trimestre'!E19</f>
        <v>1635520000</v>
      </c>
      <c r="F19" s="33">
        <f>+'I Trimestre'!F19+'II Trimestre'!F19+'III Trimestre'!F19+'IV Trimestre'!F19</f>
        <v>4333992000</v>
      </c>
      <c r="G19" s="33">
        <f>+'I Trimestre'!G19+'II Trimestre'!G19+'III Trimestre'!G19+'IV Trimestre'!G19</f>
        <v>7204400000</v>
      </c>
      <c r="H19" s="33">
        <f>+'I Trimestre'!H19+'II Trimestre'!H19+'III Trimestre'!H19+'IV Trimestre'!H19</f>
        <v>52407975000</v>
      </c>
      <c r="I19" s="33">
        <f>+'I Trimestre'!I19+'II Trimestre'!I19+'III Trimestre'!I19+'IV Trimestre'!I19</f>
        <v>26235651000</v>
      </c>
      <c r="J19" s="33" t="s">
        <v>53</v>
      </c>
    </row>
    <row r="20" spans="1:10" s="13" customFormat="1" x14ac:dyDescent="0.25">
      <c r="A20" s="12" t="s">
        <v>115</v>
      </c>
      <c r="B20" s="33">
        <f>SUM(C20:J20)</f>
        <v>126285243199.39999</v>
      </c>
      <c r="C20" s="157">
        <f>'I Trimestre'!C20:D20+'II Trimestre'!C20:D20+'III Trimestre'!C20:D20+'IV Trimestre'!C20:D20</f>
        <v>50247667000</v>
      </c>
      <c r="D20" s="157"/>
      <c r="E20" s="33">
        <f>'I Trimestre'!E20+'II Trimestre'!E20+'III Trimestre'!E20+'IV Trimestre'!E20</f>
        <v>1600205174</v>
      </c>
      <c r="F20" s="33">
        <f>'I Trimestre'!F20+'II Trimestre'!F20+'III Trimestre'!F20+'IV Trimestre'!F20</f>
        <v>379755000</v>
      </c>
      <c r="G20" s="33">
        <f>'I Trimestre'!G20+'II Trimestre'!G20+'III Trimestre'!G20+'IV Trimestre'!G20</f>
        <v>7184827032</v>
      </c>
      <c r="H20" s="33">
        <f>'I Trimestre'!H20+'II Trimestre'!H20+'III Trimestre'!H20+'IV Trimestre'!H20</f>
        <v>40928998588.000008</v>
      </c>
      <c r="I20" s="33">
        <f>'I Trimestre'!I20+'II Trimestre'!I20+'III Trimestre'!I20+'IV Trimestre'!I20</f>
        <v>25772803942.000004</v>
      </c>
      <c r="J20" s="33">
        <f>'I Trimestre'!J20+'II Trimestre'!J20+'III Trimestre'!J20+'IV Trimestre'!J20</f>
        <v>170986463.39999998</v>
      </c>
    </row>
    <row r="21" spans="1:10" s="13" customFormat="1" x14ac:dyDescent="0.25">
      <c r="A21" s="12" t="s">
        <v>65</v>
      </c>
      <c r="B21" s="33">
        <f>SUM(C21:I21)</f>
        <v>143479918000</v>
      </c>
      <c r="C21" s="158">
        <f>'IV Trimestre'!C21</f>
        <v>51662380000</v>
      </c>
      <c r="D21" s="158"/>
      <c r="E21" s="33">
        <f>'IV Trimestre'!E21</f>
        <v>1635520000</v>
      </c>
      <c r="F21" s="33">
        <f>'IV Trimestre'!F21</f>
        <v>4333992000</v>
      </c>
      <c r="G21" s="33">
        <f>'IV Trimestre'!G21</f>
        <v>7204400000</v>
      </c>
      <c r="H21" s="33">
        <f>'IV Trimestre'!H21</f>
        <v>52407975000</v>
      </c>
      <c r="I21" s="33">
        <f>'IV Trimestre'!I21</f>
        <v>26235651000</v>
      </c>
      <c r="J21" s="33" t="str">
        <f>'IV Trimestre'!J21</f>
        <v>n.d.</v>
      </c>
    </row>
    <row r="22" spans="1:10" s="13" customFormat="1" x14ac:dyDescent="0.25">
      <c r="A22" s="12" t="s">
        <v>116</v>
      </c>
      <c r="B22" s="33">
        <f>SUM(C22:J22)</f>
        <v>126285243199.39999</v>
      </c>
      <c r="C22" s="158">
        <f>C20</f>
        <v>50247667000</v>
      </c>
      <c r="D22" s="158"/>
      <c r="E22" s="33">
        <f>E20</f>
        <v>1600205174</v>
      </c>
      <c r="F22" s="33">
        <f t="shared" ref="F22:J22" si="0">F20</f>
        <v>379755000</v>
      </c>
      <c r="G22" s="33">
        <f t="shared" si="0"/>
        <v>7184827032</v>
      </c>
      <c r="H22" s="33">
        <f t="shared" si="0"/>
        <v>40928998588.000008</v>
      </c>
      <c r="I22" s="33">
        <f t="shared" si="0"/>
        <v>25772803942.000004</v>
      </c>
      <c r="J22" s="33">
        <f t="shared" si="0"/>
        <v>170986463.39999998</v>
      </c>
    </row>
    <row r="23" spans="1:10" s="13" customFormat="1" x14ac:dyDescent="0.25">
      <c r="B23" s="30"/>
      <c r="C23" s="30"/>
      <c r="D23" s="30"/>
      <c r="E23" s="30"/>
      <c r="F23" s="30"/>
      <c r="G23" s="30"/>
      <c r="H23" s="30"/>
      <c r="I23" s="30"/>
      <c r="J23" s="30"/>
    </row>
    <row r="24" spans="1:10" s="13" customFormat="1" x14ac:dyDescent="0.25">
      <c r="A24" s="14" t="s">
        <v>4</v>
      </c>
      <c r="B24" s="30"/>
      <c r="C24" s="30"/>
      <c r="D24" s="30"/>
      <c r="E24" s="30"/>
      <c r="F24" s="30"/>
      <c r="G24" s="30"/>
      <c r="H24" s="30"/>
      <c r="I24" s="30"/>
      <c r="J24" s="30"/>
    </row>
    <row r="25" spans="1:10" s="13" customFormat="1" x14ac:dyDescent="0.25">
      <c r="A25" s="12" t="s">
        <v>114</v>
      </c>
      <c r="B25" s="33">
        <f>B21</f>
        <v>143479918000</v>
      </c>
      <c r="C25" s="38"/>
      <c r="D25" s="30"/>
      <c r="E25" s="30"/>
      <c r="F25" s="30"/>
      <c r="G25" s="30"/>
      <c r="H25" s="30"/>
      <c r="I25" s="30"/>
      <c r="J25" s="30"/>
    </row>
    <row r="26" spans="1:10" s="13" customFormat="1" x14ac:dyDescent="0.25">
      <c r="A26" s="12" t="s">
        <v>115</v>
      </c>
      <c r="B26" s="33">
        <f>'I Trimestre'!B26+'II Trimestre'!B26+'III Trimestre'!B26+'IV Trimestre'!B26</f>
        <v>135510541736.99998</v>
      </c>
      <c r="C26" s="38"/>
      <c r="D26" s="30"/>
      <c r="E26" s="30"/>
      <c r="F26" s="30"/>
      <c r="G26" s="30"/>
      <c r="H26" s="30"/>
      <c r="I26" s="30"/>
      <c r="J26" s="30"/>
    </row>
    <row r="27" spans="1:10" s="13" customFormat="1" x14ac:dyDescent="0.25">
      <c r="B27" s="30"/>
      <c r="C27" s="30"/>
      <c r="D27" s="30"/>
      <c r="E27" s="30"/>
      <c r="F27" s="30"/>
      <c r="G27" s="30"/>
      <c r="H27" s="30"/>
      <c r="I27" s="30"/>
      <c r="J27" s="30"/>
    </row>
    <row r="28" spans="1:10" s="13" customFormat="1" x14ac:dyDescent="0.25">
      <c r="A28" s="13" t="s">
        <v>5</v>
      </c>
      <c r="B28" s="30"/>
      <c r="C28" s="30"/>
      <c r="D28" s="30"/>
      <c r="E28" s="30"/>
      <c r="F28" s="30"/>
      <c r="G28" s="30"/>
      <c r="H28" s="30"/>
      <c r="I28" s="30"/>
      <c r="J28" s="30"/>
    </row>
    <row r="29" spans="1:10" s="13" customFormat="1" x14ac:dyDescent="0.25">
      <c r="A29" s="12" t="s">
        <v>117</v>
      </c>
      <c r="B29" s="105">
        <v>1.0245</v>
      </c>
      <c r="C29" s="105">
        <v>1.0245</v>
      </c>
      <c r="D29" s="105">
        <v>1.0245</v>
      </c>
      <c r="E29" s="105">
        <v>1.0245</v>
      </c>
      <c r="F29" s="105">
        <v>1.0245</v>
      </c>
      <c r="G29" s="105">
        <v>1.0245</v>
      </c>
      <c r="H29" s="105">
        <v>1.0245</v>
      </c>
      <c r="I29" s="105">
        <v>1.0245</v>
      </c>
      <c r="J29" s="105">
        <v>1.0245</v>
      </c>
    </row>
    <row r="30" spans="1:10" s="13" customFormat="1" x14ac:dyDescent="0.25">
      <c r="A30" s="12" t="s">
        <v>118</v>
      </c>
      <c r="B30" s="105">
        <v>1.0451999999999999</v>
      </c>
      <c r="C30" s="105">
        <v>1.0451999999999999</v>
      </c>
      <c r="D30" s="105">
        <v>1.0451999999999999</v>
      </c>
      <c r="E30" s="105">
        <v>1.0451999999999999</v>
      </c>
      <c r="F30" s="105">
        <v>1.0451999999999999</v>
      </c>
      <c r="G30" s="105">
        <v>1.0451999999999999</v>
      </c>
      <c r="H30" s="105">
        <v>1.0451999999999999</v>
      </c>
      <c r="I30" s="105">
        <v>1.0451999999999999</v>
      </c>
      <c r="J30" s="105">
        <v>1.0451999999999999</v>
      </c>
    </row>
    <row r="31" spans="1:10" s="13" customFormat="1" x14ac:dyDescent="0.25">
      <c r="A31" s="12" t="s">
        <v>6</v>
      </c>
      <c r="B31" s="103">
        <v>359918</v>
      </c>
      <c r="C31" s="137">
        <v>139696</v>
      </c>
      <c r="D31" s="137"/>
      <c r="E31" s="103">
        <v>140011</v>
      </c>
      <c r="F31" s="93" t="s">
        <v>67</v>
      </c>
      <c r="G31" s="103">
        <v>76403</v>
      </c>
      <c r="H31" s="103" t="s">
        <v>67</v>
      </c>
      <c r="I31" s="106" t="s">
        <v>67</v>
      </c>
      <c r="J31" s="106" t="s">
        <v>67</v>
      </c>
    </row>
    <row r="32" spans="1:10" x14ac:dyDescent="0.25">
      <c r="A32" s="13"/>
      <c r="B32" s="107"/>
      <c r="C32" s="107"/>
      <c r="D32" s="107"/>
      <c r="E32" s="107"/>
      <c r="F32" s="108"/>
      <c r="G32" s="108"/>
      <c r="H32" s="108"/>
      <c r="I32" s="108"/>
      <c r="J32" s="108"/>
    </row>
    <row r="33" spans="1:10" s="13" customFormat="1" x14ac:dyDescent="0.25">
      <c r="A33" s="43" t="s">
        <v>7</v>
      </c>
      <c r="B33" s="107"/>
      <c r="C33" s="107"/>
      <c r="D33" s="107"/>
      <c r="E33" s="107"/>
      <c r="F33" s="107"/>
      <c r="G33" s="107"/>
      <c r="H33" s="107"/>
      <c r="I33" s="107"/>
      <c r="J33" s="107"/>
    </row>
    <row r="34" spans="1:10" s="13" customFormat="1" x14ac:dyDescent="0.25">
      <c r="A34" s="13" t="s">
        <v>144</v>
      </c>
      <c r="B34" s="114">
        <f>B18/B29</f>
        <v>125128201089.91704</v>
      </c>
      <c r="C34" s="137">
        <f>C18/C29</f>
        <v>45150606637.384094</v>
      </c>
      <c r="D34" s="137"/>
      <c r="E34" s="114">
        <f>E18/E29</f>
        <v>1394643836.0175693</v>
      </c>
      <c r="F34" s="114">
        <f t="shared" ref="F34:J34" si="1">F18/F29</f>
        <v>273856515.37335289</v>
      </c>
      <c r="G34" s="114">
        <f t="shared" si="1"/>
        <v>6984044899.9511957</v>
      </c>
      <c r="H34" s="114">
        <f t="shared" si="1"/>
        <v>43733541098.096634</v>
      </c>
      <c r="I34" s="114">
        <f t="shared" si="1"/>
        <v>27275305571.498291</v>
      </c>
      <c r="J34" s="114">
        <f t="shared" si="1"/>
        <v>316202531.59590048</v>
      </c>
    </row>
    <row r="35" spans="1:10" s="13" customFormat="1" x14ac:dyDescent="0.25">
      <c r="A35" s="13" t="s">
        <v>145</v>
      </c>
      <c r="B35" s="114">
        <f>B20/B30</f>
        <v>120823998468.61845</v>
      </c>
      <c r="C35" s="137">
        <f>C20/C30</f>
        <v>48074690968.235748</v>
      </c>
      <c r="D35" s="137"/>
      <c r="E35" s="114">
        <f>E20/E30</f>
        <v>1531003802.1431305</v>
      </c>
      <c r="F35" s="114">
        <f t="shared" ref="F35:J35" si="2">F20/F30</f>
        <v>363332376.57864529</v>
      </c>
      <c r="G35" s="114">
        <f t="shared" si="2"/>
        <v>6874116946.0390358</v>
      </c>
      <c r="H35" s="114">
        <f t="shared" si="2"/>
        <v>39159011278.224274</v>
      </c>
      <c r="I35" s="114">
        <f t="shared" si="2"/>
        <v>24658250996.938393</v>
      </c>
      <c r="J35" s="114">
        <f t="shared" si="2"/>
        <v>163592100.45924225</v>
      </c>
    </row>
    <row r="36" spans="1:10" s="13" customFormat="1" x14ac:dyDescent="0.25">
      <c r="A36" s="13" t="s">
        <v>146</v>
      </c>
      <c r="B36" s="114">
        <f>B34/B10</f>
        <v>560911.78541293275</v>
      </c>
      <c r="C36" s="137">
        <f>C34/D10</f>
        <v>280290.57104872639</v>
      </c>
      <c r="D36" s="137"/>
      <c r="E36" s="114">
        <f>E34/E10</f>
        <v>680314.06635003386</v>
      </c>
      <c r="F36" s="114">
        <f t="shared" ref="F36:I36" si="3">F34/F10</f>
        <v>1488350.6270290918</v>
      </c>
      <c r="G36" s="114">
        <f t="shared" si="3"/>
        <v>483559.15668152017</v>
      </c>
      <c r="H36" s="114">
        <f t="shared" si="3"/>
        <v>405759.22786825849</v>
      </c>
      <c r="I36" s="114">
        <f t="shared" si="3"/>
        <v>1077862.3027661841</v>
      </c>
      <c r="J36" s="93" t="s">
        <v>53</v>
      </c>
    </row>
    <row r="37" spans="1:10" s="13" customFormat="1" x14ac:dyDescent="0.25">
      <c r="A37" s="13" t="s">
        <v>147</v>
      </c>
      <c r="B37" s="114">
        <f>B35/B13</f>
        <v>519246.54786226567</v>
      </c>
      <c r="C37" s="137">
        <f>C35/D13</f>
        <v>238580.5222167201</v>
      </c>
      <c r="D37" s="137"/>
      <c r="E37" s="114">
        <f>E35/E13</f>
        <v>625665.6322611894</v>
      </c>
      <c r="F37" s="114">
        <f t="shared" ref="F37:I37" si="4">F35/F13</f>
        <v>1453329.5063145813</v>
      </c>
      <c r="G37" s="114">
        <f t="shared" si="4"/>
        <v>410444.04979932145</v>
      </c>
      <c r="H37" s="114">
        <f t="shared" si="4"/>
        <v>382894.57693993679</v>
      </c>
      <c r="I37" s="114">
        <f t="shared" si="4"/>
        <v>872364.35990017664</v>
      </c>
      <c r="J37" s="93" t="s">
        <v>53</v>
      </c>
    </row>
    <row r="38" spans="1:10" s="13" customFormat="1" x14ac:dyDescent="0.25">
      <c r="B38" s="114"/>
      <c r="C38" s="114"/>
      <c r="D38" s="114"/>
      <c r="E38" s="114"/>
      <c r="F38" s="114"/>
      <c r="G38" s="114"/>
      <c r="H38" s="114"/>
      <c r="I38" s="114"/>
      <c r="J38" s="114"/>
    </row>
    <row r="39" spans="1:10" s="13" customFormat="1" x14ac:dyDescent="0.25">
      <c r="A39" s="43" t="s">
        <v>8</v>
      </c>
      <c r="B39" s="114"/>
      <c r="C39" s="114"/>
      <c r="D39" s="114"/>
      <c r="E39" s="114"/>
      <c r="F39" s="114"/>
      <c r="G39" s="114"/>
      <c r="H39" s="114"/>
      <c r="I39" s="114"/>
      <c r="J39" s="114"/>
    </row>
    <row r="40" spans="1:10" s="13" customFormat="1" x14ac:dyDescent="0.25">
      <c r="B40" s="114"/>
      <c r="C40" s="114"/>
      <c r="D40" s="114"/>
      <c r="E40" s="114"/>
      <c r="F40" s="114"/>
      <c r="G40" s="114"/>
      <c r="H40" s="114"/>
      <c r="I40" s="114"/>
      <c r="J40" s="114"/>
    </row>
    <row r="41" spans="1:10" s="13" customFormat="1" x14ac:dyDescent="0.25">
      <c r="A41" s="13" t="s">
        <v>9</v>
      </c>
      <c r="B41" s="114"/>
      <c r="C41" s="114"/>
      <c r="D41" s="114"/>
      <c r="E41" s="114"/>
      <c r="F41" s="114"/>
      <c r="G41" s="114"/>
      <c r="H41" s="114"/>
      <c r="I41" s="114"/>
      <c r="J41" s="114"/>
    </row>
    <row r="42" spans="1:10" s="13" customFormat="1" x14ac:dyDescent="0.25">
      <c r="A42" s="13" t="s">
        <v>10</v>
      </c>
      <c r="B42" s="93" t="s">
        <v>53</v>
      </c>
      <c r="C42" s="172">
        <f>D11/C31*100</f>
        <v>100.37223685717558</v>
      </c>
      <c r="D42" s="172"/>
      <c r="E42" s="114">
        <f>E11/E31*100</f>
        <v>1.4148888301633442</v>
      </c>
      <c r="F42" s="93" t="s">
        <v>53</v>
      </c>
      <c r="G42" s="114">
        <f t="shared" ref="G42" si="5">G11/G31*100</f>
        <v>15.758543512689293</v>
      </c>
      <c r="H42" s="93" t="s">
        <v>53</v>
      </c>
      <c r="I42" s="93" t="s">
        <v>53</v>
      </c>
      <c r="J42" s="93" t="s">
        <v>53</v>
      </c>
    </row>
    <row r="43" spans="1:10" s="13" customFormat="1" x14ac:dyDescent="0.25">
      <c r="A43" s="13" t="s">
        <v>11</v>
      </c>
      <c r="B43" s="114">
        <f>(B13/B31)*100</f>
        <v>64.651114976189021</v>
      </c>
      <c r="C43" s="172">
        <f>D13/C31*100</f>
        <v>144.24392967586758</v>
      </c>
      <c r="D43" s="172"/>
      <c r="E43" s="114">
        <f>E13/E31*100</f>
        <v>1.7477198220139847</v>
      </c>
      <c r="F43" s="93" t="s">
        <v>53</v>
      </c>
      <c r="G43" s="114">
        <f t="shared" ref="G43" si="6">G13/G31*100</f>
        <v>21.920605211837234</v>
      </c>
      <c r="H43" s="93" t="s">
        <v>53</v>
      </c>
      <c r="I43" s="93" t="s">
        <v>53</v>
      </c>
      <c r="J43" s="93" t="s">
        <v>53</v>
      </c>
    </row>
    <row r="44" spans="1:10" s="13" customFormat="1" x14ac:dyDescent="0.25">
      <c r="B44" s="114"/>
      <c r="C44" s="114"/>
      <c r="D44" s="114"/>
      <c r="E44" s="114"/>
      <c r="F44" s="114"/>
      <c r="G44" s="114"/>
      <c r="H44" s="114"/>
      <c r="I44" s="100"/>
      <c r="J44" s="114"/>
    </row>
    <row r="45" spans="1:10" s="13" customFormat="1" x14ac:dyDescent="0.25">
      <c r="A45" s="13" t="s">
        <v>12</v>
      </c>
      <c r="B45" s="114"/>
      <c r="C45" s="114"/>
      <c r="D45" s="114"/>
      <c r="E45" s="114"/>
      <c r="F45" s="114"/>
      <c r="G45" s="114"/>
      <c r="H45" s="114"/>
      <c r="I45" s="100"/>
      <c r="J45" s="114"/>
    </row>
    <row r="46" spans="1:10" s="13" customFormat="1" x14ac:dyDescent="0.25">
      <c r="A46" s="13" t="s">
        <v>13</v>
      </c>
      <c r="B46" s="93" t="s">
        <v>53</v>
      </c>
      <c r="C46" s="93" t="s">
        <v>53</v>
      </c>
      <c r="D46" s="93">
        <f>D13/D11*100</f>
        <v>143.70899184115936</v>
      </c>
      <c r="E46" s="114">
        <f>E13/E11*100</f>
        <v>123.52347299343766</v>
      </c>
      <c r="F46" s="114">
        <f t="shared" ref="F46:I46" si="7">F13/F11*100</f>
        <v>14.434180138568129</v>
      </c>
      <c r="G46" s="114">
        <f t="shared" si="7"/>
        <v>139.1029900332226</v>
      </c>
      <c r="H46" s="114">
        <f t="shared" si="7"/>
        <v>130.61430395913155</v>
      </c>
      <c r="I46" s="114">
        <f t="shared" si="7"/>
        <v>121.94132873166524</v>
      </c>
      <c r="J46" s="93" t="s">
        <v>53</v>
      </c>
    </row>
    <row r="47" spans="1:10" s="13" customFormat="1" x14ac:dyDescent="0.25">
      <c r="A47" s="13" t="s">
        <v>14</v>
      </c>
      <c r="B47" s="114">
        <f>B20/B19*100</f>
        <v>88.015971126635293</v>
      </c>
      <c r="C47" s="173">
        <f>C20/C19*100</f>
        <v>97.261618609131048</v>
      </c>
      <c r="D47" s="173"/>
      <c r="E47" s="114">
        <f>E20/E19*100</f>
        <v>97.84075853551164</v>
      </c>
      <c r="F47" s="114">
        <f t="shared" ref="F47:I47" si="8">F20/F19*100</f>
        <v>8.7622450618275263</v>
      </c>
      <c r="G47" s="114">
        <f t="shared" si="8"/>
        <v>99.728319249347621</v>
      </c>
      <c r="H47" s="114">
        <f t="shared" si="8"/>
        <v>78.096890001951053</v>
      </c>
      <c r="I47" s="114">
        <f t="shared" si="8"/>
        <v>98.235808755041006</v>
      </c>
      <c r="J47" s="93" t="s">
        <v>53</v>
      </c>
    </row>
    <row r="48" spans="1:10" s="13" customFormat="1" x14ac:dyDescent="0.25">
      <c r="A48" s="13" t="s">
        <v>15</v>
      </c>
      <c r="B48" s="93" t="s">
        <v>53</v>
      </c>
      <c r="C48" s="93" t="s">
        <v>53</v>
      </c>
      <c r="D48" s="93">
        <f>AVERAGE(D46,C47)</f>
        <v>120.4853052251452</v>
      </c>
      <c r="E48" s="114">
        <f>AVERAGE(E46:E47)</f>
        <v>110.68211576447464</v>
      </c>
      <c r="F48" s="114">
        <f t="shared" ref="F48:I48" si="9">AVERAGE(F46:F47)</f>
        <v>11.598212600197828</v>
      </c>
      <c r="G48" s="114">
        <f t="shared" si="9"/>
        <v>119.4156546412851</v>
      </c>
      <c r="H48" s="114">
        <f t="shared" si="9"/>
        <v>104.35559698054129</v>
      </c>
      <c r="I48" s="114">
        <f t="shared" si="9"/>
        <v>110.08856874335312</v>
      </c>
      <c r="J48" s="93" t="s">
        <v>53</v>
      </c>
    </row>
    <row r="49" spans="1:10" s="13" customFormat="1" x14ac:dyDescent="0.25">
      <c r="B49" s="114"/>
      <c r="C49" s="114"/>
      <c r="D49" s="114"/>
      <c r="E49" s="114"/>
      <c r="F49" s="114"/>
      <c r="G49" s="114"/>
      <c r="H49" s="114"/>
      <c r="I49" s="100"/>
      <c r="J49" s="114"/>
    </row>
    <row r="50" spans="1:10" s="13" customFormat="1" x14ac:dyDescent="0.25">
      <c r="A50" s="13" t="s">
        <v>16</v>
      </c>
      <c r="B50" s="114"/>
      <c r="C50" s="114"/>
      <c r="D50" s="114"/>
      <c r="E50" s="114"/>
      <c r="F50" s="114"/>
      <c r="G50" s="114"/>
      <c r="H50" s="114"/>
      <c r="I50" s="100"/>
      <c r="J50" s="114"/>
    </row>
    <row r="51" spans="1:10" s="13" customFormat="1" x14ac:dyDescent="0.25">
      <c r="A51" s="13" t="s">
        <v>17</v>
      </c>
      <c r="B51" s="93" t="s">
        <v>53</v>
      </c>
      <c r="C51" s="171">
        <f>D13/D15*100</f>
        <v>143.70899184115936</v>
      </c>
      <c r="D51" s="171"/>
      <c r="E51" s="114">
        <f>E13/E15*100</f>
        <v>123.52347299343766</v>
      </c>
      <c r="F51" s="114">
        <f t="shared" ref="F51:I51" si="10">F13/F15*100</f>
        <v>14.434180138568129</v>
      </c>
      <c r="G51" s="114">
        <f t="shared" si="10"/>
        <v>139.1029900332226</v>
      </c>
      <c r="H51" s="114">
        <f t="shared" si="10"/>
        <v>130.61430395913155</v>
      </c>
      <c r="I51" s="114">
        <f t="shared" si="10"/>
        <v>121.94132873166524</v>
      </c>
      <c r="J51" s="93" t="s">
        <v>53</v>
      </c>
    </row>
    <row r="52" spans="1:10" s="13" customFormat="1" x14ac:dyDescent="0.25">
      <c r="A52" s="13" t="s">
        <v>18</v>
      </c>
      <c r="B52" s="114">
        <f>B20/B21*100</f>
        <v>88.015971126635293</v>
      </c>
      <c r="C52" s="171">
        <f>C20/C21*100</f>
        <v>97.261618609131048</v>
      </c>
      <c r="D52" s="171"/>
      <c r="E52" s="114">
        <f>E20/E21*100</f>
        <v>97.84075853551164</v>
      </c>
      <c r="F52" s="114">
        <f t="shared" ref="F52:I52" si="11">F20/F21*100</f>
        <v>8.7622450618275263</v>
      </c>
      <c r="G52" s="114">
        <f t="shared" si="11"/>
        <v>99.728319249347621</v>
      </c>
      <c r="H52" s="114">
        <f t="shared" si="11"/>
        <v>78.096890001951053</v>
      </c>
      <c r="I52" s="114">
        <f t="shared" si="11"/>
        <v>98.235808755041006</v>
      </c>
      <c r="J52" s="93" t="s">
        <v>53</v>
      </c>
    </row>
    <row r="53" spans="1:10" s="13" customFormat="1" x14ac:dyDescent="0.25">
      <c r="A53" s="13" t="s">
        <v>19</v>
      </c>
      <c r="B53" s="93" t="s">
        <v>53</v>
      </c>
      <c r="C53" s="171">
        <f>(C51+C52)/2</f>
        <v>120.4853052251452</v>
      </c>
      <c r="D53" s="171"/>
      <c r="E53" s="114">
        <f>(E51+E52)/2</f>
        <v>110.68211576447464</v>
      </c>
      <c r="F53" s="114">
        <f t="shared" ref="F53:I53" si="12">(F51+F52)/2</f>
        <v>11.598212600197828</v>
      </c>
      <c r="G53" s="114">
        <f t="shared" si="12"/>
        <v>119.4156546412851</v>
      </c>
      <c r="H53" s="114">
        <f t="shared" si="12"/>
        <v>104.35559698054129</v>
      </c>
      <c r="I53" s="114">
        <f t="shared" si="12"/>
        <v>110.08856874335312</v>
      </c>
      <c r="J53" s="93" t="s">
        <v>53</v>
      </c>
    </row>
    <row r="54" spans="1:10" s="13" customFormat="1" x14ac:dyDescent="0.25">
      <c r="B54" s="114"/>
      <c r="C54" s="104"/>
      <c r="D54" s="104"/>
      <c r="E54" s="114"/>
      <c r="F54" s="114"/>
      <c r="G54" s="114"/>
      <c r="H54" s="114"/>
      <c r="I54" s="100"/>
      <c r="J54" s="114"/>
    </row>
    <row r="55" spans="1:10" s="13" customFormat="1" x14ac:dyDescent="0.25">
      <c r="A55" s="13" t="s">
        <v>31</v>
      </c>
      <c r="B55" s="114"/>
      <c r="C55" s="104"/>
      <c r="D55" s="104"/>
      <c r="E55" s="114"/>
      <c r="F55" s="114"/>
      <c r="G55" s="114"/>
      <c r="H55" s="114"/>
      <c r="I55" s="100"/>
      <c r="J55" s="114"/>
    </row>
    <row r="56" spans="1:10" s="13" customFormat="1" x14ac:dyDescent="0.25">
      <c r="A56" s="13" t="s">
        <v>20</v>
      </c>
      <c r="B56" s="114">
        <f>B22/B20*100</f>
        <v>100</v>
      </c>
      <c r="C56" s="171">
        <f>C22/C20*100</f>
        <v>100</v>
      </c>
      <c r="D56" s="171"/>
      <c r="E56" s="114">
        <f>E22/E20*100</f>
        <v>100</v>
      </c>
      <c r="F56" s="114">
        <f t="shared" ref="F56:J56" si="13">F22/F20*100</f>
        <v>100</v>
      </c>
      <c r="G56" s="114">
        <f t="shared" si="13"/>
        <v>100</v>
      </c>
      <c r="H56" s="114">
        <f t="shared" si="13"/>
        <v>100</v>
      </c>
      <c r="I56" s="114">
        <f t="shared" si="13"/>
        <v>100</v>
      </c>
      <c r="J56" s="114">
        <f t="shared" si="13"/>
        <v>100</v>
      </c>
    </row>
    <row r="57" spans="1:10" s="13" customFormat="1" x14ac:dyDescent="0.25">
      <c r="B57" s="114"/>
      <c r="C57" s="104"/>
      <c r="D57" s="104"/>
      <c r="E57" s="114"/>
      <c r="F57" s="114"/>
      <c r="G57" s="114"/>
      <c r="H57" s="114"/>
      <c r="I57" s="100"/>
      <c r="J57" s="114"/>
    </row>
    <row r="58" spans="1:10" s="13" customFormat="1" x14ac:dyDescent="0.25">
      <c r="A58" s="13" t="s">
        <v>21</v>
      </c>
      <c r="B58" s="114"/>
      <c r="C58" s="104"/>
      <c r="D58" s="104"/>
      <c r="E58" s="114"/>
      <c r="F58" s="114"/>
      <c r="G58" s="114"/>
      <c r="H58" s="114"/>
      <c r="I58" s="100"/>
      <c r="J58" s="114"/>
    </row>
    <row r="59" spans="1:10" s="13" customFormat="1" x14ac:dyDescent="0.25">
      <c r="A59" s="13" t="s">
        <v>22</v>
      </c>
      <c r="B59" s="116">
        <f>((B13/B10)-1)*100</f>
        <v>4.3083198852429616</v>
      </c>
      <c r="C59" s="161">
        <f>((D13/D10)-1)*100</f>
        <v>25.091100971536772</v>
      </c>
      <c r="D59" s="161"/>
      <c r="E59" s="116">
        <f>((E13/E10)-1)*100</f>
        <v>19.365853658536579</v>
      </c>
      <c r="F59" s="116">
        <f t="shared" ref="F59:I59" si="14">((F13/F10)-1)*100</f>
        <v>35.869565217391312</v>
      </c>
      <c r="G59" s="116">
        <f t="shared" si="14"/>
        <v>15.959288236515956</v>
      </c>
      <c r="H59" s="116">
        <f t="shared" si="14"/>
        <v>-5.1130986621142682</v>
      </c>
      <c r="I59" s="116">
        <f t="shared" si="14"/>
        <v>11.701244813278011</v>
      </c>
      <c r="J59" s="93" t="s">
        <v>53</v>
      </c>
    </row>
    <row r="60" spans="1:10" s="13" customFormat="1" x14ac:dyDescent="0.25">
      <c r="A60" s="13" t="s">
        <v>23</v>
      </c>
      <c r="B60" s="116">
        <f>((B35/B34)-1)*100</f>
        <v>-3.4398341731178506</v>
      </c>
      <c r="C60" s="161">
        <f>((C35/C34)-1)*100</f>
        <v>6.4762902397651256</v>
      </c>
      <c r="D60" s="161"/>
      <c r="E60" s="116">
        <f>((E35/E34)-1)*100</f>
        <v>9.7774042808620898</v>
      </c>
      <c r="F60" s="116">
        <f t="shared" ref="F60:J60" si="15">((F35/F34)-1)*100</f>
        <v>32.672533309389621</v>
      </c>
      <c r="G60" s="116">
        <f t="shared" si="15"/>
        <v>-1.5739869300228637</v>
      </c>
      <c r="H60" s="116">
        <f t="shared" si="15"/>
        <v>-10.460003249248551</v>
      </c>
      <c r="I60" s="116">
        <f t="shared" si="15"/>
        <v>-9.5949596887179407</v>
      </c>
      <c r="J60" s="116">
        <f t="shared" si="15"/>
        <v>-48.263507052401089</v>
      </c>
    </row>
    <row r="61" spans="1:10" s="13" customFormat="1" x14ac:dyDescent="0.25">
      <c r="A61" s="13" t="s">
        <v>24</v>
      </c>
      <c r="B61" s="116">
        <f>((B37/B36)-1)*100</f>
        <v>-7.4281266028300541</v>
      </c>
      <c r="C61" s="161">
        <f>((C37/C36)-1)*100</f>
        <v>-14.881003194629516</v>
      </c>
      <c r="D61" s="161"/>
      <c r="E61" s="116">
        <f>((E37/E36)-1)*100</f>
        <v>-8.032824366257751</v>
      </c>
      <c r="F61" s="116">
        <f t="shared" ref="F61:I61" si="16">((F37/F36)-1)*100</f>
        <v>-2.3530154842892448</v>
      </c>
      <c r="G61" s="116">
        <f t="shared" si="16"/>
        <v>-15.120199022588976</v>
      </c>
      <c r="H61" s="116">
        <f t="shared" si="16"/>
        <v>-5.6350291892179438</v>
      </c>
      <c r="I61" s="116">
        <f t="shared" si="16"/>
        <v>-19.065324238413893</v>
      </c>
      <c r="J61" s="93" t="s">
        <v>53</v>
      </c>
    </row>
    <row r="62" spans="1:10" s="13" customFormat="1" x14ac:dyDescent="0.25">
      <c r="B62" s="114"/>
      <c r="C62" s="104"/>
      <c r="D62" s="104"/>
      <c r="E62" s="114"/>
      <c r="F62" s="114"/>
      <c r="G62" s="114"/>
      <c r="H62" s="114"/>
      <c r="I62" s="100"/>
      <c r="J62" s="114"/>
    </row>
    <row r="63" spans="1:10" s="13" customFormat="1" x14ac:dyDescent="0.25">
      <c r="A63" s="13" t="s">
        <v>25</v>
      </c>
      <c r="B63" s="114"/>
      <c r="C63" s="104"/>
      <c r="D63" s="104"/>
      <c r="E63" s="114"/>
      <c r="F63" s="114"/>
      <c r="G63" s="114"/>
      <c r="H63" s="114"/>
      <c r="I63" s="100"/>
      <c r="J63" s="114"/>
    </row>
    <row r="64" spans="1:10" s="13" customFormat="1" x14ac:dyDescent="0.25">
      <c r="A64" s="13" t="s">
        <v>40</v>
      </c>
      <c r="B64" s="114">
        <f>(B19/B12)*12</f>
        <v>663163.07428735623</v>
      </c>
      <c r="C64" s="171">
        <f>(C19/D12)*12</f>
        <v>420000</v>
      </c>
      <c r="D64" s="171"/>
      <c r="E64" s="114">
        <f>(E19/E12)*12</f>
        <v>1074233.1691297209</v>
      </c>
      <c r="F64" s="114">
        <f t="shared" ref="F64:I64" si="17">(F19/F12)*12</f>
        <v>3744000</v>
      </c>
      <c r="G64" s="114">
        <f t="shared" si="17"/>
        <v>600000</v>
      </c>
      <c r="H64" s="114">
        <f t="shared" si="17"/>
        <v>900000</v>
      </c>
      <c r="I64" s="114">
        <f t="shared" si="17"/>
        <v>1284000</v>
      </c>
      <c r="J64" s="93" t="s">
        <v>53</v>
      </c>
    </row>
    <row r="65" spans="1:10" s="13" customFormat="1" x14ac:dyDescent="0.25">
      <c r="A65" s="13" t="s">
        <v>41</v>
      </c>
      <c r="B65" s="114">
        <f>(B20/B14)*12</f>
        <v>483949.6252889075</v>
      </c>
      <c r="C65" s="171">
        <f>(C20/D14)*12</f>
        <v>301342.41234051972</v>
      </c>
      <c r="D65" s="171"/>
      <c r="E65" s="114">
        <f>(E20/E14)*12</f>
        <v>883887.78310701961</v>
      </c>
      <c r="F65" s="114">
        <f t="shared" ref="F65:I65" si="18">(F20/F14)*12</f>
        <v>2215391.3466212931</v>
      </c>
      <c r="G65" s="114">
        <f t="shared" si="18"/>
        <v>561267.10879938549</v>
      </c>
      <c r="H65" s="114">
        <f t="shared" si="18"/>
        <v>707542.90517459961</v>
      </c>
      <c r="I65" s="114">
        <f t="shared" si="18"/>
        <v>1194766.4050189874</v>
      </c>
      <c r="J65" s="93" t="s">
        <v>53</v>
      </c>
    </row>
    <row r="66" spans="1:10" s="13" customFormat="1" x14ac:dyDescent="0.25">
      <c r="A66" s="13" t="s">
        <v>26</v>
      </c>
      <c r="B66" s="93" t="s">
        <v>53</v>
      </c>
      <c r="C66" s="174">
        <f>(C65/C64)*D48</f>
        <v>86.446029828878764</v>
      </c>
      <c r="D66" s="174"/>
      <c r="E66" s="114">
        <f>(E65/E64)*E48</f>
        <v>91.070144493781044</v>
      </c>
      <c r="F66" s="114">
        <f t="shared" ref="F66:I66" si="19">(F65/F64)*F48</f>
        <v>6.8628685445385456</v>
      </c>
      <c r="G66" s="114">
        <f t="shared" si="19"/>
        <v>111.70679870983335</v>
      </c>
      <c r="H66" s="114">
        <f t="shared" si="19"/>
        <v>82.04006917649096</v>
      </c>
      <c r="I66" s="114">
        <f t="shared" si="19"/>
        <v>102.43779089655894</v>
      </c>
      <c r="J66" s="93" t="s">
        <v>53</v>
      </c>
    </row>
    <row r="67" spans="1:10" s="13" customFormat="1" x14ac:dyDescent="0.25">
      <c r="A67" s="13" t="s">
        <v>34</v>
      </c>
      <c r="B67" s="114">
        <f>B19/B12</f>
        <v>55263.58952394635</v>
      </c>
      <c r="C67" s="171">
        <f>C19/D12</f>
        <v>35000</v>
      </c>
      <c r="D67" s="171"/>
      <c r="E67" s="114">
        <f>E19/E12</f>
        <v>89519.430760810064</v>
      </c>
      <c r="F67" s="114">
        <f t="shared" ref="F67:I67" si="20">F19/F12</f>
        <v>312000</v>
      </c>
      <c r="G67" s="114">
        <f t="shared" si="20"/>
        <v>50000</v>
      </c>
      <c r="H67" s="114">
        <f t="shared" si="20"/>
        <v>75000</v>
      </c>
      <c r="I67" s="114">
        <f t="shared" si="20"/>
        <v>107000</v>
      </c>
      <c r="J67" s="93" t="s">
        <v>53</v>
      </c>
    </row>
    <row r="68" spans="1:10" s="13" customFormat="1" x14ac:dyDescent="0.25">
      <c r="A68" s="13" t="s">
        <v>35</v>
      </c>
      <c r="B68" s="114">
        <f>B20/B14</f>
        <v>40329.135440742291</v>
      </c>
      <c r="C68" s="171">
        <f>C20/D14</f>
        <v>25111.867695043311</v>
      </c>
      <c r="D68" s="171"/>
      <c r="E68" s="114">
        <f>E20/E14</f>
        <v>73657.315258918301</v>
      </c>
      <c r="F68" s="114">
        <f t="shared" ref="F68:I68" si="21">F20/F14</f>
        <v>184615.94555177444</v>
      </c>
      <c r="G68" s="114">
        <f t="shared" si="21"/>
        <v>46772.259066615457</v>
      </c>
      <c r="H68" s="114">
        <f t="shared" si="21"/>
        <v>58961.908764549968</v>
      </c>
      <c r="I68" s="114">
        <f t="shared" si="21"/>
        <v>99563.867084915619</v>
      </c>
      <c r="J68" s="93" t="s">
        <v>53</v>
      </c>
    </row>
    <row r="69" spans="1:10" s="13" customFormat="1" x14ac:dyDescent="0.25">
      <c r="B69" s="114"/>
      <c r="C69" s="114"/>
      <c r="D69" s="114"/>
      <c r="E69" s="114"/>
      <c r="F69" s="114"/>
      <c r="G69" s="114"/>
      <c r="H69" s="114"/>
      <c r="I69" s="100"/>
      <c r="J69" s="114"/>
    </row>
    <row r="70" spans="1:10" s="13" customFormat="1" x14ac:dyDescent="0.25">
      <c r="A70" s="13" t="s">
        <v>27</v>
      </c>
      <c r="B70" s="114"/>
      <c r="C70" s="114"/>
      <c r="D70" s="114"/>
      <c r="E70" s="114"/>
      <c r="F70" s="114"/>
      <c r="G70" s="114"/>
      <c r="H70" s="114"/>
      <c r="I70" s="100"/>
      <c r="J70" s="114"/>
    </row>
    <row r="71" spans="1:10" s="13" customFormat="1" x14ac:dyDescent="0.25">
      <c r="A71" s="13" t="s">
        <v>28</v>
      </c>
      <c r="B71" s="114">
        <f>(B26/B25)*100</f>
        <v>94.445650391994221</v>
      </c>
      <c r="C71" s="100"/>
      <c r="D71" s="114"/>
      <c r="E71" s="114"/>
      <c r="F71" s="114"/>
      <c r="G71" s="114"/>
      <c r="H71" s="114"/>
      <c r="I71" s="100"/>
      <c r="J71" s="114"/>
    </row>
    <row r="72" spans="1:10" s="13" customFormat="1" x14ac:dyDescent="0.25">
      <c r="A72" s="13" t="s">
        <v>29</v>
      </c>
      <c r="B72" s="114">
        <f>(B20/B26)*100</f>
        <v>93.192191235199601</v>
      </c>
      <c r="C72" s="100"/>
      <c r="D72" s="114"/>
      <c r="E72" s="114"/>
      <c r="F72" s="114"/>
      <c r="G72" s="114"/>
      <c r="H72" s="114"/>
      <c r="I72" s="100"/>
      <c r="J72" s="114"/>
    </row>
    <row r="73" spans="1:10" s="13" customFormat="1" ht="15.75" thickBot="1" x14ac:dyDescent="0.3">
      <c r="A73" s="44"/>
      <c r="B73" s="101"/>
      <c r="C73" s="101"/>
      <c r="D73" s="101"/>
      <c r="E73" s="101"/>
      <c r="F73" s="101"/>
      <c r="G73" s="101"/>
      <c r="H73" s="101"/>
      <c r="I73" s="102"/>
      <c r="J73" s="102"/>
    </row>
    <row r="74" spans="1:10" ht="15.75" thickTop="1" x14ac:dyDescent="0.25">
      <c r="A74" s="20"/>
    </row>
    <row r="75" spans="1:10" x14ac:dyDescent="0.25">
      <c r="A75" s="20"/>
    </row>
    <row r="76" spans="1:10" x14ac:dyDescent="0.25">
      <c r="A76" s="2" t="s">
        <v>30</v>
      </c>
      <c r="B76" s="24"/>
      <c r="D76" s="11"/>
    </row>
    <row r="77" spans="1:10" x14ac:dyDescent="0.25">
      <c r="A77" s="2" t="s">
        <v>119</v>
      </c>
    </row>
    <row r="78" spans="1:10" x14ac:dyDescent="0.25">
      <c r="A78" s="2" t="s">
        <v>45</v>
      </c>
    </row>
    <row r="79" spans="1:10" x14ac:dyDescent="0.25">
      <c r="A79" s="22" t="s">
        <v>58</v>
      </c>
    </row>
    <row r="80" spans="1:10" x14ac:dyDescent="0.25">
      <c r="A80" s="21" t="s">
        <v>54</v>
      </c>
    </row>
    <row r="81" spans="1:1" x14ac:dyDescent="0.25">
      <c r="A81" s="2" t="s">
        <v>120</v>
      </c>
    </row>
    <row r="82" spans="1:1" x14ac:dyDescent="0.25">
      <c r="A82" s="2" t="s">
        <v>121</v>
      </c>
    </row>
    <row r="83" spans="1:1" x14ac:dyDescent="0.25">
      <c r="A83" s="2" t="s">
        <v>46</v>
      </c>
    </row>
    <row r="84" spans="1:1" x14ac:dyDescent="0.25">
      <c r="A84" s="15" t="s">
        <v>47</v>
      </c>
    </row>
    <row r="85" spans="1:1" x14ac:dyDescent="0.25">
      <c r="A85" s="15" t="s">
        <v>48</v>
      </c>
    </row>
    <row r="86" spans="1:1" x14ac:dyDescent="0.25">
      <c r="A86" s="2" t="s">
        <v>122</v>
      </c>
    </row>
    <row r="88" spans="1:1" x14ac:dyDescent="0.25">
      <c r="A88" s="2" t="s">
        <v>123</v>
      </c>
    </row>
  </sheetData>
  <mergeCells count="29">
    <mergeCell ref="C67:D67"/>
    <mergeCell ref="C68:D68"/>
    <mergeCell ref="C42:D42"/>
    <mergeCell ref="C43:D43"/>
    <mergeCell ref="C47:D47"/>
    <mergeCell ref="C60:D60"/>
    <mergeCell ref="C61:D61"/>
    <mergeCell ref="C59:D59"/>
    <mergeCell ref="C51:D51"/>
    <mergeCell ref="C52:D52"/>
    <mergeCell ref="C53:D53"/>
    <mergeCell ref="C56:D56"/>
    <mergeCell ref="C66:D66"/>
    <mergeCell ref="C65:D65"/>
    <mergeCell ref="C64:D64"/>
    <mergeCell ref="A2:I2"/>
    <mergeCell ref="C31:D31"/>
    <mergeCell ref="C21:D21"/>
    <mergeCell ref="B4:B5"/>
    <mergeCell ref="C18:D18"/>
    <mergeCell ref="C19:D19"/>
    <mergeCell ref="C20:D20"/>
    <mergeCell ref="C5:D5"/>
    <mergeCell ref="A4:A5"/>
    <mergeCell ref="C34:D34"/>
    <mergeCell ref="C35:D35"/>
    <mergeCell ref="C36:D36"/>
    <mergeCell ref="C37:D37"/>
    <mergeCell ref="C22:D22"/>
  </mergeCells>
  <pageMargins left="0.7" right="0.7" top="0.75" bottom="0.75" header="0.3" footer="0.3"/>
  <pageSetup orientation="portrait" r:id="rId1"/>
  <ignoredErrors>
    <ignoredError sqref="B20:B21" formula="1"/>
    <ignoredError sqref="C18:D20" formulaRange="1"/>
    <ignoredError sqref="B44:J45 C42:G42 B49:J50 D48:I48 B47:I47 D46:I46 B54:J58 C53:I53 B52:I52 C51:I51 B69:J72 C66 B62:J63 B61:I61 B60:J60 B59:I59 B68:C68 B64:I64 B43:D43 E66:I66 B67:C67 E67:I67 E68:I68 B65:C65 E65:I65 F43:G43" evalError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III Trimestre</vt:lpstr>
      <vt:lpstr>IV Trimestre</vt:lpstr>
      <vt:lpstr>I Semestre</vt:lpstr>
      <vt:lpstr>III Trimestre Acumulado</vt:lpstr>
      <vt:lpstr>Anual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Stephanie Tatiana Salas Soto</cp:lastModifiedBy>
  <cp:lastPrinted>2012-11-21T16:57:56Z</cp:lastPrinted>
  <dcterms:created xsi:type="dcterms:W3CDTF">2012-04-24T21:09:42Z</dcterms:created>
  <dcterms:modified xsi:type="dcterms:W3CDTF">2019-06-14T15:09:28Z</dcterms:modified>
</cp:coreProperties>
</file>