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Página Web\Año 2018\CONAPAM\"/>
    </mc:Choice>
  </mc:AlternateContent>
  <bookViews>
    <workbookView xWindow="0" yWindow="0" windowWidth="28800" windowHeight="12330" tabRatio="728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Tercer trimestre Acumulado" sheetId="7" r:id="rId6"/>
    <sheet name="Anual" sheetId="8" r:id="rId7"/>
    <sheet name="Hoja1" sheetId="9" state="hidden" r:id="rId8"/>
  </sheets>
  <calcPr calcId="162913"/>
</workbook>
</file>

<file path=xl/calcChain.xml><?xml version="1.0" encoding="utf-8"?>
<calcChain xmlns="http://schemas.openxmlformats.org/spreadsheetml/2006/main">
  <c r="E45" i="4" l="1"/>
  <c r="E17" i="8" l="1"/>
  <c r="F11" i="8"/>
  <c r="E11" i="8"/>
  <c r="F10" i="8"/>
  <c r="B20" i="7"/>
  <c r="F16" i="4" l="1"/>
  <c r="E16" i="4"/>
  <c r="D16" i="4"/>
  <c r="C16" i="4"/>
  <c r="F10" i="4"/>
  <c r="E10" i="4"/>
  <c r="D10" i="4"/>
  <c r="C10" i="4"/>
  <c r="F16" i="3"/>
  <c r="E16" i="3"/>
  <c r="D16" i="3"/>
  <c r="C16" i="3"/>
  <c r="E10" i="3"/>
  <c r="D10" i="3"/>
  <c r="C10" i="3"/>
  <c r="F16" i="2"/>
  <c r="E16" i="2"/>
  <c r="D16" i="2"/>
  <c r="C16" i="2"/>
  <c r="F10" i="2"/>
  <c r="E10" i="2"/>
  <c r="D10" i="2"/>
  <c r="C10" i="2"/>
  <c r="E20" i="2" l="1"/>
  <c r="B13" i="2"/>
  <c r="F12" i="8"/>
  <c r="F11" i="7"/>
  <c r="F11" i="6"/>
  <c r="F12" i="6"/>
  <c r="F49" i="6" s="1"/>
  <c r="B13" i="3"/>
  <c r="C20" i="4"/>
  <c r="D20" i="4"/>
  <c r="E20" i="4"/>
  <c r="F20" i="4"/>
  <c r="D18" i="8"/>
  <c r="D20" i="8" s="1"/>
  <c r="E18" i="8"/>
  <c r="E33" i="8" s="1"/>
  <c r="F18" i="8"/>
  <c r="F50" i="8" s="1"/>
  <c r="F17" i="8"/>
  <c r="F16" i="8"/>
  <c r="F32" i="8" s="1"/>
  <c r="F13" i="8"/>
  <c r="F19" i="8"/>
  <c r="F12" i="7"/>
  <c r="F18" i="7"/>
  <c r="F17" i="7"/>
  <c r="F13" i="7"/>
  <c r="F19" i="7"/>
  <c r="F18" i="6"/>
  <c r="F17" i="6"/>
  <c r="F13" i="6"/>
  <c r="F19" i="6"/>
  <c r="F66" i="4"/>
  <c r="F65" i="4"/>
  <c r="F63" i="4"/>
  <c r="F44" i="4"/>
  <c r="F45" i="4"/>
  <c r="F62" i="4"/>
  <c r="F33" i="4"/>
  <c r="F35" i="4"/>
  <c r="F32" i="4"/>
  <c r="F34" i="4" s="1"/>
  <c r="F57" i="4"/>
  <c r="F49" i="4"/>
  <c r="F50" i="4"/>
  <c r="F66" i="3"/>
  <c r="F65" i="3"/>
  <c r="F62" i="3"/>
  <c r="F44" i="3"/>
  <c r="F45" i="3"/>
  <c r="F46" i="3" s="1"/>
  <c r="F63" i="3"/>
  <c r="F32" i="3"/>
  <c r="F34" i="3" s="1"/>
  <c r="F33" i="3"/>
  <c r="F35" i="3" s="1"/>
  <c r="F57" i="3"/>
  <c r="F49" i="3"/>
  <c r="F50" i="3"/>
  <c r="D20" i="3"/>
  <c r="E20" i="3"/>
  <c r="F20" i="3"/>
  <c r="C20" i="2"/>
  <c r="D20" i="2"/>
  <c r="F20" i="2"/>
  <c r="C20" i="1"/>
  <c r="D20" i="1"/>
  <c r="E20" i="1"/>
  <c r="F20" i="1"/>
  <c r="F66" i="2"/>
  <c r="F65" i="2"/>
  <c r="F63" i="2"/>
  <c r="F62" i="2"/>
  <c r="F57" i="2"/>
  <c r="F50" i="2"/>
  <c r="F49" i="2"/>
  <c r="F51" i="2" s="1"/>
  <c r="F45" i="2"/>
  <c r="F44" i="2"/>
  <c r="F33" i="2"/>
  <c r="F35" i="2" s="1"/>
  <c r="F32" i="2"/>
  <c r="F66" i="1"/>
  <c r="F65" i="1"/>
  <c r="F63" i="1"/>
  <c r="F62" i="1"/>
  <c r="F57" i="1"/>
  <c r="F50" i="1"/>
  <c r="F49" i="1"/>
  <c r="F44" i="1"/>
  <c r="F45" i="1"/>
  <c r="F32" i="1"/>
  <c r="F34" i="1" s="1"/>
  <c r="F33" i="1"/>
  <c r="F35" i="1" s="1"/>
  <c r="F34" i="2"/>
  <c r="B11" i="2"/>
  <c r="B12" i="2"/>
  <c r="B11" i="4"/>
  <c r="B12" i="4"/>
  <c r="B13" i="4"/>
  <c r="B10" i="4"/>
  <c r="B10" i="2"/>
  <c r="B18" i="2"/>
  <c r="B70" i="2" s="1"/>
  <c r="B18" i="4"/>
  <c r="B18" i="1"/>
  <c r="B16" i="2"/>
  <c r="B16" i="3"/>
  <c r="B32" i="3" s="1"/>
  <c r="B16" i="4"/>
  <c r="B16" i="1"/>
  <c r="B32" i="1" s="1"/>
  <c r="C49" i="2"/>
  <c r="D49" i="2"/>
  <c r="E49" i="2"/>
  <c r="C49" i="3"/>
  <c r="D49" i="3"/>
  <c r="E49" i="3"/>
  <c r="C49" i="4"/>
  <c r="D49" i="4"/>
  <c r="E49" i="4"/>
  <c r="C49" i="1"/>
  <c r="D49" i="1"/>
  <c r="E49" i="1"/>
  <c r="C45" i="4"/>
  <c r="D45" i="4"/>
  <c r="D44" i="4"/>
  <c r="C44" i="4"/>
  <c r="E44" i="4"/>
  <c r="C57" i="3"/>
  <c r="D57" i="3"/>
  <c r="E57" i="3"/>
  <c r="D50" i="3"/>
  <c r="E50" i="3"/>
  <c r="D45" i="3"/>
  <c r="E45" i="3"/>
  <c r="C44" i="3"/>
  <c r="D44" i="3"/>
  <c r="D46" i="3" s="1"/>
  <c r="E44" i="3"/>
  <c r="D33" i="3"/>
  <c r="D35" i="3"/>
  <c r="E33" i="3"/>
  <c r="E58" i="3" s="1"/>
  <c r="C32" i="3"/>
  <c r="C34" i="3" s="1"/>
  <c r="D32" i="3"/>
  <c r="D34" i="3" s="1"/>
  <c r="E32" i="3"/>
  <c r="E34" i="3"/>
  <c r="C66" i="2"/>
  <c r="D66" i="2"/>
  <c r="E66" i="2"/>
  <c r="C65" i="2"/>
  <c r="D65" i="2"/>
  <c r="E65" i="2"/>
  <c r="C62" i="2"/>
  <c r="D62" i="2"/>
  <c r="E62" i="2"/>
  <c r="C57" i="2"/>
  <c r="D57" i="2"/>
  <c r="E57" i="2"/>
  <c r="C50" i="2"/>
  <c r="C51" i="2" s="1"/>
  <c r="D50" i="2"/>
  <c r="E50" i="2"/>
  <c r="C45" i="2"/>
  <c r="D45" i="2"/>
  <c r="E45" i="2"/>
  <c r="C44" i="2"/>
  <c r="C46" i="2" s="1"/>
  <c r="D44" i="2"/>
  <c r="D46" i="2" s="1"/>
  <c r="E44" i="2"/>
  <c r="E46" i="2" s="1"/>
  <c r="C66" i="1"/>
  <c r="D66" i="1"/>
  <c r="E66" i="1"/>
  <c r="C65" i="1"/>
  <c r="D65" i="1"/>
  <c r="E65" i="1"/>
  <c r="C62" i="1"/>
  <c r="D62" i="1"/>
  <c r="E62" i="1"/>
  <c r="C57" i="1"/>
  <c r="D57" i="1"/>
  <c r="E57" i="1"/>
  <c r="C50" i="1"/>
  <c r="D50" i="1"/>
  <c r="E50" i="1"/>
  <c r="C45" i="1"/>
  <c r="D45" i="1"/>
  <c r="E45" i="1"/>
  <c r="C44" i="1"/>
  <c r="D44" i="1"/>
  <c r="E44" i="1"/>
  <c r="E46" i="1"/>
  <c r="C33" i="1"/>
  <c r="D33" i="1"/>
  <c r="D35" i="1" s="1"/>
  <c r="E33" i="1"/>
  <c r="E35" i="1" s="1"/>
  <c r="C32" i="1"/>
  <c r="C34" i="1" s="1"/>
  <c r="D32" i="1"/>
  <c r="D34" i="1"/>
  <c r="E32" i="1"/>
  <c r="E34" i="1" s="1"/>
  <c r="B19" i="1"/>
  <c r="B17" i="1"/>
  <c r="B23" i="1" s="1"/>
  <c r="B69" i="1" s="1"/>
  <c r="B19" i="2"/>
  <c r="B17" i="2"/>
  <c r="B23" i="2" s="1"/>
  <c r="B69" i="2" s="1"/>
  <c r="E12" i="8"/>
  <c r="E10" i="8"/>
  <c r="D12" i="8"/>
  <c r="D11" i="8"/>
  <c r="D10" i="8"/>
  <c r="C12" i="8"/>
  <c r="C11" i="8"/>
  <c r="C10" i="8"/>
  <c r="E12" i="7"/>
  <c r="E11" i="7"/>
  <c r="E10" i="7"/>
  <c r="D12" i="7"/>
  <c r="D11" i="7"/>
  <c r="D10" i="7"/>
  <c r="C12" i="7"/>
  <c r="C11" i="7"/>
  <c r="C10" i="7"/>
  <c r="E12" i="6"/>
  <c r="E11" i="6"/>
  <c r="E10" i="6"/>
  <c r="D12" i="6"/>
  <c r="D57" i="6" s="1"/>
  <c r="D11" i="6"/>
  <c r="D10" i="6"/>
  <c r="C12" i="6"/>
  <c r="C11" i="6"/>
  <c r="C10" i="6"/>
  <c r="E66" i="4"/>
  <c r="D66" i="4"/>
  <c r="C66" i="4"/>
  <c r="E65" i="4"/>
  <c r="D65" i="4"/>
  <c r="C65" i="4"/>
  <c r="E66" i="3"/>
  <c r="D66" i="3"/>
  <c r="E65" i="3"/>
  <c r="D65" i="3"/>
  <c r="C65" i="3"/>
  <c r="E211" i="1"/>
  <c r="C19" i="6"/>
  <c r="D19" i="6"/>
  <c r="E19" i="6"/>
  <c r="C17" i="6"/>
  <c r="D17" i="6"/>
  <c r="D65" i="6" s="1"/>
  <c r="E17" i="6"/>
  <c r="C18" i="6"/>
  <c r="D18" i="6"/>
  <c r="D45" i="6" s="1"/>
  <c r="E18" i="6"/>
  <c r="E20" i="6" s="1"/>
  <c r="D16" i="6"/>
  <c r="E16" i="6"/>
  <c r="E32" i="6" s="1"/>
  <c r="F16" i="6"/>
  <c r="F32" i="6" s="1"/>
  <c r="C16" i="6"/>
  <c r="C32" i="6" s="1"/>
  <c r="D19" i="7"/>
  <c r="E19" i="7"/>
  <c r="C19" i="7"/>
  <c r="C17" i="7"/>
  <c r="D17" i="7"/>
  <c r="E17" i="7"/>
  <c r="D18" i="7"/>
  <c r="E18" i="7"/>
  <c r="E20" i="7" s="1"/>
  <c r="D16" i="7"/>
  <c r="D32" i="7" s="1"/>
  <c r="D34" i="7" s="1"/>
  <c r="E16" i="7"/>
  <c r="F16" i="7"/>
  <c r="F32" i="7" s="1"/>
  <c r="C16" i="7"/>
  <c r="C32" i="7" s="1"/>
  <c r="C34" i="7" s="1"/>
  <c r="C17" i="8"/>
  <c r="D17" i="8"/>
  <c r="D45" i="8" s="1"/>
  <c r="D16" i="8"/>
  <c r="E16" i="8"/>
  <c r="E32" i="8" s="1"/>
  <c r="C16" i="8"/>
  <c r="C32" i="8" s="1"/>
  <c r="C19" i="8"/>
  <c r="D19" i="8"/>
  <c r="D50" i="8"/>
  <c r="E19" i="8"/>
  <c r="B19" i="8" s="1"/>
  <c r="D13" i="6"/>
  <c r="E13" i="6"/>
  <c r="C13" i="6"/>
  <c r="F10" i="6"/>
  <c r="D13" i="7"/>
  <c r="E13" i="7"/>
  <c r="C13" i="7"/>
  <c r="F10" i="7"/>
  <c r="D13" i="8"/>
  <c r="E13" i="8"/>
  <c r="B13" i="8" s="1"/>
  <c r="C13" i="8"/>
  <c r="B19" i="4"/>
  <c r="B17" i="4"/>
  <c r="B23" i="4"/>
  <c r="B69" i="4" s="1"/>
  <c r="B19" i="3"/>
  <c r="B17" i="3"/>
  <c r="B23" i="3" s="1"/>
  <c r="B69" i="3" s="1"/>
  <c r="B12" i="3"/>
  <c r="B11" i="3"/>
  <c r="B10" i="3"/>
  <c r="B13" i="1"/>
  <c r="B12" i="1"/>
  <c r="B11" i="1"/>
  <c r="B10" i="1"/>
  <c r="C33" i="6"/>
  <c r="C35" i="6" s="1"/>
  <c r="E63" i="4"/>
  <c r="D63" i="4"/>
  <c r="C63" i="4"/>
  <c r="E57" i="4"/>
  <c r="D57" i="4"/>
  <c r="C57" i="4"/>
  <c r="E50" i="4"/>
  <c r="E51" i="4" s="1"/>
  <c r="D50" i="4"/>
  <c r="D51" i="4" s="1"/>
  <c r="C50" i="4"/>
  <c r="E62" i="4"/>
  <c r="D62" i="4"/>
  <c r="C62" i="4"/>
  <c r="E33" i="4"/>
  <c r="E35" i="4" s="1"/>
  <c r="D33" i="4"/>
  <c r="D35" i="4" s="1"/>
  <c r="C33" i="4"/>
  <c r="E32" i="4"/>
  <c r="E58" i="4" s="1"/>
  <c r="D32" i="4"/>
  <c r="D34" i="4" s="1"/>
  <c r="C32" i="4"/>
  <c r="C34" i="4"/>
  <c r="B32" i="4"/>
  <c r="E63" i="3"/>
  <c r="D63" i="3"/>
  <c r="E62" i="3"/>
  <c r="D62" i="3"/>
  <c r="E63" i="2"/>
  <c r="D63" i="2"/>
  <c r="C63" i="2"/>
  <c r="E33" i="2"/>
  <c r="E35" i="2" s="1"/>
  <c r="D33" i="2"/>
  <c r="D35" i="2" s="1"/>
  <c r="C33" i="2"/>
  <c r="C58" i="2" s="1"/>
  <c r="E32" i="2"/>
  <c r="E34" i="2" s="1"/>
  <c r="D32" i="2"/>
  <c r="D34" i="2"/>
  <c r="C32" i="2"/>
  <c r="C34" i="2" s="1"/>
  <c r="B24" i="6"/>
  <c r="B32" i="2"/>
  <c r="D63" i="1"/>
  <c r="E63" i="1"/>
  <c r="C63" i="1"/>
  <c r="E58" i="2"/>
  <c r="C35" i="4"/>
  <c r="C59" i="4" s="1"/>
  <c r="B40" i="2"/>
  <c r="D33" i="8"/>
  <c r="D32" i="6"/>
  <c r="D32" i="8"/>
  <c r="C62" i="3"/>
  <c r="B24" i="8"/>
  <c r="B24" i="7"/>
  <c r="B20" i="4"/>
  <c r="E46" i="4"/>
  <c r="E64" i="4" s="1"/>
  <c r="F58" i="4"/>
  <c r="E34" i="4" l="1"/>
  <c r="C58" i="4"/>
  <c r="F59" i="3"/>
  <c r="D58" i="2"/>
  <c r="B50" i="4"/>
  <c r="D46" i="4"/>
  <c r="B62" i="4"/>
  <c r="C46" i="4"/>
  <c r="C64" i="4" s="1"/>
  <c r="F51" i="4"/>
  <c r="E49" i="8"/>
  <c r="B65" i="4"/>
  <c r="B40" i="4"/>
  <c r="D64" i="4"/>
  <c r="C51" i="4"/>
  <c r="C49" i="8"/>
  <c r="E46" i="3"/>
  <c r="B19" i="7"/>
  <c r="D51" i="3"/>
  <c r="D50" i="7"/>
  <c r="D65" i="7"/>
  <c r="B62" i="3"/>
  <c r="E49" i="7"/>
  <c r="B13" i="7"/>
  <c r="D49" i="7"/>
  <c r="B40" i="3"/>
  <c r="B65" i="3"/>
  <c r="B19" i="6"/>
  <c r="C50" i="6"/>
  <c r="B62" i="2"/>
  <c r="B65" i="2"/>
  <c r="D62" i="8"/>
  <c r="B17" i="8"/>
  <c r="B23" i="8" s="1"/>
  <c r="B69" i="8" s="1"/>
  <c r="B13" i="6"/>
  <c r="C65" i="7"/>
  <c r="F45" i="7"/>
  <c r="F62" i="7"/>
  <c r="B50" i="1"/>
  <c r="C65" i="8"/>
  <c r="C62" i="8"/>
  <c r="B65" i="1"/>
  <c r="F65" i="6"/>
  <c r="D46" i="1"/>
  <c r="B49" i="1"/>
  <c r="C62" i="6"/>
  <c r="F46" i="4"/>
  <c r="F64" i="4" s="1"/>
  <c r="F59" i="4"/>
  <c r="B70" i="4"/>
  <c r="B54" i="4"/>
  <c r="B45" i="4"/>
  <c r="D59" i="4"/>
  <c r="B33" i="4"/>
  <c r="B35" i="4" s="1"/>
  <c r="B63" i="4"/>
  <c r="E59" i="4"/>
  <c r="B66" i="4"/>
  <c r="B44" i="4"/>
  <c r="B41" i="4"/>
  <c r="B49" i="4"/>
  <c r="B51" i="4" s="1"/>
  <c r="F58" i="3"/>
  <c r="F51" i="3"/>
  <c r="E35" i="3"/>
  <c r="E59" i="3" s="1"/>
  <c r="E51" i="3"/>
  <c r="E64" i="3"/>
  <c r="D64" i="3"/>
  <c r="F64" i="3"/>
  <c r="B41" i="3"/>
  <c r="D59" i="3"/>
  <c r="B49" i="3"/>
  <c r="B57" i="3"/>
  <c r="B44" i="3"/>
  <c r="F66" i="7"/>
  <c r="F63" i="7"/>
  <c r="F33" i="7"/>
  <c r="F35" i="7" s="1"/>
  <c r="F58" i="2"/>
  <c r="E50" i="8"/>
  <c r="E51" i="8" s="1"/>
  <c r="E33" i="7"/>
  <c r="E35" i="7" s="1"/>
  <c r="E20" i="8"/>
  <c r="F59" i="2"/>
  <c r="F46" i="2"/>
  <c r="F64" i="2" s="1"/>
  <c r="B50" i="2"/>
  <c r="E64" i="2"/>
  <c r="E51" i="2"/>
  <c r="D50" i="6"/>
  <c r="B20" i="2"/>
  <c r="B54" i="2" s="1"/>
  <c r="B45" i="2"/>
  <c r="D64" i="2"/>
  <c r="D51" i="2"/>
  <c r="B66" i="2"/>
  <c r="C35" i="2"/>
  <c r="C59" i="2" s="1"/>
  <c r="C20" i="6"/>
  <c r="C64" i="2"/>
  <c r="B33" i="2"/>
  <c r="B58" i="2" s="1"/>
  <c r="F57" i="6"/>
  <c r="E59" i="2"/>
  <c r="B44" i="2"/>
  <c r="D59" i="2"/>
  <c r="B41" i="2"/>
  <c r="B63" i="2"/>
  <c r="B49" i="2"/>
  <c r="C57" i="7"/>
  <c r="B57" i="2"/>
  <c r="F46" i="1"/>
  <c r="F64" i="1" s="1"/>
  <c r="B70" i="1"/>
  <c r="B33" i="1"/>
  <c r="B35" i="1" s="1"/>
  <c r="E50" i="7"/>
  <c r="E66" i="7"/>
  <c r="D63" i="8"/>
  <c r="D33" i="7"/>
  <c r="D35" i="7" s="1"/>
  <c r="D59" i="7" s="1"/>
  <c r="E63" i="7"/>
  <c r="E51" i="1"/>
  <c r="E59" i="1"/>
  <c r="B20" i="1"/>
  <c r="B54" i="1" s="1"/>
  <c r="F51" i="1"/>
  <c r="F44" i="6"/>
  <c r="B57" i="1"/>
  <c r="E66" i="8"/>
  <c r="E57" i="7"/>
  <c r="E44" i="7"/>
  <c r="E57" i="8"/>
  <c r="B12" i="7"/>
  <c r="B41" i="7" s="1"/>
  <c r="D44" i="6"/>
  <c r="D46" i="6" s="1"/>
  <c r="C44" i="8"/>
  <c r="C49" i="7"/>
  <c r="D58" i="4"/>
  <c r="B34" i="4"/>
  <c r="B57" i="4"/>
  <c r="D34" i="8"/>
  <c r="B34" i="3"/>
  <c r="D58" i="3"/>
  <c r="B34" i="2"/>
  <c r="D58" i="8"/>
  <c r="F58" i="1"/>
  <c r="D51" i="7"/>
  <c r="F50" i="7"/>
  <c r="C62" i="7"/>
  <c r="D63" i="7"/>
  <c r="D33" i="6"/>
  <c r="D35" i="6" s="1"/>
  <c r="D59" i="6" s="1"/>
  <c r="E63" i="6"/>
  <c r="D58" i="1"/>
  <c r="F33" i="8"/>
  <c r="F35" i="8" s="1"/>
  <c r="D34" i="6"/>
  <c r="D63" i="6"/>
  <c r="D20" i="6"/>
  <c r="C46" i="1"/>
  <c r="C64" i="1" s="1"/>
  <c r="F66" i="6"/>
  <c r="F66" i="8"/>
  <c r="C44" i="7"/>
  <c r="F20" i="8"/>
  <c r="B44" i="1"/>
  <c r="B51" i="1"/>
  <c r="F20" i="7"/>
  <c r="E64" i="1"/>
  <c r="F45" i="8"/>
  <c r="D62" i="6"/>
  <c r="B45" i="1"/>
  <c r="D44" i="7"/>
  <c r="E63" i="8"/>
  <c r="D57" i="7"/>
  <c r="D65" i="8"/>
  <c r="C58" i="1"/>
  <c r="D51" i="1"/>
  <c r="B58" i="1"/>
  <c r="B34" i="1"/>
  <c r="D64" i="1"/>
  <c r="B62" i="1"/>
  <c r="B66" i="1"/>
  <c r="D57" i="8"/>
  <c r="F33" i="6"/>
  <c r="F35" i="6" s="1"/>
  <c r="F59" i="6" s="1"/>
  <c r="B16" i="6"/>
  <c r="B32" i="6" s="1"/>
  <c r="B16" i="7"/>
  <c r="B32" i="7" s="1"/>
  <c r="B12" i="6"/>
  <c r="B49" i="6" s="1"/>
  <c r="C34" i="8"/>
  <c r="F59" i="1"/>
  <c r="F50" i="6"/>
  <c r="F51" i="6" s="1"/>
  <c r="F34" i="7"/>
  <c r="E49" i="6"/>
  <c r="E58" i="1"/>
  <c r="B41" i="1"/>
  <c r="B40" i="1"/>
  <c r="C51" i="1"/>
  <c r="F45" i="6"/>
  <c r="B63" i="1"/>
  <c r="D66" i="6"/>
  <c r="D59" i="1"/>
  <c r="E44" i="6"/>
  <c r="F63" i="6"/>
  <c r="C35" i="1"/>
  <c r="C59" i="1" s="1"/>
  <c r="E45" i="6"/>
  <c r="C49" i="6"/>
  <c r="C51" i="6" s="1"/>
  <c r="F65" i="7"/>
  <c r="E32" i="7"/>
  <c r="B11" i="7"/>
  <c r="B40" i="7" s="1"/>
  <c r="B10" i="8"/>
  <c r="F62" i="6"/>
  <c r="F44" i="8"/>
  <c r="C44" i="6"/>
  <c r="C57" i="6"/>
  <c r="C66" i="6"/>
  <c r="E44" i="8"/>
  <c r="F44" i="7"/>
  <c r="F62" i="8"/>
  <c r="C57" i="8"/>
  <c r="E50" i="6"/>
  <c r="B18" i="6"/>
  <c r="B11" i="6"/>
  <c r="E65" i="8"/>
  <c r="F63" i="8"/>
  <c r="E33" i="6"/>
  <c r="E35" i="6" s="1"/>
  <c r="C63" i="6"/>
  <c r="E66" i="6"/>
  <c r="E45" i="7"/>
  <c r="C34" i="6"/>
  <c r="C59" i="6" s="1"/>
  <c r="F57" i="7"/>
  <c r="C58" i="6"/>
  <c r="B16" i="8"/>
  <c r="B32" i="8" s="1"/>
  <c r="B17" i="7"/>
  <c r="B23" i="7" s="1"/>
  <c r="B69" i="7" s="1"/>
  <c r="F49" i="7"/>
  <c r="F49" i="8"/>
  <c r="F51" i="8" s="1"/>
  <c r="F34" i="8"/>
  <c r="F34" i="6"/>
  <c r="E34" i="6"/>
  <c r="E35" i="8"/>
  <c r="E58" i="8"/>
  <c r="E62" i="7"/>
  <c r="F65" i="8"/>
  <c r="E62" i="8"/>
  <c r="B10" i="6"/>
  <c r="D45" i="7"/>
  <c r="D46" i="7" s="1"/>
  <c r="D35" i="8"/>
  <c r="E57" i="6"/>
  <c r="B17" i="6"/>
  <c r="D66" i="7"/>
  <c r="F20" i="6"/>
  <c r="E45" i="8"/>
  <c r="D62" i="7"/>
  <c r="D20" i="7"/>
  <c r="B12" i="8"/>
  <c r="D49" i="8"/>
  <c r="D51" i="8" s="1"/>
  <c r="D49" i="6"/>
  <c r="F57" i="8"/>
  <c r="D66" i="8"/>
  <c r="E65" i="7"/>
  <c r="E62" i="6"/>
  <c r="C65" i="6"/>
  <c r="B10" i="7"/>
  <c r="C45" i="6"/>
  <c r="E34" i="8"/>
  <c r="E65" i="6"/>
  <c r="B11" i="8"/>
  <c r="B40" i="8" s="1"/>
  <c r="D44" i="8"/>
  <c r="D46" i="8" s="1"/>
  <c r="B59" i="1" l="1"/>
  <c r="B46" i="4"/>
  <c r="B64" i="4" s="1"/>
  <c r="E51" i="7"/>
  <c r="F46" i="7"/>
  <c r="B46" i="1"/>
  <c r="B64" i="1" s="1"/>
  <c r="F46" i="6"/>
  <c r="E46" i="7"/>
  <c r="E64" i="7" s="1"/>
  <c r="B58" i="4"/>
  <c r="B59" i="4"/>
  <c r="F59" i="7"/>
  <c r="F58" i="7"/>
  <c r="F46" i="8"/>
  <c r="F64" i="8" s="1"/>
  <c r="F64" i="7"/>
  <c r="F58" i="6"/>
  <c r="D64" i="8"/>
  <c r="F51" i="7"/>
  <c r="B46" i="2"/>
  <c r="B64" i="2" s="1"/>
  <c r="B35" i="2"/>
  <c r="B59" i="2" s="1"/>
  <c r="B51" i="2"/>
  <c r="D51" i="6"/>
  <c r="E51" i="6"/>
  <c r="B20" i="6"/>
  <c r="B54" i="6" s="1"/>
  <c r="D58" i="7"/>
  <c r="E58" i="6"/>
  <c r="B49" i="7"/>
  <c r="F64" i="6"/>
  <c r="B57" i="7"/>
  <c r="E46" i="6"/>
  <c r="E64" i="6" s="1"/>
  <c r="C46" i="6"/>
  <c r="C64" i="6" s="1"/>
  <c r="D59" i="8"/>
  <c r="F59" i="8"/>
  <c r="B57" i="6"/>
  <c r="F58" i="8"/>
  <c r="D58" i="6"/>
  <c r="B34" i="8"/>
  <c r="D64" i="6"/>
  <c r="B44" i="6"/>
  <c r="B63" i="6"/>
  <c r="D64" i="7"/>
  <c r="B65" i="7"/>
  <c r="B41" i="6"/>
  <c r="B44" i="7"/>
  <c r="E46" i="8"/>
  <c r="E64" i="8" s="1"/>
  <c r="B40" i="6"/>
  <c r="B62" i="7"/>
  <c r="B33" i="6"/>
  <c r="B50" i="6"/>
  <c r="B51" i="6" s="1"/>
  <c r="B65" i="8"/>
  <c r="B70" i="6"/>
  <c r="E34" i="7"/>
  <c r="E59" i="7" s="1"/>
  <c r="E58" i="7"/>
  <c r="B34" i="7"/>
  <c r="B62" i="8"/>
  <c r="B66" i="6"/>
  <c r="E59" i="6"/>
  <c r="B34" i="6"/>
  <c r="B62" i="6"/>
  <c r="B45" i="6"/>
  <c r="B65" i="6"/>
  <c r="B23" i="6"/>
  <c r="B69" i="6" s="1"/>
  <c r="E59" i="8"/>
  <c r="B44" i="8"/>
  <c r="B41" i="8"/>
  <c r="B57" i="8"/>
  <c r="B49" i="8"/>
  <c r="B46" i="6" l="1"/>
  <c r="B64" i="6" s="1"/>
  <c r="B58" i="6"/>
  <c r="B35" i="6"/>
  <c r="B59" i="6" s="1"/>
  <c r="C66" i="3"/>
  <c r="C20" i="3"/>
  <c r="B20" i="3"/>
  <c r="C33" i="3"/>
  <c r="C58" i="3" s="1"/>
  <c r="C63" i="3"/>
  <c r="C50" i="3"/>
  <c r="C51" i="3" s="1"/>
  <c r="C18" i="8"/>
  <c r="C63" i="8" s="1"/>
  <c r="C18" i="7"/>
  <c r="C33" i="7" s="1"/>
  <c r="B18" i="3"/>
  <c r="B45" i="3" s="1"/>
  <c r="B46" i="3" s="1"/>
  <c r="C45" i="3"/>
  <c r="C46" i="3"/>
  <c r="C33" i="8" l="1"/>
  <c r="C58" i="8" s="1"/>
  <c r="C20" i="8"/>
  <c r="B20" i="8" s="1"/>
  <c r="C64" i="3"/>
  <c r="C35" i="7"/>
  <c r="C59" i="7" s="1"/>
  <c r="C58" i="7"/>
  <c r="C45" i="8"/>
  <c r="C46" i="8" s="1"/>
  <c r="C64" i="8" s="1"/>
  <c r="C66" i="7"/>
  <c r="B33" i="3"/>
  <c r="C63" i="7"/>
  <c r="C66" i="8"/>
  <c r="C20" i="7"/>
  <c r="B50" i="3"/>
  <c r="B51" i="3" s="1"/>
  <c r="B18" i="8"/>
  <c r="B54" i="8" s="1"/>
  <c r="C35" i="3"/>
  <c r="C59" i="3" s="1"/>
  <c r="C50" i="8"/>
  <c r="C51" i="8" s="1"/>
  <c r="B66" i="3"/>
  <c r="B18" i="7"/>
  <c r="B63" i="3"/>
  <c r="B64" i="3" s="1"/>
  <c r="B54" i="3"/>
  <c r="B70" i="3"/>
  <c r="C35" i="8"/>
  <c r="C59" i="8" s="1"/>
  <c r="C50" i="7"/>
  <c r="C51" i="7" s="1"/>
  <c r="C45" i="7"/>
  <c r="C46" i="7" s="1"/>
  <c r="B35" i="3" l="1"/>
  <c r="B59" i="3" s="1"/>
  <c r="B58" i="3"/>
  <c r="B66" i="7"/>
  <c r="B33" i="7"/>
  <c r="B45" i="7"/>
  <c r="B46" i="7" s="1"/>
  <c r="B70" i="7"/>
  <c r="B50" i="7"/>
  <c r="B51" i="7" s="1"/>
  <c r="B63" i="7"/>
  <c r="B64" i="7" s="1"/>
  <c r="C64" i="7"/>
  <c r="B70" i="8"/>
  <c r="B50" i="8"/>
  <c r="B51" i="8" s="1"/>
  <c r="B33" i="8"/>
  <c r="B45" i="8"/>
  <c r="B46" i="8" s="1"/>
  <c r="B66" i="8"/>
  <c r="B63" i="8"/>
  <c r="B54" i="7"/>
  <c r="B64" i="8" l="1"/>
  <c r="B58" i="8"/>
  <c r="B35" i="8"/>
  <c r="B59" i="8" s="1"/>
  <c r="B35" i="7"/>
  <c r="B59" i="7" s="1"/>
  <c r="B58" i="7"/>
</calcChain>
</file>

<file path=xl/sharedStrings.xml><?xml version="1.0" encoding="utf-8"?>
<sst xmlns="http://schemas.openxmlformats.org/spreadsheetml/2006/main" count="475" uniqueCount="133">
  <si>
    <t>Indicador</t>
  </si>
  <si>
    <t>Total Programa</t>
  </si>
  <si>
    <t>Productos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</si>
  <si>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</si>
  <si>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</si>
  <si>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</si>
  <si>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</si>
  <si>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</si>
  <si>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</si>
  <si>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</si>
  <si>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</si>
  <si>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</si>
  <si>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</si>
  <si>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</si>
  <si>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</si>
  <si>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</si>
  <si>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</si>
  <si>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</si>
  <si>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</si>
  <si>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</si>
  <si>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</si>
  <si>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De composición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</si>
  <si>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</si>
  <si>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</si>
  <si>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</si>
  <si>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</si>
  <si>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</si>
  <si>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</si>
  <si>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</si>
  <si>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</si>
  <si>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</si>
  <si>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</si>
  <si>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Fuentes: </t>
  </si>
  <si>
    <t>Notas:</t>
  </si>
  <si>
    <t>La mayoría de los beneficiarios son los mismos todos los meses, por ello se utiliza el promedio de personas atendidas en el período.</t>
  </si>
  <si>
    <t xml:space="preserve">Beneficiarios </t>
  </si>
  <si>
    <t>Hogares</t>
  </si>
  <si>
    <t>Centros Diurnos</t>
  </si>
  <si>
    <t>Primer Trimestre</t>
  </si>
  <si>
    <t>Segundo Trimestre</t>
  </si>
  <si>
    <t>Tercer Trimestre</t>
  </si>
  <si>
    <t>Cuarto Trimestre</t>
  </si>
  <si>
    <t xml:space="preserve">Gasto mensual programado por beneficiario (GPB) </t>
  </si>
  <si>
    <t xml:space="preserve">Gasto mensual efectivo por beneficiario (GEB) </t>
  </si>
  <si>
    <t xml:space="preserve">Gasto trimestral programado por beneficiario (GPB) </t>
  </si>
  <si>
    <t xml:space="preserve">Gasto trimestral efectivo por beneficiario (GEB) </t>
  </si>
  <si>
    <t xml:space="preserve">Gasto anual programado por beneficiario (GPB) </t>
  </si>
  <si>
    <t xml:space="preserve">Gasto anual efectivo por beneficiario (GEB) </t>
  </si>
  <si>
    <t>Personas en 
abandono</t>
  </si>
  <si>
    <t>Efectivos 1T 2017</t>
  </si>
  <si>
    <t>IPC (1T 2017)</t>
  </si>
  <si>
    <t>Gasto efectivo real 1T 2017</t>
  </si>
  <si>
    <t>Gasto efectivo real por beneficiario 1T 2017</t>
  </si>
  <si>
    <t>Efectivos 2T 2017</t>
  </si>
  <si>
    <t>IPC (2T 2017)</t>
  </si>
  <si>
    <t>Gasto efectivo real 2T 2017</t>
  </si>
  <si>
    <t>Gasto efectivo real por beneficiario 2T 2017</t>
  </si>
  <si>
    <t>Efectivos 3T 2017</t>
  </si>
  <si>
    <t>IPC (3T 2017)</t>
  </si>
  <si>
    <t>Gasto efectivo real 3T 2017</t>
  </si>
  <si>
    <t>Gasto efectivo real por beneficiario 3T 2017</t>
  </si>
  <si>
    <t>Efectivos 4T 2017</t>
  </si>
  <si>
    <t>IPC (4T 2017)</t>
  </si>
  <si>
    <t>Gasto efectivo real 4T 2017</t>
  </si>
  <si>
    <t>Gasto efectivo real por beneficiario 4T 2017</t>
  </si>
  <si>
    <t>Población Objetivo estimada a partir de la ENAHO 2017</t>
  </si>
  <si>
    <t>Efectivos 1S 2017</t>
  </si>
  <si>
    <t>IPC (1S 2017)</t>
  </si>
  <si>
    <t>Gasto efectivo real 1S 2017</t>
  </si>
  <si>
    <t>Gasto efectivo real por beneficiario 1S 2017</t>
  </si>
  <si>
    <t>Efectivos 3TA 2017</t>
  </si>
  <si>
    <t>IPC (3TA 2017)</t>
  </si>
  <si>
    <t>Gasto efectivo real 3TA 2017</t>
  </si>
  <si>
    <t>Gasto efectivo real por beneficiario 3TA 2017</t>
  </si>
  <si>
    <t>Efectivos  2017</t>
  </si>
  <si>
    <t>IPC ( 2017)</t>
  </si>
  <si>
    <t>Gasto efectivo real  2017</t>
  </si>
  <si>
    <t>Gasto efectivo real por beneficiario  2017</t>
  </si>
  <si>
    <t>Red de Cuido</t>
  </si>
  <si>
    <t>Indicadores aplicados a CONAPAM Primer Trimestre 2018</t>
  </si>
  <si>
    <t>Programados 1T 2018</t>
  </si>
  <si>
    <t>Efectivos 1T 2018</t>
  </si>
  <si>
    <t>Programados año 2018</t>
  </si>
  <si>
    <t>En transferencias 1T 2018</t>
  </si>
  <si>
    <t>IPC (1T 2018)</t>
  </si>
  <si>
    <t>Gasto efectivo real 1T 2018</t>
  </si>
  <si>
    <t>Gasto efectivo real por beneficiario 1T 2018</t>
  </si>
  <si>
    <t>Informes trimestrales 2017 y 2018, CONAPAM</t>
  </si>
  <si>
    <t>Metas y modificaciones 2018, DESAF.</t>
  </si>
  <si>
    <t>Población objetivo: adultos mayores pobres que viven solos de acuerdo a la ENAHO 2017</t>
  </si>
  <si>
    <t>Fecha de actualización: 28/03/2019</t>
  </si>
  <si>
    <t>Indicadores aplicados a CONAPAM Segundo Trimestre 2018</t>
  </si>
  <si>
    <t>Programados 2T 2018</t>
  </si>
  <si>
    <t>Efectivos 2T 2018</t>
  </si>
  <si>
    <t>En transferencias 2T 2018</t>
  </si>
  <si>
    <t>IPC (2T 2018)</t>
  </si>
  <si>
    <t>Gasto efectivo real 2T 2018</t>
  </si>
  <si>
    <t>Gasto efectivo real por beneficiario 2T 2018</t>
  </si>
  <si>
    <t>Indicadores aplicados a CONAPAM Tercer trimestre 2018</t>
  </si>
  <si>
    <t>Programados 3T 2018</t>
  </si>
  <si>
    <t>Efectivos 3T 2018</t>
  </si>
  <si>
    <t>En transferencias 3T 2018</t>
  </si>
  <si>
    <t>IPC (3T 2018)</t>
  </si>
  <si>
    <t>Gasto efectivo real 3T 2018</t>
  </si>
  <si>
    <t>Gasto efectivo real por beneficiario 3T 2018</t>
  </si>
  <si>
    <t>Indicadores aplicados a CONAPAM  Primer Semestre 2018</t>
  </si>
  <si>
    <t>Programados 1S 2018</t>
  </si>
  <si>
    <t>Efectivos 1S 2018</t>
  </si>
  <si>
    <t>En transferencias 1S 2018</t>
  </si>
  <si>
    <t>IPC (1S 2018)</t>
  </si>
  <si>
    <t>Gasto efectivo real 1S 2018</t>
  </si>
  <si>
    <t>Gasto efectivo real por beneficiario 1S 2018</t>
  </si>
  <si>
    <t>Indicadores aplicados a CONAPAM  Tercer Trimestre Acumulado 2018</t>
  </si>
  <si>
    <t>Programados 3TA 2018</t>
  </si>
  <si>
    <t>Efectivos 3TA 2018</t>
  </si>
  <si>
    <t>En transferencias 3TA 2018</t>
  </si>
  <si>
    <t>IPC (3TA 2018)</t>
  </si>
  <si>
    <t>Gasto efectivo real 3TA 2018</t>
  </si>
  <si>
    <t>Gasto efectivo real por beneficiario 3TA 2018</t>
  </si>
  <si>
    <t>Indicadores aplicados a CONAPAM 2018</t>
  </si>
  <si>
    <t>Programados  2018</t>
  </si>
  <si>
    <t>Efectivos  2018</t>
  </si>
  <si>
    <t>En transferencias  2018</t>
  </si>
  <si>
    <t>IPC ( 2018)</t>
  </si>
  <si>
    <t>Gasto efectivo real  2018</t>
  </si>
  <si>
    <t>Gasto efectivo real por beneficiario  2018</t>
  </si>
  <si>
    <t>5Indicadores aplicados a CONAPAM Cuarto trimestre 2018</t>
  </si>
  <si>
    <t>Programados 4T 2018</t>
  </si>
  <si>
    <t>Efectivos 4T 2018</t>
  </si>
  <si>
    <t>En transferencias 4T 2018</t>
  </si>
  <si>
    <t>IPC (4T 2018)</t>
  </si>
  <si>
    <t>Gasto efectivo real 4T 2018</t>
  </si>
  <si>
    <t>Gasto efectivo real por beneficiario 4T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</si>
</sst>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_(* #,##0_);_(* \(#,##0\);_(* &quot;-&quot;??_);_(@_)"/>
    <numFmt numFmtId="166" formatCode="#,##0.0____"/>
    <numFmt numFmtId="167" formatCode="#,##0.0"/>
    <numFmt numFmtId="168" formatCode="#,##0____"/>
    <numFmt numFmtId="169" formatCode="_(* #,##0.0000_);_(* \(#,##0.0000\);_(* &quot;-&quot;??_);_(@_)"/>
    <numFmt numFmtId="170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0"/>
      <color rgb="FF222222"/>
      <name val="Arial"/>
      <family val="2"/>
    </font>
    <font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 applyAlignment="1">
      <alignment horizontal="left" indent="1"/>
    </xf>
    <xf numFmtId="3" fontId="0" fillId="0" borderId="0" xfId="0" applyNumberFormat="1" applyFill="1"/>
    <xf numFmtId="0" fontId="0" fillId="0" borderId="0" xfId="0" applyFill="1"/>
    <xf numFmtId="165" fontId="0" fillId="0" borderId="0" xfId="1" applyNumberFormat="1" applyFont="1" applyFill="1"/>
    <xf numFmtId="0" fontId="0" fillId="0" borderId="0" xfId="0" applyFill="1" applyAlignment="1">
      <alignment horizontal="left"/>
    </xf>
    <xf numFmtId="0" fontId="3" fillId="0" borderId="0" xfId="0" applyFont="1" applyFill="1"/>
    <xf numFmtId="166" fontId="0" fillId="0" borderId="0" xfId="0" applyNumberFormat="1" applyFill="1"/>
    <xf numFmtId="0" fontId="0" fillId="0" borderId="3" xfId="0" applyFill="1" applyBorder="1"/>
    <xf numFmtId="3" fontId="5" fillId="0" borderId="0" xfId="0" applyNumberFormat="1" applyFont="1" applyFill="1"/>
    <xf numFmtId="3" fontId="0" fillId="0" borderId="0" xfId="0" applyNumberFormat="1" applyFont="1" applyFill="1"/>
    <xf numFmtId="164" fontId="0" fillId="0" borderId="0" xfId="1" applyFont="1" applyFill="1"/>
    <xf numFmtId="1" fontId="0" fillId="0" borderId="3" xfId="0" applyNumberFormat="1" applyFill="1" applyBorder="1"/>
    <xf numFmtId="0" fontId="0" fillId="0" borderId="0" xfId="0" applyFill="1" applyBorder="1"/>
    <xf numFmtId="1" fontId="0" fillId="0" borderId="0" xfId="0" applyNumberFormat="1" applyFill="1" applyAlignment="1"/>
    <xf numFmtId="169" fontId="5" fillId="0" borderId="0" xfId="1" applyNumberFormat="1" applyFont="1" applyFill="1"/>
    <xf numFmtId="170" fontId="0" fillId="0" borderId="0" xfId="0" applyNumberFormat="1" applyFill="1"/>
    <xf numFmtId="170" fontId="5" fillId="0" borderId="0" xfId="1" applyNumberFormat="1" applyFont="1" applyFill="1"/>
    <xf numFmtId="170" fontId="0" fillId="0" borderId="0" xfId="0" applyNumberFormat="1" applyFill="1" applyAlignment="1">
      <alignment horizontal="right"/>
    </xf>
    <xf numFmtId="170" fontId="5" fillId="0" borderId="0" xfId="1" applyNumberFormat="1" applyFont="1" applyFill="1" applyAlignment="1">
      <alignment horizontal="right"/>
    </xf>
    <xf numFmtId="170" fontId="0" fillId="0" borderId="0" xfId="0" applyNumberFormat="1" applyFont="1" applyFill="1"/>
    <xf numFmtId="0" fontId="0" fillId="0" borderId="3" xfId="0" applyFill="1" applyBorder="1" applyAlignment="1">
      <alignment horizontal="center" vertical="center" wrapText="1"/>
    </xf>
    <xf numFmtId="0" fontId="2" fillId="0" borderId="0" xfId="0" applyFont="1" applyFill="1"/>
    <xf numFmtId="0" fontId="8" fillId="0" borderId="0" xfId="0" applyFont="1" applyFill="1" applyAlignment="1">
      <alignment horizontal="left" indent="1"/>
    </xf>
    <xf numFmtId="0" fontId="8" fillId="0" borderId="0" xfId="0" applyFont="1" applyFill="1"/>
    <xf numFmtId="0" fontId="6" fillId="0" borderId="0" xfId="0" applyFont="1" applyFill="1"/>
    <xf numFmtId="165" fontId="0" fillId="0" borderId="0" xfId="0" applyNumberFormat="1" applyFill="1"/>
    <xf numFmtId="165" fontId="1" fillId="0" borderId="0" xfId="1" applyNumberFormat="1" applyFont="1" applyFill="1"/>
    <xf numFmtId="167" fontId="0" fillId="0" borderId="0" xfId="0" applyNumberFormat="1" applyFill="1"/>
    <xf numFmtId="0" fontId="7" fillId="0" borderId="0" xfId="0" applyFont="1" applyFill="1"/>
    <xf numFmtId="3" fontId="0" fillId="0" borderId="0" xfId="0" applyNumberForma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168" fontId="0" fillId="0" borderId="0" xfId="0" applyNumberFormat="1" applyFill="1" applyAlignment="1">
      <alignment horizontal="right"/>
    </xf>
    <xf numFmtId="166" fontId="0" fillId="0" borderId="0" xfId="0" applyNumberFormat="1" applyFill="1" applyAlignment="1">
      <alignment horizontal="right"/>
    </xf>
    <xf numFmtId="1" fontId="0" fillId="0" borderId="0" xfId="0" applyNumberFormat="1" applyFill="1" applyAlignment="1">
      <alignment horizontal="right"/>
    </xf>
    <xf numFmtId="1" fontId="0" fillId="0" borderId="3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3" fontId="0" fillId="0" borderId="0" xfId="0" applyNumberFormat="1" applyFill="1" applyAlignment="1"/>
    <xf numFmtId="3" fontId="5" fillId="0" borderId="0" xfId="0" applyNumberFormat="1" applyFont="1" applyFill="1" applyAlignment="1"/>
    <xf numFmtId="0" fontId="0" fillId="0" borderId="0" xfId="0" applyFill="1" applyAlignment="1"/>
    <xf numFmtId="168" fontId="0" fillId="0" borderId="0" xfId="0" applyNumberFormat="1" applyFill="1" applyAlignment="1"/>
    <xf numFmtId="166" fontId="0" fillId="0" borderId="0" xfId="0" applyNumberFormat="1" applyFill="1" applyAlignment="1"/>
    <xf numFmtId="1" fontId="0" fillId="0" borderId="3" xfId="0" applyNumberFormat="1" applyFill="1" applyBorder="1" applyAlignment="1"/>
    <xf numFmtId="0" fontId="0" fillId="0" borderId="3" xfId="0" applyFill="1" applyBorder="1" applyAlignment="1"/>
    <xf numFmtId="0" fontId="0" fillId="0" borderId="0" xfId="0" applyNumberForma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164" fontId="2" fillId="0" borderId="0" xfId="1" applyFont="1" applyFill="1"/>
    <xf numFmtId="164" fontId="0" fillId="0" borderId="0" xfId="0" applyNumberFormat="1" applyFill="1"/>
    <xf numFmtId="0" fontId="5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 wrapText="1"/>
    </xf>
    <xf numFmtId="3" fontId="0" fillId="0" borderId="0" xfId="0" applyNumberForma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Cobertura Potencial.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Trimestre'!$A$40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Trimestre'!$B$40</c:f>
              <c:numCache>
                <c:formatCode>#\ ##0____</c:formatCode>
                <c:ptCount val="1"/>
                <c:pt idx="0">
                  <c:v>10.591288303654983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F-4569-9C66-8332F2DBA237}"/>
            </c:ext>
          </c:extLst>
        </c:ser>
        <c:ser>
          <c:idx val="1"/>
          <c:order val="1"/>
          <c:tx>
            <c:strRef>
              <c:f>'I Trimestre'!$A$41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Trimestre'!$B$41</c:f>
              <c:numCache>
                <c:formatCode>#\ ##0____</c:formatCode>
                <c:ptCount val="1"/>
                <c:pt idx="0">
                  <c:v>8.1648094191981198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F-4569-9C66-8332F2DB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7121920"/>
        <c:axId val="67123456"/>
      </c:barChart>
      <c:catAx>
        <c:axId val="6712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23456"/>
        <c:crosses val="autoZero"/>
        <c:auto val="1"/>
        <c:lblAlgn val="ctr"/>
        <c:lblOffset val="100"/>
        <c:noMultiLvlLbl val="0"/>
      </c:catAx>
      <c:valAx>
        <c:axId val="6712345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s-CR"/>
          </a:p>
        </c:txPr>
        <c:crossAx val="67121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 sz="1400">
                <a:solidFill>
                  <a:schemeClr val="tx1"/>
                </a:solidFill>
              </a:defRPr>
            </a:pPr>
            <a:r>
              <a:rPr lang="es-CR" sz="1400">
                <a:solidFill>
                  <a:schemeClr val="tx1"/>
                </a:solidFill>
              </a:rPr>
              <a:t>CONAPAM: Indicadores de resultado 2018</a:t>
            </a: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5700180488879753E-2"/>
          <c:y val="0.15809501067448781"/>
          <c:w val="0.91268262429345659"/>
          <c:h val="0.5699601168223864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Anual!$B$44:$F$44</c:f>
              <c:numCache>
                <c:formatCode>#\ ##0.0____</c:formatCode>
                <c:ptCount val="5"/>
                <c:pt idx="0">
                  <c:v>84.170534797861421</c:v>
                </c:pt>
                <c:pt idx="1">
                  <c:v>99.102423911062502</c:v>
                </c:pt>
                <c:pt idx="2">
                  <c:v>92.120976116303211</c:v>
                </c:pt>
                <c:pt idx="3">
                  <c:v>82.371125742733255</c:v>
                </c:pt>
                <c:pt idx="4">
                  <c:v>64.085521214135369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A-4FF6-AF97-D6BDE1121E13}"/>
            </c:ext>
          </c:extLst>
        </c:ser>
        <c:ser>
          <c:idx val="0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Anual!$B$45:$F$45</c:f>
              <c:numCache>
                <c:formatCode>#\ ##0.0____</c:formatCode>
                <c:ptCount val="5"/>
                <c:pt idx="0">
                  <c:v>102.28948419218669</c:v>
                </c:pt>
                <c:pt idx="1">
                  <c:v>100.04124260295384</c:v>
                </c:pt>
                <c:pt idx="2">
                  <c:v>141.60915476453775</c:v>
                </c:pt>
                <c:pt idx="3">
                  <c:v>99.533630076378103</c:v>
                </c:pt>
                <c:pt idx="4">
                  <c:v>99.791718510565445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5A-4FF6-AF97-D6BDE1121E13}"/>
            </c:ext>
          </c:extLst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Anual!$B$46:$F$46</c:f>
              <c:numCache>
                <c:formatCode>#\ ##0.0____</c:formatCode>
                <c:ptCount val="5"/>
                <c:pt idx="0">
                  <c:v>93.230009495024063</c:v>
                </c:pt>
                <c:pt idx="1">
                  <c:v>99.571833257008166</c:v>
                </c:pt>
                <c:pt idx="2">
                  <c:v>116.86506544042048</c:v>
                </c:pt>
                <c:pt idx="3">
                  <c:v>90.952377909555679</c:v>
                </c:pt>
                <c:pt idx="4">
                  <c:v>81.938619862350407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5A-4FF6-AF97-D6BDE1121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9711360"/>
        <c:axId val="69712896"/>
        <c:axId val="0"/>
      </c:bar3DChart>
      <c:catAx>
        <c:axId val="69711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9712896"/>
        <c:crosses val="autoZero"/>
        <c:auto val="1"/>
        <c:lblAlgn val="ctr"/>
        <c:lblOffset val="100"/>
        <c:noMultiLvlLbl val="0"/>
      </c:catAx>
      <c:valAx>
        <c:axId val="6971289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9711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0087508634498884E-2"/>
          <c:y val="0.86689523041242311"/>
          <c:w val="0.98991249136550108"/>
          <c:h val="0.13310476958757689"/>
        </c:manualLayout>
      </c:layout>
      <c:overlay val="0"/>
      <c:txPr>
        <a:bodyPr/>
        <a:lstStyle/>
        <a:p>
          <a:pPr>
            <a:defRPr lang="es-ES" sz="1050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R" sz="1400"/>
              <a:t>CONAPAM: Indicadores de avance 2018</a:t>
            </a: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Anual!$B$49:$F$49</c:f>
              <c:numCache>
                <c:formatCode>#\ ##0.0____</c:formatCode>
                <c:ptCount val="5"/>
                <c:pt idx="0">
                  <c:v>84.171824253937132</c:v>
                </c:pt>
                <c:pt idx="1">
                  <c:v>99.102423911062502</c:v>
                </c:pt>
                <c:pt idx="2">
                  <c:v>92.120976116303211</c:v>
                </c:pt>
                <c:pt idx="3">
                  <c:v>82.371125742733255</c:v>
                </c:pt>
                <c:pt idx="4">
                  <c:v>64.106826241134755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E-4519-8C2E-13788E9997FA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Anual!$B$50:$F$50</c:f>
              <c:numCache>
                <c:formatCode>#\ ##0.0____</c:formatCode>
                <c:ptCount val="5"/>
                <c:pt idx="0">
                  <c:v>102.28948419218669</c:v>
                </c:pt>
                <c:pt idx="1">
                  <c:v>100.04124260295384</c:v>
                </c:pt>
                <c:pt idx="2">
                  <c:v>141.60915476453775</c:v>
                </c:pt>
                <c:pt idx="3">
                  <c:v>99.533630076378103</c:v>
                </c:pt>
                <c:pt idx="4">
                  <c:v>99.791718510565445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E-4519-8C2E-13788E9997FA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Anual!$B$51:$F$51</c:f>
              <c:numCache>
                <c:formatCode>#\ ##0.0____</c:formatCode>
                <c:ptCount val="5"/>
                <c:pt idx="0">
                  <c:v>93.230654223061919</c:v>
                </c:pt>
                <c:pt idx="1">
                  <c:v>99.571833257008166</c:v>
                </c:pt>
                <c:pt idx="2">
                  <c:v>116.86506544042048</c:v>
                </c:pt>
                <c:pt idx="3">
                  <c:v>90.952377909555679</c:v>
                </c:pt>
                <c:pt idx="4">
                  <c:v>81.9492723758501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BE-4519-8C2E-13788E999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9767552"/>
        <c:axId val="69769088"/>
        <c:axId val="0"/>
      </c:bar3DChart>
      <c:catAx>
        <c:axId val="69767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9769088"/>
        <c:crosses val="autoZero"/>
        <c:auto val="1"/>
        <c:lblAlgn val="ctr"/>
        <c:lblOffset val="100"/>
        <c:noMultiLvlLbl val="0"/>
      </c:catAx>
      <c:valAx>
        <c:axId val="6976908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976755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ES" sz="1100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CR" sz="1600"/>
              <a:t>CONAPAM: Indicadores de expansión 2018</a:t>
            </a: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5206273675791279E-2"/>
          <c:y val="0.15809491287198293"/>
          <c:w val="0.91333904024911394"/>
          <c:h val="0.5169143047327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Anual!$B$57:$F$57</c:f>
              <c:numCache>
                <c:formatCode>#\ ##0.0____</c:formatCode>
                <c:ptCount val="5"/>
                <c:pt idx="0">
                  <c:v>-2.835955506563792</c:v>
                </c:pt>
                <c:pt idx="1">
                  <c:v>4.4365487108080748</c:v>
                </c:pt>
                <c:pt idx="2">
                  <c:v>6.0044809559372414</c:v>
                </c:pt>
                <c:pt idx="3">
                  <c:v>-6.7684547747256518</c:v>
                </c:pt>
                <c:pt idx="4">
                  <c:v>70.80011809861233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2-4CA7-9BAF-00A17EBD3470}"/>
            </c:ext>
          </c:extLst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Anual!$B$58:$F$58</c:f>
              <c:numCache>
                <c:formatCode>#\ ##0.0____</c:formatCode>
                <c:ptCount val="5"/>
                <c:pt idx="0">
                  <c:v>27.239221397957401</c:v>
                </c:pt>
                <c:pt idx="1">
                  <c:v>9.1357775734889124</c:v>
                </c:pt>
                <c:pt idx="2">
                  <c:v>62.236192077961029</c:v>
                </c:pt>
                <c:pt idx="3">
                  <c:v>6.321725999829475</c:v>
                </c:pt>
                <c:pt idx="4">
                  <c:v>105.58199901055372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2-4CA7-9BAF-00A17EBD3470}"/>
            </c:ext>
          </c:extLst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Anual!$B$59:$F$59</c:f>
              <c:numCache>
                <c:formatCode>#\ ##0.0____</c:formatCode>
                <c:ptCount val="5"/>
                <c:pt idx="0">
                  <c:v>30.952989926796313</c:v>
                </c:pt>
                <c:pt idx="1">
                  <c:v>4.4996018354583223</c:v>
                </c:pt>
                <c:pt idx="2">
                  <c:v>53.046541631950042</c:v>
                </c:pt>
                <c:pt idx="3">
                  <c:v>14.040506078629789</c:v>
                </c:pt>
                <c:pt idx="4">
                  <c:v>20.364084813957728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72-4CA7-9BAF-00A17EBD3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9794816"/>
        <c:axId val="69796608"/>
        <c:axId val="0"/>
      </c:bar3DChart>
      <c:catAx>
        <c:axId val="6979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lang="es-ES"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9796608"/>
        <c:crosses val="autoZero"/>
        <c:auto val="1"/>
        <c:lblAlgn val="ctr"/>
        <c:lblOffset val="100"/>
        <c:noMultiLvlLbl val="0"/>
      </c:catAx>
      <c:valAx>
        <c:axId val="6979660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9794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182029112642169"/>
          <c:y val="0.81635654685017744"/>
          <c:w val="0.50286036884859442"/>
          <c:h val="0.18364345314982258"/>
        </c:manualLayout>
      </c:layout>
      <c:overlay val="0"/>
      <c:txPr>
        <a:bodyPr/>
        <a:lstStyle/>
        <a:p>
          <a:pPr>
            <a:defRPr lang="es-ES" sz="1000">
              <a:solidFill>
                <a:schemeClr val="tx1">
                  <a:lumMod val="65000"/>
                  <a:lumOff val="35000"/>
                </a:schemeClr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CONAPAM: Indicadores de gasto medio anual por</a:t>
            </a:r>
            <a:r>
              <a:rPr lang="es-CR" sz="1400" baseline="0"/>
              <a:t> </a:t>
            </a:r>
            <a:r>
              <a:rPr lang="es-CR" sz="1400"/>
              <a:t>beneficiario 2018</a:t>
            </a:r>
          </a:p>
        </c:rich>
      </c:tx>
      <c:layout/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Anual!$B$65:$F$65</c:f>
              <c:numCache>
                <c:formatCode>#,##0</c:formatCode>
                <c:ptCount val="5"/>
                <c:pt idx="0">
                  <c:v>1104686.5654352987</c:v>
                </c:pt>
                <c:pt idx="1">
                  <c:v>2147484</c:v>
                </c:pt>
                <c:pt idx="2">
                  <c:v>858984</c:v>
                </c:pt>
                <c:pt idx="3">
                  <c:v>644987.35675124452</c:v>
                </c:pt>
                <c:pt idx="4">
                  <c:v>6599268.8600864075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0-4836-B9D3-0FD92D20B775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Anual!$B$66:$F$66</c:f>
              <c:numCache>
                <c:formatCode>#,##0</c:formatCode>
                <c:ptCount val="5"/>
                <c:pt idx="0">
                  <c:v>1342486.6462329524</c:v>
                </c:pt>
                <c:pt idx="1">
                  <c:v>2167827.5803098711</c:v>
                </c:pt>
                <c:pt idx="2">
                  <c:v>1320437.5737691985</c:v>
                </c:pt>
                <c:pt idx="3">
                  <c:v>779374.23328808637</c:v>
                </c:pt>
                <c:pt idx="4">
                  <c:v>10276149.24533103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0-4836-B9D3-0FD92D20B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854336"/>
        <c:axId val="69855872"/>
        <c:axId val="0"/>
      </c:bar3DChart>
      <c:catAx>
        <c:axId val="698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9855872"/>
        <c:crosses val="autoZero"/>
        <c:auto val="1"/>
        <c:lblAlgn val="ctr"/>
        <c:lblOffset val="100"/>
        <c:noMultiLvlLbl val="0"/>
      </c:catAx>
      <c:valAx>
        <c:axId val="6985587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985433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 sz="1100"/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CONAPAM: Indicadores de giro de recursos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9.1964202479724075E-2"/>
          <c:y val="0.20437046454598601"/>
          <c:w val="0.81607159504055193"/>
          <c:h val="0.6123810579645653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071B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33-4156-A079-A82643B21ACE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D33-4156-A079-A82643B21AC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33-4156-A079-A82643B21AC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102%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D33-4156-A079-A82643B21A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0</c:formatCode>
                <c:ptCount val="2"/>
                <c:pt idx="0">
                  <c:v>99.999649578075022</c:v>
                </c:pt>
                <c:pt idx="1">
                  <c:v>102.28984263822231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8-41C4-844D-31FD39DE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6264032"/>
        <c:axId val="496268296"/>
      </c:barChart>
      <c:valAx>
        <c:axId val="49626829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96264032"/>
        <c:crossBetween val="between"/>
      </c:valAx>
      <c:catAx>
        <c:axId val="496264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626829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R" sz="1300"/>
              <a:t>CONAPAM: Indicadores de gasto medio</a:t>
            </a:r>
            <a:r>
              <a:rPr lang="es-CR" sz="1300" baseline="0"/>
              <a:t> mensual por beneficiario </a:t>
            </a:r>
            <a:r>
              <a:rPr lang="es-CR" sz="1300"/>
              <a:t>2018</a:t>
            </a:r>
          </a:p>
        </c:rich>
      </c:tx>
      <c:layout>
        <c:manualLayout>
          <c:xMode val="edge"/>
          <c:yMode val="edge"/>
          <c:x val="0.13553221138286986"/>
          <c:y val="1.9951519378895062E-2"/>
        </c:manualLayout>
      </c:layout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Anual!$B$62:$F$62</c:f>
              <c:numCache>
                <c:formatCode>#,##0</c:formatCode>
                <c:ptCount val="5"/>
                <c:pt idx="0">
                  <c:v>92057.213786274893</c:v>
                </c:pt>
                <c:pt idx="1">
                  <c:v>178957</c:v>
                </c:pt>
                <c:pt idx="2">
                  <c:v>71582</c:v>
                </c:pt>
                <c:pt idx="3">
                  <c:v>53748.946395937048</c:v>
                </c:pt>
                <c:pt idx="4">
                  <c:v>549939.07167386729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0-448B-9B7D-07D747A40119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Anual!$B$63:$F$63</c:f>
              <c:numCache>
                <c:formatCode>#,##0</c:formatCode>
                <c:ptCount val="5"/>
                <c:pt idx="0">
                  <c:v>111873.88718607937</c:v>
                </c:pt>
                <c:pt idx="1">
                  <c:v>180652.29835915592</c:v>
                </c:pt>
                <c:pt idx="2">
                  <c:v>110036.46448076653</c:v>
                </c:pt>
                <c:pt idx="3">
                  <c:v>64947.852774007195</c:v>
                </c:pt>
                <c:pt idx="4">
                  <c:v>856345.77044425241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90-448B-9B7D-07D747A4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013312"/>
        <c:axId val="70014848"/>
        <c:axId val="0"/>
      </c:bar3DChart>
      <c:catAx>
        <c:axId val="70013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70014848"/>
        <c:crosses val="autoZero"/>
        <c:auto val="1"/>
        <c:lblAlgn val="ctr"/>
        <c:lblOffset val="100"/>
        <c:noMultiLvlLbl val="0"/>
      </c:catAx>
      <c:valAx>
        <c:axId val="7001484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es-ES"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7001331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3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CONAPAM: Indicador de gasto medio-Índice de eficiencia (IE)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(Anual!$B$4,Anual!$C$5,Anual!$D$5,Anual!$E$5,Anual!$F$5)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Anual!$B$64:$F$64</c:f>
              <c:numCache>
                <c:formatCode>#,##0</c:formatCode>
                <c:ptCount val="5"/>
                <c:pt idx="0">
                  <c:v>113.29914447354776</c:v>
                </c:pt>
                <c:pt idx="1">
                  <c:v>100.51509876514002</c:v>
                </c:pt>
                <c:pt idx="2">
                  <c:v>179.64598114578087</c:v>
                </c:pt>
                <c:pt idx="3">
                  <c:v>109.9028361672633</c:v>
                </c:pt>
                <c:pt idx="4">
                  <c:v>127.5919354876736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6-4FB4-8EC2-3E09BA51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0147456"/>
        <c:axId val="70169728"/>
        <c:axId val="0"/>
      </c:bar3DChart>
      <c:catAx>
        <c:axId val="7014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0169728"/>
        <c:crosses val="autoZero"/>
        <c:auto val="1"/>
        <c:lblAlgn val="ctr"/>
        <c:lblOffset val="100"/>
        <c:noMultiLvlLbl val="0"/>
      </c:catAx>
      <c:valAx>
        <c:axId val="7016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014745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Resultado.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'I Trimestre'!$B$44:$E$44</c:f>
              <c:numCache>
                <c:formatCode>#\ ##0.0____</c:formatCode>
                <c:ptCount val="4"/>
                <c:pt idx="0">
                  <c:v>77.089860884822656</c:v>
                </c:pt>
                <c:pt idx="1">
                  <c:v>86.167304537998902</c:v>
                </c:pt>
                <c:pt idx="2">
                  <c:v>74.454828660436135</c:v>
                </c:pt>
                <c:pt idx="3">
                  <c:v>75.325196723944117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2-4DAA-A330-13E91251026F}"/>
            </c:ext>
          </c:extLst>
        </c:ser>
        <c:ser>
          <c:idx val="1"/>
          <c:order val="1"/>
          <c:tx>
            <c:strRef>
              <c:f>'I Trimestre'!$A$45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'I Trimestre'!$B$45:$E$45</c:f>
              <c:numCache>
                <c:formatCode>#\ ##0.0____</c:formatCode>
                <c:ptCount val="4"/>
                <c:pt idx="0">
                  <c:v>88.707115240461448</c:v>
                </c:pt>
                <c:pt idx="1">
                  <c:v>93.566611991981034</c:v>
                </c:pt>
                <c:pt idx="2">
                  <c:v>79.543094496365526</c:v>
                </c:pt>
                <c:pt idx="3">
                  <c:v>88.140868284174658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2-4DAA-A330-13E91251026F}"/>
            </c:ext>
          </c:extLst>
        </c:ser>
        <c:ser>
          <c:idx val="2"/>
          <c:order val="2"/>
          <c:tx>
            <c:strRef>
              <c:f>'I Trimestre'!$A$46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Trimestre'!$E$5,'I Trimestre'!$F$5)</c:f>
              <c:strCache>
                <c:ptCount val="5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en 
abandono</c:v>
                </c:pt>
              </c:strCache>
            </c:strRef>
          </c:cat>
          <c:val>
            <c:numRef>
              <c:f>'I Trimestre'!$B$46:$E$46</c:f>
              <c:numCache>
                <c:formatCode>#\ ##0.0____</c:formatCode>
                <c:ptCount val="4"/>
                <c:pt idx="0">
                  <c:v>82.898488062642059</c:v>
                </c:pt>
                <c:pt idx="1">
                  <c:v>89.866958264989961</c:v>
                </c:pt>
                <c:pt idx="2">
                  <c:v>76.998961578400838</c:v>
                </c:pt>
                <c:pt idx="3">
                  <c:v>81.733032504059395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2-4DAA-A330-13E91251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45088"/>
        <c:axId val="67155072"/>
      </c:barChart>
      <c:catAx>
        <c:axId val="67145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55072"/>
        <c:crosses val="autoZero"/>
        <c:auto val="1"/>
        <c:lblAlgn val="ctr"/>
        <c:lblOffset val="100"/>
        <c:noMultiLvlLbl val="0"/>
      </c:catAx>
      <c:valAx>
        <c:axId val="671550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450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Avance.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Trimestre'!$B$49:$E$49</c:f>
              <c:numCache>
                <c:formatCode>#\ ##0.0____</c:formatCode>
                <c:ptCount val="4"/>
                <c:pt idx="0">
                  <c:v>77.089860884822656</c:v>
                </c:pt>
                <c:pt idx="1">
                  <c:v>86.167304537998902</c:v>
                </c:pt>
                <c:pt idx="2">
                  <c:v>74.454828660436135</c:v>
                </c:pt>
                <c:pt idx="3">
                  <c:v>75.325196723944117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D-49D9-A989-C32CBE448BB4}"/>
            </c:ext>
          </c:extLst>
        </c:ser>
        <c:ser>
          <c:idx val="1"/>
          <c:order val="1"/>
          <c:tx>
            <c:strRef>
              <c:f>'I Trimestre'!$A$50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Trimestre'!$B$50:$E$50</c:f>
              <c:numCache>
                <c:formatCode>#\ ##0.0____</c:formatCode>
                <c:ptCount val="4"/>
                <c:pt idx="0">
                  <c:v>22.175128962828591</c:v>
                </c:pt>
                <c:pt idx="1">
                  <c:v>23.391652997995259</c:v>
                </c:pt>
                <c:pt idx="2">
                  <c:v>19.885773624091382</c:v>
                </c:pt>
                <c:pt idx="3">
                  <c:v>22.035217071043665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7D-49D9-A989-C32CBE448BB4}"/>
            </c:ext>
          </c:extLst>
        </c:ser>
        <c:ser>
          <c:idx val="2"/>
          <c:order val="2"/>
          <c:tx>
            <c:strRef>
              <c:f>'I Trimestre'!$A$51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Trimestre'!$B$51:$E$51</c:f>
              <c:numCache>
                <c:formatCode>#\ ##0.0____</c:formatCode>
                <c:ptCount val="4"/>
                <c:pt idx="0">
                  <c:v>49.632494923825625</c:v>
                </c:pt>
                <c:pt idx="1">
                  <c:v>54.779478767997077</c:v>
                </c:pt>
                <c:pt idx="2">
                  <c:v>47.17030114226376</c:v>
                </c:pt>
                <c:pt idx="3">
                  <c:v>48.680206897493889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7D-49D9-A989-C32CBE448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72608"/>
        <c:axId val="67174400"/>
      </c:barChart>
      <c:catAx>
        <c:axId val="67172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74400"/>
        <c:crosses val="autoZero"/>
        <c:auto val="1"/>
        <c:lblAlgn val="ctr"/>
        <c:lblOffset val="100"/>
        <c:noMultiLvlLbl val="0"/>
      </c:catAx>
      <c:valAx>
        <c:axId val="6717440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72608"/>
        <c:crosses val="autoZero"/>
        <c:crossBetween val="between"/>
        <c:majorUnit val="25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Expansión.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Trimestre'!$B$57:$E$57</c:f>
              <c:numCache>
                <c:formatCode>#\ ##0.0____</c:formatCode>
                <c:ptCount val="4"/>
                <c:pt idx="0">
                  <c:v>-13.83746177013051</c:v>
                </c:pt>
                <c:pt idx="1">
                  <c:v>-4.5619701251513938</c:v>
                </c:pt>
                <c:pt idx="2">
                  <c:v>-11.097334159950412</c:v>
                </c:pt>
                <c:pt idx="3">
                  <c:v>-17.594869992972594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B-4200-9F79-32B78E51CEE8}"/>
            </c:ext>
          </c:extLst>
        </c:ser>
        <c:ser>
          <c:idx val="1"/>
          <c:order val="1"/>
          <c:tx>
            <c:strRef>
              <c:f>'I Trimestre'!$A$58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Trimestre'!$B$58:$E$58</c:f>
              <c:numCache>
                <c:formatCode>#\ ##0.0____</c:formatCode>
                <c:ptCount val="4"/>
                <c:pt idx="0">
                  <c:v>7.0379350156074549</c:v>
                </c:pt>
                <c:pt idx="1">
                  <c:v>2.5482129145354637</c:v>
                </c:pt>
                <c:pt idx="2">
                  <c:v>-5.9983589017845285</c:v>
                </c:pt>
                <c:pt idx="3">
                  <c:v>-6.0359492269524972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B-4200-9F79-32B78E51CEE8}"/>
            </c:ext>
          </c:extLst>
        </c:ser>
        <c:ser>
          <c:idx val="2"/>
          <c:order val="2"/>
          <c:tx>
            <c:strRef>
              <c:f>'I Trimestre'!$A$59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Trimestre'!$B$59:$E$59</c:f>
              <c:numCache>
                <c:formatCode>#\ ##0.0____</c:formatCode>
                <c:ptCount val="4"/>
                <c:pt idx="0">
                  <c:v>24.227926909540855</c:v>
                </c:pt>
                <c:pt idx="1">
                  <c:v>7.4500521951371912</c:v>
                </c:pt>
                <c:pt idx="2">
                  <c:v>5.7354582227486572</c:v>
                </c:pt>
                <c:pt idx="3">
                  <c:v>14.026943183069251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B-4200-9F79-32B78E51C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61984"/>
        <c:axId val="67963520"/>
      </c:barChart>
      <c:catAx>
        <c:axId val="67961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963520"/>
        <c:crosses val="autoZero"/>
        <c:auto val="1"/>
        <c:lblAlgn val="ctr"/>
        <c:lblOffset val="100"/>
        <c:noMultiLvlLbl val="0"/>
      </c:catAx>
      <c:valAx>
        <c:axId val="6796352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9619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Gasto Medio. Primer Trimestre 2013.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Trimestre'!$B$62:$E$62</c:f>
              <c:numCache>
                <c:formatCode>#,##0</c:formatCode>
                <c:ptCount val="4"/>
                <c:pt idx="0">
                  <c:v>77206.770334628396</c:v>
                </c:pt>
                <c:pt idx="1">
                  <c:v>178957</c:v>
                </c:pt>
                <c:pt idx="2">
                  <c:v>71582</c:v>
                </c:pt>
                <c:pt idx="3">
                  <c:v>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B-4E2C-B38E-C47D1C62D3CC}"/>
            </c:ext>
          </c:extLst>
        </c:ser>
        <c:ser>
          <c:idx val="1"/>
          <c:order val="1"/>
          <c:tx>
            <c:strRef>
              <c:f>'I Trimestre'!$A$63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Trimestre'!$B$63:$E$63</c:f>
              <c:numCache>
                <c:formatCode>#,##0</c:formatCode>
                <c:ptCount val="4"/>
                <c:pt idx="0">
                  <c:v>88841.642659730132</c:v>
                </c:pt>
                <c:pt idx="1">
                  <c:v>194324.28891708967</c:v>
                </c:pt>
                <c:pt idx="2">
                  <c:v>76473.935843793588</c:v>
                </c:pt>
                <c:pt idx="3">
                  <c:v>56166.619692285829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B-4E2C-B38E-C47D1C62D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88480"/>
        <c:axId val="68006656"/>
      </c:barChart>
      <c:catAx>
        <c:axId val="6798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006656"/>
        <c:crosses val="autoZero"/>
        <c:auto val="1"/>
        <c:lblAlgn val="ctr"/>
        <c:lblOffset val="100"/>
        <c:noMultiLvlLbl val="0"/>
      </c:catAx>
      <c:valAx>
        <c:axId val="68006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/>
                </a:pPr>
                <a:r>
                  <a:rPr lang="es-CR"/>
                  <a:t>Colones Corrientes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9884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>
              <a:defRPr lang="es-ES"/>
            </a:pPr>
            <a:endParaRPr lang="es-CR"/>
          </a:p>
        </c:txPr>
      </c:dTable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CONAPAM: Índice de eficiencia. Primer Trimestre 2013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Trimestre'!$A$64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Trimestre'!$B$64:$E$64</c:f>
              <c:numCache>
                <c:formatCode>#,##0</c:formatCode>
                <c:ptCount val="4"/>
                <c:pt idx="0">
                  <c:v>95.391088392541008</c:v>
                </c:pt>
                <c:pt idx="1">
                  <c:v>97.583960180300011</c:v>
                </c:pt>
                <c:pt idx="2">
                  <c:v>82.261094238570493</c:v>
                </c:pt>
                <c:pt idx="3">
                  <c:v>95.638919853182088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7-47D9-900E-F12FF1B48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02400"/>
        <c:axId val="68108288"/>
      </c:barChart>
      <c:catAx>
        <c:axId val="6810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108288"/>
        <c:crosses val="autoZero"/>
        <c:auto val="1"/>
        <c:lblAlgn val="ctr"/>
        <c:lblOffset val="100"/>
        <c:noMultiLvlLbl val="0"/>
      </c:catAx>
      <c:valAx>
        <c:axId val="681082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10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Giro de Recursos. Primer Trimestre 2013.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Trimestre'!$B$69</c:f>
              <c:numCache>
                <c:formatCode>0</c:formatCode>
                <c:ptCount val="1"/>
                <c:pt idx="0">
                  <c:v>99.999999981873259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F-4EE6-B87A-86564D003E99}"/>
            </c:ext>
          </c:extLst>
        </c:ser>
        <c:ser>
          <c:idx val="1"/>
          <c:order val="1"/>
          <c:tx>
            <c:strRef>
              <c:f>'I Trimestre'!$A$70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 Trimestre'!$B$4:$B$5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Trimestre'!$B$70</c:f>
              <c:numCache>
                <c:formatCode>0</c:formatCode>
                <c:ptCount val="1"/>
                <c:pt idx="0">
                  <c:v>88.707115256541158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FF-4EE6-B87A-86564D003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8144512"/>
        <c:axId val="68179072"/>
      </c:barChart>
      <c:catAx>
        <c:axId val="6814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179072"/>
        <c:crosses val="autoZero"/>
        <c:auto val="1"/>
        <c:lblAlgn val="ctr"/>
        <c:lblOffset val="100"/>
        <c:noMultiLvlLbl val="0"/>
      </c:catAx>
      <c:valAx>
        <c:axId val="681790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s-CR"/>
          </a:p>
        </c:txPr>
        <c:crossAx val="681445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CONAPAM: Gasto trimestral efectivo por beneficiario</a:t>
            </a:r>
          </a:p>
        </c:rich>
      </c:tx>
      <c:layout>
        <c:manualLayout>
          <c:xMode val="edge"/>
          <c:yMode val="edge"/>
          <c:x val="0.11881255468066491"/>
          <c:y val="4.166666666666666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Trimestre'!$B$66:$E$66</c:f>
              <c:numCache>
                <c:formatCode>#,##0</c:formatCode>
                <c:ptCount val="4"/>
                <c:pt idx="0">
                  <c:v>266524.92797919037</c:v>
                </c:pt>
                <c:pt idx="1">
                  <c:v>582972.86675126909</c:v>
                </c:pt>
                <c:pt idx="2">
                  <c:v>229421.80753138076</c:v>
                </c:pt>
                <c:pt idx="3">
                  <c:v>168499.85907685748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9-44B0-B4A6-FC2B2F34C024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'II Trimestre'!$B$66:$E$66</c:f>
              <c:numCache>
                <c:formatCode>#,##0</c:formatCode>
                <c:ptCount val="4"/>
                <c:pt idx="0">
                  <c:v>270893.39542191708</c:v>
                </c:pt>
                <c:pt idx="1">
                  <c:v>556652.02740233287</c:v>
                </c:pt>
                <c:pt idx="2">
                  <c:v>290775.1662015504</c:v>
                </c:pt>
                <c:pt idx="3">
                  <c:v>177030.78000721056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59-44B0-B4A6-FC2B2F34C024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'III Trimestre'!$B$66:$E$66</c:f>
              <c:numCache>
                <c:formatCode>#,##0</c:formatCode>
                <c:ptCount val="4"/>
                <c:pt idx="0">
                  <c:v>334615.46300560969</c:v>
                </c:pt>
                <c:pt idx="1">
                  <c:v>567337.11048726691</c:v>
                </c:pt>
                <c:pt idx="2">
                  <c:v>338369.43417203194</c:v>
                </c:pt>
                <c:pt idx="3">
                  <c:v>217775.22226495869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59-44B0-B4A6-FC2B2F34C024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Trimestre'!$B$4:$B$5,'I Trimestre'!$C$5,'I Trimestre'!$D$5,'I Trimestre'!$E$5)</c:f>
              <c:strCache>
                <c:ptCount val="4"/>
                <c:pt idx="0">
                  <c:v>Total Programa</c:v>
                </c:pt>
                <c:pt idx="1">
                  <c:v>Hogares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'IV Trimestre'!$B$66:$E$66</c:f>
              <c:numCache>
                <c:formatCode>#,##0</c:formatCode>
                <c:ptCount val="4"/>
                <c:pt idx="0">
                  <c:v>452800.91420410149</c:v>
                </c:pt>
                <c:pt idx="1">
                  <c:v>481691.17420195928</c:v>
                </c:pt>
                <c:pt idx="2">
                  <c:v>444557.11738874903</c:v>
                </c:pt>
                <c:pt idx="3">
                  <c:v>213247.82178933133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59-44B0-B4A6-FC2B2F34C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8209664"/>
        <c:axId val="68358912"/>
      </c:barChart>
      <c:catAx>
        <c:axId val="6820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358912"/>
        <c:crosses val="autoZero"/>
        <c:auto val="1"/>
        <c:lblAlgn val="ctr"/>
        <c:lblOffset val="100"/>
        <c:noMultiLvlLbl val="0"/>
      </c:catAx>
      <c:valAx>
        <c:axId val="6835891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s-CR"/>
          </a:p>
        </c:txPr>
        <c:crossAx val="68209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CONAPAM: Indicadores de cobertura potencial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8B-4402-A59F-90F17F4912FE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2B8B-4402-A59F-90F17F4912F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tx1"/>
                        </a:solidFill>
                      </a:rPr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8B-4402-A59F-90F17F4912F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8B-4402-A59F-90F17F4912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Anual!$A$40:$A$41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Anual!$B$40:$B$41</c:f>
              <c:numCache>
                <c:formatCode>#\ ##0____</c:formatCode>
                <c:ptCount val="2"/>
                <c:pt idx="0">
                  <c:v>10.83104910699471</c:v>
                </c:pt>
                <c:pt idx="1">
                  <c:v>9.1165519575764407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A-4EBE-BAA0-BA2EA640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3272696"/>
        <c:axId val="493266464"/>
      </c:barChart>
      <c:valAx>
        <c:axId val="49326646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___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93272696"/>
        <c:crossBetween val="between"/>
      </c:valAx>
      <c:catAx>
        <c:axId val="493272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326646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186</xdr:row>
      <xdr:rowOff>171450</xdr:rowOff>
    </xdr:from>
    <xdr:to>
      <xdr:col>2</xdr:col>
      <xdr:colOff>123825</xdr:colOff>
      <xdr:row>201</xdr:row>
      <xdr:rowOff>57150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201</xdr:row>
      <xdr:rowOff>152400</xdr:rowOff>
    </xdr:from>
    <xdr:to>
      <xdr:col>2</xdr:col>
      <xdr:colOff>95250</xdr:colOff>
      <xdr:row>216</xdr:row>
      <xdr:rowOff>38100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217</xdr:row>
      <xdr:rowOff>19050</xdr:rowOff>
    </xdr:from>
    <xdr:to>
      <xdr:col>2</xdr:col>
      <xdr:colOff>38100</xdr:colOff>
      <xdr:row>231</xdr:row>
      <xdr:rowOff>95250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232</xdr:row>
      <xdr:rowOff>47625</xdr:rowOff>
    </xdr:from>
    <xdr:to>
      <xdr:col>2</xdr:col>
      <xdr:colOff>85725</xdr:colOff>
      <xdr:row>246</xdr:row>
      <xdr:rowOff>123825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161925</xdr:colOff>
      <xdr:row>247</xdr:row>
      <xdr:rowOff>57150</xdr:rowOff>
    </xdr:from>
    <xdr:to>
      <xdr:col>2</xdr:col>
      <xdr:colOff>95250</xdr:colOff>
      <xdr:row>261</xdr:row>
      <xdr:rowOff>133350</xdr:rowOff>
    </xdr:to>
    <xdr:graphicFrame macro="">
      <xdr:nvGraphicFramePr>
        <xdr:cNvPr id="24" name="2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262</xdr:row>
      <xdr:rowOff>28575</xdr:rowOff>
    </xdr:from>
    <xdr:to>
      <xdr:col>2</xdr:col>
      <xdr:colOff>85725</xdr:colOff>
      <xdr:row>276</xdr:row>
      <xdr:rowOff>104775</xdr:rowOff>
    </xdr:to>
    <xdr:graphicFrame macro="">
      <xdr:nvGraphicFramePr>
        <xdr:cNvPr id="25" name="2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277</xdr:row>
      <xdr:rowOff>28575</xdr:rowOff>
    </xdr:from>
    <xdr:to>
      <xdr:col>2</xdr:col>
      <xdr:colOff>66675</xdr:colOff>
      <xdr:row>291</xdr:row>
      <xdr:rowOff>104775</xdr:rowOff>
    </xdr:to>
    <xdr:graphicFrame macro="">
      <xdr:nvGraphicFramePr>
        <xdr:cNvPr id="26" name="2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638175</xdr:colOff>
      <xdr:row>179</xdr:row>
      <xdr:rowOff>19050</xdr:rowOff>
    </xdr:from>
    <xdr:to>
      <xdr:col>15</xdr:col>
      <xdr:colOff>638175</xdr:colOff>
      <xdr:row>193</xdr:row>
      <xdr:rowOff>95250</xdr:rowOff>
    </xdr:to>
    <xdr:graphicFrame macro="">
      <xdr:nvGraphicFramePr>
        <xdr:cNvPr id="29" name="2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1233753</xdr:colOff>
      <xdr:row>4</xdr:row>
      <xdr:rowOff>4498</xdr:rowOff>
    </xdr:from>
    <xdr:to>
      <xdr:col>15</xdr:col>
      <xdr:colOff>369094</xdr:colOff>
      <xdr:row>19</xdr:row>
      <xdr:rowOff>178593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14552</xdr:colOff>
      <xdr:row>4</xdr:row>
      <xdr:rowOff>17464</xdr:rowOff>
    </xdr:from>
    <xdr:to>
      <xdr:col>24</xdr:col>
      <xdr:colOff>381000</xdr:colOff>
      <xdr:row>19</xdr:row>
      <xdr:rowOff>178593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6613</xdr:colOff>
      <xdr:row>41</xdr:row>
      <xdr:rowOff>178593</xdr:rowOff>
    </xdr:from>
    <xdr:to>
      <xdr:col>15</xdr:col>
      <xdr:colOff>416719</xdr:colOff>
      <xdr:row>58</xdr:row>
      <xdr:rowOff>178593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751413</xdr:colOff>
      <xdr:row>42</xdr:row>
      <xdr:rowOff>5555</xdr:rowOff>
    </xdr:from>
    <xdr:to>
      <xdr:col>24</xdr:col>
      <xdr:colOff>404811</xdr:colOff>
      <xdr:row>58</xdr:row>
      <xdr:rowOff>190499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1243540</xdr:colOff>
      <xdr:row>21</xdr:row>
      <xdr:rowOff>10847</xdr:rowOff>
    </xdr:from>
    <xdr:to>
      <xdr:col>15</xdr:col>
      <xdr:colOff>369093</xdr:colOff>
      <xdr:row>41</xdr:row>
      <xdr:rowOff>23812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568854</xdr:colOff>
      <xdr:row>59</xdr:row>
      <xdr:rowOff>178857</xdr:rowOff>
    </xdr:from>
    <xdr:to>
      <xdr:col>15</xdr:col>
      <xdr:colOff>11906</xdr:colOff>
      <xdr:row>76</xdr:row>
      <xdr:rowOff>154782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758031</xdr:colOff>
      <xdr:row>21</xdr:row>
      <xdr:rowOff>2648</xdr:rowOff>
    </xdr:from>
    <xdr:to>
      <xdr:col>24</xdr:col>
      <xdr:colOff>416718</xdr:colOff>
      <xdr:row>41</xdr:row>
      <xdr:rowOff>11906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54239</xdr:colOff>
      <xdr:row>60</xdr:row>
      <xdr:rowOff>29367</xdr:rowOff>
    </xdr:from>
    <xdr:to>
      <xdr:col>23</xdr:col>
      <xdr:colOff>726281</xdr:colOff>
      <xdr:row>76</xdr:row>
      <xdr:rowOff>178595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1"/>
  <sheetViews>
    <sheetView tabSelected="1"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140625" style="3" customWidth="1"/>
    <col min="2" max="6" width="15.7109375" style="3" customWidth="1"/>
    <col min="7" max="7" width="11.42578125" style="3"/>
    <col min="8" max="8" width="13.140625" style="3" bestFit="1" customWidth="1"/>
    <col min="9" max="16384" width="11.42578125" style="3"/>
  </cols>
  <sheetData>
    <row r="2" spans="1:8" ht="15.75" x14ac:dyDescent="0.25">
      <c r="A2" s="55" t="s">
        <v>79</v>
      </c>
      <c r="B2" s="55"/>
      <c r="C2" s="55"/>
      <c r="D2" s="55"/>
      <c r="E2" s="55"/>
      <c r="F2" s="55"/>
    </row>
    <row r="4" spans="1:8" ht="15" customHeight="1" x14ac:dyDescent="0.25">
      <c r="A4" s="50" t="s">
        <v>0</v>
      </c>
      <c r="B4" s="52" t="s">
        <v>1</v>
      </c>
      <c r="C4" s="54" t="s">
        <v>2</v>
      </c>
      <c r="D4" s="54"/>
      <c r="E4" s="54"/>
      <c r="F4" s="54"/>
    </row>
    <row r="5" spans="1:8" ht="30.75" thickBot="1" x14ac:dyDescent="0.3">
      <c r="A5" s="51"/>
      <c r="B5" s="53"/>
      <c r="C5" s="21" t="s">
        <v>36</v>
      </c>
      <c r="D5" s="21" t="s">
        <v>37</v>
      </c>
      <c r="E5" s="21" t="s">
        <v>78</v>
      </c>
      <c r="F5" s="21" t="s">
        <v>48</v>
      </c>
    </row>
    <row r="6" spans="1:8" ht="15.75" thickTop="1" x14ac:dyDescent="0.25"/>
    <row r="7" spans="1:8" x14ac:dyDescent="0.25">
      <c r="A7" s="6" t="s">
        <v>3</v>
      </c>
    </row>
    <row r="9" spans="1:8" x14ac:dyDescent="0.25">
      <c r="A9" s="3" t="s">
        <v>35</v>
      </c>
      <c r="C9" s="2"/>
    </row>
    <row r="10" spans="1:8" x14ac:dyDescent="0.25">
      <c r="A10" s="1" t="s">
        <v>49</v>
      </c>
      <c r="B10" s="2">
        <f>SUM(C10:F10)</f>
        <v>14277.666666666668</v>
      </c>
      <c r="C10" s="2">
        <v>1651.3333333333333</v>
      </c>
      <c r="D10" s="2">
        <v>1075.3333333333335</v>
      </c>
      <c r="E10" s="2">
        <v>11384</v>
      </c>
      <c r="F10" s="2">
        <v>167</v>
      </c>
    </row>
    <row r="11" spans="1:8" x14ac:dyDescent="0.25">
      <c r="A11" s="1" t="s">
        <v>80</v>
      </c>
      <c r="B11" s="2">
        <f>SUM(C11:F11)</f>
        <v>15958</v>
      </c>
      <c r="C11" s="2">
        <v>1829</v>
      </c>
      <c r="D11" s="2">
        <v>1284</v>
      </c>
      <c r="E11" s="9">
        <v>12454</v>
      </c>
      <c r="F11" s="2">
        <v>391</v>
      </c>
      <c r="G11" s="22"/>
    </row>
    <row r="12" spans="1:8" s="24" customFormat="1" x14ac:dyDescent="0.25">
      <c r="A12" s="23" t="s">
        <v>81</v>
      </c>
      <c r="B12" s="9">
        <f>SUM(C12:F12)</f>
        <v>12302</v>
      </c>
      <c r="C12" s="9">
        <v>1576</v>
      </c>
      <c r="D12" s="9">
        <v>956</v>
      </c>
      <c r="E12" s="9">
        <v>9381</v>
      </c>
      <c r="F12" s="9">
        <v>389</v>
      </c>
    </row>
    <row r="13" spans="1:8" x14ac:dyDescent="0.25">
      <c r="A13" s="1" t="s">
        <v>82</v>
      </c>
      <c r="B13" s="2">
        <f>SUM(C13:F13)</f>
        <v>15958</v>
      </c>
      <c r="C13" s="2">
        <v>1829</v>
      </c>
      <c r="D13" s="10">
        <v>1284</v>
      </c>
      <c r="E13" s="10">
        <v>12454</v>
      </c>
      <c r="F13" s="2">
        <v>391</v>
      </c>
      <c r="G13" s="22"/>
    </row>
    <row r="14" spans="1:8" x14ac:dyDescent="0.25">
      <c r="G14" s="25"/>
    </row>
    <row r="15" spans="1:8" x14ac:dyDescent="0.25">
      <c r="A15" s="5" t="s">
        <v>4</v>
      </c>
    </row>
    <row r="16" spans="1:8" x14ac:dyDescent="0.25">
      <c r="A16" s="1" t="s">
        <v>49</v>
      </c>
      <c r="B16" s="9">
        <f>SUM(C16:F16)</f>
        <v>2985201060</v>
      </c>
      <c r="C16" s="2">
        <v>873120551</v>
      </c>
      <c r="D16" s="2">
        <v>227381384</v>
      </c>
      <c r="E16" s="2">
        <v>1639399125</v>
      </c>
      <c r="F16" s="2">
        <v>245300000</v>
      </c>
      <c r="H16" s="22"/>
    </row>
    <row r="17" spans="1:8" x14ac:dyDescent="0.25">
      <c r="A17" s="1" t="s">
        <v>80</v>
      </c>
      <c r="B17" s="9">
        <f>SUM(C17:F17)</f>
        <v>3696196923</v>
      </c>
      <c r="C17" s="4">
        <v>981937059</v>
      </c>
      <c r="D17" s="2">
        <v>275733864</v>
      </c>
      <c r="E17" s="2">
        <v>1793376000</v>
      </c>
      <c r="F17" s="2">
        <v>645150000</v>
      </c>
      <c r="H17" s="26"/>
    </row>
    <row r="18" spans="1:8" x14ac:dyDescent="0.25">
      <c r="A18" s="1" t="s">
        <v>81</v>
      </c>
      <c r="B18" s="9">
        <f>SUM(C18:F18)</f>
        <v>3278789664</v>
      </c>
      <c r="C18" s="2">
        <v>918765238</v>
      </c>
      <c r="D18" s="2">
        <v>219327248</v>
      </c>
      <c r="E18" s="2">
        <v>1580697178</v>
      </c>
      <c r="F18" s="2">
        <v>560000000</v>
      </c>
    </row>
    <row r="19" spans="1:8" x14ac:dyDescent="0.25">
      <c r="A19" s="1" t="s">
        <v>82</v>
      </c>
      <c r="B19" s="2">
        <f>SUM(C19:F19)</f>
        <v>14785887692</v>
      </c>
      <c r="C19" s="27">
        <v>3927748236</v>
      </c>
      <c r="D19" s="10">
        <v>1102935456</v>
      </c>
      <c r="E19" s="10">
        <v>7173504000</v>
      </c>
      <c r="F19" s="2">
        <v>2581700000</v>
      </c>
      <c r="G19" s="22"/>
    </row>
    <row r="20" spans="1:8" x14ac:dyDescent="0.25">
      <c r="A20" s="1" t="s">
        <v>83</v>
      </c>
      <c r="B20" s="2">
        <f>SUM(C20:F20)</f>
        <v>3278789664</v>
      </c>
      <c r="C20" s="2">
        <f>C18</f>
        <v>918765238</v>
      </c>
      <c r="D20" s="2">
        <f t="shared" ref="D20:F20" si="0">D18</f>
        <v>219327248</v>
      </c>
      <c r="E20" s="2">
        <f t="shared" si="0"/>
        <v>1580697178</v>
      </c>
      <c r="F20" s="2">
        <f t="shared" si="0"/>
        <v>560000000</v>
      </c>
    </row>
    <row r="21" spans="1:8" x14ac:dyDescent="0.25">
      <c r="B21" s="2"/>
      <c r="C21" s="4"/>
      <c r="D21" s="2"/>
      <c r="E21" s="2"/>
      <c r="F21" s="2"/>
      <c r="H21" s="2"/>
    </row>
    <row r="22" spans="1:8" x14ac:dyDescent="0.25">
      <c r="A22" s="5" t="s">
        <v>5</v>
      </c>
      <c r="B22" s="2"/>
      <c r="C22" s="2"/>
      <c r="D22" s="2"/>
      <c r="E22" s="2"/>
      <c r="F22" s="2"/>
    </row>
    <row r="23" spans="1:8" x14ac:dyDescent="0.25">
      <c r="A23" s="1" t="s">
        <v>80</v>
      </c>
      <c r="B23" s="2">
        <f>B17</f>
        <v>3696196923</v>
      </c>
      <c r="C23" s="2"/>
      <c r="D23" s="2"/>
      <c r="E23" s="2"/>
      <c r="F23" s="2"/>
      <c r="G23" s="22"/>
    </row>
    <row r="24" spans="1:8" x14ac:dyDescent="0.25">
      <c r="A24" s="1" t="s">
        <v>81</v>
      </c>
      <c r="B24" s="2">
        <v>3696196922.3299999</v>
      </c>
      <c r="C24" s="2"/>
      <c r="D24" s="2"/>
      <c r="E24" s="2"/>
      <c r="F24" s="2"/>
      <c r="G24" s="22"/>
    </row>
    <row r="26" spans="1:8" x14ac:dyDescent="0.25">
      <c r="A26" s="3" t="s">
        <v>6</v>
      </c>
    </row>
    <row r="27" spans="1:8" x14ac:dyDescent="0.25">
      <c r="A27" s="1" t="s">
        <v>50</v>
      </c>
      <c r="B27" s="15">
        <v>1.0042274323</v>
      </c>
      <c r="C27" s="15">
        <v>1.0042274323</v>
      </c>
      <c r="D27" s="15">
        <v>1.0042274323</v>
      </c>
      <c r="E27" s="15">
        <v>1.0042274323</v>
      </c>
      <c r="F27" s="15">
        <v>1.0042274323</v>
      </c>
    </row>
    <row r="28" spans="1:8" x14ac:dyDescent="0.25">
      <c r="A28" s="1" t="s">
        <v>84</v>
      </c>
      <c r="B28" s="15">
        <v>1.0304675706999999</v>
      </c>
      <c r="C28" s="15">
        <v>1.0304675706999999</v>
      </c>
      <c r="D28" s="15">
        <v>1.0304675706999999</v>
      </c>
      <c r="E28" s="15">
        <v>1.0304675706999999</v>
      </c>
      <c r="F28" s="15">
        <v>1.0304675706999999</v>
      </c>
    </row>
    <row r="29" spans="1:8" x14ac:dyDescent="0.25">
      <c r="A29" s="1" t="s">
        <v>7</v>
      </c>
      <c r="B29" s="2">
        <v>150671</v>
      </c>
      <c r="C29" s="2"/>
      <c r="D29" s="2"/>
      <c r="E29" s="2"/>
      <c r="F29" s="2"/>
    </row>
    <row r="31" spans="1:8" x14ac:dyDescent="0.25">
      <c r="A31" s="6" t="s">
        <v>8</v>
      </c>
    </row>
    <row r="32" spans="1:8" x14ac:dyDescent="0.25">
      <c r="A32" s="3" t="s">
        <v>51</v>
      </c>
      <c r="B32" s="38">
        <f>B16/B27</f>
        <v>2972634449.1137238</v>
      </c>
      <c r="C32" s="38">
        <f t="shared" ref="C32:F32" si="1">C16/C27</f>
        <v>869445030.99290609</v>
      </c>
      <c r="D32" s="38">
        <f t="shared" si="1"/>
        <v>226424191.06120649</v>
      </c>
      <c r="E32" s="38">
        <f t="shared" si="1"/>
        <v>1632497850.8556125</v>
      </c>
      <c r="F32" s="38">
        <f t="shared" si="1"/>
        <v>244267376.20399895</v>
      </c>
    </row>
    <row r="33" spans="1:8" x14ac:dyDescent="0.25">
      <c r="A33" s="3" t="s">
        <v>85</v>
      </c>
      <c r="B33" s="38">
        <f>B18/B28</f>
        <v>3181846529.893908</v>
      </c>
      <c r="C33" s="38">
        <f t="shared" ref="C33:F33" si="2">C18/C28</f>
        <v>891600341.55745411</v>
      </c>
      <c r="D33" s="38">
        <f t="shared" si="2"/>
        <v>212842455.44089299</v>
      </c>
      <c r="E33" s="38">
        <f t="shared" si="2"/>
        <v>1533961109.446877</v>
      </c>
      <c r="F33" s="38">
        <f t="shared" si="2"/>
        <v>543442623.44868374</v>
      </c>
    </row>
    <row r="34" spans="1:8" x14ac:dyDescent="0.25">
      <c r="A34" s="3" t="s">
        <v>52</v>
      </c>
      <c r="B34" s="39">
        <f>$B$32/(B10)</f>
        <v>208201.698394723</v>
      </c>
      <c r="C34" s="39">
        <f>C32/(C10)</f>
        <v>526510.91905101296</v>
      </c>
      <c r="D34" s="39">
        <f>D32/(D10)</f>
        <v>210561.86397508351</v>
      </c>
      <c r="E34" s="39">
        <f>E32/(E10)</f>
        <v>143402.83299856048</v>
      </c>
      <c r="F34" s="39">
        <f>F32/(F10)</f>
        <v>1462678.8994251434</v>
      </c>
      <c r="H34" s="22"/>
    </row>
    <row r="35" spans="1:8" x14ac:dyDescent="0.25">
      <c r="A35" s="3" t="s">
        <v>86</v>
      </c>
      <c r="B35" s="39">
        <f>$B$33/(B12)</f>
        <v>258644.65370621916</v>
      </c>
      <c r="C35" s="39">
        <f>C33/(C12)</f>
        <v>565736.25733340997</v>
      </c>
      <c r="D35" s="39">
        <f>D33/(D12)</f>
        <v>222638.55171641527</v>
      </c>
      <c r="E35" s="39">
        <f>E33/(E12)</f>
        <v>163517.86690618025</v>
      </c>
      <c r="F35" s="39">
        <f>F33/(F12)</f>
        <v>1397024.7389426318</v>
      </c>
      <c r="H35" s="22"/>
    </row>
    <row r="36" spans="1:8" x14ac:dyDescent="0.25">
      <c r="B36" s="40"/>
      <c r="C36" s="40"/>
      <c r="D36" s="40"/>
      <c r="E36" s="40"/>
      <c r="F36" s="40"/>
    </row>
    <row r="37" spans="1:8" x14ac:dyDescent="0.25">
      <c r="A37" s="6" t="s">
        <v>9</v>
      </c>
      <c r="B37" s="40"/>
      <c r="C37" s="40"/>
      <c r="D37" s="40"/>
      <c r="E37" s="40"/>
      <c r="F37" s="40"/>
    </row>
    <row r="38" spans="1:8" x14ac:dyDescent="0.25">
      <c r="B38" s="40"/>
      <c r="C38" s="40"/>
      <c r="D38" s="40"/>
      <c r="E38" s="40"/>
      <c r="F38" s="40"/>
    </row>
    <row r="39" spans="1:8" x14ac:dyDescent="0.25">
      <c r="A39" s="3" t="s">
        <v>10</v>
      </c>
      <c r="B39" s="40"/>
      <c r="C39" s="40"/>
      <c r="D39" s="40"/>
      <c r="E39" s="40"/>
      <c r="F39" s="40"/>
    </row>
    <row r="40" spans="1:8" x14ac:dyDescent="0.25">
      <c r="A40" s="3" t="s">
        <v>11</v>
      </c>
      <c r="B40" s="41">
        <f>B11/B29*100</f>
        <v>10.591288303654983</v>
      </c>
      <c r="C40" s="42"/>
      <c r="D40" s="42"/>
      <c r="E40" s="42"/>
      <c r="F40" s="42"/>
    </row>
    <row r="41" spans="1:8" x14ac:dyDescent="0.25">
      <c r="A41" s="3" t="s">
        <v>12</v>
      </c>
      <c r="B41" s="41">
        <f>B12/B29*100</f>
        <v>8.1648094191981198</v>
      </c>
      <c r="C41" s="42"/>
      <c r="D41" s="42"/>
      <c r="E41" s="42"/>
      <c r="F41" s="42"/>
    </row>
    <row r="42" spans="1:8" x14ac:dyDescent="0.25">
      <c r="B42" s="40"/>
      <c r="C42" s="40"/>
      <c r="D42" s="40"/>
      <c r="E42" s="40"/>
      <c r="F42" s="40"/>
    </row>
    <row r="43" spans="1:8" x14ac:dyDescent="0.25">
      <c r="A43" s="3" t="s">
        <v>13</v>
      </c>
      <c r="B43" s="40"/>
      <c r="C43" s="40"/>
      <c r="D43" s="40"/>
      <c r="E43" s="40"/>
      <c r="F43" s="40"/>
    </row>
    <row r="44" spans="1:8" x14ac:dyDescent="0.25">
      <c r="A44" s="3" t="s">
        <v>14</v>
      </c>
      <c r="B44" s="42">
        <f>B12/B11*100</f>
        <v>77.089860884822656</v>
      </c>
      <c r="C44" s="42">
        <f t="shared" ref="C44:D44" si="3">C12/C11*100</f>
        <v>86.167304537998902</v>
      </c>
      <c r="D44" s="42">
        <f t="shared" si="3"/>
        <v>74.454828660436135</v>
      </c>
      <c r="E44" s="42">
        <f>E12/E11*100</f>
        <v>75.325196723944117</v>
      </c>
      <c r="F44" s="42">
        <f>F12/F11*100</f>
        <v>99.488491048593346</v>
      </c>
    </row>
    <row r="45" spans="1:8" x14ac:dyDescent="0.25">
      <c r="A45" s="3" t="s">
        <v>15</v>
      </c>
      <c r="B45" s="42">
        <f>B18/B17*100</f>
        <v>88.707115240461448</v>
      </c>
      <c r="C45" s="42">
        <f t="shared" ref="C45:F45" si="4">C18/C17*100</f>
        <v>93.566611991981034</v>
      </c>
      <c r="D45" s="42">
        <f t="shared" si="4"/>
        <v>79.543094496365526</v>
      </c>
      <c r="E45" s="42">
        <f t="shared" si="4"/>
        <v>88.140868284174658</v>
      </c>
      <c r="F45" s="42">
        <f t="shared" si="4"/>
        <v>86.801519026582966</v>
      </c>
    </row>
    <row r="46" spans="1:8" x14ac:dyDescent="0.25">
      <c r="A46" s="3" t="s">
        <v>16</v>
      </c>
      <c r="B46" s="42">
        <f>AVERAGE(B44:B45)</f>
        <v>82.898488062642059</v>
      </c>
      <c r="C46" s="42">
        <f t="shared" ref="C46:F46" si="5">AVERAGE(C44:C45)</f>
        <v>89.866958264989961</v>
      </c>
      <c r="D46" s="42">
        <f t="shared" si="5"/>
        <v>76.998961578400838</v>
      </c>
      <c r="E46" s="42">
        <f t="shared" si="5"/>
        <v>81.733032504059395</v>
      </c>
      <c r="F46" s="42">
        <f t="shared" si="5"/>
        <v>93.145005037588163</v>
      </c>
    </row>
    <row r="47" spans="1:8" x14ac:dyDescent="0.25">
      <c r="B47" s="42"/>
      <c r="C47" s="42"/>
      <c r="D47" s="42"/>
      <c r="E47" s="42"/>
      <c r="F47" s="42"/>
    </row>
    <row r="48" spans="1:8" x14ac:dyDescent="0.25">
      <c r="A48" s="3" t="s">
        <v>17</v>
      </c>
      <c r="B48" s="40"/>
      <c r="C48" s="40"/>
      <c r="D48" s="40"/>
      <c r="E48" s="40"/>
      <c r="F48" s="40"/>
    </row>
    <row r="49" spans="1:6" x14ac:dyDescent="0.25">
      <c r="A49" s="3" t="s">
        <v>18</v>
      </c>
      <c r="B49" s="42">
        <f>(B12/B13)*100</f>
        <v>77.089860884822656</v>
      </c>
      <c r="C49" s="42">
        <f t="shared" ref="C49:F49" si="6">(C12/C13)*100</f>
        <v>86.167304537998902</v>
      </c>
      <c r="D49" s="42">
        <f t="shared" si="6"/>
        <v>74.454828660436135</v>
      </c>
      <c r="E49" s="42">
        <f t="shared" si="6"/>
        <v>75.325196723944117</v>
      </c>
      <c r="F49" s="42">
        <f t="shared" si="6"/>
        <v>99.488491048593346</v>
      </c>
    </row>
    <row r="50" spans="1:6" x14ac:dyDescent="0.25">
      <c r="A50" s="3" t="s">
        <v>19</v>
      </c>
      <c r="B50" s="42">
        <f>B18/B19*100</f>
        <v>22.175128962828591</v>
      </c>
      <c r="C50" s="42">
        <f t="shared" ref="C50:F50" si="7">C18/C19*100</f>
        <v>23.391652997995259</v>
      </c>
      <c r="D50" s="42">
        <f t="shared" si="7"/>
        <v>19.885773624091382</v>
      </c>
      <c r="E50" s="42">
        <f t="shared" si="7"/>
        <v>22.035217071043665</v>
      </c>
      <c r="F50" s="42">
        <f t="shared" si="7"/>
        <v>21.691133749080063</v>
      </c>
    </row>
    <row r="51" spans="1:6" x14ac:dyDescent="0.25">
      <c r="A51" s="3" t="s">
        <v>20</v>
      </c>
      <c r="B51" s="42">
        <f>(B49+B50)/2</f>
        <v>49.632494923825625</v>
      </c>
      <c r="C51" s="42">
        <f t="shared" ref="C51:F51" si="8">(C49+C50)/2</f>
        <v>54.779478767997077</v>
      </c>
      <c r="D51" s="42">
        <f t="shared" si="8"/>
        <v>47.17030114226376</v>
      </c>
      <c r="E51" s="42">
        <f t="shared" si="8"/>
        <v>48.680206897493889</v>
      </c>
      <c r="F51" s="42">
        <f t="shared" si="8"/>
        <v>60.589812398836706</v>
      </c>
    </row>
    <row r="52" spans="1:6" x14ac:dyDescent="0.25">
      <c r="B52" s="40"/>
      <c r="C52" s="40"/>
      <c r="D52" s="40"/>
      <c r="E52" s="40"/>
      <c r="F52" s="40"/>
    </row>
    <row r="53" spans="1:6" x14ac:dyDescent="0.25">
      <c r="A53" s="3" t="s">
        <v>21</v>
      </c>
      <c r="B53" s="40"/>
      <c r="C53" s="40"/>
      <c r="D53" s="40"/>
      <c r="E53" s="40"/>
      <c r="F53" s="40"/>
    </row>
    <row r="54" spans="1:6" x14ac:dyDescent="0.25">
      <c r="A54" s="3" t="s">
        <v>22</v>
      </c>
      <c r="B54" s="41">
        <f>B20/B18*100</f>
        <v>100</v>
      </c>
      <c r="C54" s="42"/>
      <c r="D54" s="42"/>
      <c r="E54" s="42"/>
      <c r="F54" s="42"/>
    </row>
    <row r="55" spans="1:6" x14ac:dyDescent="0.25">
      <c r="B55" s="40"/>
      <c r="C55" s="40"/>
      <c r="D55" s="40"/>
      <c r="E55" s="40"/>
      <c r="F55" s="40"/>
    </row>
    <row r="56" spans="1:6" x14ac:dyDescent="0.25">
      <c r="A56" s="3" t="s">
        <v>23</v>
      </c>
      <c r="B56" s="40"/>
      <c r="C56" s="40"/>
      <c r="D56" s="40"/>
      <c r="E56" s="40"/>
      <c r="F56" s="40"/>
    </row>
    <row r="57" spans="1:6" x14ac:dyDescent="0.25">
      <c r="A57" s="3" t="s">
        <v>24</v>
      </c>
      <c r="B57" s="42">
        <f>((B12/B10)-1)*100</f>
        <v>-13.83746177013051</v>
      </c>
      <c r="C57" s="42">
        <f t="shared" ref="C57:F57" si="9">((C12/C10)-1)*100</f>
        <v>-4.5619701251513938</v>
      </c>
      <c r="D57" s="42">
        <f t="shared" si="9"/>
        <v>-11.097334159950412</v>
      </c>
      <c r="E57" s="42">
        <f t="shared" si="9"/>
        <v>-17.594869992972594</v>
      </c>
      <c r="F57" s="42">
        <f t="shared" si="9"/>
        <v>132.93413173652695</v>
      </c>
    </row>
    <row r="58" spans="1:6" x14ac:dyDescent="0.25">
      <c r="A58" s="3" t="s">
        <v>25</v>
      </c>
      <c r="B58" s="42">
        <f>((B33/B32)-1)*100</f>
        <v>7.0379350156074549</v>
      </c>
      <c r="C58" s="42">
        <f t="shared" ref="C58:F58" si="10">((C33/C32)-1)*100</f>
        <v>2.5482129145354637</v>
      </c>
      <c r="D58" s="42">
        <f t="shared" si="10"/>
        <v>-5.9983589017845285</v>
      </c>
      <c r="E58" s="42">
        <f t="shared" si="10"/>
        <v>-6.0359492269524972</v>
      </c>
      <c r="F58" s="42">
        <f t="shared" si="10"/>
        <v>122.47859370087544</v>
      </c>
    </row>
    <row r="59" spans="1:6" x14ac:dyDescent="0.25">
      <c r="A59" s="3" t="s">
        <v>26</v>
      </c>
      <c r="B59" s="42">
        <f>((B35/B34)-1)*100</f>
        <v>24.227926909540855</v>
      </c>
      <c r="C59" s="42">
        <f t="shared" ref="C59:F59" si="11">((C35/C34)-1)*100</f>
        <v>7.4500521951371912</v>
      </c>
      <c r="D59" s="42">
        <f t="shared" si="11"/>
        <v>5.7354582227486572</v>
      </c>
      <c r="E59" s="42">
        <f t="shared" si="11"/>
        <v>14.026943183069251</v>
      </c>
      <c r="F59" s="42">
        <f t="shared" si="11"/>
        <v>-4.4886242980817448</v>
      </c>
    </row>
    <row r="60" spans="1:6" x14ac:dyDescent="0.25">
      <c r="B60" s="42"/>
      <c r="C60" s="42"/>
      <c r="D60" s="42"/>
      <c r="E60" s="42"/>
      <c r="F60" s="42"/>
    </row>
    <row r="61" spans="1:6" x14ac:dyDescent="0.25">
      <c r="A61" s="3" t="s">
        <v>27</v>
      </c>
      <c r="B61" s="40"/>
      <c r="C61" s="40"/>
      <c r="D61" s="40"/>
      <c r="E61" s="40"/>
      <c r="F61" s="40"/>
    </row>
    <row r="62" spans="1:6" x14ac:dyDescent="0.25">
      <c r="A62" s="3" t="s">
        <v>42</v>
      </c>
      <c r="B62" s="30">
        <f>B17/(B11*3)</f>
        <v>77206.770334628396</v>
      </c>
      <c r="C62" s="30">
        <f t="shared" ref="C62:D62" si="12">C17/(C11*3)</f>
        <v>178957</v>
      </c>
      <c r="D62" s="30">
        <f t="shared" si="12"/>
        <v>71582</v>
      </c>
      <c r="E62" s="30">
        <f>E17/(E11*3)</f>
        <v>48000</v>
      </c>
      <c r="F62" s="30">
        <f>F17/(F11*3)</f>
        <v>550000</v>
      </c>
    </row>
    <row r="63" spans="1:6" x14ac:dyDescent="0.25">
      <c r="A63" s="3" t="s">
        <v>43</v>
      </c>
      <c r="B63" s="30">
        <f>$B$18/(B12*3)</f>
        <v>88841.642659730132</v>
      </c>
      <c r="C63" s="30">
        <f>C18/(C12*3)</f>
        <v>194324.28891708967</v>
      </c>
      <c r="D63" s="30">
        <f t="shared" ref="D63:F63" si="13">D18/(D12*3)</f>
        <v>76473.935843793588</v>
      </c>
      <c r="E63" s="30">
        <f t="shared" si="13"/>
        <v>56166.619692285829</v>
      </c>
      <c r="F63" s="30">
        <f t="shared" si="13"/>
        <v>479862.8963153385</v>
      </c>
    </row>
    <row r="64" spans="1:6" x14ac:dyDescent="0.25">
      <c r="A64" s="3" t="s">
        <v>28</v>
      </c>
      <c r="B64" s="30">
        <f>(B63/B62)*B46</f>
        <v>95.391088392541008</v>
      </c>
      <c r="C64" s="30">
        <f t="shared" ref="C64:F64" si="14">(C63/C62)*C46</f>
        <v>97.583960180300011</v>
      </c>
      <c r="D64" s="30">
        <f t="shared" si="14"/>
        <v>82.261094238570493</v>
      </c>
      <c r="E64" s="30">
        <f t="shared" si="14"/>
        <v>95.638919853182088</v>
      </c>
      <c r="F64" s="30">
        <f t="shared" si="14"/>
        <v>81.266967081170634</v>
      </c>
    </row>
    <row r="65" spans="1:7" x14ac:dyDescent="0.25">
      <c r="A65" s="3" t="s">
        <v>44</v>
      </c>
      <c r="B65" s="30">
        <f>B17/B11</f>
        <v>231620.3110038852</v>
      </c>
      <c r="C65" s="30">
        <f t="shared" ref="C65:D65" si="15">C17/C11</f>
        <v>536871</v>
      </c>
      <c r="D65" s="30">
        <f t="shared" si="15"/>
        <v>214746</v>
      </c>
      <c r="E65" s="30">
        <f>E17/E11</f>
        <v>144000</v>
      </c>
      <c r="F65" s="30">
        <f>F17/F11</f>
        <v>1650000</v>
      </c>
    </row>
    <row r="66" spans="1:7" x14ac:dyDescent="0.25">
      <c r="A66" s="3" t="s">
        <v>45</v>
      </c>
      <c r="B66" s="30">
        <f>B18/B12</f>
        <v>266524.92797919037</v>
      </c>
      <c r="C66" s="30">
        <f t="shared" ref="C66:F66" si="16">C18/C12</f>
        <v>582972.86675126909</v>
      </c>
      <c r="D66" s="30">
        <f t="shared" si="16"/>
        <v>229421.80753138076</v>
      </c>
      <c r="E66" s="30">
        <f t="shared" si="16"/>
        <v>168499.85907685748</v>
      </c>
      <c r="F66" s="30">
        <f t="shared" si="16"/>
        <v>1439588.6889460154</v>
      </c>
    </row>
    <row r="67" spans="1:7" x14ac:dyDescent="0.25">
      <c r="B67" s="42"/>
      <c r="C67" s="42"/>
      <c r="D67" s="42"/>
      <c r="E67" s="42"/>
      <c r="F67" s="42"/>
    </row>
    <row r="68" spans="1:7" x14ac:dyDescent="0.25">
      <c r="A68" s="3" t="s">
        <v>29</v>
      </c>
      <c r="B68" s="42"/>
      <c r="C68" s="42"/>
      <c r="D68" s="42"/>
      <c r="E68" s="42"/>
      <c r="F68" s="42"/>
    </row>
    <row r="69" spans="1:7" x14ac:dyDescent="0.25">
      <c r="A69" s="3" t="s">
        <v>30</v>
      </c>
      <c r="B69" s="14">
        <f>(B24/B23)*100</f>
        <v>99.999999981873259</v>
      </c>
      <c r="C69" s="42"/>
      <c r="D69" s="42"/>
      <c r="E69" s="42"/>
      <c r="F69" s="42"/>
      <c r="G69" s="22"/>
    </row>
    <row r="70" spans="1:7" ht="15.75" thickBot="1" x14ac:dyDescent="0.3">
      <c r="A70" s="8" t="s">
        <v>31</v>
      </c>
      <c r="B70" s="43">
        <f>(B18/B24)*100</f>
        <v>88.707115256541158</v>
      </c>
      <c r="C70" s="44"/>
      <c r="D70" s="44"/>
      <c r="E70" s="44"/>
      <c r="F70" s="44"/>
      <c r="G70" s="22"/>
    </row>
    <row r="71" spans="1:7" ht="15.75" thickTop="1" x14ac:dyDescent="0.25">
      <c r="A71" s="13"/>
      <c r="B71" s="13"/>
      <c r="C71" s="13"/>
      <c r="D71" s="13"/>
      <c r="E71" s="13"/>
      <c r="F71" s="13"/>
    </row>
    <row r="72" spans="1:7" x14ac:dyDescent="0.25">
      <c r="A72" s="3" t="s">
        <v>32</v>
      </c>
    </row>
    <row r="73" spans="1:7" x14ac:dyDescent="0.25">
      <c r="A73" s="3" t="s">
        <v>87</v>
      </c>
    </row>
    <row r="74" spans="1:7" x14ac:dyDescent="0.25">
      <c r="A74" s="3" t="s">
        <v>88</v>
      </c>
      <c r="B74" s="28"/>
      <c r="C74" s="28"/>
      <c r="D74" s="28"/>
    </row>
    <row r="75" spans="1:7" x14ac:dyDescent="0.25">
      <c r="A75" s="3" t="s">
        <v>65</v>
      </c>
    </row>
    <row r="77" spans="1:7" x14ac:dyDescent="0.25">
      <c r="A77" s="3" t="s">
        <v>33</v>
      </c>
    </row>
    <row r="78" spans="1:7" x14ac:dyDescent="0.25">
      <c r="A78" s="3" t="s">
        <v>34</v>
      </c>
    </row>
    <row r="79" spans="1:7" x14ac:dyDescent="0.25">
      <c r="A79" s="3" t="s">
        <v>89</v>
      </c>
    </row>
    <row r="80" spans="1:7" x14ac:dyDescent="0.25">
      <c r="A80" s="29"/>
    </row>
    <row r="81" spans="1:1" x14ac:dyDescent="0.25">
      <c r="A81" s="3" t="s">
        <v>90</v>
      </c>
    </row>
    <row r="188" spans="4:8" x14ac:dyDescent="0.25">
      <c r="D188" s="4"/>
      <c r="E188" s="4" t="s">
        <v>38</v>
      </c>
      <c r="F188" s="4" t="s">
        <v>39</v>
      </c>
      <c r="G188" s="4" t="s">
        <v>40</v>
      </c>
      <c r="H188" s="4" t="s">
        <v>41</v>
      </c>
    </row>
    <row r="189" spans="4:8" x14ac:dyDescent="0.25">
      <c r="D189" s="4" t="s">
        <v>30</v>
      </c>
      <c r="E189" s="4">
        <v>93.271828425704058</v>
      </c>
      <c r="F189" s="4">
        <v>86.548558144982096</v>
      </c>
      <c r="G189" s="4">
        <v>82.222189747580757</v>
      </c>
      <c r="H189" s="4">
        <v>104.27430435089333</v>
      </c>
    </row>
    <row r="190" spans="4:8" x14ac:dyDescent="0.25">
      <c r="D190" s="4" t="s">
        <v>31</v>
      </c>
      <c r="E190" s="4">
        <v>72.182667347333364</v>
      </c>
      <c r="F190" s="4">
        <v>84.936774249756979</v>
      </c>
      <c r="G190" s="4">
        <v>106.94937841615069</v>
      </c>
      <c r="H190" s="4">
        <v>130.54830055902181</v>
      </c>
    </row>
    <row r="211" spans="5:5" x14ac:dyDescent="0.25">
      <c r="E211" s="3">
        <f>(100+25)/2</f>
        <v>62.5</v>
      </c>
    </row>
  </sheetData>
  <mergeCells count="4">
    <mergeCell ref="A4:A5"/>
    <mergeCell ref="B4:B5"/>
    <mergeCell ref="C4:F4"/>
    <mergeCell ref="A2:F2"/>
  </mergeCells>
  <pageMargins left="0.7" right="0.7" top="0.75" bottom="0.75" header="0.3" footer="0.3"/>
  <pageSetup orientation="portrait" r:id="rId1"/>
  <ignoredErrors>
    <ignoredError sqref="B40:B41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.140625" style="3" customWidth="1"/>
    <col min="2" max="6" width="15.5703125" style="3" customWidth="1"/>
    <col min="7" max="16384" width="11.42578125" style="3"/>
  </cols>
  <sheetData>
    <row r="2" spans="1:8" ht="15.75" x14ac:dyDescent="0.25">
      <c r="A2" s="55" t="s">
        <v>91</v>
      </c>
      <c r="B2" s="55"/>
      <c r="C2" s="55"/>
      <c r="D2" s="55"/>
      <c r="E2" s="55"/>
      <c r="F2" s="55"/>
    </row>
    <row r="4" spans="1:8" ht="15" customHeight="1" x14ac:dyDescent="0.25">
      <c r="A4" s="50" t="s">
        <v>0</v>
      </c>
      <c r="B4" s="52" t="s">
        <v>1</v>
      </c>
      <c r="C4" s="56" t="s">
        <v>2</v>
      </c>
      <c r="D4" s="56"/>
      <c r="E4" s="56"/>
      <c r="F4" s="56"/>
    </row>
    <row r="5" spans="1:8" ht="30.75" thickBot="1" x14ac:dyDescent="0.3">
      <c r="A5" s="51"/>
      <c r="B5" s="53"/>
      <c r="C5" s="21" t="s">
        <v>36</v>
      </c>
      <c r="D5" s="21" t="s">
        <v>37</v>
      </c>
      <c r="E5" s="21" t="s">
        <v>78</v>
      </c>
      <c r="F5" s="21" t="s">
        <v>48</v>
      </c>
    </row>
    <row r="6" spans="1:8" ht="15.75" thickTop="1" x14ac:dyDescent="0.25"/>
    <row r="7" spans="1:8" x14ac:dyDescent="0.25">
      <c r="A7" s="6" t="s">
        <v>3</v>
      </c>
    </row>
    <row r="9" spans="1:8" x14ac:dyDescent="0.25">
      <c r="A9" s="3" t="s">
        <v>35</v>
      </c>
      <c r="C9" s="2"/>
    </row>
    <row r="10" spans="1:8" x14ac:dyDescent="0.25">
      <c r="A10" s="1" t="s">
        <v>53</v>
      </c>
      <c r="B10" s="9">
        <f>SUM(C10:F10)</f>
        <v>13993</v>
      </c>
      <c r="C10" s="2">
        <f>329+1552</f>
        <v>1881</v>
      </c>
      <c r="D10" s="2">
        <f>1074+97</f>
        <v>1171</v>
      </c>
      <c r="E10" s="2">
        <f>10065+788</f>
        <v>10853</v>
      </c>
      <c r="F10" s="2">
        <f>88</f>
        <v>88</v>
      </c>
      <c r="H10" s="22"/>
    </row>
    <row r="11" spans="1:8" x14ac:dyDescent="0.25">
      <c r="A11" s="1" t="s">
        <v>92</v>
      </c>
      <c r="B11" s="9">
        <f>SUM(C11:F11)</f>
        <v>15958</v>
      </c>
      <c r="C11" s="2">
        <v>1829</v>
      </c>
      <c r="D11" s="2">
        <v>1284</v>
      </c>
      <c r="E11" s="2">
        <v>12454</v>
      </c>
      <c r="F11" s="2">
        <v>391</v>
      </c>
    </row>
    <row r="12" spans="1:8" x14ac:dyDescent="0.25">
      <c r="A12" s="1" t="s">
        <v>93</v>
      </c>
      <c r="B12" s="9">
        <f>SUM(C12:F12)</f>
        <v>13993.666666666666</v>
      </c>
      <c r="C12" s="2">
        <v>1800.3333333333333</v>
      </c>
      <c r="D12" s="2">
        <v>1290</v>
      </c>
      <c r="E12" s="2">
        <v>10517</v>
      </c>
      <c r="F12" s="2">
        <v>386.33333333333331</v>
      </c>
      <c r="G12" s="22"/>
      <c r="H12" s="22"/>
    </row>
    <row r="13" spans="1:8" x14ac:dyDescent="0.25">
      <c r="A13" s="1" t="s">
        <v>82</v>
      </c>
      <c r="B13" s="2">
        <f>SUM(C13:F13)</f>
        <v>15958</v>
      </c>
      <c r="C13" s="2">
        <v>1829</v>
      </c>
      <c r="D13" s="10">
        <v>1284</v>
      </c>
      <c r="E13" s="10">
        <v>12454</v>
      </c>
      <c r="F13" s="2">
        <v>391</v>
      </c>
      <c r="G13" s="22"/>
    </row>
    <row r="14" spans="1:8" x14ac:dyDescent="0.25">
      <c r="G14" s="25"/>
    </row>
    <row r="15" spans="1:8" x14ac:dyDescent="0.25">
      <c r="A15" s="5" t="s">
        <v>4</v>
      </c>
    </row>
    <row r="16" spans="1:8" x14ac:dyDescent="0.25">
      <c r="A16" s="1" t="s">
        <v>53</v>
      </c>
      <c r="B16" s="9">
        <f>SUM(C16:F16)</f>
        <v>2987971759</v>
      </c>
      <c r="C16" s="2">
        <f>820962392+32598850</f>
        <v>853561242</v>
      </c>
      <c r="D16" s="2">
        <f>227099448+20510844</f>
        <v>247610292</v>
      </c>
      <c r="E16" s="2">
        <f>1622933125+153102500</f>
        <v>1776035625</v>
      </c>
      <c r="F16" s="2">
        <f>110764600</f>
        <v>110764600</v>
      </c>
      <c r="H16" s="22"/>
    </row>
    <row r="17" spans="1:8" x14ac:dyDescent="0.25">
      <c r="A17" s="1" t="s">
        <v>92</v>
      </c>
      <c r="B17" s="9">
        <f>SUM(C17:F17)</f>
        <v>3696196923</v>
      </c>
      <c r="C17" s="2">
        <v>981937059</v>
      </c>
      <c r="D17" s="2">
        <v>275733864</v>
      </c>
      <c r="E17" s="2">
        <v>1793376000</v>
      </c>
      <c r="F17" s="2">
        <v>645150000</v>
      </c>
    </row>
    <row r="18" spans="1:8" x14ac:dyDescent="0.25">
      <c r="A18" s="1" t="s">
        <v>93</v>
      </c>
      <c r="B18" s="9">
        <f>SUM(C18:F18)</f>
        <v>3790791877.7358332</v>
      </c>
      <c r="C18" s="2">
        <v>1002159200</v>
      </c>
      <c r="D18" s="2">
        <v>375099964.39999998</v>
      </c>
      <c r="E18" s="2">
        <v>1861832713.3358333</v>
      </c>
      <c r="F18" s="2">
        <v>551700000</v>
      </c>
      <c r="H18" s="22"/>
    </row>
    <row r="19" spans="1:8" x14ac:dyDescent="0.25">
      <c r="A19" s="1" t="s">
        <v>82</v>
      </c>
      <c r="B19" s="2">
        <f>SUM(C19:F19)</f>
        <v>14785887692</v>
      </c>
      <c r="C19" s="27">
        <v>3927748236</v>
      </c>
      <c r="D19" s="10">
        <v>1102935456</v>
      </c>
      <c r="E19" s="10">
        <v>7173504000</v>
      </c>
      <c r="F19" s="10">
        <v>2581700000</v>
      </c>
    </row>
    <row r="20" spans="1:8" x14ac:dyDescent="0.25">
      <c r="A20" s="1" t="s">
        <v>94</v>
      </c>
      <c r="B20" s="9">
        <f>SUM(C20:F20)</f>
        <v>3790791877.7358332</v>
      </c>
      <c r="C20" s="2">
        <f>C18</f>
        <v>1002159200</v>
      </c>
      <c r="D20" s="2">
        <f>D18</f>
        <v>375099964.39999998</v>
      </c>
      <c r="E20" s="2">
        <f>E18</f>
        <v>1861832713.3358333</v>
      </c>
      <c r="F20" s="2">
        <f>F18</f>
        <v>551700000</v>
      </c>
      <c r="G20" s="22"/>
    </row>
    <row r="21" spans="1:8" x14ac:dyDescent="0.25">
      <c r="B21" s="2"/>
      <c r="C21" s="4"/>
      <c r="D21" s="2"/>
      <c r="E21" s="2"/>
      <c r="F21" s="2"/>
    </row>
    <row r="22" spans="1:8" x14ac:dyDescent="0.25">
      <c r="A22" s="5" t="s">
        <v>5</v>
      </c>
      <c r="B22" s="2"/>
      <c r="C22" s="2"/>
      <c r="D22" s="2"/>
      <c r="E22" s="2"/>
      <c r="F22" s="2"/>
    </row>
    <row r="23" spans="1:8" x14ac:dyDescent="0.25">
      <c r="A23" s="1" t="s">
        <v>92</v>
      </c>
      <c r="B23" s="2">
        <f>B17</f>
        <v>3696196923</v>
      </c>
      <c r="C23" s="2"/>
      <c r="D23" s="2"/>
      <c r="E23" s="2"/>
      <c r="F23" s="2"/>
      <c r="G23" s="22"/>
    </row>
    <row r="24" spans="1:8" x14ac:dyDescent="0.25">
      <c r="A24" s="1" t="s">
        <v>93</v>
      </c>
      <c r="B24" s="2">
        <v>3696196923</v>
      </c>
      <c r="C24" s="2"/>
      <c r="D24" s="2"/>
      <c r="E24" s="2"/>
      <c r="F24" s="2"/>
      <c r="G24" s="22"/>
    </row>
    <row r="26" spans="1:8" x14ac:dyDescent="0.25">
      <c r="A26" s="3" t="s">
        <v>6</v>
      </c>
    </row>
    <row r="27" spans="1:8" x14ac:dyDescent="0.25">
      <c r="A27" s="1" t="s">
        <v>54</v>
      </c>
      <c r="B27" s="15">
        <v>1.0088033727000001</v>
      </c>
      <c r="C27" s="15">
        <v>1.0088033727000001</v>
      </c>
      <c r="D27" s="15">
        <v>1.0088033727000001</v>
      </c>
      <c r="E27" s="15">
        <v>1.0088033727000001</v>
      </c>
      <c r="F27" s="15">
        <v>1.0088033727000001</v>
      </c>
    </row>
    <row r="28" spans="1:8" x14ac:dyDescent="0.25">
      <c r="A28" s="1" t="s">
        <v>95</v>
      </c>
      <c r="B28" s="15">
        <v>1.0303325644000001</v>
      </c>
      <c r="C28" s="15">
        <v>1.0303325644000001</v>
      </c>
      <c r="D28" s="15">
        <v>1.0303325644000001</v>
      </c>
      <c r="E28" s="15">
        <v>1.0303325644000001</v>
      </c>
      <c r="F28" s="15">
        <v>1.0303325644000001</v>
      </c>
    </row>
    <row r="29" spans="1:8" x14ac:dyDescent="0.25">
      <c r="A29" s="1" t="s">
        <v>7</v>
      </c>
      <c r="B29" s="2">
        <v>150671</v>
      </c>
      <c r="C29" s="2"/>
      <c r="D29" s="2"/>
      <c r="E29" s="2"/>
      <c r="F29" s="2"/>
    </row>
    <row r="31" spans="1:8" x14ac:dyDescent="0.25">
      <c r="A31" s="6" t="s">
        <v>8</v>
      </c>
    </row>
    <row r="32" spans="1:8" x14ac:dyDescent="0.25">
      <c r="A32" s="3" t="s">
        <v>55</v>
      </c>
      <c r="B32" s="30">
        <f>B16/B27</f>
        <v>2961897075.1484284</v>
      </c>
      <c r="C32" s="30">
        <f>C16/C27</f>
        <v>846112597.45840847</v>
      </c>
      <c r="D32" s="30">
        <f>D16/D27</f>
        <v>245449508.49766323</v>
      </c>
      <c r="E32" s="30">
        <f>E16/E27</f>
        <v>1760536961.9716377</v>
      </c>
      <c r="F32" s="30">
        <f>F16/F27</f>
        <v>109798007.22071871</v>
      </c>
    </row>
    <row r="33" spans="1:8" x14ac:dyDescent="0.25">
      <c r="A33" s="3" t="s">
        <v>96</v>
      </c>
      <c r="B33" s="45">
        <f>B18/B28</f>
        <v>3679192533.2801147</v>
      </c>
      <c r="C33" s="30">
        <f>C18/C28</f>
        <v>972656047.7913202</v>
      </c>
      <c r="D33" s="30">
        <f>D18/D28</f>
        <v>364057176.64415884</v>
      </c>
      <c r="E33" s="30">
        <f>E18/E28</f>
        <v>1807021128.5809896</v>
      </c>
      <c r="F33" s="30">
        <f>F18/F28</f>
        <v>535458180.26364607</v>
      </c>
    </row>
    <row r="34" spans="1:8" x14ac:dyDescent="0.25">
      <c r="A34" s="3" t="s">
        <v>56</v>
      </c>
      <c r="B34" s="31">
        <f>$B$32/(B10)</f>
        <v>211669.91175219242</v>
      </c>
      <c r="C34" s="31">
        <f>C32/(C10)</f>
        <v>449820.62597469881</v>
      </c>
      <c r="D34" s="31">
        <f>D32/(D10)</f>
        <v>209606.75362738105</v>
      </c>
      <c r="E34" s="31">
        <f>E32/(E10)</f>
        <v>162216.61862818</v>
      </c>
      <c r="F34" s="31">
        <f>F32/(F10)</f>
        <v>1247704.6275081672</v>
      </c>
      <c r="H34" s="22"/>
    </row>
    <row r="35" spans="1:8" x14ac:dyDescent="0.25">
      <c r="A35" s="3" t="s">
        <v>97</v>
      </c>
      <c r="B35" s="31">
        <f>$B$33/(B12)</f>
        <v>262918.40594174375</v>
      </c>
      <c r="C35" s="31">
        <f>C33/(C12)</f>
        <v>540264.42202813562</v>
      </c>
      <c r="D35" s="31">
        <f>D33/(D12)</f>
        <v>282214.86561562703</v>
      </c>
      <c r="E35" s="31">
        <f>E33/(E12)</f>
        <v>171819.06708956827</v>
      </c>
      <c r="F35" s="31">
        <f>F33/(F12)</f>
        <v>1386000.4666013273</v>
      </c>
      <c r="H35" s="22"/>
    </row>
    <row r="36" spans="1:8" x14ac:dyDescent="0.25">
      <c r="B36" s="32"/>
      <c r="C36" s="32"/>
      <c r="D36" s="32"/>
      <c r="E36" s="32"/>
      <c r="F36" s="32"/>
    </row>
    <row r="37" spans="1:8" x14ac:dyDescent="0.25">
      <c r="A37" s="6" t="s">
        <v>9</v>
      </c>
      <c r="B37" s="32"/>
      <c r="C37" s="32"/>
      <c r="D37" s="32"/>
      <c r="E37" s="32"/>
      <c r="F37" s="32"/>
    </row>
    <row r="38" spans="1:8" x14ac:dyDescent="0.25">
      <c r="B38" s="32"/>
      <c r="C38" s="32"/>
      <c r="D38" s="32"/>
      <c r="E38" s="32"/>
      <c r="F38" s="32"/>
    </row>
    <row r="39" spans="1:8" x14ac:dyDescent="0.25">
      <c r="A39" s="3" t="s">
        <v>10</v>
      </c>
      <c r="B39" s="32"/>
      <c r="C39" s="32"/>
      <c r="D39" s="32"/>
      <c r="E39" s="32"/>
      <c r="F39" s="32"/>
    </row>
    <row r="40" spans="1:8" x14ac:dyDescent="0.25">
      <c r="A40" s="3" t="s">
        <v>11</v>
      </c>
      <c r="B40" s="33">
        <f>B11/B29*100</f>
        <v>10.591288303654983</v>
      </c>
      <c r="C40" s="34"/>
      <c r="D40" s="34"/>
      <c r="E40" s="34"/>
      <c r="F40" s="34"/>
    </row>
    <row r="41" spans="1:8" x14ac:dyDescent="0.25">
      <c r="A41" s="3" t="s">
        <v>12</v>
      </c>
      <c r="B41" s="33">
        <f>B12/B29*100</f>
        <v>9.2875647381823079</v>
      </c>
      <c r="C41" s="34"/>
      <c r="D41" s="34"/>
      <c r="E41" s="34"/>
      <c r="F41" s="34"/>
    </row>
    <row r="42" spans="1:8" x14ac:dyDescent="0.25">
      <c r="B42" s="32"/>
      <c r="C42" s="32"/>
      <c r="D42" s="32"/>
      <c r="E42" s="32"/>
      <c r="F42" s="32"/>
    </row>
    <row r="43" spans="1:8" x14ac:dyDescent="0.25">
      <c r="A43" s="3" t="s">
        <v>13</v>
      </c>
      <c r="B43" s="32"/>
      <c r="C43" s="32"/>
      <c r="D43" s="32"/>
      <c r="E43" s="32"/>
      <c r="F43" s="32"/>
    </row>
    <row r="44" spans="1:8" x14ac:dyDescent="0.25">
      <c r="A44" s="3" t="s">
        <v>14</v>
      </c>
      <c r="B44" s="34">
        <f>B12/B11*100</f>
        <v>87.690604503488316</v>
      </c>
      <c r="C44" s="34">
        <f t="shared" ref="C44:F44" si="0">C12/C11*100</f>
        <v>98.432659012210678</v>
      </c>
      <c r="D44" s="34">
        <f t="shared" si="0"/>
        <v>100.46728971962618</v>
      </c>
      <c r="E44" s="34">
        <f t="shared" si="0"/>
        <v>84.446764091858043</v>
      </c>
      <c r="F44" s="34">
        <f t="shared" si="0"/>
        <v>98.806479113384484</v>
      </c>
    </row>
    <row r="45" spans="1:8" x14ac:dyDescent="0.25">
      <c r="A45" s="3" t="s">
        <v>15</v>
      </c>
      <c r="B45" s="34">
        <f>B18/B17*100</f>
        <v>102.55925094648516</v>
      </c>
      <c r="C45" s="34">
        <f>C18/C17*100</f>
        <v>102.05941315837434</v>
      </c>
      <c r="D45" s="34">
        <f>D18/D17*100</f>
        <v>136.03695931958507</v>
      </c>
      <c r="E45" s="34">
        <f>E18/E17*100</f>
        <v>103.81719802962866</v>
      </c>
      <c r="F45" s="34">
        <f>F18/F17*100</f>
        <v>85.514996512438969</v>
      </c>
    </row>
    <row r="46" spans="1:8" x14ac:dyDescent="0.25">
      <c r="A46" s="3" t="s">
        <v>16</v>
      </c>
      <c r="B46" s="34">
        <f>AVERAGE(B44:B45)</f>
        <v>95.124927724986748</v>
      </c>
      <c r="C46" s="34">
        <f t="shared" ref="C46:F46" si="1">AVERAGE(C44:C45)</f>
        <v>100.2460360852925</v>
      </c>
      <c r="D46" s="34">
        <f t="shared" si="1"/>
        <v>118.25212451960562</v>
      </c>
      <c r="E46" s="34">
        <f t="shared" si="1"/>
        <v>94.131981060743357</v>
      </c>
      <c r="F46" s="34">
        <f t="shared" si="1"/>
        <v>92.160737812911719</v>
      </c>
    </row>
    <row r="47" spans="1:8" x14ac:dyDescent="0.25">
      <c r="B47" s="34"/>
      <c r="C47" s="34"/>
      <c r="D47" s="34"/>
      <c r="E47" s="34"/>
      <c r="F47" s="34"/>
    </row>
    <row r="48" spans="1:8" x14ac:dyDescent="0.25">
      <c r="A48" s="3" t="s">
        <v>17</v>
      </c>
      <c r="B48" s="32"/>
      <c r="C48" s="32"/>
      <c r="D48" s="32"/>
      <c r="E48" s="32"/>
      <c r="F48" s="32"/>
    </row>
    <row r="49" spans="1:7" x14ac:dyDescent="0.25">
      <c r="A49" s="3" t="s">
        <v>18</v>
      </c>
      <c r="B49" s="46">
        <f>(B12/B13)*100</f>
        <v>87.690604503488316</v>
      </c>
      <c r="C49" s="46">
        <f t="shared" ref="C49:F49" si="2">(C12/C13)*100</f>
        <v>98.432659012210678</v>
      </c>
      <c r="D49" s="46">
        <f t="shared" si="2"/>
        <v>100.46728971962618</v>
      </c>
      <c r="E49" s="46">
        <f t="shared" si="2"/>
        <v>84.446764091858043</v>
      </c>
      <c r="F49" s="46">
        <f t="shared" si="2"/>
        <v>98.806479113384484</v>
      </c>
      <c r="G49" s="22"/>
    </row>
    <row r="50" spans="1:7" x14ac:dyDescent="0.25">
      <c r="A50" s="3" t="s">
        <v>19</v>
      </c>
      <c r="B50" s="34">
        <f>B18/B19*100</f>
        <v>25.637905256015607</v>
      </c>
      <c r="C50" s="34">
        <f>C18/C19*100</f>
        <v>25.514853289593585</v>
      </c>
      <c r="D50" s="34">
        <f>D18/D19*100</f>
        <v>34.009239829896266</v>
      </c>
      <c r="E50" s="34">
        <f>E18/E19*100</f>
        <v>25.954299507407164</v>
      </c>
      <c r="F50" s="34">
        <f>F18/F19*100</f>
        <v>21.369640159584769</v>
      </c>
    </row>
    <row r="51" spans="1:7" x14ac:dyDescent="0.25">
      <c r="A51" s="3" t="s">
        <v>20</v>
      </c>
      <c r="B51" s="34">
        <f>(B49+B50)/2</f>
        <v>56.664254879751965</v>
      </c>
      <c r="C51" s="34">
        <f t="shared" ref="C51:F51" si="3">(C49+C50)/2</f>
        <v>61.973756150902133</v>
      </c>
      <c r="D51" s="34">
        <f t="shared" si="3"/>
        <v>67.23826477476122</v>
      </c>
      <c r="E51" s="34">
        <f t="shared" si="3"/>
        <v>55.2005317996326</v>
      </c>
      <c r="F51" s="34">
        <f t="shared" si="3"/>
        <v>60.08805963648463</v>
      </c>
    </row>
    <row r="52" spans="1:7" x14ac:dyDescent="0.25">
      <c r="B52" s="32"/>
      <c r="C52" s="32"/>
      <c r="D52" s="32"/>
      <c r="E52" s="32"/>
      <c r="F52" s="32"/>
    </row>
    <row r="53" spans="1:7" x14ac:dyDescent="0.25">
      <c r="A53" s="3" t="s">
        <v>21</v>
      </c>
      <c r="B53" s="32"/>
      <c r="C53" s="32"/>
      <c r="D53" s="32"/>
      <c r="E53" s="32"/>
      <c r="F53" s="32"/>
    </row>
    <row r="54" spans="1:7" x14ac:dyDescent="0.25">
      <c r="A54" s="3" t="s">
        <v>22</v>
      </c>
      <c r="B54" s="33">
        <f>B20/B18*100</f>
        <v>100</v>
      </c>
      <c r="C54" s="34"/>
      <c r="D54" s="34"/>
      <c r="E54" s="34"/>
      <c r="F54" s="34"/>
    </row>
    <row r="55" spans="1:7" x14ac:dyDescent="0.25">
      <c r="B55" s="32"/>
      <c r="C55" s="32"/>
      <c r="D55" s="32"/>
      <c r="E55" s="32"/>
      <c r="F55" s="32"/>
    </row>
    <row r="56" spans="1:7" x14ac:dyDescent="0.25">
      <c r="A56" s="3" t="s">
        <v>23</v>
      </c>
      <c r="B56" s="32"/>
      <c r="C56" s="32"/>
      <c r="D56" s="32"/>
      <c r="E56" s="32"/>
      <c r="F56" s="32"/>
    </row>
    <row r="57" spans="1:7" x14ac:dyDescent="0.25">
      <c r="A57" s="3" t="s">
        <v>24</v>
      </c>
      <c r="B57" s="34">
        <f>((B12/B10)-1)*100</f>
        <v>4.7642869053454717E-3</v>
      </c>
      <c r="C57" s="34">
        <f t="shared" ref="C57:F57" si="4">((C12/C10)-1)*100</f>
        <v>-4.2884990253411299</v>
      </c>
      <c r="D57" s="34">
        <f t="shared" si="4"/>
        <v>10.162254483347578</v>
      </c>
      <c r="E57" s="34">
        <f t="shared" si="4"/>
        <v>-3.095918179305257</v>
      </c>
      <c r="F57" s="34">
        <f t="shared" si="4"/>
        <v>339.01515151515144</v>
      </c>
    </row>
    <row r="58" spans="1:7" x14ac:dyDescent="0.25">
      <c r="A58" s="3" t="s">
        <v>25</v>
      </c>
      <c r="B58" s="34">
        <f>((B33/B32)-1)*100</f>
        <v>24.217433622190953</v>
      </c>
      <c r="C58" s="34">
        <f t="shared" ref="C58:F58" si="5">((C33/C32)-1)*100</f>
        <v>14.955864114661409</v>
      </c>
      <c r="D58" s="34">
        <f t="shared" si="5"/>
        <v>48.322634203859003</v>
      </c>
      <c r="E58" s="34">
        <f t="shared" si="5"/>
        <v>2.6403402833016232</v>
      </c>
      <c r="F58" s="34">
        <f t="shared" si="5"/>
        <v>387.67568175190519</v>
      </c>
    </row>
    <row r="59" spans="1:7" x14ac:dyDescent="0.25">
      <c r="A59" s="3" t="s">
        <v>26</v>
      </c>
      <c r="B59" s="34">
        <f>((B35/B34)-1)*100</f>
        <v>24.211515829207375</v>
      </c>
      <c r="C59" s="34">
        <f t="shared" ref="C59:F59" si="6">((C35/C34)-1)*100</f>
        <v>20.106636030185964</v>
      </c>
      <c r="D59" s="34">
        <f t="shared" si="6"/>
        <v>34.640158645518525</v>
      </c>
      <c r="E59" s="34">
        <f t="shared" si="6"/>
        <v>5.9195220209824706</v>
      </c>
      <c r="F59" s="34">
        <f t="shared" si="6"/>
        <v>11.084020692409812</v>
      </c>
    </row>
    <row r="60" spans="1:7" x14ac:dyDescent="0.25">
      <c r="B60" s="34"/>
      <c r="C60" s="34"/>
      <c r="D60" s="34"/>
      <c r="E60" s="34"/>
      <c r="F60" s="34"/>
    </row>
    <row r="61" spans="1:7" x14ac:dyDescent="0.25">
      <c r="A61" s="3" t="s">
        <v>27</v>
      </c>
      <c r="B61" s="32"/>
      <c r="C61" s="32"/>
      <c r="D61" s="32"/>
      <c r="E61" s="32"/>
      <c r="F61" s="32"/>
    </row>
    <row r="62" spans="1:7" x14ac:dyDescent="0.25">
      <c r="A62" s="3" t="s">
        <v>42</v>
      </c>
      <c r="B62" s="30">
        <f>B17/(B11*3)</f>
        <v>77206.770334628396</v>
      </c>
      <c r="C62" s="30">
        <f>C17/(C11*3)</f>
        <v>178957</v>
      </c>
      <c r="D62" s="30">
        <f>D17/(D11*3)</f>
        <v>71582</v>
      </c>
      <c r="E62" s="30">
        <f>E17/(E11*3)</f>
        <v>48000</v>
      </c>
      <c r="F62" s="30">
        <f>F17/(F11*3)</f>
        <v>550000</v>
      </c>
    </row>
    <row r="63" spans="1:7" x14ac:dyDescent="0.25">
      <c r="A63" s="3" t="s">
        <v>43</v>
      </c>
      <c r="B63" s="30">
        <f>$B$18/(B12*3)</f>
        <v>90297.798473972347</v>
      </c>
      <c r="C63" s="30">
        <f>C18/(C12*3)</f>
        <v>185550.67580077762</v>
      </c>
      <c r="D63" s="30">
        <f>D18/(D12*3)</f>
        <v>96925.055400516794</v>
      </c>
      <c r="E63" s="30">
        <f>E18/(E12*3)</f>
        <v>59010.260002403513</v>
      </c>
      <c r="F63" s="30">
        <f>F18/(F12*3)</f>
        <v>476013.80500431405</v>
      </c>
    </row>
    <row r="64" spans="1:7" x14ac:dyDescent="0.25">
      <c r="A64" s="3" t="s">
        <v>28</v>
      </c>
      <c r="B64" s="30">
        <f>(B63/B62)*B46</f>
        <v>111.25412339271867</v>
      </c>
      <c r="C64" s="30">
        <f t="shared" ref="C64:F64" si="7">(C63/C62)*C46</f>
        <v>103.93960416175484</v>
      </c>
      <c r="D64" s="30">
        <f t="shared" si="7"/>
        <v>160.11837780854941</v>
      </c>
      <c r="E64" s="30">
        <f t="shared" si="7"/>
        <v>115.72401410282893</v>
      </c>
      <c r="F64" s="30">
        <f t="shared" si="7"/>
        <v>79.763242687871042</v>
      </c>
    </row>
    <row r="65" spans="1:7" x14ac:dyDescent="0.25">
      <c r="A65" s="3" t="s">
        <v>44</v>
      </c>
      <c r="B65" s="30">
        <f t="shared" ref="B65:F66" si="8">B17/B11</f>
        <v>231620.3110038852</v>
      </c>
      <c r="C65" s="30">
        <f t="shared" si="8"/>
        <v>536871</v>
      </c>
      <c r="D65" s="30">
        <f t="shared" si="8"/>
        <v>214746</v>
      </c>
      <c r="E65" s="30">
        <f t="shared" si="8"/>
        <v>144000</v>
      </c>
      <c r="F65" s="30">
        <f t="shared" si="8"/>
        <v>1650000</v>
      </c>
    </row>
    <row r="66" spans="1:7" x14ac:dyDescent="0.25">
      <c r="A66" s="3" t="s">
        <v>45</v>
      </c>
      <c r="B66" s="30">
        <f t="shared" si="8"/>
        <v>270893.39542191708</v>
      </c>
      <c r="C66" s="30">
        <f t="shared" si="8"/>
        <v>556652.02740233287</v>
      </c>
      <c r="D66" s="30">
        <f t="shared" si="8"/>
        <v>290775.1662015504</v>
      </c>
      <c r="E66" s="30">
        <f t="shared" si="8"/>
        <v>177030.78000721056</v>
      </c>
      <c r="F66" s="30">
        <f t="shared" si="8"/>
        <v>1428041.4150129422</v>
      </c>
    </row>
    <row r="67" spans="1:7" x14ac:dyDescent="0.25">
      <c r="B67" s="34"/>
      <c r="C67" s="34"/>
      <c r="D67" s="34"/>
      <c r="E67" s="34"/>
      <c r="F67" s="34"/>
    </row>
    <row r="68" spans="1:7" x14ac:dyDescent="0.25">
      <c r="A68" s="3" t="s">
        <v>29</v>
      </c>
      <c r="B68" s="34"/>
      <c r="C68" s="34"/>
      <c r="D68" s="34"/>
      <c r="E68" s="34"/>
      <c r="F68" s="34"/>
    </row>
    <row r="69" spans="1:7" x14ac:dyDescent="0.25">
      <c r="A69" s="3" t="s">
        <v>30</v>
      </c>
      <c r="B69" s="35">
        <f>(B24/B23)*100</f>
        <v>100</v>
      </c>
      <c r="C69" s="34"/>
      <c r="D69" s="34"/>
      <c r="E69" s="34"/>
      <c r="F69" s="34"/>
      <c r="G69" s="22"/>
    </row>
    <row r="70" spans="1:7" ht="15.75" thickBot="1" x14ac:dyDescent="0.3">
      <c r="A70" s="8" t="s">
        <v>31</v>
      </c>
      <c r="B70" s="36">
        <f>(B18/B24)*100</f>
        <v>102.55925094648516</v>
      </c>
      <c r="C70" s="37"/>
      <c r="D70" s="37"/>
      <c r="E70" s="37"/>
      <c r="F70" s="37"/>
      <c r="G70" s="22"/>
    </row>
    <row r="71" spans="1:7" ht="15.75" thickTop="1" x14ac:dyDescent="0.25">
      <c r="A71" s="13"/>
      <c r="B71" s="13"/>
      <c r="C71" s="13"/>
      <c r="D71" s="13"/>
      <c r="E71" s="13"/>
      <c r="F71" s="13"/>
    </row>
    <row r="72" spans="1:7" x14ac:dyDescent="0.25">
      <c r="A72" s="3" t="s">
        <v>32</v>
      </c>
      <c r="B72" s="13"/>
      <c r="C72" s="13"/>
      <c r="D72" s="13"/>
      <c r="E72" s="13"/>
      <c r="F72" s="13"/>
    </row>
    <row r="73" spans="1:7" x14ac:dyDescent="0.25">
      <c r="A73" s="3" t="s">
        <v>87</v>
      </c>
    </row>
    <row r="74" spans="1:7" x14ac:dyDescent="0.25">
      <c r="A74" s="3" t="s">
        <v>88</v>
      </c>
    </row>
    <row r="75" spans="1:7" x14ac:dyDescent="0.25">
      <c r="A75" s="3" t="s">
        <v>65</v>
      </c>
      <c r="B75" s="28"/>
      <c r="C75" s="28"/>
      <c r="D75" s="28"/>
    </row>
    <row r="77" spans="1:7" x14ac:dyDescent="0.25">
      <c r="A77" s="3" t="s">
        <v>33</v>
      </c>
    </row>
    <row r="78" spans="1:7" x14ac:dyDescent="0.25">
      <c r="A78" s="3" t="s">
        <v>34</v>
      </c>
    </row>
    <row r="79" spans="1:7" x14ac:dyDescent="0.25">
      <c r="A79" s="3" t="s">
        <v>89</v>
      </c>
    </row>
    <row r="80" spans="1:7" x14ac:dyDescent="0.25">
      <c r="A80" s="29"/>
    </row>
    <row r="81" spans="1:1" x14ac:dyDescent="0.25">
      <c r="A81" s="3" t="s">
        <v>90</v>
      </c>
    </row>
    <row r="83" spans="1:1" x14ac:dyDescent="0.25">
      <c r="A83" s="4"/>
    </row>
  </sheetData>
  <mergeCells count="4">
    <mergeCell ref="A4:A5"/>
    <mergeCell ref="B4:B5"/>
    <mergeCell ref="C4:F4"/>
    <mergeCell ref="A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1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28515625" style="3" customWidth="1"/>
    <col min="2" max="6" width="15.7109375" style="3" customWidth="1"/>
    <col min="7" max="7" width="18.7109375" style="3" customWidth="1"/>
    <col min="8" max="16384" width="11.42578125" style="3"/>
  </cols>
  <sheetData>
    <row r="2" spans="1:8" ht="15.75" x14ac:dyDescent="0.25">
      <c r="A2" s="55" t="s">
        <v>98</v>
      </c>
      <c r="B2" s="55"/>
      <c r="C2" s="55"/>
      <c r="D2" s="55"/>
      <c r="E2" s="55"/>
      <c r="F2" s="55"/>
    </row>
    <row r="4" spans="1:8" ht="15" customHeight="1" x14ac:dyDescent="0.25">
      <c r="A4" s="50" t="s">
        <v>0</v>
      </c>
      <c r="B4" s="52" t="s">
        <v>1</v>
      </c>
      <c r="C4" s="56" t="s">
        <v>2</v>
      </c>
      <c r="D4" s="56"/>
      <c r="E4" s="56"/>
      <c r="F4" s="56"/>
    </row>
    <row r="5" spans="1:8" ht="30.75" thickBot="1" x14ac:dyDescent="0.3">
      <c r="A5" s="51"/>
      <c r="B5" s="53"/>
      <c r="C5" s="21" t="s">
        <v>36</v>
      </c>
      <c r="D5" s="21" t="s">
        <v>37</v>
      </c>
      <c r="E5" s="21" t="s">
        <v>78</v>
      </c>
      <c r="F5" s="21" t="s">
        <v>48</v>
      </c>
    </row>
    <row r="6" spans="1:8" ht="15.75" thickTop="1" x14ac:dyDescent="0.25"/>
    <row r="7" spans="1:8" x14ac:dyDescent="0.25">
      <c r="A7" s="6" t="s">
        <v>3</v>
      </c>
    </row>
    <row r="9" spans="1:8" x14ac:dyDescent="0.25">
      <c r="A9" s="3" t="s">
        <v>35</v>
      </c>
    </row>
    <row r="10" spans="1:8" x14ac:dyDescent="0.25">
      <c r="A10" s="1" t="s">
        <v>57</v>
      </c>
      <c r="B10" s="2">
        <f>SUM(C10:F10)</f>
        <v>13215</v>
      </c>
      <c r="C10" s="2">
        <f>1514+47</f>
        <v>1561</v>
      </c>
      <c r="D10" s="2">
        <f>1059+72</f>
        <v>1131</v>
      </c>
      <c r="E10" s="2">
        <f>9941+115</f>
        <v>10056</v>
      </c>
      <c r="F10" s="2">
        <v>467</v>
      </c>
      <c r="G10" s="2"/>
    </row>
    <row r="11" spans="1:8" x14ac:dyDescent="0.25">
      <c r="A11" s="1" t="s">
        <v>99</v>
      </c>
      <c r="B11" s="2">
        <f>SUM(C11:F11)</f>
        <v>16377</v>
      </c>
      <c r="C11" s="2">
        <v>1829</v>
      </c>
      <c r="D11" s="2">
        <v>1284</v>
      </c>
      <c r="E11" s="2">
        <v>12454</v>
      </c>
      <c r="F11" s="2">
        <v>810</v>
      </c>
      <c r="G11" s="47"/>
    </row>
    <row r="12" spans="1:8" x14ac:dyDescent="0.25">
      <c r="A12" s="1" t="s">
        <v>100</v>
      </c>
      <c r="B12" s="2">
        <f>SUM(C12:F12)</f>
        <v>13548</v>
      </c>
      <c r="C12" s="2">
        <v>1662.3333333333333</v>
      </c>
      <c r="D12" s="2">
        <v>1294.3333333333333</v>
      </c>
      <c r="E12" s="2">
        <v>10044.333333333334</v>
      </c>
      <c r="F12" s="2">
        <v>547</v>
      </c>
    </row>
    <row r="13" spans="1:8" x14ac:dyDescent="0.25">
      <c r="A13" s="1" t="s">
        <v>82</v>
      </c>
      <c r="B13" s="2">
        <f>SUM(C13:F13)</f>
        <v>16168</v>
      </c>
      <c r="C13" s="2">
        <v>1829</v>
      </c>
      <c r="D13" s="10">
        <v>1284</v>
      </c>
      <c r="E13" s="10">
        <v>12454</v>
      </c>
      <c r="F13" s="2">
        <v>601</v>
      </c>
      <c r="G13" s="47"/>
    </row>
    <row r="14" spans="1:8" x14ac:dyDescent="0.25">
      <c r="G14" s="11"/>
    </row>
    <row r="15" spans="1:8" x14ac:dyDescent="0.25">
      <c r="A15" s="5" t="s">
        <v>4</v>
      </c>
      <c r="G15" s="48"/>
    </row>
    <row r="16" spans="1:8" x14ac:dyDescent="0.25">
      <c r="A16" s="1" t="s">
        <v>57</v>
      </c>
      <c r="B16" s="9">
        <f>SUM(C16:F16)</f>
        <v>3647586925</v>
      </c>
      <c r="C16" s="2">
        <f>800169610+24669400</f>
        <v>824839010</v>
      </c>
      <c r="D16" s="2">
        <f>223998152+15154060</f>
        <v>239152212</v>
      </c>
      <c r="E16" s="2">
        <f>1681346421+111889614</f>
        <v>1793236035</v>
      </c>
      <c r="F16" s="2">
        <f>478950000+311409668</f>
        <v>790359668</v>
      </c>
      <c r="H16" s="22"/>
    </row>
    <row r="17" spans="1:8" x14ac:dyDescent="0.25">
      <c r="A17" s="1" t="s">
        <v>99</v>
      </c>
      <c r="B17" s="9">
        <f>SUM(C17:F17)</f>
        <v>4817131193.4899998</v>
      </c>
      <c r="C17" s="2">
        <v>981937059</v>
      </c>
      <c r="D17" s="2">
        <v>275733864</v>
      </c>
      <c r="E17" s="2">
        <v>2222960270.4899998</v>
      </c>
      <c r="F17" s="2">
        <v>1336500000</v>
      </c>
      <c r="G17" s="11"/>
    </row>
    <row r="18" spans="1:8" x14ac:dyDescent="0.25">
      <c r="A18" s="1" t="s">
        <v>100</v>
      </c>
      <c r="B18" s="9">
        <f>SUM(C18:F18)</f>
        <v>4533370292.8000002</v>
      </c>
      <c r="C18" s="2">
        <v>943103390</v>
      </c>
      <c r="D18" s="2">
        <v>437962837.63</v>
      </c>
      <c r="E18" s="2">
        <v>2187406924.1700001</v>
      </c>
      <c r="F18" s="2">
        <v>964897141</v>
      </c>
      <c r="H18" s="22"/>
    </row>
    <row r="19" spans="1:8" x14ac:dyDescent="0.25">
      <c r="A19" s="1" t="s">
        <v>82</v>
      </c>
      <c r="B19" s="2">
        <f>SUM(C19:F19)</f>
        <v>17027756232.98</v>
      </c>
      <c r="C19" s="4">
        <v>3927748236</v>
      </c>
      <c r="D19" s="2">
        <v>1102935456</v>
      </c>
      <c r="E19" s="2">
        <v>8032672540.9799995</v>
      </c>
      <c r="F19" s="2">
        <v>3964400000</v>
      </c>
    </row>
    <row r="20" spans="1:8" x14ac:dyDescent="0.25">
      <c r="A20" s="1" t="s">
        <v>101</v>
      </c>
      <c r="B20" s="2">
        <f>SUM(C20:F20)</f>
        <v>4533370292.8000002</v>
      </c>
      <c r="C20" s="2">
        <f>C18</f>
        <v>943103390</v>
      </c>
      <c r="D20" s="2">
        <f t="shared" ref="D20:F20" si="0">D18</f>
        <v>437962837.63</v>
      </c>
      <c r="E20" s="2">
        <f t="shared" si="0"/>
        <v>2187406924.1700001</v>
      </c>
      <c r="F20" s="2">
        <f t="shared" si="0"/>
        <v>964897141</v>
      </c>
    </row>
    <row r="21" spans="1:8" x14ac:dyDescent="0.25">
      <c r="B21" s="2"/>
      <c r="C21" s="2"/>
      <c r="D21" s="2"/>
      <c r="E21" s="2"/>
      <c r="F21" s="2"/>
      <c r="G21" s="11"/>
    </row>
    <row r="22" spans="1:8" x14ac:dyDescent="0.25">
      <c r="A22" s="5" t="s">
        <v>5</v>
      </c>
      <c r="B22" s="2"/>
      <c r="C22" s="2"/>
      <c r="D22" s="2"/>
      <c r="E22" s="2"/>
      <c r="F22" s="2"/>
    </row>
    <row r="23" spans="1:8" x14ac:dyDescent="0.25">
      <c r="A23" s="1" t="s">
        <v>99</v>
      </c>
      <c r="B23" s="2">
        <f>B17</f>
        <v>4817131193.4899998</v>
      </c>
      <c r="C23" s="2"/>
      <c r="D23" s="2"/>
      <c r="E23" s="2"/>
      <c r="F23" s="2"/>
      <c r="G23" s="22"/>
    </row>
    <row r="24" spans="1:8" x14ac:dyDescent="0.25">
      <c r="A24" s="1" t="s">
        <v>100</v>
      </c>
      <c r="B24" s="2">
        <v>4817131193.3999996</v>
      </c>
      <c r="C24" s="38"/>
      <c r="D24" s="38"/>
      <c r="E24" s="2"/>
      <c r="F24" s="2"/>
      <c r="G24" s="22"/>
    </row>
    <row r="26" spans="1:8" x14ac:dyDescent="0.25">
      <c r="A26" s="3" t="s">
        <v>6</v>
      </c>
    </row>
    <row r="27" spans="1:8" x14ac:dyDescent="0.25">
      <c r="A27" s="1" t="s">
        <v>58</v>
      </c>
      <c r="B27" s="16">
        <v>1.0123857379999999</v>
      </c>
      <c r="C27" s="16">
        <v>1.0123857379999999</v>
      </c>
      <c r="D27" s="16">
        <v>1.0123857379999999</v>
      </c>
      <c r="E27" s="16">
        <v>1.0123857379999999</v>
      </c>
      <c r="F27" s="16">
        <v>1.0123857379999999</v>
      </c>
    </row>
    <row r="28" spans="1:8" x14ac:dyDescent="0.25">
      <c r="A28" s="1" t="s">
        <v>102</v>
      </c>
      <c r="B28" s="17">
        <v>1.0303325644000001</v>
      </c>
      <c r="C28" s="17">
        <v>1.0303325644000001</v>
      </c>
      <c r="D28" s="17">
        <v>1.0303325644000001</v>
      </c>
      <c r="E28" s="17">
        <v>1.0303325644000001</v>
      </c>
      <c r="F28" s="17">
        <v>1.0303325644000001</v>
      </c>
    </row>
    <row r="29" spans="1:8" x14ac:dyDescent="0.25">
      <c r="A29" s="1" t="s">
        <v>7</v>
      </c>
      <c r="B29" s="2">
        <v>150671</v>
      </c>
      <c r="C29" s="2"/>
      <c r="D29" s="2"/>
      <c r="E29" s="2"/>
      <c r="F29" s="2"/>
    </row>
    <row r="31" spans="1:8" x14ac:dyDescent="0.25">
      <c r="A31" s="6" t="s">
        <v>8</v>
      </c>
    </row>
    <row r="32" spans="1:8" x14ac:dyDescent="0.25">
      <c r="A32" s="3" t="s">
        <v>59</v>
      </c>
      <c r="B32" s="30">
        <f>B16/B27</f>
        <v>3602961586.7622986</v>
      </c>
      <c r="C32" s="30">
        <f t="shared" ref="C32:F32" si="1">C16/C27</f>
        <v>814747757.73658729</v>
      </c>
      <c r="D32" s="30">
        <f t="shared" si="1"/>
        <v>236226374.02266529</v>
      </c>
      <c r="E32" s="30">
        <f t="shared" si="1"/>
        <v>1771297211.8143373</v>
      </c>
      <c r="F32" s="30">
        <f t="shared" si="1"/>
        <v>780690243.18870842</v>
      </c>
    </row>
    <row r="33" spans="1:8" x14ac:dyDescent="0.25">
      <c r="A33" s="3" t="s">
        <v>103</v>
      </c>
      <c r="B33" s="30">
        <f>B18/B28</f>
        <v>4399909747.0436115</v>
      </c>
      <c r="C33" s="30">
        <f t="shared" ref="C33:F33" si="2">C18/C28</f>
        <v>915338816.40361738</v>
      </c>
      <c r="D33" s="30">
        <f t="shared" si="2"/>
        <v>425069392.89552748</v>
      </c>
      <c r="E33" s="30">
        <f t="shared" si="2"/>
        <v>2123010569.3532128</v>
      </c>
      <c r="F33" s="30">
        <f t="shared" si="2"/>
        <v>936490968.39125383</v>
      </c>
    </row>
    <row r="34" spans="1:8" x14ac:dyDescent="0.25">
      <c r="A34" s="3" t="s">
        <v>60</v>
      </c>
      <c r="B34" s="31">
        <f>$B$32/(B10)</f>
        <v>272641.81511632982</v>
      </c>
      <c r="C34" s="31">
        <f>C32/(C10)</f>
        <v>521939.62699332944</v>
      </c>
      <c r="D34" s="31">
        <f>D32/(D10)</f>
        <v>208865.05218626463</v>
      </c>
      <c r="E34" s="31">
        <f>E32/(E10)</f>
        <v>176143.31859728892</v>
      </c>
      <c r="F34" s="31">
        <f>F32/(F10)</f>
        <v>1671713.5828452001</v>
      </c>
      <c r="H34" s="22"/>
    </row>
    <row r="35" spans="1:8" x14ac:dyDescent="0.25">
      <c r="A35" s="3" t="s">
        <v>104</v>
      </c>
      <c r="B35" s="31">
        <f>$B$33/(B12)</f>
        <v>324764.52222052048</v>
      </c>
      <c r="C35" s="31">
        <f>C33/(C12)</f>
        <v>550634.9406879592</v>
      </c>
      <c r="D35" s="31">
        <f>D33/(D12)</f>
        <v>328407.9780289937</v>
      </c>
      <c r="E35" s="31">
        <f>E33/(E12)</f>
        <v>211364.00982509667</v>
      </c>
      <c r="F35" s="31">
        <f>F33/(F12)</f>
        <v>1712049.3023606103</v>
      </c>
      <c r="H35" s="22"/>
    </row>
    <row r="36" spans="1:8" x14ac:dyDescent="0.25">
      <c r="B36" s="32"/>
      <c r="C36" s="32"/>
      <c r="D36" s="32"/>
      <c r="E36" s="32"/>
      <c r="F36" s="32"/>
    </row>
    <row r="37" spans="1:8" x14ac:dyDescent="0.25">
      <c r="A37" s="6" t="s">
        <v>9</v>
      </c>
      <c r="B37" s="32"/>
      <c r="C37" s="32"/>
      <c r="D37" s="32"/>
      <c r="E37" s="32"/>
      <c r="F37" s="32"/>
    </row>
    <row r="38" spans="1:8" x14ac:dyDescent="0.25">
      <c r="B38" s="32"/>
      <c r="C38" s="32"/>
      <c r="D38" s="32"/>
      <c r="E38" s="32"/>
      <c r="F38" s="32"/>
    </row>
    <row r="39" spans="1:8" x14ac:dyDescent="0.25">
      <c r="A39" s="3" t="s">
        <v>10</v>
      </c>
      <c r="B39" s="32"/>
      <c r="C39" s="32"/>
      <c r="D39" s="32"/>
      <c r="E39" s="32"/>
      <c r="F39" s="32"/>
    </row>
    <row r="40" spans="1:8" x14ac:dyDescent="0.25">
      <c r="A40" s="3" t="s">
        <v>11</v>
      </c>
      <c r="B40" s="33">
        <f>B11/B29*100</f>
        <v>10.869377650642791</v>
      </c>
      <c r="C40" s="34"/>
      <c r="D40" s="34"/>
      <c r="E40" s="34"/>
      <c r="F40" s="34"/>
    </row>
    <row r="41" spans="1:8" x14ac:dyDescent="0.25">
      <c r="A41" s="3" t="s">
        <v>12</v>
      </c>
      <c r="B41" s="33">
        <f>B12/B29*100</f>
        <v>8.9917767851809582</v>
      </c>
      <c r="C41" s="34"/>
      <c r="D41" s="34"/>
      <c r="E41" s="34"/>
      <c r="F41" s="34"/>
    </row>
    <row r="42" spans="1:8" x14ac:dyDescent="0.25">
      <c r="B42" s="32"/>
      <c r="C42" s="32"/>
      <c r="D42" s="32"/>
      <c r="E42" s="32"/>
      <c r="F42" s="32"/>
    </row>
    <row r="43" spans="1:8" x14ac:dyDescent="0.25">
      <c r="A43" s="3" t="s">
        <v>13</v>
      </c>
      <c r="B43" s="32"/>
      <c r="C43" s="32"/>
      <c r="D43" s="32"/>
      <c r="E43" s="32"/>
      <c r="F43" s="32"/>
    </row>
    <row r="44" spans="1:8" x14ac:dyDescent="0.25">
      <c r="A44" s="3" t="s">
        <v>14</v>
      </c>
      <c r="B44" s="34">
        <f>B12/B11*100</f>
        <v>82.725773951273126</v>
      </c>
      <c r="C44" s="34">
        <f t="shared" ref="C44:F44" si="3">C12/C11*100</f>
        <v>90.88755239657371</v>
      </c>
      <c r="D44" s="34">
        <f t="shared" si="3"/>
        <v>100.80477673935617</v>
      </c>
      <c r="E44" s="34">
        <f t="shared" si="3"/>
        <v>80.651464054386807</v>
      </c>
      <c r="F44" s="34">
        <f t="shared" si="3"/>
        <v>67.53086419753086</v>
      </c>
    </row>
    <row r="45" spans="1:8" x14ac:dyDescent="0.25">
      <c r="A45" s="3" t="s">
        <v>15</v>
      </c>
      <c r="B45" s="34">
        <f>B18/B17*100</f>
        <v>94.109338332460581</v>
      </c>
      <c r="C45" s="34">
        <f t="shared" ref="C45:F45" si="4">C18/C17*100</f>
        <v>96.045197740112997</v>
      </c>
      <c r="D45" s="34">
        <f t="shared" si="4"/>
        <v>158.83534625620015</v>
      </c>
      <c r="E45" s="34">
        <f t="shared" si="4"/>
        <v>98.400630600916543</v>
      </c>
      <c r="F45" s="34">
        <f t="shared" si="4"/>
        <v>72.195820501309399</v>
      </c>
    </row>
    <row r="46" spans="1:8" x14ac:dyDescent="0.25">
      <c r="A46" s="3" t="s">
        <v>16</v>
      </c>
      <c r="B46" s="34">
        <f>AVERAGE(B44:B45)</f>
        <v>88.417556141866854</v>
      </c>
      <c r="C46" s="34">
        <f t="shared" ref="C46:F46" si="5">AVERAGE(C44:C45)</f>
        <v>93.466375068343353</v>
      </c>
      <c r="D46" s="34">
        <f t="shared" si="5"/>
        <v>129.82006149777817</v>
      </c>
      <c r="E46" s="34">
        <f t="shared" si="5"/>
        <v>89.526047327651668</v>
      </c>
      <c r="F46" s="34">
        <f t="shared" si="5"/>
        <v>69.863342349420122</v>
      </c>
    </row>
    <row r="47" spans="1:8" x14ac:dyDescent="0.25">
      <c r="B47" s="34"/>
      <c r="C47" s="34"/>
      <c r="D47" s="34"/>
      <c r="E47" s="34"/>
      <c r="F47" s="34"/>
    </row>
    <row r="48" spans="1:8" x14ac:dyDescent="0.25">
      <c r="A48" s="3" t="s">
        <v>17</v>
      </c>
      <c r="B48" s="32"/>
      <c r="C48" s="32"/>
      <c r="D48" s="32"/>
      <c r="E48" s="32"/>
      <c r="F48" s="32"/>
    </row>
    <row r="49" spans="1:7" x14ac:dyDescent="0.25">
      <c r="A49" s="3" t="s">
        <v>18</v>
      </c>
      <c r="B49" s="46">
        <f>(B12/B13)*100</f>
        <v>83.795150915388419</v>
      </c>
      <c r="C49" s="46">
        <f t="shared" ref="C49:F49" si="6">(C12/C13)*100</f>
        <v>90.88755239657371</v>
      </c>
      <c r="D49" s="46">
        <f t="shared" si="6"/>
        <v>100.80477673935617</v>
      </c>
      <c r="E49" s="46">
        <f t="shared" si="6"/>
        <v>80.651464054386807</v>
      </c>
      <c r="F49" s="46">
        <f t="shared" si="6"/>
        <v>91.014975041597339</v>
      </c>
      <c r="G49" s="22"/>
    </row>
    <row r="50" spans="1:7" x14ac:dyDescent="0.25">
      <c r="A50" s="3" t="s">
        <v>19</v>
      </c>
      <c r="B50" s="34">
        <f>B18/B19*100</f>
        <v>26.623415503327429</v>
      </c>
      <c r="C50" s="34">
        <f t="shared" ref="C50:F50" si="7">C18/C19*100</f>
        <v>24.011299435028249</v>
      </c>
      <c r="D50" s="34">
        <f t="shared" si="7"/>
        <v>39.708836564050038</v>
      </c>
      <c r="E50" s="34">
        <f t="shared" si="7"/>
        <v>27.231371788288193</v>
      </c>
      <c r="F50" s="34">
        <f t="shared" si="7"/>
        <v>24.339046034708907</v>
      </c>
    </row>
    <row r="51" spans="1:7" x14ac:dyDescent="0.25">
      <c r="A51" s="3" t="s">
        <v>20</v>
      </c>
      <c r="B51" s="34">
        <f>(B49+B50)/2</f>
        <v>55.20928320935792</v>
      </c>
      <c r="C51" s="34">
        <f t="shared" ref="C51:F51" si="8">(C49+C50)/2</f>
        <v>57.44942591580098</v>
      </c>
      <c r="D51" s="34">
        <f t="shared" si="8"/>
        <v>70.256806651703101</v>
      </c>
      <c r="E51" s="34">
        <f t="shared" si="8"/>
        <v>53.941417921337504</v>
      </c>
      <c r="F51" s="34">
        <f t="shared" si="8"/>
        <v>57.677010538153127</v>
      </c>
    </row>
    <row r="52" spans="1:7" x14ac:dyDescent="0.25">
      <c r="B52" s="32"/>
      <c r="C52" s="32"/>
      <c r="D52" s="32"/>
      <c r="E52" s="32"/>
      <c r="F52" s="32"/>
    </row>
    <row r="53" spans="1:7" x14ac:dyDescent="0.25">
      <c r="A53" s="3" t="s">
        <v>21</v>
      </c>
      <c r="B53" s="32"/>
      <c r="C53" s="32"/>
      <c r="D53" s="32"/>
      <c r="E53" s="32"/>
      <c r="F53" s="32"/>
    </row>
    <row r="54" spans="1:7" x14ac:dyDescent="0.25">
      <c r="A54" s="3" t="s">
        <v>22</v>
      </c>
      <c r="B54" s="33">
        <f>B20/B18*100</f>
        <v>100</v>
      </c>
      <c r="C54" s="34"/>
      <c r="D54" s="34"/>
      <c r="E54" s="34"/>
      <c r="F54" s="34"/>
    </row>
    <row r="55" spans="1:7" x14ac:dyDescent="0.25">
      <c r="B55" s="32"/>
      <c r="C55" s="32"/>
      <c r="D55" s="32"/>
      <c r="E55" s="32"/>
      <c r="F55" s="32"/>
    </row>
    <row r="56" spans="1:7" x14ac:dyDescent="0.25">
      <c r="A56" s="3" t="s">
        <v>23</v>
      </c>
      <c r="B56" s="32"/>
      <c r="C56" s="32"/>
      <c r="D56" s="32"/>
      <c r="E56" s="32"/>
      <c r="F56" s="32"/>
    </row>
    <row r="57" spans="1:7" x14ac:dyDescent="0.25">
      <c r="A57" s="3" t="s">
        <v>24</v>
      </c>
      <c r="B57" s="34">
        <f>((B12/B10)-1)*100</f>
        <v>2.519863791146415</v>
      </c>
      <c r="C57" s="34">
        <f t="shared" ref="C57:F57" si="9">((C12/C10)-1)*100</f>
        <v>6.4915652359598397</v>
      </c>
      <c r="D57" s="34">
        <f t="shared" si="9"/>
        <v>14.441497200117892</v>
      </c>
      <c r="E57" s="34">
        <f t="shared" si="9"/>
        <v>-0.11601697162555435</v>
      </c>
      <c r="F57" s="34">
        <f t="shared" si="9"/>
        <v>17.130620985010701</v>
      </c>
    </row>
    <row r="58" spans="1:7" x14ac:dyDescent="0.25">
      <c r="A58" s="3" t="s">
        <v>25</v>
      </c>
      <c r="B58" s="34">
        <f>((B33/B32)-1)*100</f>
        <v>22.119252206556773</v>
      </c>
      <c r="C58" s="34">
        <f t="shared" ref="C58:F58" si="10">((C33/C32)-1)*100</f>
        <v>12.346282356944126</v>
      </c>
      <c r="D58" s="34">
        <f t="shared" si="10"/>
        <v>79.941547447510317</v>
      </c>
      <c r="E58" s="34">
        <f t="shared" si="10"/>
        <v>19.856258746019041</v>
      </c>
      <c r="F58" s="34">
        <f t="shared" si="10"/>
        <v>19.956791641993821</v>
      </c>
      <c r="G58" s="7"/>
    </row>
    <row r="59" spans="1:7" x14ac:dyDescent="0.25">
      <c r="A59" s="3" t="s">
        <v>26</v>
      </c>
      <c r="B59" s="34">
        <f>((B35/B34)-1)*100</f>
        <v>19.117649683322103</v>
      </c>
      <c r="C59" s="34">
        <f t="shared" ref="C59:F59" si="11">((C35/C34)-1)*100</f>
        <v>5.4978223937375947</v>
      </c>
      <c r="D59" s="34">
        <f t="shared" si="11"/>
        <v>57.234527553284224</v>
      </c>
      <c r="E59" s="34">
        <f t="shared" si="11"/>
        <v>19.995473860880143</v>
      </c>
      <c r="F59" s="34">
        <f t="shared" si="11"/>
        <v>2.4128367400568784</v>
      </c>
    </row>
    <row r="60" spans="1:7" x14ac:dyDescent="0.25">
      <c r="B60" s="34"/>
      <c r="C60" s="34"/>
      <c r="D60" s="34"/>
      <c r="E60" s="34"/>
      <c r="F60" s="34"/>
    </row>
    <row r="61" spans="1:7" x14ac:dyDescent="0.25">
      <c r="A61" s="3" t="s">
        <v>27</v>
      </c>
      <c r="B61" s="32"/>
      <c r="C61" s="32"/>
      <c r="D61" s="32"/>
      <c r="E61" s="32"/>
      <c r="F61" s="32"/>
    </row>
    <row r="62" spans="1:7" x14ac:dyDescent="0.25">
      <c r="A62" s="3" t="s">
        <v>42</v>
      </c>
      <c r="B62" s="30">
        <f>B17/(B11*3)</f>
        <v>98046.675082737987</v>
      </c>
      <c r="C62" s="30">
        <f t="shared" ref="C62:F63" si="12">C17/(C11*3)</f>
        <v>178957</v>
      </c>
      <c r="D62" s="30">
        <f t="shared" si="12"/>
        <v>71582</v>
      </c>
      <c r="E62" s="30">
        <f>E17/(E11*3)</f>
        <v>59497.892791874088</v>
      </c>
      <c r="F62" s="30">
        <f>F17/(F11*3)</f>
        <v>550000</v>
      </c>
    </row>
    <row r="63" spans="1:7" x14ac:dyDescent="0.25">
      <c r="A63" s="3" t="s">
        <v>43</v>
      </c>
      <c r="B63" s="30">
        <f>$B$18/(B12*3)</f>
        <v>111538.48766853656</v>
      </c>
      <c r="C63" s="30">
        <f>C18/(C12*3)</f>
        <v>189112.3701624223</v>
      </c>
      <c r="D63" s="30">
        <f t="shared" si="12"/>
        <v>112789.81139067731</v>
      </c>
      <c r="E63" s="30">
        <f t="shared" si="12"/>
        <v>72591.740754986226</v>
      </c>
      <c r="F63" s="30">
        <f t="shared" si="12"/>
        <v>587993.38269347954</v>
      </c>
      <c r="G63" s="22"/>
    </row>
    <row r="64" spans="1:7" x14ac:dyDescent="0.25">
      <c r="A64" s="3" t="s">
        <v>28</v>
      </c>
      <c r="B64" s="30">
        <f>(B63/B62)*B46</f>
        <v>100.58434400850012</v>
      </c>
      <c r="C64" s="30">
        <f t="shared" ref="C64:F64" si="13">(C63/C62)*C46</f>
        <v>98.770362263920092</v>
      </c>
      <c r="D64" s="30">
        <f t="shared" si="13"/>
        <v>204.55394164818711</v>
      </c>
      <c r="E64" s="30">
        <f t="shared" si="13"/>
        <v>109.22826529606266</v>
      </c>
      <c r="F64" s="30">
        <f t="shared" si="13"/>
        <v>74.689423626014829</v>
      </c>
    </row>
    <row r="65" spans="1:7" x14ac:dyDescent="0.25">
      <c r="A65" s="3" t="s">
        <v>44</v>
      </c>
      <c r="B65" s="30">
        <f>B17/B11</f>
        <v>294140.02524821396</v>
      </c>
      <c r="C65" s="30">
        <f t="shared" ref="C65:F66" si="14">C17/C11</f>
        <v>536871</v>
      </c>
      <c r="D65" s="30">
        <f t="shared" si="14"/>
        <v>214746</v>
      </c>
      <c r="E65" s="30">
        <f t="shared" si="14"/>
        <v>178493.67837562226</v>
      </c>
      <c r="F65" s="30">
        <f t="shared" si="14"/>
        <v>1650000</v>
      </c>
    </row>
    <row r="66" spans="1:7" x14ac:dyDescent="0.25">
      <c r="A66" s="3" t="s">
        <v>45</v>
      </c>
      <c r="B66" s="30">
        <f>B18/B12</f>
        <v>334615.46300560969</v>
      </c>
      <c r="C66" s="30">
        <f t="shared" si="14"/>
        <v>567337.11048726691</v>
      </c>
      <c r="D66" s="30">
        <f t="shared" si="14"/>
        <v>338369.43417203194</v>
      </c>
      <c r="E66" s="30">
        <f t="shared" si="14"/>
        <v>217775.22226495869</v>
      </c>
      <c r="F66" s="30">
        <f t="shared" si="14"/>
        <v>1763980.1480804388</v>
      </c>
    </row>
    <row r="67" spans="1:7" x14ac:dyDescent="0.25">
      <c r="B67" s="34"/>
      <c r="C67" s="34"/>
      <c r="D67" s="34"/>
      <c r="E67" s="34"/>
      <c r="F67" s="34"/>
    </row>
    <row r="68" spans="1:7" x14ac:dyDescent="0.25">
      <c r="A68" s="3" t="s">
        <v>29</v>
      </c>
      <c r="B68" s="34"/>
      <c r="C68" s="34"/>
      <c r="D68" s="34"/>
      <c r="E68" s="34"/>
      <c r="F68" s="34"/>
    </row>
    <row r="69" spans="1:7" x14ac:dyDescent="0.25">
      <c r="A69" s="3" t="s">
        <v>30</v>
      </c>
      <c r="B69" s="35">
        <f>(B24/B23)*100</f>
        <v>99.999999998131656</v>
      </c>
      <c r="C69" s="34"/>
      <c r="D69" s="34"/>
      <c r="E69" s="34"/>
      <c r="F69" s="34"/>
      <c r="G69" s="22"/>
    </row>
    <row r="70" spans="1:7" ht="15.75" thickBot="1" x14ac:dyDescent="0.3">
      <c r="A70" s="8" t="s">
        <v>31</v>
      </c>
      <c r="B70" s="36">
        <f>(B18/B24)*100</f>
        <v>94.109338334218862</v>
      </c>
      <c r="C70" s="37"/>
      <c r="D70" s="37"/>
      <c r="E70" s="37"/>
      <c r="F70" s="37"/>
      <c r="G70" s="22"/>
    </row>
    <row r="71" spans="1:7" ht="15.75" thickTop="1" x14ac:dyDescent="0.25">
      <c r="A71" s="13"/>
      <c r="B71" s="13"/>
      <c r="C71" s="13"/>
      <c r="D71" s="13"/>
      <c r="E71" s="13"/>
      <c r="F71" s="13"/>
    </row>
    <row r="72" spans="1:7" x14ac:dyDescent="0.25">
      <c r="A72" s="3" t="s">
        <v>32</v>
      </c>
      <c r="B72" s="13"/>
      <c r="C72" s="13"/>
      <c r="D72" s="13"/>
      <c r="E72" s="13"/>
      <c r="F72" s="13"/>
    </row>
    <row r="73" spans="1:7" x14ac:dyDescent="0.25">
      <c r="A73" s="3" t="s">
        <v>87</v>
      </c>
    </row>
    <row r="74" spans="1:7" x14ac:dyDescent="0.25">
      <c r="A74" s="3" t="s">
        <v>88</v>
      </c>
    </row>
    <row r="75" spans="1:7" x14ac:dyDescent="0.25">
      <c r="A75" s="3" t="s">
        <v>65</v>
      </c>
      <c r="B75" s="28"/>
      <c r="C75" s="28"/>
      <c r="D75" s="28"/>
    </row>
    <row r="77" spans="1:7" x14ac:dyDescent="0.25">
      <c r="A77" s="3" t="s">
        <v>33</v>
      </c>
    </row>
    <row r="78" spans="1:7" x14ac:dyDescent="0.25">
      <c r="A78" s="3" t="s">
        <v>34</v>
      </c>
    </row>
    <row r="79" spans="1:7" x14ac:dyDescent="0.25">
      <c r="A79" s="3" t="s">
        <v>89</v>
      </c>
    </row>
    <row r="80" spans="1:7" x14ac:dyDescent="0.25">
      <c r="A80" s="29"/>
    </row>
    <row r="81" spans="1:1" x14ac:dyDescent="0.25">
      <c r="A81" s="3" t="s">
        <v>90</v>
      </c>
    </row>
  </sheetData>
  <mergeCells count="4">
    <mergeCell ref="A4:A5"/>
    <mergeCell ref="C4:F4"/>
    <mergeCell ref="B4:B5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28515625" style="3" customWidth="1"/>
    <col min="2" max="6" width="15.7109375" style="3" customWidth="1"/>
    <col min="7" max="7" width="18.7109375" style="3" customWidth="1"/>
    <col min="8" max="16384" width="11.42578125" style="3"/>
  </cols>
  <sheetData>
    <row r="2" spans="1:8" ht="15.75" x14ac:dyDescent="0.25">
      <c r="A2" s="55" t="s">
        <v>126</v>
      </c>
      <c r="B2" s="55"/>
      <c r="C2" s="55"/>
      <c r="D2" s="55"/>
      <c r="E2" s="55"/>
      <c r="F2" s="55"/>
    </row>
    <row r="4" spans="1:8" ht="15" customHeight="1" x14ac:dyDescent="0.25">
      <c r="A4" s="50" t="s">
        <v>0</v>
      </c>
      <c r="B4" s="52" t="s">
        <v>1</v>
      </c>
      <c r="C4" s="56" t="s">
        <v>2</v>
      </c>
      <c r="D4" s="56"/>
      <c r="E4" s="56"/>
      <c r="F4" s="56"/>
    </row>
    <row r="5" spans="1:8" ht="30.75" thickBot="1" x14ac:dyDescent="0.3">
      <c r="A5" s="51"/>
      <c r="B5" s="53"/>
      <c r="C5" s="21" t="s">
        <v>36</v>
      </c>
      <c r="D5" s="21" t="s">
        <v>37</v>
      </c>
      <c r="E5" s="21" t="s">
        <v>78</v>
      </c>
      <c r="F5" s="21" t="s">
        <v>48</v>
      </c>
    </row>
    <row r="6" spans="1:8" ht="15.75" thickTop="1" x14ac:dyDescent="0.25"/>
    <row r="7" spans="1:8" x14ac:dyDescent="0.25">
      <c r="A7" s="6" t="s">
        <v>3</v>
      </c>
    </row>
    <row r="9" spans="1:8" x14ac:dyDescent="0.25">
      <c r="A9" s="3" t="s">
        <v>35</v>
      </c>
    </row>
    <row r="10" spans="1:8" x14ac:dyDescent="0.25">
      <c r="A10" s="1" t="s">
        <v>61</v>
      </c>
      <c r="B10" s="9">
        <f>SUM(C10:F10)</f>
        <v>15062</v>
      </c>
      <c r="C10" s="2">
        <f>1553+296</f>
        <v>1849</v>
      </c>
      <c r="D10" s="2">
        <f>983+103</f>
        <v>1086</v>
      </c>
      <c r="E10" s="2">
        <f>10610+1110</f>
        <v>11720</v>
      </c>
      <c r="F10" s="2">
        <f>353+54</f>
        <v>407</v>
      </c>
      <c r="G10" s="2"/>
      <c r="H10" s="22"/>
    </row>
    <row r="11" spans="1:8" x14ac:dyDescent="0.25">
      <c r="A11" s="1" t="s">
        <v>127</v>
      </c>
      <c r="B11" s="9">
        <f t="shared" ref="B11:B13" si="0">SUM(C11:F11)</f>
        <v>16984</v>
      </c>
      <c r="C11" s="2">
        <v>1829</v>
      </c>
      <c r="D11" s="2">
        <v>1284</v>
      </c>
      <c r="E11" s="2">
        <v>12454</v>
      </c>
      <c r="F11" s="2">
        <v>1417</v>
      </c>
      <c r="G11" s="47"/>
      <c r="H11" s="22"/>
    </row>
    <row r="12" spans="1:8" x14ac:dyDescent="0.25">
      <c r="A12" s="1" t="s">
        <v>128</v>
      </c>
      <c r="B12" s="9">
        <f t="shared" si="0"/>
        <v>15100.333333333334</v>
      </c>
      <c r="C12" s="2">
        <v>2211.6666666666665</v>
      </c>
      <c r="D12" s="2">
        <v>1191</v>
      </c>
      <c r="E12" s="2">
        <v>11091.666666666668</v>
      </c>
      <c r="F12" s="2">
        <v>606</v>
      </c>
      <c r="H12" s="22"/>
    </row>
    <row r="13" spans="1:8" x14ac:dyDescent="0.25">
      <c r="A13" s="1" t="s">
        <v>82</v>
      </c>
      <c r="B13" s="9">
        <f t="shared" si="0"/>
        <v>16319</v>
      </c>
      <c r="C13" s="2">
        <v>1829</v>
      </c>
      <c r="D13" s="10">
        <v>1284</v>
      </c>
      <c r="E13" s="10">
        <v>12454</v>
      </c>
      <c r="F13" s="2">
        <v>752</v>
      </c>
      <c r="G13" s="47"/>
      <c r="H13" s="22"/>
    </row>
    <row r="14" spans="1:8" x14ac:dyDescent="0.25">
      <c r="G14" s="11"/>
    </row>
    <row r="15" spans="1:8" x14ac:dyDescent="0.25">
      <c r="A15" s="5" t="s">
        <v>4</v>
      </c>
      <c r="G15" s="48"/>
    </row>
    <row r="16" spans="1:8" x14ac:dyDescent="0.25">
      <c r="A16" s="1" t="s">
        <v>61</v>
      </c>
      <c r="B16" s="9">
        <f>SUM(C16:F16)</f>
        <v>4584913319.3299999</v>
      </c>
      <c r="C16" s="2">
        <f>821138600+156474480</f>
        <v>977613080</v>
      </c>
      <c r="D16" s="2">
        <f>207786832+21709072</f>
        <v>229495904</v>
      </c>
      <c r="E16" s="2">
        <f>720742679.11*3</f>
        <v>2162228037.3299999</v>
      </c>
      <c r="F16" s="2">
        <f>751174298+464402000</f>
        <v>1215576298</v>
      </c>
      <c r="H16" s="22"/>
    </row>
    <row r="17" spans="1:7" x14ac:dyDescent="0.25">
      <c r="A17" s="1" t="s">
        <v>127</v>
      </c>
      <c r="B17" s="2">
        <f>SUM(C17:F17)</f>
        <v>5818131193.4899998</v>
      </c>
      <c r="C17" s="2">
        <v>981937059</v>
      </c>
      <c r="D17" s="2">
        <v>275733864</v>
      </c>
      <c r="E17" s="2">
        <v>2222960270.4900002</v>
      </c>
      <c r="F17" s="2">
        <v>2337500000</v>
      </c>
      <c r="G17" s="11"/>
    </row>
    <row r="18" spans="1:7" x14ac:dyDescent="0.25">
      <c r="A18" s="1" t="s">
        <v>128</v>
      </c>
      <c r="B18" s="9">
        <f>SUM(C18:F18)</f>
        <v>6837444738.1200008</v>
      </c>
      <c r="C18" s="2">
        <v>1065340313.6099999</v>
      </c>
      <c r="D18" s="2">
        <v>529467526.81000006</v>
      </c>
      <c r="E18" s="2">
        <v>2365273756.6800003</v>
      </c>
      <c r="F18" s="2">
        <v>2877363141.02</v>
      </c>
    </row>
    <row r="19" spans="1:7" x14ac:dyDescent="0.25">
      <c r="A19" s="1" t="s">
        <v>82</v>
      </c>
      <c r="B19" s="2">
        <f>SUM(C19:F19)</f>
        <v>18027656232.98</v>
      </c>
      <c r="C19" s="4">
        <v>3927748236</v>
      </c>
      <c r="D19" s="2">
        <v>1102935456</v>
      </c>
      <c r="E19" s="2">
        <v>8032672540.9799995</v>
      </c>
      <c r="F19" s="2">
        <v>4964300000</v>
      </c>
    </row>
    <row r="20" spans="1:7" x14ac:dyDescent="0.25">
      <c r="A20" s="1" t="s">
        <v>129</v>
      </c>
      <c r="B20" s="2">
        <f>SUM(C20:F20)</f>
        <v>6837444738.1200008</v>
      </c>
      <c r="C20" s="2">
        <f>C18</f>
        <v>1065340313.6099999</v>
      </c>
      <c r="D20" s="2">
        <f t="shared" ref="D20:F20" si="1">D18</f>
        <v>529467526.81000006</v>
      </c>
      <c r="E20" s="2">
        <f t="shared" si="1"/>
        <v>2365273756.6800003</v>
      </c>
      <c r="F20" s="2">
        <f t="shared" si="1"/>
        <v>2877363141.02</v>
      </c>
    </row>
    <row r="21" spans="1:7" x14ac:dyDescent="0.25">
      <c r="B21" s="2"/>
      <c r="C21" s="2"/>
      <c r="D21" s="2"/>
      <c r="E21" s="2"/>
      <c r="F21" s="2"/>
      <c r="G21" s="11"/>
    </row>
    <row r="22" spans="1:7" x14ac:dyDescent="0.25">
      <c r="A22" s="5" t="s">
        <v>5</v>
      </c>
      <c r="B22" s="2"/>
      <c r="C22" s="2"/>
      <c r="D22" s="2"/>
      <c r="E22" s="2"/>
      <c r="F22" s="2"/>
    </row>
    <row r="23" spans="1:7" x14ac:dyDescent="0.25">
      <c r="A23" s="1" t="s">
        <v>127</v>
      </c>
      <c r="B23" s="2">
        <f>B17</f>
        <v>5818131193.4899998</v>
      </c>
      <c r="C23" s="2"/>
      <c r="D23" s="2"/>
      <c r="E23" s="2"/>
      <c r="F23" s="2"/>
      <c r="G23" s="22"/>
    </row>
    <row r="24" spans="1:7" x14ac:dyDescent="0.25">
      <c r="A24" s="1" t="s">
        <v>128</v>
      </c>
      <c r="B24" s="2">
        <v>5818068021.3899994</v>
      </c>
      <c r="C24" s="38"/>
      <c r="D24" s="38"/>
      <c r="E24" s="2"/>
      <c r="F24" s="2"/>
      <c r="G24" s="22"/>
    </row>
    <row r="26" spans="1:7" x14ac:dyDescent="0.25">
      <c r="A26" s="3" t="s">
        <v>6</v>
      </c>
    </row>
    <row r="27" spans="1:7" x14ac:dyDescent="0.25">
      <c r="A27" s="1" t="s">
        <v>62</v>
      </c>
      <c r="B27" s="18">
        <v>1.0245</v>
      </c>
      <c r="C27" s="18">
        <v>1.0245</v>
      </c>
      <c r="D27" s="18">
        <v>1.0245</v>
      </c>
      <c r="E27" s="18">
        <v>1.0245</v>
      </c>
      <c r="F27" s="18">
        <v>1.0245</v>
      </c>
    </row>
    <row r="28" spans="1:7" x14ac:dyDescent="0.25">
      <c r="A28" s="1" t="s">
        <v>130</v>
      </c>
      <c r="B28" s="19">
        <v>1.0451999999999999</v>
      </c>
      <c r="C28" s="19">
        <v>1.0451999999999999</v>
      </c>
      <c r="D28" s="19">
        <v>1.0451999999999999</v>
      </c>
      <c r="E28" s="19">
        <v>1.0451999999999999</v>
      </c>
      <c r="F28" s="19">
        <v>1.0451999999999999</v>
      </c>
    </row>
    <row r="29" spans="1:7" x14ac:dyDescent="0.25">
      <c r="A29" s="1" t="s">
        <v>7</v>
      </c>
      <c r="B29" s="2">
        <v>150671</v>
      </c>
      <c r="C29" s="2"/>
      <c r="D29" s="2"/>
      <c r="E29" s="2"/>
      <c r="F29" s="2"/>
    </row>
    <row r="31" spans="1:7" x14ac:dyDescent="0.25">
      <c r="A31" s="6" t="s">
        <v>8</v>
      </c>
    </row>
    <row r="32" spans="1:7" x14ac:dyDescent="0.25">
      <c r="A32" s="3" t="s">
        <v>63</v>
      </c>
      <c r="B32" s="30">
        <f>B16/B27</f>
        <v>4475269223.3577356</v>
      </c>
      <c r="C32" s="30">
        <f>C16/C27</f>
        <v>954234338.70180583</v>
      </c>
      <c r="D32" s="30">
        <f>D16/D27</f>
        <v>224007714.9829185</v>
      </c>
      <c r="E32" s="30">
        <f>E16/E27</f>
        <v>2110520290.2196193</v>
      </c>
      <c r="F32" s="30">
        <f>F16/F27</f>
        <v>1186506879.453392</v>
      </c>
    </row>
    <row r="33" spans="1:8" x14ac:dyDescent="0.25">
      <c r="A33" s="3" t="s">
        <v>131</v>
      </c>
      <c r="B33" s="30">
        <f>B18/B28</f>
        <v>6541757307.8071194</v>
      </c>
      <c r="C33" s="30">
        <f>C18/C28</f>
        <v>1019269339.4661309</v>
      </c>
      <c r="D33" s="30">
        <f>D18/D28</f>
        <v>506570538.47110611</v>
      </c>
      <c r="E33" s="30">
        <f>E18/E28</f>
        <v>2262986755.3386917</v>
      </c>
      <c r="F33" s="30">
        <f>F18/F28</f>
        <v>2752930674.5311904</v>
      </c>
    </row>
    <row r="34" spans="1:8" x14ac:dyDescent="0.25">
      <c r="A34" s="3" t="s">
        <v>64</v>
      </c>
      <c r="B34" s="31">
        <f>$B$32/(B10)</f>
        <v>297123.17244441214</v>
      </c>
      <c r="C34" s="31">
        <f>C32/(C10)</f>
        <v>516081.30811346992</v>
      </c>
      <c r="D34" s="31">
        <f>D32/(D10)</f>
        <v>206268.61416475</v>
      </c>
      <c r="E34" s="31">
        <f>E32/(E10)</f>
        <v>180078.5230562815</v>
      </c>
      <c r="F34" s="31">
        <f>F32/(F10)</f>
        <v>2915250.3180673025</v>
      </c>
      <c r="H34" s="22"/>
    </row>
    <row r="35" spans="1:8" x14ac:dyDescent="0.25">
      <c r="A35" s="3" t="s">
        <v>132</v>
      </c>
      <c r="B35" s="31">
        <f>$B$33/(B12)</f>
        <v>433219.39743982157</v>
      </c>
      <c r="C35" s="31">
        <f>C33/(C12)</f>
        <v>460860.28913314134</v>
      </c>
      <c r="D35" s="31">
        <f>D33/(D12)</f>
        <v>425332.10618900595</v>
      </c>
      <c r="E35" s="31">
        <f>E33/(E12)</f>
        <v>204025.85322362356</v>
      </c>
      <c r="F35" s="31">
        <f>F33/(F12)</f>
        <v>4542789.8919656603</v>
      </c>
      <c r="H35" s="22"/>
    </row>
    <row r="36" spans="1:8" x14ac:dyDescent="0.25">
      <c r="B36" s="32"/>
      <c r="C36" s="32"/>
      <c r="D36" s="32"/>
      <c r="E36" s="32"/>
      <c r="F36" s="32"/>
    </row>
    <row r="37" spans="1:8" x14ac:dyDescent="0.25">
      <c r="A37" s="6" t="s">
        <v>9</v>
      </c>
      <c r="B37" s="32"/>
      <c r="C37" s="32"/>
      <c r="D37" s="32"/>
      <c r="E37" s="32"/>
      <c r="F37" s="32"/>
    </row>
    <row r="38" spans="1:8" x14ac:dyDescent="0.25">
      <c r="B38" s="32"/>
      <c r="C38" s="32"/>
      <c r="D38" s="32"/>
      <c r="E38" s="32"/>
      <c r="F38" s="32"/>
    </row>
    <row r="39" spans="1:8" x14ac:dyDescent="0.25">
      <c r="A39" s="3" t="s">
        <v>10</v>
      </c>
      <c r="B39" s="32"/>
      <c r="C39" s="32"/>
      <c r="D39" s="32"/>
      <c r="E39" s="32"/>
      <c r="F39" s="32"/>
    </row>
    <row r="40" spans="1:8" x14ac:dyDescent="0.25">
      <c r="A40" s="3" t="s">
        <v>11</v>
      </c>
      <c r="B40" s="33">
        <f>B11/B29*100</f>
        <v>11.272242170026084</v>
      </c>
      <c r="C40" s="34"/>
      <c r="D40" s="34"/>
      <c r="E40" s="34"/>
      <c r="F40" s="34"/>
    </row>
    <row r="41" spans="1:8" x14ac:dyDescent="0.25">
      <c r="A41" s="3" t="s">
        <v>12</v>
      </c>
      <c r="B41" s="33">
        <f>B12/B29*100</f>
        <v>10.02205688774438</v>
      </c>
      <c r="C41" s="34"/>
      <c r="D41" s="34"/>
      <c r="E41" s="34"/>
      <c r="F41" s="34"/>
    </row>
    <row r="42" spans="1:8" x14ac:dyDescent="0.25">
      <c r="B42" s="32"/>
      <c r="C42" s="32"/>
      <c r="D42" s="32"/>
      <c r="E42" s="32"/>
      <c r="F42" s="32"/>
    </row>
    <row r="43" spans="1:8" x14ac:dyDescent="0.25">
      <c r="A43" s="3" t="s">
        <v>13</v>
      </c>
      <c r="B43" s="32"/>
      <c r="C43" s="32"/>
      <c r="D43" s="32"/>
      <c r="E43" s="32"/>
      <c r="F43" s="32"/>
    </row>
    <row r="44" spans="1:8" x14ac:dyDescent="0.25">
      <c r="A44" s="3" t="s">
        <v>14</v>
      </c>
      <c r="B44" s="34">
        <f>B12/B11*100</f>
        <v>88.909169414350771</v>
      </c>
      <c r="C44" s="34">
        <f t="shared" ref="C44:F44" si="2">C12/C11*100</f>
        <v>120.92217969746673</v>
      </c>
      <c r="D44" s="34">
        <f t="shared" si="2"/>
        <v>92.757009345794401</v>
      </c>
      <c r="E44" s="34">
        <f t="shared" si="2"/>
        <v>89.061078100744083</v>
      </c>
      <c r="F44" s="34">
        <f t="shared" si="2"/>
        <v>42.766407904022586</v>
      </c>
    </row>
    <row r="45" spans="1:8" x14ac:dyDescent="0.25">
      <c r="A45" s="3" t="s">
        <v>15</v>
      </c>
      <c r="B45" s="34">
        <f>B18/B17*100</f>
        <v>117.51960398848564</v>
      </c>
      <c r="C45" s="34">
        <f t="shared" ref="C45:F45" si="3">C18/C17*100</f>
        <v>108.49374752134698</v>
      </c>
      <c r="D45" s="34">
        <f t="shared" si="3"/>
        <v>192.02121898600024</v>
      </c>
      <c r="E45" s="34">
        <f>E18/E17*100</f>
        <v>106.40198064172466</v>
      </c>
      <c r="F45" s="34">
        <f t="shared" si="3"/>
        <v>123.0957493484492</v>
      </c>
    </row>
    <row r="46" spans="1:8" x14ac:dyDescent="0.25">
      <c r="A46" s="3" t="s">
        <v>16</v>
      </c>
      <c r="B46" s="34">
        <f>AVERAGE(B44:B45)</f>
        <v>103.21438670141821</v>
      </c>
      <c r="C46" s="34">
        <f t="shared" ref="C46:F46" si="4">AVERAGE(C44:C45)</f>
        <v>114.70796360940685</v>
      </c>
      <c r="D46" s="34">
        <f t="shared" si="4"/>
        <v>142.38911416589733</v>
      </c>
      <c r="E46" s="34">
        <f t="shared" si="4"/>
        <v>97.731529371234373</v>
      </c>
      <c r="F46" s="34">
        <f t="shared" si="4"/>
        <v>82.931078626235887</v>
      </c>
    </row>
    <row r="47" spans="1:8" x14ac:dyDescent="0.25">
      <c r="B47" s="34"/>
      <c r="C47" s="34"/>
      <c r="D47" s="34"/>
      <c r="E47" s="34"/>
      <c r="F47" s="34"/>
    </row>
    <row r="48" spans="1:8" x14ac:dyDescent="0.25">
      <c r="A48" s="3" t="s">
        <v>17</v>
      </c>
      <c r="B48" s="32"/>
      <c r="C48" s="32"/>
      <c r="D48" s="32"/>
      <c r="E48" s="32"/>
      <c r="F48" s="32"/>
    </row>
    <row r="49" spans="1:7" x14ac:dyDescent="0.25">
      <c r="A49" s="3" t="s">
        <v>18</v>
      </c>
      <c r="B49" s="46">
        <f>(B12/B13)*100</f>
        <v>92.532222154135269</v>
      </c>
      <c r="C49" s="46">
        <f t="shared" ref="C49:F49" si="5">(C12/C13)*100</f>
        <v>120.92217969746673</v>
      </c>
      <c r="D49" s="46">
        <f t="shared" si="5"/>
        <v>92.757009345794401</v>
      </c>
      <c r="E49" s="46">
        <f t="shared" si="5"/>
        <v>89.061078100744083</v>
      </c>
      <c r="F49" s="46">
        <f t="shared" si="5"/>
        <v>80.585106382978722</v>
      </c>
      <c r="G49" s="22"/>
    </row>
    <row r="50" spans="1:7" x14ac:dyDescent="0.25">
      <c r="A50" s="3" t="s">
        <v>19</v>
      </c>
      <c r="B50" s="34">
        <f>B18/B19*100</f>
        <v>37.92753006689523</v>
      </c>
      <c r="C50" s="34">
        <f>C18/C19*100</f>
        <v>27.123436880336744</v>
      </c>
      <c r="D50" s="34">
        <f>D18/D19*100</f>
        <v>48.005304746500059</v>
      </c>
      <c r="E50" s="34">
        <f>E18/E19*100</f>
        <v>29.44566387604085</v>
      </c>
      <c r="F50" s="34">
        <f>F18/F19*100</f>
        <v>57.961105110891765</v>
      </c>
    </row>
    <row r="51" spans="1:7" x14ac:dyDescent="0.25">
      <c r="A51" s="3" t="s">
        <v>20</v>
      </c>
      <c r="B51" s="34">
        <f>(B49+B50)/2</f>
        <v>65.229876110515249</v>
      </c>
      <c r="C51" s="34">
        <f t="shared" ref="C51:F51" si="6">(C49+C50)/2</f>
        <v>74.022808288901743</v>
      </c>
      <c r="D51" s="34">
        <f t="shared" si="6"/>
        <v>70.381157046147223</v>
      </c>
      <c r="E51" s="34">
        <f t="shared" si="6"/>
        <v>59.253370988392469</v>
      </c>
      <c r="F51" s="34">
        <f t="shared" si="6"/>
        <v>69.273105746935244</v>
      </c>
    </row>
    <row r="52" spans="1:7" x14ac:dyDescent="0.25">
      <c r="B52" s="32"/>
      <c r="C52" s="32"/>
      <c r="D52" s="32"/>
      <c r="E52" s="32"/>
      <c r="F52" s="32"/>
    </row>
    <row r="53" spans="1:7" x14ac:dyDescent="0.25">
      <c r="A53" s="3" t="s">
        <v>21</v>
      </c>
      <c r="B53" s="32"/>
      <c r="C53" s="32"/>
      <c r="D53" s="32"/>
      <c r="E53" s="32"/>
      <c r="F53" s="32"/>
    </row>
    <row r="54" spans="1:7" x14ac:dyDescent="0.25">
      <c r="A54" s="3" t="s">
        <v>22</v>
      </c>
      <c r="B54" s="33">
        <f>B20/B18*100</f>
        <v>100</v>
      </c>
      <c r="C54" s="34"/>
      <c r="D54" s="34"/>
      <c r="E54" s="34"/>
      <c r="F54" s="34"/>
    </row>
    <row r="55" spans="1:7" x14ac:dyDescent="0.25">
      <c r="B55" s="32"/>
      <c r="C55" s="32"/>
      <c r="D55" s="32"/>
      <c r="E55" s="32"/>
      <c r="F55" s="32"/>
    </row>
    <row r="56" spans="1:7" x14ac:dyDescent="0.25">
      <c r="A56" s="3" t="s">
        <v>23</v>
      </c>
      <c r="B56" s="32"/>
      <c r="C56" s="32"/>
      <c r="D56" s="32"/>
      <c r="E56" s="32"/>
      <c r="F56" s="32"/>
    </row>
    <row r="57" spans="1:7" x14ac:dyDescent="0.25">
      <c r="A57" s="3" t="s">
        <v>24</v>
      </c>
      <c r="B57" s="34">
        <f>((B12/B10)-1)*100</f>
        <v>0.25450360731200661</v>
      </c>
      <c r="C57" s="34">
        <f>((C12/C10)-1)*100</f>
        <v>19.614205877050651</v>
      </c>
      <c r="D57" s="34">
        <f>((D12/D10)-1)*100</f>
        <v>9.6685082872928199</v>
      </c>
      <c r="E57" s="34">
        <f>((E12/E10)-1)*100</f>
        <v>-5.3612059158134162</v>
      </c>
      <c r="F57" s="34">
        <f>((F12/F10)-1)*100</f>
        <v>48.894348894348894</v>
      </c>
    </row>
    <row r="58" spans="1:7" x14ac:dyDescent="0.25">
      <c r="A58" s="3" t="s">
        <v>25</v>
      </c>
      <c r="B58" s="34">
        <f>((B33/B32)-1)*100</f>
        <v>46.175726672795015</v>
      </c>
      <c r="C58" s="34">
        <f t="shared" ref="C58:F58" si="7">((C33/C32)-1)*100</f>
        <v>6.815411909489888</v>
      </c>
      <c r="D58" s="34">
        <f t="shared" si="7"/>
        <v>126.13977313671279</v>
      </c>
      <c r="E58" s="34">
        <f t="shared" si="7"/>
        <v>7.2241174759427151</v>
      </c>
      <c r="F58" s="34">
        <f t="shared" si="7"/>
        <v>132.01978195014169</v>
      </c>
      <c r="G58" s="7"/>
    </row>
    <row r="59" spans="1:7" x14ac:dyDescent="0.25">
      <c r="A59" s="3" t="s">
        <v>26</v>
      </c>
      <c r="B59" s="34">
        <f>((B35/B34)-1)*100</f>
        <v>45.804648582523889</v>
      </c>
      <c r="C59" s="34">
        <f>((C35/C34)-1)*100</f>
        <v>-10.700061814326977</v>
      </c>
      <c r="D59" s="34">
        <f>((D35/D34)-1)*100</f>
        <v>106.20301731861468</v>
      </c>
      <c r="E59" s="34">
        <f>((E35/E34)-1)*100</f>
        <v>13.298271088028413</v>
      </c>
      <c r="F59" s="34">
        <f>((F35/F34)-1)*100</f>
        <v>55.828467415359142</v>
      </c>
    </row>
    <row r="60" spans="1:7" x14ac:dyDescent="0.25">
      <c r="B60" s="34"/>
      <c r="C60" s="34"/>
      <c r="D60" s="34"/>
      <c r="E60" s="34"/>
      <c r="F60" s="34"/>
    </row>
    <row r="61" spans="1:7" x14ac:dyDescent="0.25">
      <c r="A61" s="3" t="s">
        <v>27</v>
      </c>
      <c r="B61" s="32"/>
      <c r="C61" s="32"/>
      <c r="D61" s="32"/>
      <c r="E61" s="32"/>
      <c r="F61" s="32"/>
    </row>
    <row r="62" spans="1:7" x14ac:dyDescent="0.25">
      <c r="A62" s="3" t="s">
        <v>42</v>
      </c>
      <c r="B62" s="30">
        <f>B17/(B11*3)</f>
        <v>114188.47530008636</v>
      </c>
      <c r="C62" s="30">
        <f t="shared" ref="C62:F63" si="8">C17/(C11*3)</f>
        <v>178957</v>
      </c>
      <c r="D62" s="30">
        <f t="shared" si="8"/>
        <v>71582</v>
      </c>
      <c r="E62" s="30">
        <f t="shared" si="8"/>
        <v>59497.892791874103</v>
      </c>
      <c r="F62" s="30">
        <f t="shared" si="8"/>
        <v>549870.61867795815</v>
      </c>
    </row>
    <row r="63" spans="1:7" x14ac:dyDescent="0.25">
      <c r="A63" s="3" t="s">
        <v>43</v>
      </c>
      <c r="B63" s="30">
        <f>$B$18/(B12*3)</f>
        <v>150933.63806803385</v>
      </c>
      <c r="C63" s="30">
        <f>C18/(C12*3)</f>
        <v>160563.72473398643</v>
      </c>
      <c r="D63" s="30">
        <f t="shared" si="8"/>
        <v>148185.70579624968</v>
      </c>
      <c r="E63" s="30">
        <f t="shared" si="8"/>
        <v>71082.607263110447</v>
      </c>
      <c r="F63" s="30">
        <f t="shared" si="8"/>
        <v>1582707.9983608362</v>
      </c>
      <c r="G63" s="22"/>
    </row>
    <row r="64" spans="1:7" x14ac:dyDescent="0.25">
      <c r="A64" s="3" t="s">
        <v>28</v>
      </c>
      <c r="B64" s="30">
        <f>(B63/B62)*B46</f>
        <v>136.42815393467436</v>
      </c>
      <c r="C64" s="30">
        <f t="shared" ref="C64:F64" si="9">(C63/C62)*C46</f>
        <v>102.91823116042923</v>
      </c>
      <c r="D64" s="30">
        <f t="shared" si="9"/>
        <v>294.76727920952573</v>
      </c>
      <c r="E64" s="30">
        <f t="shared" si="9"/>
        <v>116.76063795770901</v>
      </c>
      <c r="F64" s="30">
        <f t="shared" si="9"/>
        <v>238.70284571670712</v>
      </c>
      <c r="G64" s="22"/>
    </row>
    <row r="65" spans="1:7" x14ac:dyDescent="0.25">
      <c r="A65" s="3" t="s">
        <v>44</v>
      </c>
      <c r="B65" s="30">
        <f>B17/B11</f>
        <v>342565.42590025906</v>
      </c>
      <c r="C65" s="30">
        <f t="shared" ref="C65:F66" si="10">C17/C11</f>
        <v>536871</v>
      </c>
      <c r="D65" s="30">
        <f t="shared" si="10"/>
        <v>214746</v>
      </c>
      <c r="E65" s="30">
        <f t="shared" si="10"/>
        <v>178493.67837562232</v>
      </c>
      <c r="F65" s="30">
        <f t="shared" si="10"/>
        <v>1649611.8560338744</v>
      </c>
      <c r="G65" s="22"/>
    </row>
    <row r="66" spans="1:7" x14ac:dyDescent="0.25">
      <c r="A66" s="3" t="s">
        <v>45</v>
      </c>
      <c r="B66" s="30">
        <f>B18/B12</f>
        <v>452800.91420410149</v>
      </c>
      <c r="C66" s="30">
        <f t="shared" si="10"/>
        <v>481691.17420195928</v>
      </c>
      <c r="D66" s="30">
        <f t="shared" si="10"/>
        <v>444557.11738874903</v>
      </c>
      <c r="E66" s="30">
        <f t="shared" si="10"/>
        <v>213247.82178933133</v>
      </c>
      <c r="F66" s="30">
        <f t="shared" si="10"/>
        <v>4748123.9950825078</v>
      </c>
      <c r="G66" s="22"/>
    </row>
    <row r="67" spans="1:7" x14ac:dyDescent="0.25">
      <c r="B67" s="34"/>
      <c r="C67" s="34"/>
      <c r="D67" s="34"/>
      <c r="E67" s="34"/>
      <c r="F67" s="34"/>
    </row>
    <row r="68" spans="1:7" x14ac:dyDescent="0.25">
      <c r="A68" s="3" t="s">
        <v>29</v>
      </c>
      <c r="B68" s="34"/>
      <c r="C68" s="34"/>
      <c r="D68" s="34"/>
      <c r="E68" s="34"/>
      <c r="F68" s="34"/>
    </row>
    <row r="69" spans="1:7" x14ac:dyDescent="0.25">
      <c r="A69" s="3" t="s">
        <v>30</v>
      </c>
      <c r="B69" s="35">
        <f>(B24/B23)*100</f>
        <v>99.998914220083748</v>
      </c>
      <c r="C69" s="34"/>
      <c r="D69" s="34"/>
      <c r="E69" s="34"/>
      <c r="F69" s="34"/>
      <c r="G69" s="22"/>
    </row>
    <row r="70" spans="1:7" ht="15.75" thickBot="1" x14ac:dyDescent="0.3">
      <c r="A70" s="8" t="s">
        <v>31</v>
      </c>
      <c r="B70" s="36">
        <f>(B18/B24)*100</f>
        <v>117.52088000659815</v>
      </c>
      <c r="C70" s="37"/>
      <c r="D70" s="37"/>
      <c r="E70" s="37"/>
      <c r="F70" s="37"/>
      <c r="G70" s="22"/>
    </row>
    <row r="71" spans="1:7" ht="15.75" thickTop="1" x14ac:dyDescent="0.25">
      <c r="A71" s="13"/>
      <c r="B71" s="13"/>
      <c r="C71" s="13"/>
      <c r="D71" s="13"/>
      <c r="E71" s="13"/>
      <c r="F71" s="13"/>
    </row>
    <row r="72" spans="1:7" x14ac:dyDescent="0.25">
      <c r="A72" s="3" t="s">
        <v>32</v>
      </c>
      <c r="B72" s="13"/>
      <c r="C72" s="13"/>
      <c r="D72" s="13"/>
      <c r="E72" s="13"/>
      <c r="F72" s="13"/>
    </row>
    <row r="73" spans="1:7" x14ac:dyDescent="0.25">
      <c r="A73" s="3" t="s">
        <v>87</v>
      </c>
      <c r="B73" s="13"/>
      <c r="C73" s="13"/>
      <c r="D73" s="13"/>
      <c r="E73" s="13"/>
      <c r="F73" s="13"/>
    </row>
    <row r="74" spans="1:7" x14ac:dyDescent="0.25">
      <c r="A74" s="3" t="s">
        <v>88</v>
      </c>
    </row>
    <row r="75" spans="1:7" x14ac:dyDescent="0.25">
      <c r="A75" s="3" t="s">
        <v>65</v>
      </c>
      <c r="B75" s="28"/>
      <c r="C75" s="28"/>
      <c r="D75" s="28"/>
    </row>
    <row r="77" spans="1:7" x14ac:dyDescent="0.25">
      <c r="A77" s="3" t="s">
        <v>33</v>
      </c>
    </row>
    <row r="78" spans="1:7" x14ac:dyDescent="0.25">
      <c r="A78" s="3" t="s">
        <v>34</v>
      </c>
    </row>
    <row r="79" spans="1:7" x14ac:dyDescent="0.25">
      <c r="A79" s="3" t="s">
        <v>89</v>
      </c>
    </row>
    <row r="80" spans="1:7" x14ac:dyDescent="0.25">
      <c r="A80" s="29"/>
    </row>
    <row r="81" spans="1:1" x14ac:dyDescent="0.25">
      <c r="A81" s="3" t="s">
        <v>90</v>
      </c>
    </row>
    <row r="83" spans="1:1" x14ac:dyDescent="0.25">
      <c r="A83" s="4"/>
    </row>
  </sheetData>
  <mergeCells count="4">
    <mergeCell ref="A4:A5"/>
    <mergeCell ref="C4:F4"/>
    <mergeCell ref="B4:B5"/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85546875" style="3" customWidth="1"/>
    <col min="2" max="6" width="15.5703125" style="3" customWidth="1"/>
    <col min="7" max="7" width="18.7109375" style="3" customWidth="1"/>
    <col min="8" max="16384" width="11.42578125" style="3"/>
  </cols>
  <sheetData>
    <row r="2" spans="1:8" ht="15.75" x14ac:dyDescent="0.25">
      <c r="A2" s="55" t="s">
        <v>105</v>
      </c>
      <c r="B2" s="55"/>
      <c r="C2" s="55"/>
      <c r="D2" s="55"/>
      <c r="E2" s="55"/>
      <c r="F2" s="55"/>
    </row>
    <row r="4" spans="1:8" ht="15" customHeight="1" x14ac:dyDescent="0.25">
      <c r="A4" s="50" t="s">
        <v>0</v>
      </c>
      <c r="B4" s="52" t="s">
        <v>1</v>
      </c>
      <c r="C4" s="56" t="s">
        <v>2</v>
      </c>
      <c r="D4" s="56"/>
      <c r="E4" s="56"/>
      <c r="F4" s="56"/>
    </row>
    <row r="5" spans="1:8" ht="30.75" thickBot="1" x14ac:dyDescent="0.3">
      <c r="A5" s="51"/>
      <c r="B5" s="53"/>
      <c r="C5" s="21" t="s">
        <v>36</v>
      </c>
      <c r="D5" s="21" t="s">
        <v>37</v>
      </c>
      <c r="E5" s="21" t="s">
        <v>78</v>
      </c>
      <c r="F5" s="21" t="s">
        <v>48</v>
      </c>
    </row>
    <row r="6" spans="1:8" ht="15.75" thickTop="1" x14ac:dyDescent="0.25"/>
    <row r="7" spans="1:8" x14ac:dyDescent="0.25">
      <c r="A7" s="6" t="s">
        <v>3</v>
      </c>
    </row>
    <row r="9" spans="1:8" x14ac:dyDescent="0.25">
      <c r="A9" s="3" t="s">
        <v>35</v>
      </c>
    </row>
    <row r="10" spans="1:8" x14ac:dyDescent="0.25">
      <c r="A10" s="1" t="s">
        <v>66</v>
      </c>
      <c r="B10" s="9">
        <f>SUM(C10:F10)</f>
        <v>14218.833333333332</v>
      </c>
      <c r="C10" s="2">
        <f>(+'I Trimestre'!C10+'II Trimestre'!C10)/2</f>
        <v>1766.1666666666665</v>
      </c>
      <c r="D10" s="2">
        <f>(+'I Trimestre'!D10+'II Trimestre'!D10)/2</f>
        <v>1123.1666666666667</v>
      </c>
      <c r="E10" s="2">
        <f>(+'I Trimestre'!E10+'II Trimestre'!E10)/2</f>
        <v>11118.5</v>
      </c>
      <c r="F10" s="2">
        <f>+'I Trimestre'!F10+'II Trimestre'!F10/2</f>
        <v>211</v>
      </c>
      <c r="G10" s="2"/>
      <c r="H10" s="22"/>
    </row>
    <row r="11" spans="1:8" x14ac:dyDescent="0.25">
      <c r="A11" s="1" t="s">
        <v>106</v>
      </c>
      <c r="B11" s="9">
        <f t="shared" ref="B11:B12" si="0">SUM(C11:F11)</f>
        <v>15958</v>
      </c>
      <c r="C11" s="2">
        <f>(+'I Trimestre'!C11+'II Trimestre'!C11)/2</f>
        <v>1829</v>
      </c>
      <c r="D11" s="2">
        <f>(+'I Trimestre'!D11+'II Trimestre'!D11)/2</f>
        <v>1284</v>
      </c>
      <c r="E11" s="2">
        <f>(+'I Trimestre'!E11+'II Trimestre'!E11)/2</f>
        <v>12454</v>
      </c>
      <c r="F11" s="2">
        <f>(+'I Trimestre'!F11+'II Trimestre'!F11)/2</f>
        <v>391</v>
      </c>
      <c r="G11" s="11"/>
      <c r="H11" s="22"/>
    </row>
    <row r="12" spans="1:8" x14ac:dyDescent="0.25">
      <c r="A12" s="1" t="s">
        <v>107</v>
      </c>
      <c r="B12" s="9">
        <f t="shared" si="0"/>
        <v>13147.833333333332</v>
      </c>
      <c r="C12" s="2">
        <f>(+'I Trimestre'!C12+'II Trimestre'!C12)/2</f>
        <v>1688.1666666666665</v>
      </c>
      <c r="D12" s="2">
        <f>(+'I Trimestre'!D12+'II Trimestre'!D12)/2</f>
        <v>1123</v>
      </c>
      <c r="E12" s="2">
        <f>(+'I Trimestre'!E12+'II Trimestre'!E12)/2</f>
        <v>9949</v>
      </c>
      <c r="F12" s="2">
        <f>(+'I Trimestre'!F12+'II Trimestre'!F12)/2</f>
        <v>387.66666666666663</v>
      </c>
      <c r="H12" s="22"/>
    </row>
    <row r="13" spans="1:8" x14ac:dyDescent="0.25">
      <c r="A13" s="1" t="s">
        <v>82</v>
      </c>
      <c r="B13" s="10">
        <f>SUM(C13:F13)</f>
        <v>15958</v>
      </c>
      <c r="C13" s="2">
        <f>+'II Trimestre'!C13</f>
        <v>1829</v>
      </c>
      <c r="D13" s="2">
        <f>+'II Trimestre'!D13</f>
        <v>1284</v>
      </c>
      <c r="E13" s="2">
        <f>+'II Trimestre'!E13</f>
        <v>12454</v>
      </c>
      <c r="F13" s="2">
        <f>+'II Trimestre'!F13</f>
        <v>391</v>
      </c>
      <c r="G13" s="47"/>
    </row>
    <row r="14" spans="1:8" x14ac:dyDescent="0.25">
      <c r="G14" s="11"/>
    </row>
    <row r="15" spans="1:8" x14ac:dyDescent="0.25">
      <c r="A15" s="5" t="s">
        <v>4</v>
      </c>
      <c r="G15" s="48"/>
    </row>
    <row r="16" spans="1:8" x14ac:dyDescent="0.25">
      <c r="A16" s="1" t="s">
        <v>66</v>
      </c>
      <c r="B16" s="9">
        <f>SUM(C16:F16)</f>
        <v>5973172819</v>
      </c>
      <c r="C16" s="2">
        <f>+'I Trimestre'!C16+'II Trimestre'!C16</f>
        <v>1726681793</v>
      </c>
      <c r="D16" s="2">
        <f>+'I Trimestre'!D16+'II Trimestre'!D16</f>
        <v>474991676</v>
      </c>
      <c r="E16" s="2">
        <f>+'I Trimestre'!E16+'II Trimestre'!E16</f>
        <v>3415434750</v>
      </c>
      <c r="F16" s="2">
        <f>+'I Trimestre'!F16+'II Trimestre'!F16</f>
        <v>356064600</v>
      </c>
      <c r="H16" s="22"/>
    </row>
    <row r="17" spans="1:7" x14ac:dyDescent="0.25">
      <c r="A17" s="1" t="s">
        <v>106</v>
      </c>
      <c r="B17" s="9">
        <f>SUM(C17:F17)</f>
        <v>7392393846</v>
      </c>
      <c r="C17" s="2">
        <f>+'I Trimestre'!C17+'II Trimestre'!C17</f>
        <v>1963874118</v>
      </c>
      <c r="D17" s="2">
        <f>+'I Trimestre'!D17+'II Trimestre'!D17</f>
        <v>551467728</v>
      </c>
      <c r="E17" s="2">
        <f>+'I Trimestre'!E17+'II Trimestre'!E17</f>
        <v>3586752000</v>
      </c>
      <c r="F17" s="2">
        <f>+'I Trimestre'!F17+'II Trimestre'!F17</f>
        <v>1290300000</v>
      </c>
      <c r="G17" s="11"/>
    </row>
    <row r="18" spans="1:7" x14ac:dyDescent="0.25">
      <c r="A18" s="1" t="s">
        <v>107</v>
      </c>
      <c r="B18" s="9">
        <f>SUM(C18:F18)</f>
        <v>7069581541.7358341</v>
      </c>
      <c r="C18" s="2">
        <f>+'I Trimestre'!C18+'II Trimestre'!C18</f>
        <v>1920924438</v>
      </c>
      <c r="D18" s="2">
        <f>+'I Trimestre'!D18+'II Trimestre'!D18</f>
        <v>594427212.39999998</v>
      </c>
      <c r="E18" s="2">
        <f>+'I Trimestre'!E18+'II Trimestre'!E18</f>
        <v>3442529891.3358335</v>
      </c>
      <c r="F18" s="2">
        <f>+'I Trimestre'!F18+'II Trimestre'!F18</f>
        <v>1111700000</v>
      </c>
    </row>
    <row r="19" spans="1:7" x14ac:dyDescent="0.25">
      <c r="A19" s="1" t="s">
        <v>82</v>
      </c>
      <c r="B19" s="2">
        <f>SUM(C19:F19)</f>
        <v>14785887692</v>
      </c>
      <c r="C19" s="2">
        <f>+'II Trimestre'!C19</f>
        <v>3927748236</v>
      </c>
      <c r="D19" s="2">
        <f>+'II Trimestre'!D19</f>
        <v>1102935456</v>
      </c>
      <c r="E19" s="2">
        <f>+'II Trimestre'!E19</f>
        <v>7173504000</v>
      </c>
      <c r="F19" s="2">
        <f>+'II Trimestre'!F19</f>
        <v>2581700000</v>
      </c>
    </row>
    <row r="20" spans="1:7" x14ac:dyDescent="0.25">
      <c r="A20" s="1" t="s">
        <v>108</v>
      </c>
      <c r="B20" s="10">
        <f>SUM(C20:F20)</f>
        <v>7069581541.7358341</v>
      </c>
      <c r="C20" s="2">
        <f>+C18</f>
        <v>1920924438</v>
      </c>
      <c r="D20" s="2">
        <f t="shared" ref="D20:F20" si="1">+D18</f>
        <v>594427212.39999998</v>
      </c>
      <c r="E20" s="2">
        <f t="shared" si="1"/>
        <v>3442529891.3358335</v>
      </c>
      <c r="F20" s="2">
        <f t="shared" si="1"/>
        <v>1111700000</v>
      </c>
      <c r="G20" s="47"/>
    </row>
    <row r="21" spans="1:7" x14ac:dyDescent="0.25">
      <c r="B21" s="2"/>
      <c r="C21" s="2"/>
      <c r="D21" s="2"/>
      <c r="E21" s="2"/>
      <c r="F21" s="2"/>
      <c r="G21" s="11"/>
    </row>
    <row r="22" spans="1:7" x14ac:dyDescent="0.25">
      <c r="A22" s="5" t="s">
        <v>5</v>
      </c>
      <c r="B22" s="2"/>
      <c r="C22" s="2"/>
      <c r="D22" s="2"/>
      <c r="E22" s="2"/>
      <c r="F22" s="2"/>
    </row>
    <row r="23" spans="1:7" x14ac:dyDescent="0.25">
      <c r="A23" s="1" t="s">
        <v>106</v>
      </c>
      <c r="B23" s="2">
        <f>B17</f>
        <v>7392393846</v>
      </c>
      <c r="C23" s="2"/>
      <c r="D23" s="2"/>
      <c r="E23" s="2"/>
      <c r="F23" s="2"/>
      <c r="G23" s="22"/>
    </row>
    <row r="24" spans="1:7" x14ac:dyDescent="0.25">
      <c r="A24" s="1" t="s">
        <v>107</v>
      </c>
      <c r="B24" s="2">
        <f>'I Trimestre'!B24+'II Trimestre'!B24</f>
        <v>7392393845.3299999</v>
      </c>
      <c r="C24" s="57"/>
      <c r="D24" s="57"/>
      <c r="E24" s="2"/>
      <c r="F24" s="2"/>
      <c r="G24" s="22"/>
    </row>
    <row r="26" spans="1:7" x14ac:dyDescent="0.25">
      <c r="A26" s="3" t="s">
        <v>6</v>
      </c>
    </row>
    <row r="27" spans="1:7" x14ac:dyDescent="0.25">
      <c r="A27" s="1" t="s">
        <v>67</v>
      </c>
      <c r="B27" s="20">
        <v>1.0088033727000001</v>
      </c>
      <c r="C27" s="20">
        <v>1.0088033727000001</v>
      </c>
      <c r="D27" s="20">
        <v>1.0088033727000001</v>
      </c>
      <c r="E27" s="20">
        <v>1.0088033727000001</v>
      </c>
      <c r="F27" s="20">
        <v>1.0088033727000001</v>
      </c>
    </row>
    <row r="28" spans="1:7" x14ac:dyDescent="0.25">
      <c r="A28" s="1" t="s">
        <v>109</v>
      </c>
      <c r="B28" s="20">
        <v>1.0303325644000001</v>
      </c>
      <c r="C28" s="20">
        <v>1.0303325644000001</v>
      </c>
      <c r="D28" s="20">
        <v>1.0303325644000001</v>
      </c>
      <c r="E28" s="20">
        <v>1.0303325644000001</v>
      </c>
      <c r="F28" s="20">
        <v>1.0303325644000001</v>
      </c>
    </row>
    <row r="29" spans="1:7" x14ac:dyDescent="0.25">
      <c r="A29" s="1" t="s">
        <v>7</v>
      </c>
      <c r="B29" s="2">
        <v>150671</v>
      </c>
      <c r="C29" s="2"/>
      <c r="D29" s="2"/>
      <c r="E29" s="2"/>
      <c r="F29" s="2"/>
    </row>
    <row r="31" spans="1:7" x14ac:dyDescent="0.25">
      <c r="A31" s="6" t="s">
        <v>8</v>
      </c>
    </row>
    <row r="32" spans="1:7" x14ac:dyDescent="0.25">
      <c r="A32" s="3" t="s">
        <v>68</v>
      </c>
      <c r="B32" s="30">
        <f>B16/B27</f>
        <v>5921047629.9391928</v>
      </c>
      <c r="C32" s="30">
        <f>C16/C27</f>
        <v>1711613818.6360762</v>
      </c>
      <c r="D32" s="30">
        <f>D16/D27</f>
        <v>470846637.56497365</v>
      </c>
      <c r="E32" s="30">
        <f>E16/E27</f>
        <v>3385629789.1419606</v>
      </c>
      <c r="F32" s="30">
        <f>F16/F27</f>
        <v>352957384.59618253</v>
      </c>
    </row>
    <row r="33" spans="1:8" x14ac:dyDescent="0.25">
      <c r="A33" s="3" t="s">
        <v>110</v>
      </c>
      <c r="B33" s="30">
        <f>B18/B28</f>
        <v>6861455986.1579323</v>
      </c>
      <c r="C33" s="30">
        <f>C18/C28</f>
        <v>1864373217.3200057</v>
      </c>
      <c r="D33" s="30">
        <f>D18/D28</f>
        <v>576927521.20880163</v>
      </c>
      <c r="E33" s="30">
        <f>E18/E28</f>
        <v>3341183235.6677413</v>
      </c>
      <c r="F33" s="30">
        <f>F18/F28</f>
        <v>1078972011.9613836</v>
      </c>
    </row>
    <row r="34" spans="1:8" x14ac:dyDescent="0.25">
      <c r="A34" s="3" t="s">
        <v>69</v>
      </c>
      <c r="B34" s="31">
        <f>$B$32/(B10)</f>
        <v>416422.88724620116</v>
      </c>
      <c r="C34" s="31">
        <f>C32/(C10)</f>
        <v>969112.28761125391</v>
      </c>
      <c r="D34" s="31">
        <f>D32/(D10)</f>
        <v>419213.50725476211</v>
      </c>
      <c r="E34" s="31">
        <f>E32/(E10)</f>
        <v>304504.18573925988</v>
      </c>
      <c r="F34" s="31">
        <f>F32/(F10)</f>
        <v>1672783.81325205</v>
      </c>
      <c r="H34" s="22"/>
    </row>
    <row r="35" spans="1:8" x14ac:dyDescent="0.25">
      <c r="A35" s="3" t="s">
        <v>111</v>
      </c>
      <c r="B35" s="31">
        <f>$B$33/(B12)</f>
        <v>521869.71132059273</v>
      </c>
      <c r="C35" s="31">
        <f>C33/(C12)</f>
        <v>1104377.4611432555</v>
      </c>
      <c r="D35" s="31">
        <f t="shared" ref="D35:F35" si="2">D33/(D12)</f>
        <v>513737.77489652863</v>
      </c>
      <c r="E35" s="31">
        <f t="shared" si="2"/>
        <v>335831.06198288687</v>
      </c>
      <c r="F35" s="31">
        <f t="shared" si="2"/>
        <v>2783246.8064352116</v>
      </c>
      <c r="H35" s="22"/>
    </row>
    <row r="36" spans="1:8" x14ac:dyDescent="0.25">
      <c r="B36" s="32"/>
      <c r="C36" s="32"/>
      <c r="D36" s="32"/>
      <c r="E36" s="32"/>
      <c r="F36" s="32"/>
    </row>
    <row r="37" spans="1:8" x14ac:dyDescent="0.25">
      <c r="A37" s="6" t="s">
        <v>9</v>
      </c>
      <c r="B37" s="32"/>
      <c r="C37" s="32"/>
      <c r="D37" s="32"/>
      <c r="E37" s="32"/>
      <c r="F37" s="32"/>
    </row>
    <row r="38" spans="1:8" x14ac:dyDescent="0.25">
      <c r="B38" s="32"/>
      <c r="C38" s="32"/>
      <c r="D38" s="32"/>
      <c r="E38" s="32"/>
      <c r="F38" s="32"/>
    </row>
    <row r="39" spans="1:8" x14ac:dyDescent="0.25">
      <c r="A39" s="3" t="s">
        <v>10</v>
      </c>
      <c r="B39" s="32"/>
      <c r="C39" s="32"/>
      <c r="D39" s="32"/>
      <c r="E39" s="32"/>
      <c r="F39" s="32"/>
    </row>
    <row r="40" spans="1:8" x14ac:dyDescent="0.25">
      <c r="A40" s="3" t="s">
        <v>11</v>
      </c>
      <c r="B40" s="33">
        <f>(B11/(B29))*100</f>
        <v>10.591288303654983</v>
      </c>
      <c r="C40" s="34"/>
      <c r="D40" s="34"/>
      <c r="E40" s="34"/>
      <c r="F40" s="34"/>
    </row>
    <row r="41" spans="1:8" x14ac:dyDescent="0.25">
      <c r="A41" s="3" t="s">
        <v>12</v>
      </c>
      <c r="B41" s="33">
        <f>(B12/(B29))*100</f>
        <v>8.7261870786902129</v>
      </c>
      <c r="C41" s="34"/>
      <c r="D41" s="34"/>
      <c r="E41" s="34"/>
      <c r="F41" s="34"/>
    </row>
    <row r="42" spans="1:8" x14ac:dyDescent="0.25">
      <c r="B42" s="32"/>
      <c r="C42" s="32"/>
      <c r="D42" s="32"/>
      <c r="E42" s="32"/>
      <c r="F42" s="32"/>
    </row>
    <row r="43" spans="1:8" x14ac:dyDescent="0.25">
      <c r="A43" s="3" t="s">
        <v>13</v>
      </c>
      <c r="B43" s="32"/>
      <c r="C43" s="32"/>
      <c r="D43" s="32"/>
      <c r="E43" s="32"/>
      <c r="F43" s="32"/>
    </row>
    <row r="44" spans="1:8" x14ac:dyDescent="0.25">
      <c r="A44" s="3" t="s">
        <v>14</v>
      </c>
      <c r="B44" s="34">
        <f>B12/B11*100</f>
        <v>82.390232694155486</v>
      </c>
      <c r="C44" s="34">
        <f>C12/C11*100</f>
        <v>92.299981775104783</v>
      </c>
      <c r="D44" s="34">
        <f>D12/D11*100</f>
        <v>87.46105919003115</v>
      </c>
      <c r="E44" s="34">
        <f>E12/E11*100</f>
        <v>79.885980407901087</v>
      </c>
      <c r="F44" s="34">
        <f>F12/F11*100</f>
        <v>99.147485080988901</v>
      </c>
    </row>
    <row r="45" spans="1:8" x14ac:dyDescent="0.25">
      <c r="A45" s="3" t="s">
        <v>15</v>
      </c>
      <c r="B45" s="34">
        <f>B18/B17*100</f>
        <v>95.63318309347332</v>
      </c>
      <c r="C45" s="34">
        <f>C18/C17*100</f>
        <v>97.813012575177694</v>
      </c>
      <c r="D45" s="34">
        <f>D18/D17*100</f>
        <v>107.79002690797527</v>
      </c>
      <c r="E45" s="34">
        <f>E18/E17*100</f>
        <v>95.979033156901664</v>
      </c>
      <c r="F45" s="34">
        <f>F18/F17*100</f>
        <v>86.158257769510968</v>
      </c>
    </row>
    <row r="46" spans="1:8" x14ac:dyDescent="0.25">
      <c r="A46" s="3" t="s">
        <v>16</v>
      </c>
      <c r="B46" s="34">
        <f>AVERAGE(B44:B45)</f>
        <v>89.011707893814403</v>
      </c>
      <c r="C46" s="34">
        <f>AVERAGE(C44:C45)</f>
        <v>95.056497175141232</v>
      </c>
      <c r="D46" s="34">
        <f>AVERAGE(D44:D45)</f>
        <v>97.625543049003213</v>
      </c>
      <c r="E46" s="34">
        <f>AVERAGE(E44:E45)</f>
        <v>87.932506782401376</v>
      </c>
      <c r="F46" s="34">
        <f>AVERAGE(F44:F45)</f>
        <v>92.652871425249941</v>
      </c>
    </row>
    <row r="47" spans="1:8" x14ac:dyDescent="0.25">
      <c r="B47" s="34"/>
      <c r="C47" s="34"/>
      <c r="D47" s="34"/>
      <c r="E47" s="34"/>
      <c r="F47" s="34"/>
    </row>
    <row r="48" spans="1:8" x14ac:dyDescent="0.25">
      <c r="A48" s="3" t="s">
        <v>17</v>
      </c>
      <c r="B48" s="32"/>
      <c r="C48" s="32"/>
      <c r="D48" s="32"/>
      <c r="E48" s="32"/>
      <c r="F48" s="32"/>
    </row>
    <row r="49" spans="1:7" x14ac:dyDescent="0.25">
      <c r="A49" s="3" t="s">
        <v>18</v>
      </c>
      <c r="B49" s="46">
        <f>(B12/B13)*100</f>
        <v>82.390232694155486</v>
      </c>
      <c r="C49" s="46">
        <f t="shared" ref="C49:F49" si="3">(C12/C13)*100</f>
        <v>92.299981775104783</v>
      </c>
      <c r="D49" s="46">
        <f t="shared" si="3"/>
        <v>87.46105919003115</v>
      </c>
      <c r="E49" s="46">
        <f t="shared" si="3"/>
        <v>79.885980407901087</v>
      </c>
      <c r="F49" s="46">
        <f t="shared" si="3"/>
        <v>99.147485080988901</v>
      </c>
      <c r="G49" s="22"/>
    </row>
    <row r="50" spans="1:7" x14ac:dyDescent="0.25">
      <c r="A50" s="3" t="s">
        <v>19</v>
      </c>
      <c r="B50" s="34">
        <f>B18/B19*100</f>
        <v>47.813034218844209</v>
      </c>
      <c r="C50" s="34">
        <f>C18/C19*100</f>
        <v>48.906506287588847</v>
      </c>
      <c r="D50" s="34">
        <f>D18/D19*100</f>
        <v>53.895013453987637</v>
      </c>
      <c r="E50" s="34">
        <f>E18/E19*100</f>
        <v>47.989516578450832</v>
      </c>
      <c r="F50" s="34">
        <f>F18/F19*100</f>
        <v>43.060773908664835</v>
      </c>
    </row>
    <row r="51" spans="1:7" x14ac:dyDescent="0.25">
      <c r="A51" s="3" t="s">
        <v>20</v>
      </c>
      <c r="B51" s="34">
        <f>(B49+B50)/2</f>
        <v>65.101633456499854</v>
      </c>
      <c r="C51" s="34">
        <f>(C49+C50)/2</f>
        <v>70.603244031346819</v>
      </c>
      <c r="D51" s="34">
        <f>(D49+D50)/2</f>
        <v>70.67803632200939</v>
      </c>
      <c r="E51" s="34">
        <f>(E49+E50)/2</f>
        <v>63.93774849317596</v>
      </c>
      <c r="F51" s="34">
        <f>(F49+F50)/2</f>
        <v>71.104129494826864</v>
      </c>
    </row>
    <row r="52" spans="1:7" x14ac:dyDescent="0.25">
      <c r="B52" s="32"/>
      <c r="C52" s="32"/>
      <c r="D52" s="32"/>
      <c r="E52" s="32"/>
      <c r="F52" s="32"/>
    </row>
    <row r="53" spans="1:7" x14ac:dyDescent="0.25">
      <c r="A53" s="3" t="s">
        <v>21</v>
      </c>
      <c r="B53" s="32"/>
      <c r="C53" s="32"/>
      <c r="D53" s="32"/>
      <c r="E53" s="32"/>
      <c r="F53" s="32"/>
    </row>
    <row r="54" spans="1:7" x14ac:dyDescent="0.25">
      <c r="A54" s="3" t="s">
        <v>22</v>
      </c>
      <c r="B54" s="33">
        <f>B20/B18*100</f>
        <v>100</v>
      </c>
      <c r="C54" s="34"/>
      <c r="D54" s="34"/>
      <c r="E54" s="34"/>
      <c r="F54" s="34"/>
    </row>
    <row r="55" spans="1:7" x14ac:dyDescent="0.25">
      <c r="B55" s="32"/>
      <c r="C55" s="32"/>
      <c r="D55" s="32"/>
      <c r="E55" s="32"/>
      <c r="F55" s="32"/>
    </row>
    <row r="56" spans="1:7" x14ac:dyDescent="0.25">
      <c r="A56" s="3" t="s">
        <v>23</v>
      </c>
      <c r="B56" s="32"/>
      <c r="C56" s="32"/>
      <c r="D56" s="32"/>
      <c r="E56" s="32"/>
      <c r="F56" s="32"/>
    </row>
    <row r="57" spans="1:7" x14ac:dyDescent="0.25">
      <c r="A57" s="3" t="s">
        <v>24</v>
      </c>
      <c r="B57" s="34">
        <f>((B12/B10)-1)*100</f>
        <v>-7.5322635471733452</v>
      </c>
      <c r="C57" s="34">
        <f>((C12/C10)-1)*100</f>
        <v>-4.4163442483721838</v>
      </c>
      <c r="D57" s="34">
        <f>((D12/D10)-1)*100</f>
        <v>-1.4838996883814737E-2</v>
      </c>
      <c r="E57" s="34">
        <f>((E12/E10)-1)*100</f>
        <v>-10.518505194045957</v>
      </c>
      <c r="F57" s="34">
        <f>((F12/F10)-1)*100</f>
        <v>83.728278041074233</v>
      </c>
    </row>
    <row r="58" spans="1:7" x14ac:dyDescent="0.25">
      <c r="A58" s="3" t="s">
        <v>25</v>
      </c>
      <c r="B58" s="34">
        <f>((B33/B32)-1)*100</f>
        <v>15.88246565461926</v>
      </c>
      <c r="C58" s="34">
        <f>((C33/C32)-1)*100</f>
        <v>8.9248752855745295</v>
      </c>
      <c r="D58" s="34">
        <f>((D33/D32)-1)*100</f>
        <v>22.529816543330327</v>
      </c>
      <c r="E58" s="34">
        <f>((E33/E32)-1)*100</f>
        <v>-1.3128001654747812</v>
      </c>
      <c r="F58" s="34">
        <f>((F33/F32)-1)*100</f>
        <v>205.69469829787872</v>
      </c>
      <c r="G58" s="7"/>
    </row>
    <row r="59" spans="1:7" x14ac:dyDescent="0.25">
      <c r="A59" s="3" t="s">
        <v>26</v>
      </c>
      <c r="B59" s="34">
        <f>((B35/B34)-1)*100</f>
        <v>25.322052966807362</v>
      </c>
      <c r="C59" s="34">
        <f>((C35/C34)-1)*100</f>
        <v>13.957636825079799</v>
      </c>
      <c r="D59" s="34">
        <f>((D35/D34)-1)*100</f>
        <v>22.548001437444796</v>
      </c>
      <c r="E59" s="34">
        <f>((E35/E34)-1)*100</f>
        <v>10.287831074496779</v>
      </c>
      <c r="F59" s="34">
        <f>((F35/F34)-1)*100</f>
        <v>66.38413071587037</v>
      </c>
    </row>
    <row r="60" spans="1:7" x14ac:dyDescent="0.25">
      <c r="B60" s="34"/>
      <c r="C60" s="34"/>
      <c r="D60" s="34"/>
      <c r="E60" s="34"/>
      <c r="F60" s="34"/>
    </row>
    <row r="61" spans="1:7" x14ac:dyDescent="0.25">
      <c r="A61" s="3" t="s">
        <v>27</v>
      </c>
      <c r="B61" s="32"/>
      <c r="C61" s="32"/>
      <c r="D61" s="32"/>
      <c r="E61" s="32"/>
      <c r="F61" s="32"/>
    </row>
    <row r="62" spans="1:7" x14ac:dyDescent="0.25">
      <c r="A62" s="3" t="s">
        <v>42</v>
      </c>
      <c r="B62" s="30">
        <f>B17/(B11*6)</f>
        <v>77206.770334628396</v>
      </c>
      <c r="C62" s="30">
        <f t="shared" ref="C62:F62" si="4">C17/(C11*6)</f>
        <v>178957</v>
      </c>
      <c r="D62" s="30">
        <f t="shared" si="4"/>
        <v>71582</v>
      </c>
      <c r="E62" s="30">
        <f t="shared" si="4"/>
        <v>48000</v>
      </c>
      <c r="F62" s="30">
        <f t="shared" si="4"/>
        <v>550000</v>
      </c>
    </row>
    <row r="63" spans="1:7" x14ac:dyDescent="0.25">
      <c r="A63" s="3" t="s">
        <v>43</v>
      </c>
      <c r="B63" s="30">
        <f>B18/(B12*6)</f>
        <v>89616.559657938997</v>
      </c>
      <c r="C63" s="30">
        <f t="shared" ref="C63:F63" si="5">C18/(C12*6)</f>
        <v>189646.01026754861</v>
      </c>
      <c r="D63" s="30">
        <f t="shared" si="5"/>
        <v>88220.126506381712</v>
      </c>
      <c r="E63" s="30">
        <f t="shared" si="5"/>
        <v>57669.613216333863</v>
      </c>
      <c r="F63" s="30">
        <f t="shared" si="5"/>
        <v>477944.96990541701</v>
      </c>
    </row>
    <row r="64" spans="1:7" x14ac:dyDescent="0.25">
      <c r="A64" s="3" t="s">
        <v>28</v>
      </c>
      <c r="B64" s="30">
        <f>(B63/B62)*B46</f>
        <v>103.3189576010964</v>
      </c>
      <c r="C64" s="30">
        <f t="shared" ref="C64:F64" si="6">(C63/C62)*C46</f>
        <v>100.73417323308973</v>
      </c>
      <c r="D64" s="30">
        <f t="shared" si="6"/>
        <v>120.3170875085535</v>
      </c>
      <c r="E64" s="30">
        <f t="shared" si="6"/>
        <v>105.64653448507794</v>
      </c>
      <c r="F64" s="30">
        <f t="shared" si="6"/>
        <v>80.514497899984647</v>
      </c>
    </row>
    <row r="65" spans="1:7" x14ac:dyDescent="0.25">
      <c r="A65" s="3" t="s">
        <v>44</v>
      </c>
      <c r="B65" s="30">
        <f>B17/B11</f>
        <v>463240.62200777041</v>
      </c>
      <c r="C65" s="30">
        <f t="shared" ref="C65:F66" si="7">C17/C11</f>
        <v>1073742</v>
      </c>
      <c r="D65" s="30">
        <f t="shared" si="7"/>
        <v>429492</v>
      </c>
      <c r="E65" s="30">
        <f t="shared" si="7"/>
        <v>288000</v>
      </c>
      <c r="F65" s="30">
        <f t="shared" si="7"/>
        <v>3300000</v>
      </c>
    </row>
    <row r="66" spans="1:7" x14ac:dyDescent="0.25">
      <c r="A66" s="3" t="s">
        <v>45</v>
      </c>
      <c r="B66" s="30">
        <f>B18/B12</f>
        <v>537699.35794763407</v>
      </c>
      <c r="C66" s="30">
        <f t="shared" si="7"/>
        <v>1137876.0616052919</v>
      </c>
      <c r="D66" s="30">
        <f t="shared" si="7"/>
        <v>529320.75903829024</v>
      </c>
      <c r="E66" s="30">
        <f t="shared" si="7"/>
        <v>346017.67929800315</v>
      </c>
      <c r="F66" s="30">
        <f t="shared" si="7"/>
        <v>2867669.8194325026</v>
      </c>
    </row>
    <row r="67" spans="1:7" x14ac:dyDescent="0.25">
      <c r="B67" s="34"/>
      <c r="C67" s="34"/>
      <c r="D67" s="34"/>
      <c r="E67" s="34"/>
      <c r="F67" s="34"/>
    </row>
    <row r="68" spans="1:7" x14ac:dyDescent="0.25">
      <c r="A68" s="3" t="s">
        <v>29</v>
      </c>
      <c r="B68" s="34"/>
      <c r="C68" s="34"/>
      <c r="D68" s="34"/>
      <c r="E68" s="34"/>
      <c r="F68" s="34"/>
    </row>
    <row r="69" spans="1:7" x14ac:dyDescent="0.25">
      <c r="A69" s="3" t="s">
        <v>30</v>
      </c>
      <c r="B69" s="35">
        <f>(B24/B23)*100</f>
        <v>99.99999999093663</v>
      </c>
      <c r="C69" s="34"/>
      <c r="D69" s="34"/>
      <c r="E69" s="34"/>
      <c r="F69" s="34"/>
      <c r="G69" s="22"/>
    </row>
    <row r="70" spans="1:7" ht="15.75" thickBot="1" x14ac:dyDescent="0.3">
      <c r="A70" s="8" t="s">
        <v>31</v>
      </c>
      <c r="B70" s="36">
        <f>(B18/B24)*100</f>
        <v>95.633183102140904</v>
      </c>
      <c r="C70" s="37"/>
      <c r="D70" s="37"/>
      <c r="E70" s="37"/>
      <c r="F70" s="37"/>
      <c r="G70" s="22"/>
    </row>
    <row r="71" spans="1:7" ht="15.75" thickTop="1" x14ac:dyDescent="0.25">
      <c r="A71" s="13"/>
      <c r="B71" s="13"/>
      <c r="C71" s="13"/>
      <c r="D71" s="13"/>
      <c r="E71" s="13"/>
      <c r="F71" s="13"/>
    </row>
    <row r="72" spans="1:7" x14ac:dyDescent="0.25">
      <c r="A72" s="3" t="s">
        <v>32</v>
      </c>
      <c r="B72" s="13"/>
      <c r="C72" s="13"/>
      <c r="D72" s="13"/>
      <c r="E72" s="13"/>
      <c r="F72" s="13"/>
    </row>
    <row r="73" spans="1:7" x14ac:dyDescent="0.25">
      <c r="A73" s="3" t="s">
        <v>87</v>
      </c>
    </row>
    <row r="74" spans="1:7" x14ac:dyDescent="0.25">
      <c r="A74" s="3" t="s">
        <v>88</v>
      </c>
    </row>
    <row r="75" spans="1:7" x14ac:dyDescent="0.25">
      <c r="A75" s="3" t="s">
        <v>65</v>
      </c>
      <c r="B75" s="28"/>
      <c r="C75" s="28"/>
      <c r="D75" s="28"/>
    </row>
    <row r="77" spans="1:7" x14ac:dyDescent="0.25">
      <c r="A77" s="3" t="s">
        <v>33</v>
      </c>
    </row>
    <row r="78" spans="1:7" x14ac:dyDescent="0.25">
      <c r="A78" s="3" t="s">
        <v>34</v>
      </c>
    </row>
    <row r="79" spans="1:7" x14ac:dyDescent="0.25">
      <c r="A79" s="3" t="s">
        <v>89</v>
      </c>
    </row>
    <row r="80" spans="1:7" x14ac:dyDescent="0.25">
      <c r="A80" s="29"/>
    </row>
    <row r="81" spans="1:1" x14ac:dyDescent="0.25">
      <c r="A81" s="3" t="s">
        <v>90</v>
      </c>
    </row>
    <row r="83" spans="1:1" x14ac:dyDescent="0.25">
      <c r="A83" s="4"/>
    </row>
  </sheetData>
  <mergeCells count="5">
    <mergeCell ref="A4:A5"/>
    <mergeCell ref="C4:F4"/>
    <mergeCell ref="C24:D24"/>
    <mergeCell ref="A2:F2"/>
    <mergeCell ref="B4:B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1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1.7109375" style="3" customWidth="1"/>
    <col min="2" max="6" width="15.7109375" style="3" customWidth="1"/>
    <col min="7" max="7" width="18.7109375" style="3" customWidth="1"/>
    <col min="8" max="16384" width="11.42578125" style="3"/>
  </cols>
  <sheetData>
    <row r="2" spans="1:8" ht="15.75" x14ac:dyDescent="0.25">
      <c r="A2" s="55" t="s">
        <v>112</v>
      </c>
      <c r="B2" s="55"/>
      <c r="C2" s="55"/>
      <c r="D2" s="55"/>
      <c r="E2" s="55"/>
      <c r="F2" s="55"/>
    </row>
    <row r="4" spans="1:8" ht="15" customHeight="1" x14ac:dyDescent="0.25">
      <c r="A4" s="50" t="s">
        <v>0</v>
      </c>
      <c r="B4" s="52" t="s">
        <v>1</v>
      </c>
      <c r="C4" s="56" t="s">
        <v>2</v>
      </c>
      <c r="D4" s="56"/>
      <c r="E4" s="56"/>
      <c r="F4" s="56"/>
    </row>
    <row r="5" spans="1:8" ht="30.75" thickBot="1" x14ac:dyDescent="0.3">
      <c r="A5" s="51"/>
      <c r="B5" s="53"/>
      <c r="C5" s="21" t="s">
        <v>36</v>
      </c>
      <c r="D5" s="21" t="s">
        <v>37</v>
      </c>
      <c r="E5" s="21" t="s">
        <v>78</v>
      </c>
      <c r="F5" s="21" t="s">
        <v>48</v>
      </c>
    </row>
    <row r="6" spans="1:8" ht="15.75" thickTop="1" x14ac:dyDescent="0.25"/>
    <row r="7" spans="1:8" x14ac:dyDescent="0.25">
      <c r="A7" s="6" t="s">
        <v>3</v>
      </c>
    </row>
    <row r="9" spans="1:8" x14ac:dyDescent="0.25">
      <c r="A9" s="3" t="s">
        <v>35</v>
      </c>
    </row>
    <row r="10" spans="1:8" x14ac:dyDescent="0.25">
      <c r="A10" s="1" t="s">
        <v>70</v>
      </c>
      <c r="B10" s="9">
        <f>SUM(C10:F10)</f>
        <v>13998.555555555557</v>
      </c>
      <c r="C10" s="2">
        <f>(+'I Trimestre'!C10+'II Trimestre'!C10+'III Trimestre'!C10)/3</f>
        <v>1697.7777777777776</v>
      </c>
      <c r="D10" s="2">
        <f>(+'I Trimestre'!D10+'II Trimestre'!D10+'III Trimestre'!D10)/3</f>
        <v>1125.7777777777778</v>
      </c>
      <c r="E10" s="2">
        <f>(+'I Trimestre'!E10+'II Trimestre'!E10+'III Trimestre'!E10)/3</f>
        <v>10764.333333333334</v>
      </c>
      <c r="F10" s="2">
        <f>+'I Trimestre'!F10+'II Trimestre'!F10+'III Trimestre'!F10/3</f>
        <v>410.66666666666663</v>
      </c>
      <c r="G10" s="2"/>
      <c r="H10" s="22"/>
    </row>
    <row r="11" spans="1:8" x14ac:dyDescent="0.25">
      <c r="A11" s="1" t="s">
        <v>113</v>
      </c>
      <c r="B11" s="9">
        <f t="shared" ref="B11:B13" si="0">SUM(C11:F11)</f>
        <v>16097.666666666666</v>
      </c>
      <c r="C11" s="2">
        <f>(+'I Trimestre'!C11+'II Trimestre'!C11+'III Trimestre'!C11)/3</f>
        <v>1829</v>
      </c>
      <c r="D11" s="2">
        <f>(+'I Trimestre'!D11+'II Trimestre'!D11+'III Trimestre'!D11)/3</f>
        <v>1284</v>
      </c>
      <c r="E11" s="2">
        <f>(+'I Trimestre'!E11+'II Trimestre'!E11+'III Trimestre'!E11)/3</f>
        <v>12454</v>
      </c>
      <c r="F11" s="2">
        <f>(+'I Trimestre'!F11+'II Trimestre'!F11+'III Trimestre'!F11)/3</f>
        <v>530.66666666666663</v>
      </c>
      <c r="G11" s="11"/>
      <c r="H11" s="22"/>
    </row>
    <row r="12" spans="1:8" x14ac:dyDescent="0.25">
      <c r="A12" s="1" t="s">
        <v>114</v>
      </c>
      <c r="B12" s="9">
        <f t="shared" si="0"/>
        <v>13798.111111111111</v>
      </c>
      <c r="C12" s="2">
        <f>(+'I Trimestre'!C12+'II Trimestre'!C12+'III Trimestre'!C12)/3</f>
        <v>1679.5555555555554</v>
      </c>
      <c r="D12" s="2">
        <f>(+'I Trimestre'!D12+'II Trimestre'!D12+'III Trimestre'!D12)/3</f>
        <v>1180.1111111111111</v>
      </c>
      <c r="E12" s="2">
        <f>(+'I Trimestre'!E12+'II Trimestre'!E12+'III Trimestre'!E12)/3</f>
        <v>9980.7777777777792</v>
      </c>
      <c r="F12" s="2">
        <f>+'I Trimestre'!F12+'II Trimestre'!F12+'III Trimestre'!F12/3</f>
        <v>957.66666666666663</v>
      </c>
      <c r="H12" s="22"/>
    </row>
    <row r="13" spans="1:8" x14ac:dyDescent="0.25">
      <c r="A13" s="1" t="s">
        <v>82</v>
      </c>
      <c r="B13" s="9">
        <f t="shared" si="0"/>
        <v>16168</v>
      </c>
      <c r="C13" s="2">
        <f>+'III Trimestre'!C13</f>
        <v>1829</v>
      </c>
      <c r="D13" s="2">
        <f>+'III Trimestre'!D13</f>
        <v>1284</v>
      </c>
      <c r="E13" s="2">
        <f>+'III Trimestre'!E13</f>
        <v>12454</v>
      </c>
      <c r="F13" s="2">
        <f>+'III Trimestre'!F13</f>
        <v>601</v>
      </c>
      <c r="G13" s="11"/>
      <c r="H13" s="22"/>
    </row>
    <row r="14" spans="1:8" x14ac:dyDescent="0.25">
      <c r="B14" s="49"/>
      <c r="G14" s="11"/>
    </row>
    <row r="15" spans="1:8" x14ac:dyDescent="0.25">
      <c r="A15" s="5" t="s">
        <v>4</v>
      </c>
      <c r="B15" s="49"/>
      <c r="G15" s="48"/>
    </row>
    <row r="16" spans="1:8" x14ac:dyDescent="0.25">
      <c r="A16" s="1" t="s">
        <v>70</v>
      </c>
      <c r="B16" s="9">
        <f>SUM(C16:F16)</f>
        <v>9620759744</v>
      </c>
      <c r="C16" s="2">
        <f>+'I Trimestre'!C16+'II Trimestre'!C16+'III Trimestre'!C16</f>
        <v>2551520803</v>
      </c>
      <c r="D16" s="2">
        <f>+'I Trimestre'!D16+'II Trimestre'!D16+'III Trimestre'!D16</f>
        <v>714143888</v>
      </c>
      <c r="E16" s="2">
        <f>+'I Trimestre'!E16+'II Trimestre'!E16+'III Trimestre'!E16</f>
        <v>5208670785</v>
      </c>
      <c r="F16" s="2">
        <f>+'I Trimestre'!F16+'II Trimestre'!F16+'III Trimestre'!F16</f>
        <v>1146424268</v>
      </c>
      <c r="H16" s="22"/>
    </row>
    <row r="17" spans="1:7" x14ac:dyDescent="0.25">
      <c r="A17" s="1" t="s">
        <v>113</v>
      </c>
      <c r="B17" s="9">
        <f>SUM(C17:F17)</f>
        <v>12209525039.49</v>
      </c>
      <c r="C17" s="2">
        <f>+'I Trimestre'!C17+'II Trimestre'!C17+'III Trimestre'!C17</f>
        <v>2945811177</v>
      </c>
      <c r="D17" s="2">
        <f>+'I Trimestre'!D17+'II Trimestre'!D17+'III Trimestre'!D17</f>
        <v>827201592</v>
      </c>
      <c r="E17" s="2">
        <f>+'I Trimestre'!E17+'II Trimestre'!E17+'III Trimestre'!E17</f>
        <v>5809712270.4899998</v>
      </c>
      <c r="F17" s="2">
        <f>+'I Trimestre'!F17+'II Trimestre'!F17+'III Trimestre'!F17</f>
        <v>2626800000</v>
      </c>
      <c r="G17" s="11"/>
    </row>
    <row r="18" spans="1:7" x14ac:dyDescent="0.25">
      <c r="A18" s="1" t="s">
        <v>114</v>
      </c>
      <c r="B18" s="9">
        <f>SUM(C18:F18)</f>
        <v>11602951834.535833</v>
      </c>
      <c r="C18" s="2">
        <f>+'I Trimestre'!C18+'II Trimestre'!C18+'III Trimestre'!C18</f>
        <v>2864027828</v>
      </c>
      <c r="D18" s="2">
        <f>+'I Trimestre'!D18+'II Trimestre'!D18+'III Trimestre'!D18</f>
        <v>1032390050.03</v>
      </c>
      <c r="E18" s="2">
        <f>+'I Trimestre'!E18+'II Trimestre'!E18+'III Trimestre'!E18</f>
        <v>5629936815.5058336</v>
      </c>
      <c r="F18" s="2">
        <f>+'I Trimestre'!F18+'II Trimestre'!F18+'III Trimestre'!F18</f>
        <v>2076597141</v>
      </c>
    </row>
    <row r="19" spans="1:7" x14ac:dyDescent="0.25">
      <c r="A19" s="1" t="s">
        <v>82</v>
      </c>
      <c r="B19" s="2">
        <f>SUM(C19:F19)</f>
        <v>17027756232.98</v>
      </c>
      <c r="C19" s="2">
        <f>+'III Trimestre'!C19</f>
        <v>3927748236</v>
      </c>
      <c r="D19" s="2">
        <f>+'III Trimestre'!D19</f>
        <v>1102935456</v>
      </c>
      <c r="E19" s="2">
        <f>+'III Trimestre'!E19</f>
        <v>8032672540.9799995</v>
      </c>
      <c r="F19" s="2">
        <f>+'III Trimestre'!F19</f>
        <v>3964400000</v>
      </c>
    </row>
    <row r="20" spans="1:7" x14ac:dyDescent="0.25">
      <c r="A20" s="1" t="s">
        <v>115</v>
      </c>
      <c r="B20" s="2">
        <f>SUM(C20:F20)</f>
        <v>11602951834.535833</v>
      </c>
      <c r="C20" s="2">
        <f>+C18</f>
        <v>2864027828</v>
      </c>
      <c r="D20" s="2">
        <f t="shared" ref="D20:F20" si="1">+D18</f>
        <v>1032390050.03</v>
      </c>
      <c r="E20" s="2">
        <f t="shared" si="1"/>
        <v>5629936815.5058336</v>
      </c>
      <c r="F20" s="2">
        <f t="shared" si="1"/>
        <v>2076597141</v>
      </c>
    </row>
    <row r="21" spans="1:7" x14ac:dyDescent="0.25">
      <c r="B21" s="2"/>
      <c r="C21" s="2"/>
      <c r="D21" s="2"/>
      <c r="E21" s="2"/>
      <c r="F21" s="2"/>
      <c r="G21" s="11"/>
    </row>
    <row r="22" spans="1:7" x14ac:dyDescent="0.25">
      <c r="A22" s="5" t="s">
        <v>5</v>
      </c>
      <c r="B22" s="2"/>
      <c r="C22" s="2"/>
      <c r="D22" s="2"/>
      <c r="E22" s="2"/>
      <c r="F22" s="2"/>
    </row>
    <row r="23" spans="1:7" x14ac:dyDescent="0.25">
      <c r="A23" s="1" t="s">
        <v>113</v>
      </c>
      <c r="B23" s="2">
        <f>B17</f>
        <v>12209525039.49</v>
      </c>
      <c r="C23" s="2"/>
      <c r="D23" s="2"/>
      <c r="E23" s="2"/>
      <c r="F23" s="2"/>
      <c r="G23" s="22"/>
    </row>
    <row r="24" spans="1:7" x14ac:dyDescent="0.25">
      <c r="A24" s="1" t="s">
        <v>114</v>
      </c>
      <c r="B24" s="2">
        <f>'I Trimestre'!B24+'II Trimestre'!B24+'III Trimestre'!B24</f>
        <v>12209525038.73</v>
      </c>
      <c r="C24" s="57"/>
      <c r="D24" s="57"/>
      <c r="E24" s="2"/>
      <c r="F24" s="2"/>
      <c r="G24" s="22"/>
    </row>
    <row r="26" spans="1:7" x14ac:dyDescent="0.25">
      <c r="A26" s="3" t="s">
        <v>6</v>
      </c>
    </row>
    <row r="27" spans="1:7" x14ac:dyDescent="0.25">
      <c r="A27" s="1" t="s">
        <v>71</v>
      </c>
      <c r="B27" s="16">
        <v>1.0123857379999999</v>
      </c>
      <c r="C27" s="16">
        <v>1.0123857379999999</v>
      </c>
      <c r="D27" s="16">
        <v>1.0123857379999999</v>
      </c>
      <c r="E27" s="16">
        <v>1.0123857379999999</v>
      </c>
      <c r="F27" s="16">
        <v>1.0123857379999999</v>
      </c>
    </row>
    <row r="28" spans="1:7" x14ac:dyDescent="0.25">
      <c r="A28" s="1" t="s">
        <v>116</v>
      </c>
      <c r="B28" s="16">
        <v>1.0303325644000001</v>
      </c>
      <c r="C28" s="16">
        <v>1.0303325644000001</v>
      </c>
      <c r="D28" s="16">
        <v>1.0303325644000001</v>
      </c>
      <c r="E28" s="16">
        <v>1.0303325644000001</v>
      </c>
      <c r="F28" s="16">
        <v>1.0303325644000001</v>
      </c>
    </row>
    <row r="29" spans="1:7" x14ac:dyDescent="0.25">
      <c r="A29" s="1" t="s">
        <v>7</v>
      </c>
      <c r="B29" s="2">
        <v>150671</v>
      </c>
      <c r="C29" s="2"/>
      <c r="D29" s="2"/>
      <c r="E29" s="2"/>
      <c r="F29" s="2"/>
    </row>
    <row r="31" spans="1:7" x14ac:dyDescent="0.25">
      <c r="A31" s="6" t="s">
        <v>8</v>
      </c>
    </row>
    <row r="32" spans="1:7" x14ac:dyDescent="0.25">
      <c r="A32" s="3" t="s">
        <v>72</v>
      </c>
      <c r="B32" s="30">
        <f>B16/B27</f>
        <v>9503057365.2747383</v>
      </c>
      <c r="C32" s="30">
        <f>C16/C27</f>
        <v>2520304966.0108905</v>
      </c>
      <c r="D32" s="30">
        <f>D16/D27</f>
        <v>705406902.91707778</v>
      </c>
      <c r="E32" s="30">
        <f>E16/E27</f>
        <v>5144946821.6431952</v>
      </c>
      <c r="F32" s="30">
        <f>F16/F27</f>
        <v>1132398674.7035744</v>
      </c>
    </row>
    <row r="33" spans="1:8" x14ac:dyDescent="0.25">
      <c r="A33" s="3" t="s">
        <v>117</v>
      </c>
      <c r="B33" s="30">
        <f>B18/B28</f>
        <v>11261365733.201544</v>
      </c>
      <c r="C33" s="30">
        <f>C18/C28</f>
        <v>2779712033.7236228</v>
      </c>
      <c r="D33" s="30">
        <f>D18/D28</f>
        <v>1001996914.104329</v>
      </c>
      <c r="E33" s="30">
        <f>E18/E28</f>
        <v>5464193805.0209541</v>
      </c>
      <c r="F33" s="30">
        <f>F18/F28</f>
        <v>2015462980.3526375</v>
      </c>
    </row>
    <row r="34" spans="1:8" x14ac:dyDescent="0.25">
      <c r="A34" s="3" t="s">
        <v>73</v>
      </c>
      <c r="B34" s="31">
        <f>$B$32/(B10)</f>
        <v>678859.85290127271</v>
      </c>
      <c r="C34" s="31">
        <f>C32/(C10)</f>
        <v>1484472.8202943727</v>
      </c>
      <c r="D34" s="31">
        <f>D32/(D10)</f>
        <v>626595.15655879385</v>
      </c>
      <c r="E34" s="31">
        <f>E32/(E10)</f>
        <v>477962.42111075419</v>
      </c>
      <c r="F34" s="31">
        <f>F32/(F10)</f>
        <v>2757464.305284678</v>
      </c>
      <c r="H34" s="22"/>
    </row>
    <row r="35" spans="1:8" x14ac:dyDescent="0.25">
      <c r="A35" s="3" t="s">
        <v>118</v>
      </c>
      <c r="B35" s="31">
        <f>$B$33/(B12)</f>
        <v>816152.70688269648</v>
      </c>
      <c r="C35" s="31">
        <f>C33/(C12)</f>
        <v>1655028.3344477776</v>
      </c>
      <c r="D35" s="31">
        <f>D33/(D12)</f>
        <v>849069.97711505147</v>
      </c>
      <c r="E35" s="31">
        <f>E33/(E12)</f>
        <v>547471.74285224464</v>
      </c>
      <c r="F35" s="31">
        <f>F33/(F12)</f>
        <v>2104555.8444336625</v>
      </c>
      <c r="H35" s="22"/>
    </row>
    <row r="36" spans="1:8" x14ac:dyDescent="0.25">
      <c r="B36" s="32"/>
      <c r="C36" s="32"/>
      <c r="D36" s="32"/>
      <c r="E36" s="32"/>
      <c r="F36" s="32"/>
    </row>
    <row r="37" spans="1:8" x14ac:dyDescent="0.25">
      <c r="A37" s="6" t="s">
        <v>9</v>
      </c>
      <c r="B37" s="32"/>
      <c r="C37" s="32"/>
      <c r="D37" s="32"/>
      <c r="E37" s="32"/>
      <c r="F37" s="32"/>
    </row>
    <row r="38" spans="1:8" x14ac:dyDescent="0.25">
      <c r="B38" s="32"/>
      <c r="C38" s="32"/>
      <c r="D38" s="32"/>
      <c r="E38" s="32"/>
      <c r="F38" s="32"/>
    </row>
    <row r="39" spans="1:8" x14ac:dyDescent="0.25">
      <c r="A39" s="3" t="s">
        <v>10</v>
      </c>
      <c r="B39" s="32"/>
      <c r="C39" s="32"/>
      <c r="D39" s="32"/>
      <c r="E39" s="32"/>
      <c r="F39" s="32"/>
    </row>
    <row r="40" spans="1:8" x14ac:dyDescent="0.25">
      <c r="A40" s="3" t="s">
        <v>11</v>
      </c>
      <c r="B40" s="33">
        <f>B11/B29*100</f>
        <v>10.683984752650918</v>
      </c>
      <c r="C40" s="34"/>
      <c r="D40" s="34"/>
      <c r="E40" s="34"/>
      <c r="F40" s="34"/>
    </row>
    <row r="41" spans="1:8" x14ac:dyDescent="0.25">
      <c r="A41" s="3" t="s">
        <v>12</v>
      </c>
      <c r="B41" s="33">
        <f>B12/B29*100</f>
        <v>9.1577749607496539</v>
      </c>
      <c r="C41" s="34"/>
      <c r="D41" s="34"/>
      <c r="E41" s="34"/>
      <c r="F41" s="34"/>
    </row>
    <row r="42" spans="1:8" x14ac:dyDescent="0.25">
      <c r="B42" s="32"/>
      <c r="C42" s="32"/>
      <c r="D42" s="32"/>
      <c r="E42" s="32"/>
      <c r="F42" s="32"/>
    </row>
    <row r="43" spans="1:8" x14ac:dyDescent="0.25">
      <c r="A43" s="3" t="s">
        <v>13</v>
      </c>
      <c r="B43" s="32"/>
      <c r="C43" s="32"/>
      <c r="D43" s="32"/>
      <c r="E43" s="32"/>
      <c r="F43" s="32"/>
    </row>
    <row r="44" spans="1:8" x14ac:dyDescent="0.25">
      <c r="A44" s="3" t="s">
        <v>14</v>
      </c>
      <c r="B44" s="34">
        <f>B12/B11*100</f>
        <v>85.714975945444138</v>
      </c>
      <c r="C44" s="34">
        <f>C12/C11*100</f>
        <v>91.829171982261087</v>
      </c>
      <c r="D44" s="34">
        <f>D12/D11*100</f>
        <v>91.908965039806162</v>
      </c>
      <c r="E44" s="34">
        <f>E12/E11*100</f>
        <v>80.141141623396322</v>
      </c>
      <c r="F44" s="34">
        <f>F12/F11*100</f>
        <v>180.46482412060303</v>
      </c>
    </row>
    <row r="45" spans="1:8" x14ac:dyDescent="0.25">
      <c r="A45" s="3" t="s">
        <v>15</v>
      </c>
      <c r="B45" s="34">
        <f>B18/B17*100</f>
        <v>95.031967230565556</v>
      </c>
      <c r="C45" s="34">
        <f>C18/C17*100</f>
        <v>97.223740963489462</v>
      </c>
      <c r="D45" s="34">
        <f>D18/D17*100</f>
        <v>124.80513335738357</v>
      </c>
      <c r="E45" s="34">
        <f>E18/E17*100</f>
        <v>96.905604845573464</v>
      </c>
      <c r="F45" s="34">
        <f>F18/F17*100</f>
        <v>79.054253883051615</v>
      </c>
    </row>
    <row r="46" spans="1:8" x14ac:dyDescent="0.25">
      <c r="A46" s="3" t="s">
        <v>16</v>
      </c>
      <c r="B46" s="34">
        <f>AVERAGE(B44:B45)</f>
        <v>90.373471588004847</v>
      </c>
      <c r="C46" s="34">
        <f>AVERAGE(C44:C45)</f>
        <v>94.526456472875282</v>
      </c>
      <c r="D46" s="34">
        <f>AVERAGE(D44:D45)</f>
        <v>108.35704919859486</v>
      </c>
      <c r="E46" s="34">
        <f>AVERAGE(E44:E45)</f>
        <v>88.523373234484893</v>
      </c>
      <c r="F46" s="34">
        <f>AVERAGE(F44:F45)</f>
        <v>129.75953900182731</v>
      </c>
    </row>
    <row r="47" spans="1:8" x14ac:dyDescent="0.25">
      <c r="B47" s="34"/>
      <c r="C47" s="34"/>
      <c r="D47" s="34"/>
      <c r="E47" s="34"/>
      <c r="F47" s="34"/>
    </row>
    <row r="48" spans="1:8" x14ac:dyDescent="0.25">
      <c r="A48" s="3" t="s">
        <v>17</v>
      </c>
      <c r="B48" s="32"/>
      <c r="C48" s="32"/>
      <c r="D48" s="32"/>
      <c r="E48" s="32"/>
      <c r="F48" s="32"/>
    </row>
    <row r="49" spans="1:7" x14ac:dyDescent="0.25">
      <c r="A49" s="3" t="s">
        <v>18</v>
      </c>
      <c r="B49" s="46">
        <f>(B12/B13)*100</f>
        <v>85.342102369564017</v>
      </c>
      <c r="C49" s="46">
        <f t="shared" ref="C49:F49" si="2">(C12/C13)*100</f>
        <v>91.829171982261087</v>
      </c>
      <c r="D49" s="46">
        <f t="shared" si="2"/>
        <v>91.908965039806162</v>
      </c>
      <c r="E49" s="46">
        <f t="shared" si="2"/>
        <v>80.141141623396322</v>
      </c>
      <c r="F49" s="46">
        <f t="shared" si="2"/>
        <v>159.3455352190793</v>
      </c>
      <c r="G49" s="22"/>
    </row>
    <row r="50" spans="1:7" x14ac:dyDescent="0.25">
      <c r="A50" s="3" t="s">
        <v>19</v>
      </c>
      <c r="B50" s="34">
        <f>B18/B19*100</f>
        <v>68.141402048396714</v>
      </c>
      <c r="C50" s="34">
        <f>C18/C19*100</f>
        <v>72.917805722617089</v>
      </c>
      <c r="D50" s="34">
        <f>D18/D19*100</f>
        <v>93.603850018037676</v>
      </c>
      <c r="E50" s="34">
        <f>E18/E19*100</f>
        <v>70.087966200337249</v>
      </c>
      <c r="F50" s="34">
        <f>F18/F19*100</f>
        <v>52.381120497427105</v>
      </c>
    </row>
    <row r="51" spans="1:7" x14ac:dyDescent="0.25">
      <c r="A51" s="3" t="s">
        <v>20</v>
      </c>
      <c r="B51" s="34">
        <f>(B49+B50)/2</f>
        <v>76.741752208980358</v>
      </c>
      <c r="C51" s="34">
        <f>(C49+C50)/2</f>
        <v>82.373488852439095</v>
      </c>
      <c r="D51" s="34">
        <f>(D49+D50)/2</f>
        <v>92.756407528921926</v>
      </c>
      <c r="E51" s="34">
        <f>(E49+E50)/2</f>
        <v>75.114553911866778</v>
      </c>
      <c r="F51" s="34">
        <f>(F49+F50)/2</f>
        <v>105.8633278582532</v>
      </c>
    </row>
    <row r="52" spans="1:7" x14ac:dyDescent="0.25">
      <c r="B52" s="32"/>
      <c r="C52" s="32"/>
      <c r="D52" s="32"/>
      <c r="E52" s="32"/>
      <c r="F52" s="32"/>
    </row>
    <row r="53" spans="1:7" x14ac:dyDescent="0.25">
      <c r="A53" s="3" t="s">
        <v>21</v>
      </c>
      <c r="B53" s="32"/>
      <c r="C53" s="32"/>
      <c r="D53" s="32"/>
      <c r="E53" s="32"/>
      <c r="F53" s="32"/>
    </row>
    <row r="54" spans="1:7" x14ac:dyDescent="0.25">
      <c r="A54" s="3" t="s">
        <v>22</v>
      </c>
      <c r="B54" s="33">
        <f>B20/B18*100</f>
        <v>100</v>
      </c>
      <c r="C54" s="34"/>
      <c r="D54" s="34"/>
      <c r="E54" s="34"/>
      <c r="F54" s="34"/>
    </row>
    <row r="55" spans="1:7" x14ac:dyDescent="0.25">
      <c r="B55" s="32"/>
      <c r="C55" s="32"/>
      <c r="D55" s="32"/>
      <c r="E55" s="32"/>
      <c r="F55" s="32"/>
    </row>
    <row r="56" spans="1:7" x14ac:dyDescent="0.25">
      <c r="A56" s="3" t="s">
        <v>23</v>
      </c>
      <c r="B56" s="32"/>
      <c r="C56" s="32"/>
      <c r="D56" s="32"/>
      <c r="E56" s="32"/>
      <c r="F56" s="32"/>
    </row>
    <row r="57" spans="1:7" x14ac:dyDescent="0.25">
      <c r="A57" s="3" t="s">
        <v>24</v>
      </c>
      <c r="B57" s="34">
        <f>((B12/B10)-1)*100</f>
        <v>-1.431893766817216</v>
      </c>
      <c r="C57" s="34">
        <f>((C12/C10)-1)*100</f>
        <v>-1.0732984293193693</v>
      </c>
      <c r="D57" s="34">
        <f>((D12/D10)-1)*100</f>
        <v>4.8262929332806959</v>
      </c>
      <c r="E57" s="34">
        <f>((E12/E10)-1)*100</f>
        <v>-7.2791833111406916</v>
      </c>
      <c r="F57" s="34">
        <f>((F12/F10)-1)*100</f>
        <v>133.19805194805195</v>
      </c>
    </row>
    <row r="58" spans="1:7" x14ac:dyDescent="0.25">
      <c r="A58" s="3" t="s">
        <v>25</v>
      </c>
      <c r="B58" s="34">
        <f>((B33/B32)-1)*100</f>
        <v>18.502554497375414</v>
      </c>
      <c r="C58" s="34">
        <f>((C33/C32)-1)*100</f>
        <v>10.292685655550592</v>
      </c>
      <c r="D58" s="34">
        <f>((D33/D32)-1)*100</f>
        <v>42.045237998204854</v>
      </c>
      <c r="E58" s="34">
        <f>((E33/E32)-1)*100</f>
        <v>6.2050589528891864</v>
      </c>
      <c r="F58" s="34">
        <f>((F33/F32)-1)*100</f>
        <v>77.981750188838845</v>
      </c>
      <c r="G58" s="7"/>
    </row>
    <row r="59" spans="1:7" x14ac:dyDescent="0.25">
      <c r="A59" s="3" t="s">
        <v>26</v>
      </c>
      <c r="B59" s="34">
        <f>((B35/B34)-1)*100</f>
        <v>20.224034960186454</v>
      </c>
      <c r="C59" s="34">
        <f>((C35/C34)-1)*100</f>
        <v>11.489298545700798</v>
      </c>
      <c r="D59" s="34">
        <f>((D35/D34)-1)*100</f>
        <v>35.505352734941333</v>
      </c>
      <c r="E59" s="34">
        <f>((E35/E34)-1)*100</f>
        <v>14.542842422622936</v>
      </c>
      <c r="F59" s="34">
        <f>((F35/F34)-1)*100</f>
        <v>-23.677857211051368</v>
      </c>
    </row>
    <row r="60" spans="1:7" x14ac:dyDescent="0.25">
      <c r="B60" s="34"/>
      <c r="C60" s="34"/>
      <c r="D60" s="34"/>
      <c r="E60" s="34"/>
      <c r="F60" s="34"/>
    </row>
    <row r="61" spans="1:7" x14ac:dyDescent="0.25">
      <c r="A61" s="3" t="s">
        <v>27</v>
      </c>
      <c r="B61" s="32"/>
      <c r="C61" s="32"/>
      <c r="D61" s="32"/>
      <c r="E61" s="32"/>
      <c r="F61" s="32"/>
    </row>
    <row r="62" spans="1:7" x14ac:dyDescent="0.25">
      <c r="A62" s="3" t="s">
        <v>42</v>
      </c>
      <c r="B62" s="30">
        <f>B17/(B11*9)</f>
        <v>84273.946117035593</v>
      </c>
      <c r="C62" s="30">
        <f t="shared" ref="C62:F62" si="3">C17/(C11*9)</f>
        <v>178957</v>
      </c>
      <c r="D62" s="30">
        <f t="shared" si="3"/>
        <v>71582</v>
      </c>
      <c r="E62" s="30">
        <f t="shared" si="3"/>
        <v>51832.630930624699</v>
      </c>
      <c r="F62" s="30">
        <f t="shared" si="3"/>
        <v>550000</v>
      </c>
    </row>
    <row r="63" spans="1:7" x14ac:dyDescent="0.25">
      <c r="A63" s="3" t="s">
        <v>43</v>
      </c>
      <c r="B63" s="30">
        <f>B18/(B12*9)</f>
        <v>93434.301269383359</v>
      </c>
      <c r="C63" s="30">
        <f t="shared" ref="C63:F63" si="4">C18/(C12*9)</f>
        <v>189469.95422069333</v>
      </c>
      <c r="D63" s="30">
        <f t="shared" si="4"/>
        <v>97202.716319555591</v>
      </c>
      <c r="E63" s="30">
        <f t="shared" si="4"/>
        <v>62675.329416610068</v>
      </c>
      <c r="F63" s="30">
        <f t="shared" si="4"/>
        <v>240932.49112426036</v>
      </c>
    </row>
    <row r="64" spans="1:7" x14ac:dyDescent="0.25">
      <c r="A64" s="3" t="s">
        <v>28</v>
      </c>
      <c r="B64" s="30">
        <f>(B63/B62)*B46</f>
        <v>100.1968290340541</v>
      </c>
      <c r="C64" s="30">
        <f t="shared" ref="C64:F64" si="5">(C63/C62)*C46</f>
        <v>100.07947931938979</v>
      </c>
      <c r="D64" s="30">
        <f t="shared" si="5"/>
        <v>147.14033576143646</v>
      </c>
      <c r="E64" s="30">
        <f t="shared" si="5"/>
        <v>107.04128806363089</v>
      </c>
      <c r="F64" s="30">
        <f t="shared" si="5"/>
        <v>56.842343597901582</v>
      </c>
    </row>
    <row r="65" spans="1:8" x14ac:dyDescent="0.25">
      <c r="A65" s="3" t="s">
        <v>44</v>
      </c>
      <c r="B65" s="30">
        <f>B17/B11</f>
        <v>758465.51505332033</v>
      </c>
      <c r="C65" s="30">
        <f t="shared" ref="C65:F66" si="6">C17/C11</f>
        <v>1610613</v>
      </c>
      <c r="D65" s="30">
        <f t="shared" si="6"/>
        <v>644238</v>
      </c>
      <c r="E65" s="30">
        <f t="shared" si="6"/>
        <v>466493.67837562226</v>
      </c>
      <c r="F65" s="30">
        <f t="shared" si="6"/>
        <v>4950000</v>
      </c>
    </row>
    <row r="66" spans="1:8" x14ac:dyDescent="0.25">
      <c r="A66" s="3" t="s">
        <v>45</v>
      </c>
      <c r="B66" s="30">
        <f>B18/B12</f>
        <v>840908.71142445016</v>
      </c>
      <c r="C66" s="30">
        <f t="shared" si="6"/>
        <v>1705229.5879862399</v>
      </c>
      <c r="D66" s="30">
        <f t="shared" si="6"/>
        <v>874824.44687600038</v>
      </c>
      <c r="E66" s="30">
        <f t="shared" si="6"/>
        <v>564077.96474949061</v>
      </c>
      <c r="F66" s="30">
        <f t="shared" si="6"/>
        <v>2168392.4201183431</v>
      </c>
    </row>
    <row r="67" spans="1:8" x14ac:dyDescent="0.25">
      <c r="B67" s="34"/>
      <c r="C67" s="34"/>
      <c r="D67" s="34"/>
      <c r="E67" s="34"/>
      <c r="F67" s="34"/>
    </row>
    <row r="68" spans="1:8" x14ac:dyDescent="0.25">
      <c r="A68" s="3" t="s">
        <v>29</v>
      </c>
      <c r="B68" s="34"/>
      <c r="C68" s="34"/>
      <c r="D68" s="34"/>
      <c r="E68" s="34"/>
      <c r="F68" s="34"/>
    </row>
    <row r="69" spans="1:8" x14ac:dyDescent="0.25">
      <c r="A69" s="3" t="s">
        <v>30</v>
      </c>
      <c r="B69" s="35">
        <f>(B24/B23)*100</f>
        <v>99.999999993775347</v>
      </c>
      <c r="C69" s="34"/>
      <c r="D69" s="34"/>
      <c r="E69" s="34"/>
      <c r="F69" s="34"/>
      <c r="G69" s="22"/>
    </row>
    <row r="70" spans="1:8" ht="15.75" thickBot="1" x14ac:dyDescent="0.3">
      <c r="A70" s="8" t="s">
        <v>31</v>
      </c>
      <c r="B70" s="12">
        <f>(B18/B24)*100</f>
        <v>95.031967236480966</v>
      </c>
      <c r="C70" s="8"/>
      <c r="D70" s="8"/>
      <c r="E70" s="8"/>
      <c r="F70" s="8"/>
      <c r="G70" s="22"/>
    </row>
    <row r="71" spans="1:8" ht="15.75" thickTop="1" x14ac:dyDescent="0.25">
      <c r="A71" s="13"/>
      <c r="B71" s="13"/>
      <c r="C71" s="13"/>
      <c r="D71" s="13"/>
      <c r="E71" s="13"/>
      <c r="F71" s="13"/>
    </row>
    <row r="72" spans="1:8" x14ac:dyDescent="0.25">
      <c r="A72" s="3" t="s">
        <v>32</v>
      </c>
      <c r="B72" s="13"/>
      <c r="C72" s="13"/>
      <c r="D72" s="13"/>
      <c r="E72" s="13"/>
      <c r="F72" s="13"/>
      <c r="G72" s="13"/>
      <c r="H72" s="13"/>
    </row>
    <row r="73" spans="1:8" x14ac:dyDescent="0.25">
      <c r="A73" s="3" t="s">
        <v>87</v>
      </c>
    </row>
    <row r="74" spans="1:8" x14ac:dyDescent="0.25">
      <c r="A74" s="3" t="s">
        <v>88</v>
      </c>
    </row>
    <row r="75" spans="1:8" x14ac:dyDescent="0.25">
      <c r="A75" s="3" t="s">
        <v>65</v>
      </c>
      <c r="B75" s="28"/>
      <c r="C75" s="28"/>
      <c r="D75" s="28"/>
    </row>
    <row r="77" spans="1:8" x14ac:dyDescent="0.25">
      <c r="A77" s="3" t="s">
        <v>33</v>
      </c>
    </row>
    <row r="78" spans="1:8" x14ac:dyDescent="0.25">
      <c r="A78" s="3" t="s">
        <v>34</v>
      </c>
    </row>
    <row r="79" spans="1:8" x14ac:dyDescent="0.25">
      <c r="A79" s="3" t="s">
        <v>89</v>
      </c>
    </row>
    <row r="80" spans="1:8" x14ac:dyDescent="0.25">
      <c r="A80" s="29"/>
    </row>
    <row r="81" spans="1:1" x14ac:dyDescent="0.25">
      <c r="A81" s="3" t="s">
        <v>90</v>
      </c>
    </row>
  </sheetData>
  <mergeCells count="5">
    <mergeCell ref="A4:A5"/>
    <mergeCell ref="C4:F4"/>
    <mergeCell ref="C24:D24"/>
    <mergeCell ref="A2:F2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zoomScale="80" zoomScaleNormal="80" workbookViewId="0">
      <selection activeCell="A4" sqref="A4:A5"/>
    </sheetView>
  </sheetViews>
  <sheetFormatPr baseColWidth="10" defaultColWidth="11.42578125" defaultRowHeight="15" x14ac:dyDescent="0.25"/>
  <cols>
    <col min="1" max="1" width="60.85546875" style="3" customWidth="1"/>
    <col min="2" max="6" width="15.7109375" style="3" customWidth="1"/>
    <col min="7" max="7" width="18.7109375" style="3" customWidth="1"/>
    <col min="8" max="16384" width="11.42578125" style="3"/>
  </cols>
  <sheetData>
    <row r="2" spans="1:8" ht="15.75" x14ac:dyDescent="0.25">
      <c r="A2" s="55" t="s">
        <v>119</v>
      </c>
      <c r="B2" s="55"/>
      <c r="C2" s="55"/>
      <c r="D2" s="55"/>
      <c r="E2" s="55"/>
      <c r="F2" s="55"/>
    </row>
    <row r="4" spans="1:8" ht="15" customHeight="1" x14ac:dyDescent="0.25">
      <c r="A4" s="50" t="s">
        <v>0</v>
      </c>
      <c r="B4" s="52" t="s">
        <v>1</v>
      </c>
      <c r="C4" s="56" t="s">
        <v>2</v>
      </c>
      <c r="D4" s="56"/>
      <c r="E4" s="56"/>
      <c r="F4" s="56"/>
    </row>
    <row r="5" spans="1:8" ht="30.75" thickBot="1" x14ac:dyDescent="0.3">
      <c r="A5" s="51"/>
      <c r="B5" s="53"/>
      <c r="C5" s="21" t="s">
        <v>36</v>
      </c>
      <c r="D5" s="21" t="s">
        <v>37</v>
      </c>
      <c r="E5" s="21" t="s">
        <v>78</v>
      </c>
      <c r="F5" s="21" t="s">
        <v>48</v>
      </c>
    </row>
    <row r="6" spans="1:8" ht="15.75" thickTop="1" x14ac:dyDescent="0.25"/>
    <row r="7" spans="1:8" x14ac:dyDescent="0.25">
      <c r="A7" s="6" t="s">
        <v>3</v>
      </c>
    </row>
    <row r="9" spans="1:8" x14ac:dyDescent="0.25">
      <c r="A9" s="3" t="s">
        <v>35</v>
      </c>
    </row>
    <row r="10" spans="1:8" x14ac:dyDescent="0.25">
      <c r="A10" s="1" t="s">
        <v>74</v>
      </c>
      <c r="B10" s="9">
        <f>SUM(C10:F10)</f>
        <v>14136.916666666668</v>
      </c>
      <c r="C10" s="2">
        <f>(+'I Trimestre'!C10+'II Trimestre'!C10+'III Trimestre'!C10+'IV Trimestre'!C10)/4</f>
        <v>1735.5833333333333</v>
      </c>
      <c r="D10" s="2">
        <f>(+'I Trimestre'!D10+'II Trimestre'!D10+'III Trimestre'!D10+'IV Trimestre'!D10)/4</f>
        <v>1115.8333333333335</v>
      </c>
      <c r="E10" s="2">
        <f>(+'I Trimestre'!E10+'II Trimestre'!E10+'III Trimestre'!E10+'IV Trimestre'!E10)/4</f>
        <v>11003.25</v>
      </c>
      <c r="F10" s="2">
        <f>(+'I Trimestre'!F10+'II Trimestre'!F10+'III Trimestre'!F10+'IV Trimestre'!F10)/4</f>
        <v>282.25</v>
      </c>
      <c r="G10" s="2"/>
      <c r="H10" s="22"/>
    </row>
    <row r="11" spans="1:8" x14ac:dyDescent="0.25">
      <c r="A11" s="1" t="s">
        <v>120</v>
      </c>
      <c r="B11" s="9">
        <f t="shared" ref="B11:B13" si="0">SUM(C11:F11)</f>
        <v>16319.25</v>
      </c>
      <c r="C11" s="2">
        <f>(+'I Trimestre'!C11+'II Trimestre'!C11+'III Trimestre'!C11+'IV Trimestre'!C11)/4</f>
        <v>1829</v>
      </c>
      <c r="D11" s="2">
        <f>(+'I Trimestre'!D11+'II Trimestre'!D11+'III Trimestre'!D11+'IV Trimestre'!D11)/4</f>
        <v>1284</v>
      </c>
      <c r="E11" s="2">
        <f>(+'I Trimestre'!E11+'II Trimestre'!E11+'III Trimestre'!E11+'IV Trimestre'!E11)/4</f>
        <v>12454</v>
      </c>
      <c r="F11" s="2">
        <f>(+'I Trimestre'!F11+'II Trimestre'!F11+'III Trimestre'!F11+'IV Trimestre'!F11)/4</f>
        <v>752.25</v>
      </c>
      <c r="G11" s="11"/>
      <c r="H11" s="22"/>
    </row>
    <row r="12" spans="1:8" x14ac:dyDescent="0.25">
      <c r="A12" s="1" t="s">
        <v>121</v>
      </c>
      <c r="B12" s="9">
        <f t="shared" si="0"/>
        <v>13736</v>
      </c>
      <c r="C12" s="2">
        <f>(+'I Trimestre'!C12+'II Trimestre'!C12+'III Trimestre'!C12+'IV Trimestre'!C12)/4</f>
        <v>1812.583333333333</v>
      </c>
      <c r="D12" s="2">
        <f>(+'I Trimestre'!D12+'II Trimestre'!D12+'III Trimestre'!D12+'IV Trimestre'!D12)/4</f>
        <v>1182.8333333333333</v>
      </c>
      <c r="E12" s="2">
        <f>(+'I Trimestre'!E12+'II Trimestre'!E12+'III Trimestre'!E12+'IV Trimestre'!E12)/4</f>
        <v>10258.5</v>
      </c>
      <c r="F12" s="2">
        <f>(+'I Trimestre'!F12+'II Trimestre'!F12+'III Trimestre'!F12+'IV Trimestre'!F12)/4</f>
        <v>482.08333333333331</v>
      </c>
      <c r="H12" s="22"/>
    </row>
    <row r="13" spans="1:8" x14ac:dyDescent="0.25">
      <c r="A13" s="1" t="s">
        <v>82</v>
      </c>
      <c r="B13" s="9">
        <f t="shared" si="0"/>
        <v>16319</v>
      </c>
      <c r="C13" s="2">
        <f>+'IV Trimestre'!C13</f>
        <v>1829</v>
      </c>
      <c r="D13" s="2">
        <f>+'IV Trimestre'!D13</f>
        <v>1284</v>
      </c>
      <c r="E13" s="2">
        <f>+'IV Trimestre'!E13</f>
        <v>12454</v>
      </c>
      <c r="F13" s="2">
        <f>+'IV Trimestre'!F13</f>
        <v>752</v>
      </c>
      <c r="G13" s="11"/>
      <c r="H13" s="22"/>
    </row>
    <row r="14" spans="1:8" x14ac:dyDescent="0.25">
      <c r="B14" s="49"/>
      <c r="G14" s="11"/>
    </row>
    <row r="15" spans="1:8" x14ac:dyDescent="0.25">
      <c r="A15" s="5" t="s">
        <v>4</v>
      </c>
      <c r="B15" s="49"/>
      <c r="G15" s="48"/>
    </row>
    <row r="16" spans="1:8" x14ac:dyDescent="0.25">
      <c r="A16" s="1" t="s">
        <v>74</v>
      </c>
      <c r="B16" s="9">
        <f>SUM(C16:F16)</f>
        <v>14205673063.33</v>
      </c>
      <c r="C16" s="2">
        <f>+'I Trimestre'!C16+'II Trimestre'!C16+'III Trimestre'!C16+'IV Trimestre'!C16</f>
        <v>3529133883</v>
      </c>
      <c r="D16" s="2">
        <f>+'I Trimestre'!D16+'II Trimestre'!D16+'III Trimestre'!D16+'IV Trimestre'!D16</f>
        <v>943639792</v>
      </c>
      <c r="E16" s="2">
        <f>+'I Trimestre'!E16+'II Trimestre'!E16+'III Trimestre'!E16+'IV Trimestre'!E16</f>
        <v>7370898822.3299999</v>
      </c>
      <c r="F16" s="2">
        <f>+'I Trimestre'!F16+'II Trimestre'!F16+'III Trimestre'!F16+'IV Trimestre'!F16</f>
        <v>2362000566</v>
      </c>
      <c r="H16" s="22"/>
    </row>
    <row r="17" spans="1:8" x14ac:dyDescent="0.25">
      <c r="A17" s="1" t="s">
        <v>120</v>
      </c>
      <c r="B17" s="9">
        <f>SUM(C17:F17)</f>
        <v>18027656232.98</v>
      </c>
      <c r="C17" s="2">
        <f>+'I Trimestre'!C17+'II Trimestre'!C17+'III Trimestre'!C17+'IV Trimestre'!C17</f>
        <v>3927748236</v>
      </c>
      <c r="D17" s="2">
        <f>+'I Trimestre'!D17+'II Trimestre'!D17+'III Trimestre'!D17+'IV Trimestre'!D17</f>
        <v>1102935456</v>
      </c>
      <c r="E17" s="2">
        <f>+'I Trimestre'!E17+'II Trimestre'!E17+'III Trimestre'!E17+'IV Trimestre'!E17</f>
        <v>8032672540.9799995</v>
      </c>
      <c r="F17" s="2">
        <f>+'I Trimestre'!F17+'II Trimestre'!F17+'III Trimestre'!F17+'IV Trimestre'!F17</f>
        <v>4964300000</v>
      </c>
      <c r="G17" s="11"/>
    </row>
    <row r="18" spans="1:8" x14ac:dyDescent="0.25">
      <c r="A18" s="1" t="s">
        <v>121</v>
      </c>
      <c r="B18" s="9">
        <f>SUM(C18:F18)</f>
        <v>18440396572.655834</v>
      </c>
      <c r="C18" s="2">
        <f>+'I Trimestre'!C18+'II Trimestre'!C18+'III Trimestre'!C18+'IV Trimestre'!C18</f>
        <v>3929368141.6099997</v>
      </c>
      <c r="D18" s="2">
        <f>+'I Trimestre'!D18+'II Trimestre'!D18+'III Trimestre'!D18+'IV Trimestre'!D18</f>
        <v>1561857576.8400002</v>
      </c>
      <c r="E18" s="2">
        <f>+'I Trimestre'!E18+'II Trimestre'!E18+'III Trimestre'!E18+'IV Trimestre'!E18</f>
        <v>7995210572.1858339</v>
      </c>
      <c r="F18" s="2">
        <f>+'I Trimestre'!F18+'II Trimestre'!F18+'III Trimestre'!F18+'IV Trimestre'!F18</f>
        <v>4953960282.0200005</v>
      </c>
    </row>
    <row r="19" spans="1:8" x14ac:dyDescent="0.25">
      <c r="A19" s="1" t="s">
        <v>82</v>
      </c>
      <c r="B19" s="9">
        <f>SUM(C19:F19)</f>
        <v>18027656232.98</v>
      </c>
      <c r="C19" s="9">
        <f>+'IV Trimestre'!C19</f>
        <v>3927748236</v>
      </c>
      <c r="D19" s="2">
        <f>+'IV Trimestre'!D19</f>
        <v>1102935456</v>
      </c>
      <c r="E19" s="2">
        <f>+'IV Trimestre'!E19</f>
        <v>8032672540.9799995</v>
      </c>
      <c r="F19" s="2">
        <f>+'IV Trimestre'!F19</f>
        <v>4964300000</v>
      </c>
      <c r="H19" s="22"/>
    </row>
    <row r="20" spans="1:8" x14ac:dyDescent="0.25">
      <c r="A20" s="1" t="s">
        <v>122</v>
      </c>
      <c r="B20" s="2">
        <f>SUM(C20:F20)</f>
        <v>18440396572.655834</v>
      </c>
      <c r="C20" s="2">
        <f>+C18</f>
        <v>3929368141.6099997</v>
      </c>
      <c r="D20" s="2">
        <f t="shared" ref="D20:F20" si="1">+D18</f>
        <v>1561857576.8400002</v>
      </c>
      <c r="E20" s="2">
        <f t="shared" si="1"/>
        <v>7995210572.1858339</v>
      </c>
      <c r="F20" s="2">
        <f t="shared" si="1"/>
        <v>4953960282.0200005</v>
      </c>
    </row>
    <row r="21" spans="1:8" x14ac:dyDescent="0.25">
      <c r="B21" s="2"/>
      <c r="C21" s="2"/>
      <c r="D21" s="2"/>
      <c r="E21" s="2"/>
      <c r="F21" s="2"/>
      <c r="G21" s="11"/>
    </row>
    <row r="22" spans="1:8" x14ac:dyDescent="0.25">
      <c r="A22" s="5" t="s">
        <v>5</v>
      </c>
      <c r="B22" s="2"/>
      <c r="C22" s="2"/>
      <c r="D22" s="2"/>
      <c r="E22" s="2"/>
      <c r="F22" s="2"/>
    </row>
    <row r="23" spans="1:8" x14ac:dyDescent="0.25">
      <c r="A23" s="1" t="s">
        <v>120</v>
      </c>
      <c r="B23" s="2">
        <f>B17</f>
        <v>18027656232.98</v>
      </c>
      <c r="C23" s="2"/>
      <c r="D23" s="2"/>
      <c r="E23" s="2"/>
      <c r="F23" s="2"/>
      <c r="G23" s="22"/>
    </row>
    <row r="24" spans="1:8" x14ac:dyDescent="0.25">
      <c r="A24" s="1" t="s">
        <v>121</v>
      </c>
      <c r="B24" s="2">
        <f>'I Trimestre'!B24+'II Trimestre'!B24+'III Trimestre'!B24+'IV Trimestre'!B24</f>
        <v>18027593060.119999</v>
      </c>
      <c r="C24" s="57"/>
      <c r="D24" s="57"/>
      <c r="E24" s="2"/>
      <c r="F24" s="2"/>
      <c r="G24" s="22"/>
    </row>
    <row r="26" spans="1:8" x14ac:dyDescent="0.25">
      <c r="A26" s="3" t="s">
        <v>6</v>
      </c>
    </row>
    <row r="27" spans="1:8" x14ac:dyDescent="0.25">
      <c r="A27" s="1" t="s">
        <v>75</v>
      </c>
      <c r="B27" s="16">
        <v>1.0245</v>
      </c>
      <c r="C27" s="16">
        <v>1.0245</v>
      </c>
      <c r="D27" s="16">
        <v>1.0245</v>
      </c>
      <c r="E27" s="16">
        <v>1.0245</v>
      </c>
      <c r="F27" s="16">
        <v>1.0245</v>
      </c>
    </row>
    <row r="28" spans="1:8" x14ac:dyDescent="0.25">
      <c r="A28" s="1" t="s">
        <v>123</v>
      </c>
      <c r="B28" s="16">
        <v>1.0451999999999999</v>
      </c>
      <c r="C28" s="16">
        <v>1.0451999999999999</v>
      </c>
      <c r="D28" s="16">
        <v>1.0451999999999999</v>
      </c>
      <c r="E28" s="16">
        <v>1.0451999999999999</v>
      </c>
      <c r="F28" s="16">
        <v>1.0451999999999999</v>
      </c>
    </row>
    <row r="29" spans="1:8" x14ac:dyDescent="0.25">
      <c r="A29" s="1" t="s">
        <v>7</v>
      </c>
      <c r="B29" s="2">
        <v>150671</v>
      </c>
      <c r="C29" s="2"/>
      <c r="D29" s="2"/>
      <c r="E29" s="2"/>
      <c r="F29" s="2"/>
    </row>
    <row r="31" spans="1:8" x14ac:dyDescent="0.25">
      <c r="A31" s="6" t="s">
        <v>8</v>
      </c>
    </row>
    <row r="32" spans="1:8" x14ac:dyDescent="0.25">
      <c r="A32" s="3" t="s">
        <v>76</v>
      </c>
      <c r="B32" s="30">
        <f>B16/B27</f>
        <v>13865957114.036116</v>
      </c>
      <c r="C32" s="30">
        <f>C16/C27</f>
        <v>3444737806.734993</v>
      </c>
      <c r="D32" s="30">
        <f>D16/D27</f>
        <v>921073491.45924842</v>
      </c>
      <c r="E32" s="30">
        <f>E16/E27</f>
        <v>7194630378.0673504</v>
      </c>
      <c r="F32" s="30">
        <f>F16/F27</f>
        <v>2305515437.7745242</v>
      </c>
    </row>
    <row r="33" spans="1:8" x14ac:dyDescent="0.25">
      <c r="A33" s="3" t="s">
        <v>124</v>
      </c>
      <c r="B33" s="30">
        <f>B18/B28</f>
        <v>17642935871.274239</v>
      </c>
      <c r="C33" s="30">
        <f>C18/C28</f>
        <v>3759441390.7481823</v>
      </c>
      <c r="D33" s="30">
        <f>D18/D28</f>
        <v>1494314558.7830083</v>
      </c>
      <c r="E33" s="30">
        <f>E18/E28</f>
        <v>7649455197.2692642</v>
      </c>
      <c r="F33" s="30">
        <f>F18/F28</f>
        <v>4739724724.4737854</v>
      </c>
      <c r="G33" s="2"/>
    </row>
    <row r="34" spans="1:8" x14ac:dyDescent="0.25">
      <c r="A34" s="3" t="s">
        <v>77</v>
      </c>
      <c r="B34" s="31">
        <f>$B$32/(B10)</f>
        <v>980833.19304912887</v>
      </c>
      <c r="C34" s="31">
        <f>C32/(C10)</f>
        <v>1984772.3474729878</v>
      </c>
      <c r="D34" s="31">
        <f>D32/(D10)</f>
        <v>825457.94604264223</v>
      </c>
      <c r="E34" s="31">
        <f>E32/(E10)</f>
        <v>653864.11997067684</v>
      </c>
      <c r="F34" s="31">
        <f>F32/(F10)</f>
        <v>8168345.2179788277</v>
      </c>
      <c r="H34" s="22"/>
    </row>
    <row r="35" spans="1:8" x14ac:dyDescent="0.25">
      <c r="A35" s="3" t="s">
        <v>125</v>
      </c>
      <c r="B35" s="31">
        <f>$B$33/(B12)</f>
        <v>1284430.3924923004</v>
      </c>
      <c r="C35" s="31">
        <f>C33/(C12)</f>
        <v>2074079.2004495515</v>
      </c>
      <c r="D35" s="31">
        <f>D33/(D12)</f>
        <v>1263334.8390443921</v>
      </c>
      <c r="E35" s="31">
        <f>E33/(E12)</f>
        <v>745669.95148113894</v>
      </c>
      <c r="F35" s="31">
        <f>F33/(F12)</f>
        <v>9831753.9660648964</v>
      </c>
      <c r="H35" s="22"/>
    </row>
    <row r="36" spans="1:8" x14ac:dyDescent="0.25">
      <c r="B36" s="32"/>
      <c r="C36" s="32"/>
      <c r="D36" s="32"/>
      <c r="E36" s="32"/>
      <c r="F36" s="32"/>
    </row>
    <row r="37" spans="1:8" x14ac:dyDescent="0.25">
      <c r="A37" s="6" t="s">
        <v>9</v>
      </c>
      <c r="B37" s="32"/>
      <c r="C37" s="32"/>
      <c r="D37" s="32"/>
      <c r="E37" s="32"/>
      <c r="F37" s="32"/>
    </row>
    <row r="38" spans="1:8" x14ac:dyDescent="0.25">
      <c r="B38" s="32"/>
      <c r="C38" s="32"/>
      <c r="D38" s="32"/>
      <c r="E38" s="32"/>
      <c r="F38" s="32"/>
    </row>
    <row r="39" spans="1:8" x14ac:dyDescent="0.25">
      <c r="A39" s="3" t="s">
        <v>10</v>
      </c>
      <c r="B39" s="32"/>
      <c r="C39" s="32"/>
      <c r="D39" s="32"/>
      <c r="E39" s="32"/>
      <c r="F39" s="32"/>
    </row>
    <row r="40" spans="1:8" x14ac:dyDescent="0.25">
      <c r="A40" s="3" t="s">
        <v>11</v>
      </c>
      <c r="B40" s="33">
        <f>B11/B29*100</f>
        <v>10.83104910699471</v>
      </c>
      <c r="C40" s="34"/>
      <c r="D40" s="34"/>
      <c r="E40" s="34"/>
      <c r="F40" s="34"/>
    </row>
    <row r="41" spans="1:8" x14ac:dyDescent="0.25">
      <c r="A41" s="3" t="s">
        <v>12</v>
      </c>
      <c r="B41" s="33">
        <f>B12/B29*100</f>
        <v>9.1165519575764407</v>
      </c>
      <c r="C41" s="34"/>
      <c r="D41" s="34"/>
      <c r="E41" s="34"/>
      <c r="F41" s="34"/>
    </row>
    <row r="42" spans="1:8" x14ac:dyDescent="0.25">
      <c r="B42" s="32"/>
      <c r="C42" s="32"/>
      <c r="D42" s="32"/>
      <c r="E42" s="32"/>
      <c r="F42" s="32"/>
    </row>
    <row r="43" spans="1:8" x14ac:dyDescent="0.25">
      <c r="A43" s="3" t="s">
        <v>13</v>
      </c>
      <c r="B43" s="32"/>
      <c r="C43" s="32"/>
      <c r="D43" s="32"/>
      <c r="E43" s="32"/>
      <c r="F43" s="32"/>
    </row>
    <row r="44" spans="1:8" x14ac:dyDescent="0.25">
      <c r="A44" s="3" t="s">
        <v>14</v>
      </c>
      <c r="B44" s="34">
        <f>B12/B11*100</f>
        <v>84.170534797861421</v>
      </c>
      <c r="C44" s="34">
        <f>C12/C11*100</f>
        <v>99.102423911062502</v>
      </c>
      <c r="D44" s="34">
        <f>D12/D11*100</f>
        <v>92.120976116303211</v>
      </c>
      <c r="E44" s="34">
        <f>E12/E11*100</f>
        <v>82.371125742733255</v>
      </c>
      <c r="F44" s="34">
        <f>F12/F11*100</f>
        <v>64.085521214135369</v>
      </c>
    </row>
    <row r="45" spans="1:8" x14ac:dyDescent="0.25">
      <c r="A45" s="3" t="s">
        <v>15</v>
      </c>
      <c r="B45" s="34">
        <f>B18/B17*100</f>
        <v>102.28948419218669</v>
      </c>
      <c r="C45" s="34">
        <f>C18/C17*100</f>
        <v>100.04124260295384</v>
      </c>
      <c r="D45" s="34">
        <f>D18/D17*100</f>
        <v>141.60915476453775</v>
      </c>
      <c r="E45" s="34">
        <f>E18/E17*100</f>
        <v>99.533630076378103</v>
      </c>
      <c r="F45" s="34">
        <f>F18/F17*100</f>
        <v>99.791718510565445</v>
      </c>
    </row>
    <row r="46" spans="1:8" x14ac:dyDescent="0.25">
      <c r="A46" s="3" t="s">
        <v>16</v>
      </c>
      <c r="B46" s="34">
        <f>AVERAGE(B44:B45)</f>
        <v>93.230009495024063</v>
      </c>
      <c r="C46" s="34">
        <f>AVERAGE(C44:C45)</f>
        <v>99.571833257008166</v>
      </c>
      <c r="D46" s="34">
        <f>AVERAGE(D44:D45)</f>
        <v>116.86506544042048</v>
      </c>
      <c r="E46" s="34">
        <f>AVERAGE(E44:E45)</f>
        <v>90.952377909555679</v>
      </c>
      <c r="F46" s="34">
        <f>AVERAGE(F44:F45)</f>
        <v>81.938619862350407</v>
      </c>
    </row>
    <row r="47" spans="1:8" x14ac:dyDescent="0.25">
      <c r="B47" s="34"/>
      <c r="C47" s="34"/>
      <c r="D47" s="34"/>
      <c r="E47" s="34"/>
      <c r="F47" s="34"/>
    </row>
    <row r="48" spans="1:8" x14ac:dyDescent="0.25">
      <c r="A48" s="3" t="s">
        <v>17</v>
      </c>
      <c r="B48" s="32"/>
      <c r="C48" s="32"/>
      <c r="D48" s="32"/>
      <c r="E48" s="32"/>
      <c r="F48" s="32"/>
    </row>
    <row r="49" spans="1:7" x14ac:dyDescent="0.25">
      <c r="A49" s="3" t="s">
        <v>18</v>
      </c>
      <c r="B49" s="46">
        <f>(B12/B13)*100</f>
        <v>84.171824253937132</v>
      </c>
      <c r="C49" s="46">
        <f t="shared" ref="C49:F49" si="2">(C12/C13)*100</f>
        <v>99.102423911062502</v>
      </c>
      <c r="D49" s="46">
        <f t="shared" si="2"/>
        <v>92.120976116303211</v>
      </c>
      <c r="E49" s="46">
        <f t="shared" si="2"/>
        <v>82.371125742733255</v>
      </c>
      <c r="F49" s="46">
        <f t="shared" si="2"/>
        <v>64.106826241134755</v>
      </c>
      <c r="G49" s="22"/>
    </row>
    <row r="50" spans="1:7" x14ac:dyDescent="0.25">
      <c r="A50" s="3" t="s">
        <v>19</v>
      </c>
      <c r="B50" s="34">
        <f>B18/B19*100</f>
        <v>102.28948419218669</v>
      </c>
      <c r="C50" s="34">
        <f>C18/C19*100</f>
        <v>100.04124260295384</v>
      </c>
      <c r="D50" s="34">
        <f>D18/D19*100</f>
        <v>141.60915476453775</v>
      </c>
      <c r="E50" s="34">
        <f>E18/E19*100</f>
        <v>99.533630076378103</v>
      </c>
      <c r="F50" s="34">
        <f>F18/F19*100</f>
        <v>99.791718510565445</v>
      </c>
    </row>
    <row r="51" spans="1:7" x14ac:dyDescent="0.25">
      <c r="A51" s="3" t="s">
        <v>20</v>
      </c>
      <c r="B51" s="34">
        <f>(B49+B50)/2</f>
        <v>93.230654223061919</v>
      </c>
      <c r="C51" s="34">
        <f>(C49+C50)/2</f>
        <v>99.571833257008166</v>
      </c>
      <c r="D51" s="34">
        <f>(D49+D50)/2</f>
        <v>116.86506544042048</v>
      </c>
      <c r="E51" s="34">
        <f>(E49+E50)/2</f>
        <v>90.952377909555679</v>
      </c>
      <c r="F51" s="34">
        <f>(F49+F50)/2</f>
        <v>81.9492723758501</v>
      </c>
    </row>
    <row r="52" spans="1:7" x14ac:dyDescent="0.25">
      <c r="B52" s="32"/>
      <c r="C52" s="32"/>
      <c r="D52" s="32"/>
      <c r="E52" s="32"/>
      <c r="F52" s="32"/>
    </row>
    <row r="53" spans="1:7" x14ac:dyDescent="0.25">
      <c r="A53" s="3" t="s">
        <v>21</v>
      </c>
      <c r="B53" s="32"/>
      <c r="C53" s="34"/>
      <c r="D53" s="32"/>
      <c r="E53" s="32"/>
      <c r="F53" s="32"/>
    </row>
    <row r="54" spans="1:7" x14ac:dyDescent="0.25">
      <c r="A54" s="3" t="s">
        <v>22</v>
      </c>
      <c r="B54" s="33">
        <f>B20/B18*100</f>
        <v>100</v>
      </c>
      <c r="C54" s="34"/>
      <c r="D54" s="34"/>
      <c r="E54" s="34"/>
      <c r="F54" s="34"/>
    </row>
    <row r="55" spans="1:7" x14ac:dyDescent="0.25">
      <c r="B55" s="32"/>
      <c r="C55" s="32"/>
      <c r="D55" s="32"/>
      <c r="E55" s="32"/>
      <c r="F55" s="32"/>
    </row>
    <row r="56" spans="1:7" x14ac:dyDescent="0.25">
      <c r="A56" s="3" t="s">
        <v>23</v>
      </c>
      <c r="B56" s="32"/>
      <c r="C56" s="32"/>
      <c r="D56" s="32"/>
      <c r="E56" s="32"/>
      <c r="F56" s="32"/>
    </row>
    <row r="57" spans="1:7" x14ac:dyDescent="0.25">
      <c r="A57" s="3" t="s">
        <v>24</v>
      </c>
      <c r="B57" s="34">
        <f>((B12/B10)-1)*100</f>
        <v>-2.835955506563792</v>
      </c>
      <c r="C57" s="34">
        <f>((C12/C10)-1)*100</f>
        <v>4.4365487108080748</v>
      </c>
      <c r="D57" s="34">
        <f>((D12/D10)-1)*100</f>
        <v>6.0044809559372414</v>
      </c>
      <c r="E57" s="34">
        <f>((E12/E10)-1)*100</f>
        <v>-6.7684547747256518</v>
      </c>
      <c r="F57" s="34">
        <f>((F12/F10)-1)*100</f>
        <v>70.80011809861233</v>
      </c>
    </row>
    <row r="58" spans="1:7" x14ac:dyDescent="0.25">
      <c r="A58" s="3" t="s">
        <v>25</v>
      </c>
      <c r="B58" s="34">
        <f>((B33/B32)-1)*100</f>
        <v>27.239221397957401</v>
      </c>
      <c r="C58" s="34">
        <f>((C33/C32)-1)*100</f>
        <v>9.1357775734889124</v>
      </c>
      <c r="D58" s="34">
        <f>((D33/D32)-1)*100</f>
        <v>62.236192077961029</v>
      </c>
      <c r="E58" s="34">
        <f>((E33/E32)-1)*100</f>
        <v>6.321725999829475</v>
      </c>
      <c r="F58" s="34">
        <f>((F33/F32)-1)*100</f>
        <v>105.58199901055372</v>
      </c>
      <c r="G58" s="7"/>
    </row>
    <row r="59" spans="1:7" x14ac:dyDescent="0.25">
      <c r="A59" s="3" t="s">
        <v>26</v>
      </c>
      <c r="B59" s="34">
        <f>((B35/B34)-1)*100</f>
        <v>30.952989926796313</v>
      </c>
      <c r="C59" s="34">
        <f>((C35/C34)-1)*100</f>
        <v>4.4996018354583223</v>
      </c>
      <c r="D59" s="34">
        <f>((D35/D34)-1)*100</f>
        <v>53.046541631950042</v>
      </c>
      <c r="E59" s="34">
        <f>((E35/E34)-1)*100</f>
        <v>14.040506078629789</v>
      </c>
      <c r="F59" s="34">
        <f>((F35/F34)-1)*100</f>
        <v>20.364084813957728</v>
      </c>
    </row>
    <row r="60" spans="1:7" x14ac:dyDescent="0.25">
      <c r="B60" s="34"/>
      <c r="C60" s="34"/>
      <c r="D60" s="34"/>
      <c r="E60" s="34"/>
      <c r="F60" s="34"/>
    </row>
    <row r="61" spans="1:7" x14ac:dyDescent="0.25">
      <c r="A61" s="3" t="s">
        <v>27</v>
      </c>
      <c r="B61" s="32"/>
      <c r="C61" s="32"/>
      <c r="D61" s="32"/>
      <c r="E61" s="32"/>
      <c r="F61" s="32"/>
    </row>
    <row r="62" spans="1:7" x14ac:dyDescent="0.25">
      <c r="A62" s="3" t="s">
        <v>42</v>
      </c>
      <c r="B62" s="30">
        <f>B17/(B11*12)</f>
        <v>92057.213786274893</v>
      </c>
      <c r="C62" s="30">
        <f t="shared" ref="C62:F62" si="3">C17/(C11*12)</f>
        <v>178957</v>
      </c>
      <c r="D62" s="30">
        <f t="shared" si="3"/>
        <v>71582</v>
      </c>
      <c r="E62" s="30">
        <f t="shared" si="3"/>
        <v>53748.946395937048</v>
      </c>
      <c r="F62" s="30">
        <f t="shared" si="3"/>
        <v>549939.07167386729</v>
      </c>
    </row>
    <row r="63" spans="1:7" x14ac:dyDescent="0.25">
      <c r="A63" s="3" t="s">
        <v>43</v>
      </c>
      <c r="B63" s="30">
        <f>B18/(B12*12)</f>
        <v>111873.88718607937</v>
      </c>
      <c r="C63" s="30">
        <f t="shared" ref="C63:F63" si="4">C18/(C12*12)</f>
        <v>180652.29835915592</v>
      </c>
      <c r="D63" s="30">
        <f t="shared" si="4"/>
        <v>110036.46448076653</v>
      </c>
      <c r="E63" s="30">
        <f t="shared" si="4"/>
        <v>64947.852774007195</v>
      </c>
      <c r="F63" s="30">
        <f t="shared" si="4"/>
        <v>856345.77044425241</v>
      </c>
    </row>
    <row r="64" spans="1:7" x14ac:dyDescent="0.25">
      <c r="A64" s="3" t="s">
        <v>28</v>
      </c>
      <c r="B64" s="30">
        <f>(B63/B62)*B46</f>
        <v>113.29914447354776</v>
      </c>
      <c r="C64" s="30">
        <f t="shared" ref="C64:F64" si="5">(C63/C62)*C46</f>
        <v>100.51509876514002</v>
      </c>
      <c r="D64" s="30">
        <f t="shared" si="5"/>
        <v>179.64598114578087</v>
      </c>
      <c r="E64" s="30">
        <f t="shared" si="5"/>
        <v>109.9028361672633</v>
      </c>
      <c r="F64" s="30">
        <f t="shared" si="5"/>
        <v>127.5919354876736</v>
      </c>
    </row>
    <row r="65" spans="1:7" x14ac:dyDescent="0.25">
      <c r="A65" s="3" t="s">
        <v>46</v>
      </c>
      <c r="B65" s="30">
        <f>B17/B11</f>
        <v>1104686.5654352987</v>
      </c>
      <c r="C65" s="30">
        <f t="shared" ref="C65:F66" si="6">C17/C11</f>
        <v>2147484</v>
      </c>
      <c r="D65" s="30">
        <f t="shared" si="6"/>
        <v>858984</v>
      </c>
      <c r="E65" s="30">
        <f t="shared" si="6"/>
        <v>644987.35675124452</v>
      </c>
      <c r="F65" s="30">
        <f t="shared" si="6"/>
        <v>6599268.8600864075</v>
      </c>
    </row>
    <row r="66" spans="1:7" x14ac:dyDescent="0.25">
      <c r="A66" s="3" t="s">
        <v>47</v>
      </c>
      <c r="B66" s="30">
        <f>B18/B12</f>
        <v>1342486.6462329524</v>
      </c>
      <c r="C66" s="30">
        <f t="shared" si="6"/>
        <v>2167827.5803098711</v>
      </c>
      <c r="D66" s="30">
        <f t="shared" si="6"/>
        <v>1320437.5737691985</v>
      </c>
      <c r="E66" s="30">
        <f t="shared" si="6"/>
        <v>779374.23328808637</v>
      </c>
      <c r="F66" s="30">
        <f t="shared" si="6"/>
        <v>10276149.24533103</v>
      </c>
    </row>
    <row r="67" spans="1:7" x14ac:dyDescent="0.25">
      <c r="B67" s="34"/>
      <c r="C67" s="34"/>
      <c r="D67" s="34"/>
      <c r="E67" s="34"/>
      <c r="F67" s="34"/>
    </row>
    <row r="68" spans="1:7" x14ac:dyDescent="0.25">
      <c r="A68" s="3" t="s">
        <v>29</v>
      </c>
      <c r="B68" s="34"/>
      <c r="C68" s="34"/>
      <c r="D68" s="34"/>
      <c r="E68" s="34"/>
      <c r="F68" s="34"/>
    </row>
    <row r="69" spans="1:7" x14ac:dyDescent="0.25">
      <c r="A69" s="3" t="s">
        <v>30</v>
      </c>
      <c r="B69" s="35">
        <f>(B24/B23)*100</f>
        <v>99.999649578075022</v>
      </c>
      <c r="C69" s="34"/>
      <c r="D69" s="34"/>
      <c r="E69" s="34"/>
      <c r="F69" s="34"/>
      <c r="G69" s="22"/>
    </row>
    <row r="70" spans="1:7" ht="15.75" thickBot="1" x14ac:dyDescent="0.3">
      <c r="A70" s="8" t="s">
        <v>31</v>
      </c>
      <c r="B70" s="36">
        <f>(B18/B24)*100</f>
        <v>102.28984263822231</v>
      </c>
      <c r="C70" s="37"/>
      <c r="D70" s="37"/>
      <c r="E70" s="37"/>
      <c r="F70" s="37"/>
      <c r="G70" s="22"/>
    </row>
    <row r="71" spans="1:7" ht="15.75" thickTop="1" x14ac:dyDescent="0.25">
      <c r="A71" s="13"/>
      <c r="B71" s="13"/>
      <c r="C71" s="13"/>
      <c r="D71" s="13"/>
      <c r="E71" s="13"/>
      <c r="F71" s="13"/>
    </row>
    <row r="72" spans="1:7" x14ac:dyDescent="0.25">
      <c r="A72" s="3" t="s">
        <v>32</v>
      </c>
      <c r="B72" s="13"/>
      <c r="C72" s="13"/>
      <c r="D72" s="13"/>
      <c r="E72" s="13"/>
      <c r="F72" s="13"/>
    </row>
    <row r="73" spans="1:7" x14ac:dyDescent="0.25">
      <c r="A73" s="3" t="s">
        <v>87</v>
      </c>
    </row>
    <row r="74" spans="1:7" x14ac:dyDescent="0.25">
      <c r="A74" s="3" t="s">
        <v>88</v>
      </c>
    </row>
    <row r="75" spans="1:7" x14ac:dyDescent="0.25">
      <c r="A75" s="3" t="s">
        <v>65</v>
      </c>
      <c r="B75" s="28"/>
      <c r="C75" s="28"/>
      <c r="D75" s="28"/>
    </row>
    <row r="77" spans="1:7" x14ac:dyDescent="0.25">
      <c r="A77" s="3" t="s">
        <v>33</v>
      </c>
    </row>
    <row r="78" spans="1:7" x14ac:dyDescent="0.25">
      <c r="A78" s="3" t="s">
        <v>34</v>
      </c>
    </row>
    <row r="79" spans="1:7" x14ac:dyDescent="0.25">
      <c r="A79" s="3" t="s">
        <v>89</v>
      </c>
    </row>
    <row r="80" spans="1:7" x14ac:dyDescent="0.25">
      <c r="A80" s="29"/>
    </row>
    <row r="81" spans="1:1" x14ac:dyDescent="0.25">
      <c r="A81" s="3" t="s">
        <v>90</v>
      </c>
    </row>
    <row r="83" spans="1:1" x14ac:dyDescent="0.25">
      <c r="A83" s="4"/>
    </row>
  </sheetData>
  <mergeCells count="5">
    <mergeCell ref="A4:A5"/>
    <mergeCell ref="C4:F4"/>
    <mergeCell ref="C24:D24"/>
    <mergeCell ref="B4:B5"/>
    <mergeCell ref="A2:F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Tercer trimestre Acumulado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dcterms:created xsi:type="dcterms:W3CDTF">2012-05-29T14:39:16Z</dcterms:created>
  <dcterms:modified xsi:type="dcterms:W3CDTF">2019-06-14T14:50:56Z</dcterms:modified>
</cp:coreProperties>
</file>