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iernes 12 de abril\Indicadores Anuales 2018\CEN - CINAI\"/>
    </mc:Choice>
  </mc:AlternateContent>
  <bookViews>
    <workbookView xWindow="0" yWindow="0" windowWidth="15600" windowHeight="9240"/>
  </bookViews>
  <sheets>
    <sheet name="I Trimestre" sheetId="4" r:id="rId1"/>
    <sheet name="Hoja2 (2)" sheetId="15" state="hidden" r:id="rId2"/>
    <sheet name="II Trimestre" sheetId="7" r:id="rId3"/>
    <sheet name="III Trimestre" sheetId="8" r:id="rId4"/>
    <sheet name="IV Trimestre" sheetId="3" r:id="rId5"/>
    <sheet name="I Semestre" sheetId="9" r:id="rId6"/>
    <sheet name="III T Acumulado" sheetId="10" r:id="rId7"/>
    <sheet name="Anual" sheetId="2" r:id="rId8"/>
  </sheets>
  <calcPr calcId="162913"/>
</workbook>
</file>

<file path=xl/calcChain.xml><?xml version="1.0" encoding="utf-8"?>
<calcChain xmlns="http://schemas.openxmlformats.org/spreadsheetml/2006/main">
  <c r="B66" i="2" l="1"/>
  <c r="B65" i="2"/>
  <c r="F19" i="7" l="1"/>
  <c r="O20" i="3" l="1"/>
  <c r="B20" i="3"/>
  <c r="B18" i="3"/>
  <c r="O20" i="8"/>
  <c r="B20" i="8"/>
  <c r="B18" i="8"/>
  <c r="B70" i="3" l="1"/>
  <c r="F66" i="3"/>
  <c r="C66" i="3"/>
  <c r="B66" i="3"/>
  <c r="C65" i="3"/>
  <c r="F63" i="3"/>
  <c r="C63" i="3"/>
  <c r="B63" i="3"/>
  <c r="C62" i="3"/>
  <c r="M57" i="3"/>
  <c r="K57" i="3"/>
  <c r="J57" i="3"/>
  <c r="I57" i="3"/>
  <c r="H57" i="3"/>
  <c r="F57" i="3"/>
  <c r="E57" i="3"/>
  <c r="D57" i="3"/>
  <c r="C57" i="3"/>
  <c r="B57" i="3"/>
  <c r="B54" i="3"/>
  <c r="C51" i="3"/>
  <c r="O50" i="3"/>
  <c r="C50" i="3"/>
  <c r="N49" i="3"/>
  <c r="M49" i="3"/>
  <c r="K49" i="3"/>
  <c r="J49" i="3"/>
  <c r="I49" i="3"/>
  <c r="H49" i="3"/>
  <c r="G49" i="3"/>
  <c r="F49" i="3"/>
  <c r="E49" i="3"/>
  <c r="D49" i="3"/>
  <c r="C49" i="3"/>
  <c r="B49" i="3"/>
  <c r="C46" i="3"/>
  <c r="C64" i="3" s="1"/>
  <c r="C45" i="3"/>
  <c r="N44" i="3"/>
  <c r="M44" i="3"/>
  <c r="K44" i="3"/>
  <c r="J44" i="3"/>
  <c r="I44" i="3"/>
  <c r="H44" i="3"/>
  <c r="G44" i="3"/>
  <c r="F44" i="3"/>
  <c r="E44" i="3"/>
  <c r="D44" i="3"/>
  <c r="C44" i="3"/>
  <c r="B44" i="3"/>
  <c r="B41" i="3"/>
  <c r="B40" i="3"/>
  <c r="C35" i="3"/>
  <c r="C59" i="3" s="1"/>
  <c r="C34" i="3"/>
  <c r="O33" i="3"/>
  <c r="L33" i="3"/>
  <c r="L58" i="3" s="1"/>
  <c r="F33" i="3"/>
  <c r="F35" i="3" s="1"/>
  <c r="C33" i="3"/>
  <c r="C58" i="3" s="1"/>
  <c r="B33" i="3"/>
  <c r="B35" i="3" s="1"/>
  <c r="B59" i="3" s="1"/>
  <c r="O32" i="3"/>
  <c r="L32" i="3"/>
  <c r="L34" i="3" s="1"/>
  <c r="F32" i="3"/>
  <c r="F34" i="3" s="1"/>
  <c r="C32" i="3"/>
  <c r="B32" i="3"/>
  <c r="B34" i="3" s="1"/>
  <c r="C65" i="8"/>
  <c r="C62" i="8"/>
  <c r="M57" i="8"/>
  <c r="K57" i="8"/>
  <c r="J57" i="8"/>
  <c r="I57" i="8"/>
  <c r="H57" i="8"/>
  <c r="F57" i="8"/>
  <c r="E57" i="8"/>
  <c r="D57" i="8"/>
  <c r="C57" i="8"/>
  <c r="B57" i="8"/>
  <c r="O50" i="8"/>
  <c r="N49" i="8"/>
  <c r="M49" i="8"/>
  <c r="K49" i="8"/>
  <c r="J49" i="8"/>
  <c r="I49" i="8"/>
  <c r="H49" i="8"/>
  <c r="G49" i="8"/>
  <c r="F49" i="8"/>
  <c r="E49" i="8"/>
  <c r="D49" i="8"/>
  <c r="C49" i="8"/>
  <c r="B49" i="8"/>
  <c r="N44" i="8"/>
  <c r="M44" i="8"/>
  <c r="K44" i="8"/>
  <c r="J44" i="8"/>
  <c r="I44" i="8"/>
  <c r="H44" i="8"/>
  <c r="G44" i="8"/>
  <c r="F44" i="8"/>
  <c r="E44" i="8"/>
  <c r="D44" i="8"/>
  <c r="C44" i="8"/>
  <c r="B44" i="8"/>
  <c r="B41" i="8"/>
  <c r="B40" i="8"/>
  <c r="O33" i="8"/>
  <c r="O32" i="8"/>
  <c r="F66" i="7"/>
  <c r="C66" i="7"/>
  <c r="C65" i="7"/>
  <c r="F63" i="7"/>
  <c r="C63" i="7"/>
  <c r="C64" i="7" s="1"/>
  <c r="C62" i="7"/>
  <c r="M57" i="7"/>
  <c r="K57" i="7"/>
  <c r="J57" i="7"/>
  <c r="I57" i="7"/>
  <c r="H57" i="7"/>
  <c r="F57" i="7"/>
  <c r="E57" i="7"/>
  <c r="D57" i="7"/>
  <c r="C57" i="7"/>
  <c r="B57" i="7"/>
  <c r="O50" i="7"/>
  <c r="F50" i="7"/>
  <c r="F51" i="7" s="1"/>
  <c r="C50" i="7"/>
  <c r="N49" i="7"/>
  <c r="M49" i="7"/>
  <c r="K49" i="7"/>
  <c r="J49" i="7"/>
  <c r="I49" i="7"/>
  <c r="H49" i="7"/>
  <c r="G49" i="7"/>
  <c r="F49" i="7"/>
  <c r="E49" i="7"/>
  <c r="D49" i="7"/>
  <c r="C49" i="7"/>
  <c r="C51" i="7" s="1"/>
  <c r="B49" i="7"/>
  <c r="O45" i="7"/>
  <c r="C45" i="7"/>
  <c r="N44" i="7"/>
  <c r="M44" i="7"/>
  <c r="K44" i="7"/>
  <c r="J44" i="7"/>
  <c r="I44" i="7"/>
  <c r="H44" i="7"/>
  <c r="G44" i="7"/>
  <c r="F44" i="7"/>
  <c r="E44" i="7"/>
  <c r="D44" i="7"/>
  <c r="C44" i="7"/>
  <c r="C46" i="7" s="1"/>
  <c r="B44" i="7"/>
  <c r="B41" i="7"/>
  <c r="B40" i="7"/>
  <c r="C35" i="7"/>
  <c r="C59" i="7" s="1"/>
  <c r="O33" i="7"/>
  <c r="L33" i="7"/>
  <c r="F33" i="7"/>
  <c r="F58" i="7" s="1"/>
  <c r="C33" i="7"/>
  <c r="C58" i="7" s="1"/>
  <c r="O32" i="7"/>
  <c r="L32" i="7"/>
  <c r="F32" i="7"/>
  <c r="F34" i="7" s="1"/>
  <c r="C32" i="7"/>
  <c r="C34" i="7" s="1"/>
  <c r="L66" i="4"/>
  <c r="L65" i="4"/>
  <c r="L63" i="4"/>
  <c r="L64" i="4" s="1"/>
  <c r="L62" i="4"/>
  <c r="F66" i="4"/>
  <c r="F65" i="4"/>
  <c r="F63" i="4"/>
  <c r="F64" i="4" s="1"/>
  <c r="F62" i="4"/>
  <c r="C66" i="4"/>
  <c r="C65" i="4"/>
  <c r="C63" i="4"/>
  <c r="C64" i="4" s="1"/>
  <c r="C62" i="4"/>
  <c r="L59" i="4"/>
  <c r="L58" i="4"/>
  <c r="L57" i="4"/>
  <c r="F57" i="4"/>
  <c r="C59" i="4"/>
  <c r="C58" i="4"/>
  <c r="C57" i="4"/>
  <c r="D57" i="4"/>
  <c r="E57" i="4"/>
  <c r="H57" i="4"/>
  <c r="I57" i="4"/>
  <c r="J57" i="4"/>
  <c r="K57" i="4"/>
  <c r="M57" i="4"/>
  <c r="O50" i="4"/>
  <c r="L50" i="4"/>
  <c r="L49" i="4"/>
  <c r="L51" i="4" s="1"/>
  <c r="F50" i="4"/>
  <c r="F51" i="4" s="1"/>
  <c r="F49" i="4"/>
  <c r="C50" i="4"/>
  <c r="C49" i="4"/>
  <c r="C51" i="4" s="1"/>
  <c r="E49" i="4"/>
  <c r="G49" i="4"/>
  <c r="H49" i="4"/>
  <c r="I49" i="4"/>
  <c r="J49" i="4"/>
  <c r="K49" i="4"/>
  <c r="M49" i="4"/>
  <c r="N49" i="4"/>
  <c r="D49" i="4"/>
  <c r="L45" i="4"/>
  <c r="L44" i="4"/>
  <c r="L46" i="4" s="1"/>
  <c r="F46" i="4"/>
  <c r="F45" i="4"/>
  <c r="F44" i="4"/>
  <c r="M44" i="4"/>
  <c r="N44" i="4"/>
  <c r="K44" i="4"/>
  <c r="O33" i="4"/>
  <c r="O32" i="4"/>
  <c r="L34" i="4"/>
  <c r="L33" i="4"/>
  <c r="L35" i="4" s="1"/>
  <c r="L32" i="4"/>
  <c r="F35" i="4"/>
  <c r="F34" i="4"/>
  <c r="F33" i="4"/>
  <c r="F32" i="4"/>
  <c r="C34" i="4"/>
  <c r="C33" i="4"/>
  <c r="C35" i="4" s="1"/>
  <c r="C32" i="4"/>
  <c r="B32" i="4"/>
  <c r="O19" i="2"/>
  <c r="O18" i="2"/>
  <c r="O17" i="2"/>
  <c r="O16" i="2"/>
  <c r="O32" i="2" s="1"/>
  <c r="C17" i="2"/>
  <c r="O13" i="2"/>
  <c r="O11" i="2"/>
  <c r="O12" i="2"/>
  <c r="O10" i="2"/>
  <c r="N13" i="2"/>
  <c r="N11" i="2"/>
  <c r="N12" i="2"/>
  <c r="N10" i="2"/>
  <c r="M13" i="2"/>
  <c r="M12" i="2"/>
  <c r="M11" i="2"/>
  <c r="M10" i="2"/>
  <c r="K12" i="2"/>
  <c r="K11" i="2"/>
  <c r="K10" i="2"/>
  <c r="O19" i="10"/>
  <c r="O18" i="10"/>
  <c r="O17" i="10"/>
  <c r="O16" i="10"/>
  <c r="O32" i="10" s="1"/>
  <c r="O13" i="10"/>
  <c r="O12" i="10"/>
  <c r="O11" i="10"/>
  <c r="O10" i="10"/>
  <c r="N13" i="10"/>
  <c r="N11" i="10"/>
  <c r="N12" i="10"/>
  <c r="N10" i="10"/>
  <c r="M13" i="10"/>
  <c r="M11" i="10"/>
  <c r="M12" i="10"/>
  <c r="M10" i="10"/>
  <c r="L13" i="2" l="1"/>
  <c r="L11" i="2"/>
  <c r="M44" i="10"/>
  <c r="M57" i="10"/>
  <c r="M49" i="10"/>
  <c r="K44" i="2"/>
  <c r="K57" i="2"/>
  <c r="O20" i="2"/>
  <c r="O50" i="2"/>
  <c r="O45" i="2"/>
  <c r="O33" i="2"/>
  <c r="L12" i="10"/>
  <c r="N49" i="10"/>
  <c r="N44" i="10"/>
  <c r="L11" i="10"/>
  <c r="O20" i="10"/>
  <c r="O33" i="10"/>
  <c r="O50" i="10"/>
  <c r="O45" i="10"/>
  <c r="M57" i="2"/>
  <c r="M49" i="2"/>
  <c r="M44" i="2"/>
  <c r="N49" i="2"/>
  <c r="N44" i="2"/>
  <c r="L10" i="2"/>
  <c r="L12" i="2"/>
  <c r="F59" i="3"/>
  <c r="B58" i="3"/>
  <c r="F58" i="3"/>
  <c r="L58" i="7"/>
  <c r="F35" i="7"/>
  <c r="F59" i="7" s="1"/>
  <c r="L13" i="10"/>
  <c r="L10" i="10"/>
  <c r="L49" i="10" l="1"/>
  <c r="L44" i="10"/>
  <c r="L57" i="10"/>
  <c r="L49" i="2"/>
  <c r="L57" i="2"/>
  <c r="L44" i="2"/>
  <c r="O19" i="9"/>
  <c r="O17" i="9"/>
  <c r="O18" i="9"/>
  <c r="O16" i="9"/>
  <c r="O32" i="9" s="1"/>
  <c r="L18" i="9"/>
  <c r="L16" i="9"/>
  <c r="L32" i="9" s="1"/>
  <c r="O13" i="9"/>
  <c r="O11" i="9"/>
  <c r="O12" i="9"/>
  <c r="O10" i="9"/>
  <c r="N13" i="9"/>
  <c r="N11" i="9"/>
  <c r="N12" i="9"/>
  <c r="N10" i="9"/>
  <c r="M13" i="9"/>
  <c r="M12" i="9"/>
  <c r="M11" i="9"/>
  <c r="M10" i="9"/>
  <c r="K12" i="9"/>
  <c r="K11" i="9"/>
  <c r="K10" i="9"/>
  <c r="L13" i="9" l="1"/>
  <c r="M57" i="9"/>
  <c r="M49" i="9"/>
  <c r="M44" i="9"/>
  <c r="O50" i="9"/>
  <c r="O33" i="9"/>
  <c r="O45" i="9"/>
  <c r="L33" i="9"/>
  <c r="L12" i="9"/>
  <c r="L63" i="9" s="1"/>
  <c r="N49" i="9"/>
  <c r="N44" i="9"/>
  <c r="K57" i="9"/>
  <c r="K44" i="9"/>
  <c r="O20" i="9"/>
  <c r="L10" i="9"/>
  <c r="L34" i="9" s="1"/>
  <c r="L11" i="9"/>
  <c r="L66" i="9" l="1"/>
  <c r="L58" i="9"/>
  <c r="L35" i="9"/>
  <c r="L59" i="9" s="1"/>
  <c r="L49" i="9"/>
  <c r="L57" i="9"/>
  <c r="L44" i="9"/>
  <c r="L19" i="3"/>
  <c r="L18" i="3"/>
  <c r="L17" i="3"/>
  <c r="L16" i="3"/>
  <c r="B16" i="3" s="1"/>
  <c r="C16" i="3"/>
  <c r="L11" i="3"/>
  <c r="L12" i="3"/>
  <c r="L13" i="3"/>
  <c r="L10" i="3"/>
  <c r="L62" i="3" l="1"/>
  <c r="L65" i="3"/>
  <c r="L45" i="3"/>
  <c r="L17" i="2"/>
  <c r="L50" i="3"/>
  <c r="L63" i="3"/>
  <c r="L49" i="3"/>
  <c r="L51" i="3" s="1"/>
  <c r="L57" i="3"/>
  <c r="L44" i="3"/>
  <c r="L66" i="3"/>
  <c r="L35" i="3"/>
  <c r="L59" i="3" s="1"/>
  <c r="C17" i="7"/>
  <c r="F16" i="8"/>
  <c r="F32" i="8" s="1"/>
  <c r="L17" i="8"/>
  <c r="L18" i="8"/>
  <c r="L19" i="8"/>
  <c r="L16" i="8"/>
  <c r="L32" i="8" s="1"/>
  <c r="L34" i="8" s="1"/>
  <c r="C16" i="8"/>
  <c r="C32" i="8" s="1"/>
  <c r="L11" i="8"/>
  <c r="L12" i="8"/>
  <c r="L13" i="8"/>
  <c r="L10" i="8"/>
  <c r="L16" i="4"/>
  <c r="O20" i="7"/>
  <c r="L16" i="7"/>
  <c r="C19" i="7"/>
  <c r="L19" i="7"/>
  <c r="L49" i="8" l="1"/>
  <c r="L57" i="8"/>
  <c r="L44" i="8"/>
  <c r="L46" i="3"/>
  <c r="L64" i="3" s="1"/>
  <c r="L62" i="2"/>
  <c r="L65" i="2"/>
  <c r="L50" i="7"/>
  <c r="L19" i="9"/>
  <c r="L50" i="9" s="1"/>
  <c r="L51" i="9" s="1"/>
  <c r="L66" i="8"/>
  <c r="L50" i="8"/>
  <c r="L51" i="8" s="1"/>
  <c r="L45" i="8"/>
  <c r="L46" i="8" s="1"/>
  <c r="L63" i="8"/>
  <c r="L33" i="8"/>
  <c r="L62" i="8"/>
  <c r="L65" i="8"/>
  <c r="F34" i="8"/>
  <c r="C34" i="8"/>
  <c r="L16" i="10"/>
  <c r="L32" i="10" s="1"/>
  <c r="L34" i="10" s="1"/>
  <c r="L16" i="2"/>
  <c r="L32" i="2" s="1"/>
  <c r="L34" i="2" s="1"/>
  <c r="L18" i="10"/>
  <c r="L18" i="2"/>
  <c r="B16" i="8"/>
  <c r="B32" i="8" s="1"/>
  <c r="B19" i="7"/>
  <c r="L64" i="8" l="1"/>
  <c r="L33" i="2"/>
  <c r="L66" i="2"/>
  <c r="L63" i="2"/>
  <c r="L33" i="10"/>
  <c r="L63" i="10"/>
  <c r="L66" i="10"/>
  <c r="L45" i="2"/>
  <c r="L46" i="2" s="1"/>
  <c r="L64" i="2" s="1"/>
  <c r="L58" i="8"/>
  <c r="L35" i="8"/>
  <c r="L59" i="8" s="1"/>
  <c r="B34" i="8"/>
  <c r="L17" i="7"/>
  <c r="L58" i="2" l="1"/>
  <c r="L35" i="2"/>
  <c r="L59" i="2" s="1"/>
  <c r="L58" i="10"/>
  <c r="L35" i="10"/>
  <c r="L59" i="10" s="1"/>
  <c r="L65" i="7"/>
  <c r="L62" i="7"/>
  <c r="L45" i="7"/>
  <c r="L17" i="9"/>
  <c r="L17" i="10"/>
  <c r="L18" i="7"/>
  <c r="L20" i="7" s="1"/>
  <c r="L11" i="7"/>
  <c r="L12" i="7"/>
  <c r="L13" i="7"/>
  <c r="L10" i="7"/>
  <c r="F11" i="7"/>
  <c r="F12" i="7"/>
  <c r="F13" i="7"/>
  <c r="L19" i="4"/>
  <c r="B19" i="4" s="1"/>
  <c r="O20" i="4"/>
  <c r="L45" i="10" l="1"/>
  <c r="L46" i="10" s="1"/>
  <c r="L62" i="10"/>
  <c r="L65" i="10"/>
  <c r="L65" i="9"/>
  <c r="L62" i="9"/>
  <c r="L45" i="9"/>
  <c r="L46" i="9" s="1"/>
  <c r="L66" i="7"/>
  <c r="L44" i="7"/>
  <c r="L46" i="7" s="1"/>
  <c r="L49" i="7"/>
  <c r="L51" i="7" s="1"/>
  <c r="L63" i="7"/>
  <c r="L64" i="7" s="1"/>
  <c r="L35" i="7"/>
  <c r="L57" i="7"/>
  <c r="L34" i="7"/>
  <c r="L59" i="7" s="1"/>
  <c r="B10" i="4"/>
  <c r="L64" i="10" l="1"/>
  <c r="L64" i="9"/>
  <c r="B16" i="4"/>
  <c r="L17" i="4"/>
  <c r="B17" i="4" s="1"/>
  <c r="L18" i="4"/>
  <c r="L11" i="4"/>
  <c r="L12" i="4"/>
  <c r="L13" i="4"/>
  <c r="L10" i="4"/>
  <c r="L20" i="4" l="1"/>
  <c r="B20" i="4" s="1"/>
  <c r="B18" i="4"/>
  <c r="F11" i="3"/>
  <c r="F12" i="3"/>
  <c r="F13" i="3"/>
  <c r="F10" i="3"/>
  <c r="B11" i="3"/>
  <c r="B12" i="3"/>
  <c r="B13" i="3"/>
  <c r="B10" i="3"/>
  <c r="F11" i="8"/>
  <c r="F12" i="8"/>
  <c r="F13" i="8"/>
  <c r="F10" i="8"/>
  <c r="B11" i="8"/>
  <c r="B12" i="8"/>
  <c r="B13" i="8"/>
  <c r="B10" i="8"/>
  <c r="F10" i="7"/>
  <c r="B11" i="7"/>
  <c r="B12" i="7"/>
  <c r="B13" i="7"/>
  <c r="B10" i="7"/>
  <c r="B13" i="4"/>
  <c r="B12" i="4"/>
  <c r="B11" i="4"/>
  <c r="F11" i="4"/>
  <c r="F12" i="4"/>
  <c r="F13" i="4"/>
  <c r="F10" i="4"/>
  <c r="C18" i="4"/>
  <c r="F17" i="8" l="1"/>
  <c r="F19" i="8"/>
  <c r="F17" i="7"/>
  <c r="F17" i="3"/>
  <c r="F18" i="3"/>
  <c r="F19" i="3"/>
  <c r="C18" i="7"/>
  <c r="C18" i="8"/>
  <c r="C18" i="3"/>
  <c r="D12" i="2"/>
  <c r="E12" i="2"/>
  <c r="C19" i="3"/>
  <c r="D11" i="2"/>
  <c r="E11" i="2"/>
  <c r="F18" i="4"/>
  <c r="F18" i="7"/>
  <c r="F20" i="7" s="1"/>
  <c r="F18" i="8"/>
  <c r="G12" i="2"/>
  <c r="H12" i="2"/>
  <c r="I12" i="2"/>
  <c r="F17" i="4"/>
  <c r="F17" i="9" s="1"/>
  <c r="G11" i="2"/>
  <c r="H11" i="2"/>
  <c r="I11" i="2"/>
  <c r="D12" i="10"/>
  <c r="E12" i="10"/>
  <c r="C17" i="4"/>
  <c r="C17" i="8"/>
  <c r="D11" i="10"/>
  <c r="E11" i="10"/>
  <c r="G12" i="10"/>
  <c r="H12" i="10"/>
  <c r="I12" i="10"/>
  <c r="G11" i="10"/>
  <c r="H11" i="10"/>
  <c r="I11" i="10"/>
  <c r="K12" i="10"/>
  <c r="K11" i="10"/>
  <c r="F11" i="10" s="1"/>
  <c r="D12" i="9"/>
  <c r="E12" i="9"/>
  <c r="D11" i="9"/>
  <c r="B11" i="9" s="1"/>
  <c r="B40" i="9" s="1"/>
  <c r="E11" i="9"/>
  <c r="F18" i="9"/>
  <c r="G12" i="9"/>
  <c r="H12" i="9"/>
  <c r="I12" i="9"/>
  <c r="G11" i="9"/>
  <c r="H11" i="9"/>
  <c r="I11" i="9"/>
  <c r="C12" i="3"/>
  <c r="C17" i="3"/>
  <c r="C11" i="3"/>
  <c r="C12" i="8"/>
  <c r="C11" i="8"/>
  <c r="C12" i="7"/>
  <c r="C11" i="7"/>
  <c r="C12" i="4"/>
  <c r="C11" i="4"/>
  <c r="B41" i="4"/>
  <c r="B40" i="4"/>
  <c r="J12" i="2"/>
  <c r="J11" i="2"/>
  <c r="L19" i="2"/>
  <c r="L50" i="2" s="1"/>
  <c r="L51" i="2" s="1"/>
  <c r="C16" i="4"/>
  <c r="C16" i="7"/>
  <c r="B16" i="7" s="1"/>
  <c r="B32" i="7" s="1"/>
  <c r="B34" i="7" s="1"/>
  <c r="F16" i="4"/>
  <c r="F16" i="7"/>
  <c r="L20" i="3"/>
  <c r="L20" i="8"/>
  <c r="C20" i="4"/>
  <c r="F20" i="4"/>
  <c r="J12" i="10"/>
  <c r="J11" i="10"/>
  <c r="J12" i="9"/>
  <c r="J11" i="9"/>
  <c r="F19" i="4"/>
  <c r="J44" i="4"/>
  <c r="L19" i="10"/>
  <c r="L50" i="10" s="1"/>
  <c r="L51" i="10" s="1"/>
  <c r="H10" i="2"/>
  <c r="H10" i="10"/>
  <c r="H10" i="9"/>
  <c r="F19" i="9"/>
  <c r="C10" i="3"/>
  <c r="C19" i="8"/>
  <c r="C10" i="8"/>
  <c r="C10" i="7"/>
  <c r="E44" i="4"/>
  <c r="G44" i="4"/>
  <c r="H44" i="4"/>
  <c r="I44" i="4"/>
  <c r="C19" i="4"/>
  <c r="C10" i="4"/>
  <c r="C13" i="3"/>
  <c r="C13" i="8"/>
  <c r="J13" i="2"/>
  <c r="I13" i="2"/>
  <c r="J10" i="2"/>
  <c r="I10" i="2"/>
  <c r="J13" i="10"/>
  <c r="I13" i="10"/>
  <c r="J10" i="10"/>
  <c r="I10" i="10"/>
  <c r="J13" i="9"/>
  <c r="I13" i="9"/>
  <c r="I10" i="9"/>
  <c r="F10" i="9" s="1"/>
  <c r="J10" i="9"/>
  <c r="H13" i="9"/>
  <c r="K13" i="9"/>
  <c r="K10" i="10"/>
  <c r="H13" i="10"/>
  <c r="K13" i="10"/>
  <c r="F13" i="10" s="1"/>
  <c r="H13" i="2"/>
  <c r="K13" i="2"/>
  <c r="G10" i="2"/>
  <c r="E10" i="2"/>
  <c r="D10" i="2"/>
  <c r="B10" i="2" s="1"/>
  <c r="G10" i="10"/>
  <c r="E10" i="10"/>
  <c r="D10" i="10"/>
  <c r="B10" i="10" s="1"/>
  <c r="G10" i="9"/>
  <c r="E10" i="9"/>
  <c r="D10" i="9"/>
  <c r="B10" i="9" s="1"/>
  <c r="C13" i="7"/>
  <c r="C13" i="4"/>
  <c r="D44" i="4"/>
  <c r="B24" i="9"/>
  <c r="B24" i="10"/>
  <c r="B24" i="2"/>
  <c r="E13" i="9"/>
  <c r="G13" i="9"/>
  <c r="D13" i="9"/>
  <c r="E13" i="10"/>
  <c r="G13" i="10"/>
  <c r="D13" i="10"/>
  <c r="B13" i="10" s="1"/>
  <c r="E13" i="2"/>
  <c r="G13" i="2"/>
  <c r="D13" i="2"/>
  <c r="B13" i="2" s="1"/>
  <c r="C17" i="9"/>
  <c r="C20" i="3"/>
  <c r="C19" i="9"/>
  <c r="C19" i="2"/>
  <c r="F45" i="3" l="1"/>
  <c r="F46" i="3" s="1"/>
  <c r="F64" i="3" s="1"/>
  <c r="F62" i="3"/>
  <c r="F65" i="3"/>
  <c r="B17" i="3"/>
  <c r="B17" i="8"/>
  <c r="B65" i="8" s="1"/>
  <c r="F65" i="7"/>
  <c r="F45" i="7"/>
  <c r="F46" i="7" s="1"/>
  <c r="F62" i="7"/>
  <c r="B17" i="7"/>
  <c r="F13" i="2"/>
  <c r="K49" i="2"/>
  <c r="F13" i="9"/>
  <c r="K49" i="9"/>
  <c r="B13" i="9"/>
  <c r="E49" i="9"/>
  <c r="E44" i="9"/>
  <c r="E57" i="9"/>
  <c r="D57" i="9"/>
  <c r="D49" i="9"/>
  <c r="D44" i="9"/>
  <c r="B12" i="9"/>
  <c r="G49" i="10"/>
  <c r="G44" i="10"/>
  <c r="I57" i="9"/>
  <c r="I49" i="9"/>
  <c r="I44" i="9"/>
  <c r="F12" i="9"/>
  <c r="F63" i="9" s="1"/>
  <c r="F10" i="10"/>
  <c r="J49" i="2"/>
  <c r="J44" i="2"/>
  <c r="J57" i="2"/>
  <c r="H44" i="9"/>
  <c r="H49" i="9"/>
  <c r="H57" i="9"/>
  <c r="K49" i="10"/>
  <c r="K44" i="10"/>
  <c r="K57" i="10"/>
  <c r="F12" i="10"/>
  <c r="B11" i="10"/>
  <c r="B40" i="10" s="1"/>
  <c r="G49" i="9"/>
  <c r="G44" i="9"/>
  <c r="I44" i="2"/>
  <c r="I49" i="2"/>
  <c r="I57" i="2"/>
  <c r="H57" i="10"/>
  <c r="H49" i="10"/>
  <c r="H44" i="10"/>
  <c r="F33" i="9"/>
  <c r="F45" i="9"/>
  <c r="H44" i="2"/>
  <c r="H57" i="2"/>
  <c r="H49" i="2"/>
  <c r="E49" i="2"/>
  <c r="E57" i="2"/>
  <c r="E44" i="2"/>
  <c r="J44" i="10"/>
  <c r="J49" i="10"/>
  <c r="J57" i="10"/>
  <c r="B17" i="9"/>
  <c r="F10" i="2"/>
  <c r="J57" i="9"/>
  <c r="J44" i="9"/>
  <c r="J49" i="9"/>
  <c r="E44" i="10"/>
  <c r="E57" i="10"/>
  <c r="E49" i="10"/>
  <c r="G44" i="2"/>
  <c r="G49" i="2"/>
  <c r="B12" i="2"/>
  <c r="D57" i="2"/>
  <c r="D44" i="2"/>
  <c r="D49" i="2"/>
  <c r="F11" i="9"/>
  <c r="F62" i="9" s="1"/>
  <c r="I57" i="10"/>
  <c r="I49" i="10"/>
  <c r="I44" i="10"/>
  <c r="B12" i="10"/>
  <c r="D44" i="10"/>
  <c r="D49" i="10"/>
  <c r="D57" i="10"/>
  <c r="F17" i="2"/>
  <c r="B17" i="2" s="1"/>
  <c r="F50" i="3"/>
  <c r="F51" i="3" s="1"/>
  <c r="B19" i="3"/>
  <c r="B50" i="3" s="1"/>
  <c r="B51" i="3" s="1"/>
  <c r="F50" i="9"/>
  <c r="B19" i="9"/>
  <c r="B11" i="2"/>
  <c r="B40" i="2" s="1"/>
  <c r="F12" i="2"/>
  <c r="F11" i="2"/>
  <c r="F50" i="8"/>
  <c r="F51" i="8" s="1"/>
  <c r="F45" i="8"/>
  <c r="F46" i="8" s="1"/>
  <c r="F66" i="8"/>
  <c r="F63" i="8"/>
  <c r="F33" i="8"/>
  <c r="F65" i="8"/>
  <c r="F62" i="8"/>
  <c r="C50" i="8"/>
  <c r="C51" i="8" s="1"/>
  <c r="C66" i="8"/>
  <c r="C33" i="8"/>
  <c r="C63" i="8"/>
  <c r="C45" i="8"/>
  <c r="C46" i="8" s="1"/>
  <c r="C64" i="8" s="1"/>
  <c r="F19" i="10"/>
  <c r="B19" i="8"/>
  <c r="F20" i="3"/>
  <c r="C20" i="8"/>
  <c r="C20" i="7"/>
  <c r="B20" i="7" s="1"/>
  <c r="B18" i="7"/>
  <c r="C12" i="10"/>
  <c r="B34" i="4"/>
  <c r="F20" i="9"/>
  <c r="C18" i="2"/>
  <c r="F16" i="10"/>
  <c r="F32" i="10" s="1"/>
  <c r="F34" i="10" s="1"/>
  <c r="C17" i="10"/>
  <c r="C44" i="4"/>
  <c r="C18" i="9"/>
  <c r="C18" i="10"/>
  <c r="B23" i="4"/>
  <c r="B69" i="4" s="1"/>
  <c r="C45" i="4"/>
  <c r="B49" i="4"/>
  <c r="F16" i="2"/>
  <c r="F32" i="2" s="1"/>
  <c r="F17" i="10"/>
  <c r="F16" i="9"/>
  <c r="F32" i="9" s="1"/>
  <c r="F34" i="9" s="1"/>
  <c r="L20" i="2"/>
  <c r="C11" i="2"/>
  <c r="L20" i="9"/>
  <c r="C13" i="9"/>
  <c r="F19" i="2"/>
  <c r="B19" i="2" s="1"/>
  <c r="B57" i="4"/>
  <c r="C10" i="9"/>
  <c r="C10" i="10"/>
  <c r="B44" i="4"/>
  <c r="C12" i="9"/>
  <c r="L20" i="10"/>
  <c r="C16" i="10"/>
  <c r="C32" i="10" s="1"/>
  <c r="C16" i="9"/>
  <c r="C16" i="2"/>
  <c r="C32" i="2" s="1"/>
  <c r="C11" i="9"/>
  <c r="C62" i="9" s="1"/>
  <c r="C12" i="2"/>
  <c r="F20" i="8"/>
  <c r="F18" i="2"/>
  <c r="F18" i="10"/>
  <c r="C19" i="10"/>
  <c r="C11" i="10"/>
  <c r="C13" i="10"/>
  <c r="C13" i="2"/>
  <c r="C10" i="2"/>
  <c r="B62" i="8" l="1"/>
  <c r="B62" i="3"/>
  <c r="B45" i="3"/>
  <c r="B46" i="3" s="1"/>
  <c r="B65" i="3"/>
  <c r="B23" i="3"/>
  <c r="B69" i="3" s="1"/>
  <c r="B65" i="7"/>
  <c r="B62" i="7"/>
  <c r="B23" i="7"/>
  <c r="B69" i="7" s="1"/>
  <c r="F64" i="7"/>
  <c r="F34" i="2"/>
  <c r="F50" i="2"/>
  <c r="F51" i="2" s="1"/>
  <c r="B49" i="10"/>
  <c r="B44" i="10"/>
  <c r="B41" i="10"/>
  <c r="B57" i="10"/>
  <c r="B17" i="10"/>
  <c r="B65" i="10" s="1"/>
  <c r="F62" i="10"/>
  <c r="F65" i="10"/>
  <c r="B57" i="9"/>
  <c r="B41" i="9"/>
  <c r="B49" i="9"/>
  <c r="B44" i="9"/>
  <c r="C65" i="10"/>
  <c r="C62" i="10"/>
  <c r="B65" i="9"/>
  <c r="B62" i="9"/>
  <c r="C44" i="2"/>
  <c r="C49" i="2"/>
  <c r="C57" i="2"/>
  <c r="C34" i="2"/>
  <c r="C34" i="10"/>
  <c r="C65" i="9"/>
  <c r="F65" i="9"/>
  <c r="C20" i="9"/>
  <c r="B20" i="9" s="1"/>
  <c r="C66" i="9"/>
  <c r="C45" i="9"/>
  <c r="C63" i="9"/>
  <c r="C33" i="9"/>
  <c r="C50" i="9"/>
  <c r="B18" i="9"/>
  <c r="C32" i="9"/>
  <c r="C34" i="9" s="1"/>
  <c r="B16" i="9"/>
  <c r="B32" i="9" s="1"/>
  <c r="B34" i="9" s="1"/>
  <c r="F66" i="10"/>
  <c r="F63" i="10"/>
  <c r="F45" i="10"/>
  <c r="F33" i="10"/>
  <c r="F58" i="9"/>
  <c r="F35" i="9"/>
  <c r="F59" i="9" s="1"/>
  <c r="F57" i="9"/>
  <c r="F44" i="9"/>
  <c r="F46" i="9" s="1"/>
  <c r="F64" i="9" s="1"/>
  <c r="F49" i="9"/>
  <c r="F51" i="9" s="1"/>
  <c r="C50" i="2"/>
  <c r="C51" i="2" s="1"/>
  <c r="C33" i="2"/>
  <c r="C66" i="2"/>
  <c r="C45" i="2"/>
  <c r="C46" i="2" s="1"/>
  <c r="C63" i="2"/>
  <c r="F33" i="2"/>
  <c r="F66" i="2"/>
  <c r="F63" i="2"/>
  <c r="C57" i="9"/>
  <c r="C49" i="9"/>
  <c r="C44" i="9"/>
  <c r="C46" i="9" s="1"/>
  <c r="C65" i="2"/>
  <c r="C62" i="2"/>
  <c r="F57" i="2"/>
  <c r="F44" i="2"/>
  <c r="F49" i="2"/>
  <c r="B49" i="2"/>
  <c r="B44" i="2"/>
  <c r="B41" i="2"/>
  <c r="B57" i="2"/>
  <c r="C50" i="10"/>
  <c r="C66" i="10"/>
  <c r="C63" i="10"/>
  <c r="C45" i="10"/>
  <c r="C33" i="10"/>
  <c r="C49" i="10"/>
  <c r="C44" i="10"/>
  <c r="C46" i="10" s="1"/>
  <c r="C57" i="10"/>
  <c r="F66" i="9"/>
  <c r="F44" i="10"/>
  <c r="F57" i="10"/>
  <c r="F49" i="10"/>
  <c r="F45" i="2"/>
  <c r="F62" i="2"/>
  <c r="F65" i="2"/>
  <c r="B19" i="10"/>
  <c r="F50" i="10"/>
  <c r="B62" i="2"/>
  <c r="F35" i="8"/>
  <c r="F59" i="8" s="1"/>
  <c r="F58" i="8"/>
  <c r="F64" i="8"/>
  <c r="B70" i="8"/>
  <c r="B66" i="8"/>
  <c r="B33" i="8"/>
  <c r="B45" i="8"/>
  <c r="B46" i="8" s="1"/>
  <c r="B63" i="8"/>
  <c r="B50" i="8"/>
  <c r="B51" i="8" s="1"/>
  <c r="C35" i="8"/>
  <c r="C59" i="8" s="1"/>
  <c r="C58" i="8"/>
  <c r="B16" i="2"/>
  <c r="B32" i="2" s="1"/>
  <c r="B34" i="2" s="1"/>
  <c r="B16" i="10"/>
  <c r="B32" i="10" s="1"/>
  <c r="B34" i="10" s="1"/>
  <c r="B18" i="10"/>
  <c r="C20" i="2"/>
  <c r="B18" i="2"/>
  <c r="B50" i="2" s="1"/>
  <c r="B45" i="7"/>
  <c r="B46" i="7" s="1"/>
  <c r="B66" i="7"/>
  <c r="B70" i="7"/>
  <c r="B63" i="7"/>
  <c r="B50" i="7"/>
  <c r="B51" i="7" s="1"/>
  <c r="B33" i="7"/>
  <c r="B54" i="7"/>
  <c r="B54" i="8"/>
  <c r="B45" i="4"/>
  <c r="B46" i="4" s="1"/>
  <c r="C46" i="4"/>
  <c r="B23" i="8"/>
  <c r="B69" i="8" s="1"/>
  <c r="C20" i="10"/>
  <c r="B50" i="4"/>
  <c r="B51" i="4" s="1"/>
  <c r="B65" i="4"/>
  <c r="B62" i="4"/>
  <c r="B70" i="4"/>
  <c r="B66" i="4"/>
  <c r="B63" i="4"/>
  <c r="B33" i="4"/>
  <c r="B54" i="4"/>
  <c r="B23" i="2"/>
  <c r="B69" i="2" s="1"/>
  <c r="F20" i="2"/>
  <c r="F20" i="10"/>
  <c r="B23" i="9"/>
  <c r="B69" i="9" s="1"/>
  <c r="B64" i="3" l="1"/>
  <c r="B45" i="10"/>
  <c r="B46" i="10" s="1"/>
  <c r="B64" i="7"/>
  <c r="B51" i="2"/>
  <c r="F46" i="2"/>
  <c r="F64" i="2" s="1"/>
  <c r="C51" i="9"/>
  <c r="B62" i="10"/>
  <c r="C51" i="10"/>
  <c r="B45" i="2"/>
  <c r="B46" i="2" s="1"/>
  <c r="B64" i="2" s="1"/>
  <c r="C64" i="9"/>
  <c r="C64" i="10"/>
  <c r="F58" i="10"/>
  <c r="F35" i="10"/>
  <c r="F59" i="10" s="1"/>
  <c r="F46" i="10"/>
  <c r="F64" i="10" s="1"/>
  <c r="F58" i="2"/>
  <c r="F35" i="2"/>
  <c r="F59" i="2" s="1"/>
  <c r="B63" i="2"/>
  <c r="B70" i="2"/>
  <c r="B33" i="2"/>
  <c r="B33" i="9"/>
  <c r="B63" i="9"/>
  <c r="B66" i="9"/>
  <c r="B70" i="9"/>
  <c r="B45" i="9"/>
  <c r="B46" i="9" s="1"/>
  <c r="C35" i="10"/>
  <c r="C59" i="10" s="1"/>
  <c r="C58" i="10"/>
  <c r="C64" i="2"/>
  <c r="B54" i="9"/>
  <c r="C58" i="2"/>
  <c r="C35" i="2"/>
  <c r="C59" i="2" s="1"/>
  <c r="B70" i="10"/>
  <c r="B66" i="10"/>
  <c r="B63" i="10"/>
  <c r="B33" i="10"/>
  <c r="C58" i="9"/>
  <c r="C35" i="9"/>
  <c r="C59" i="9" s="1"/>
  <c r="F51" i="10"/>
  <c r="B50" i="10"/>
  <c r="B51" i="10" s="1"/>
  <c r="B50" i="9"/>
  <c r="B51" i="9" s="1"/>
  <c r="B64" i="8"/>
  <c r="B35" i="8"/>
  <c r="B59" i="8" s="1"/>
  <c r="B58" i="8"/>
  <c r="B20" i="2"/>
  <c r="B54" i="2" s="1"/>
  <c r="B20" i="10"/>
  <c r="B54" i="10" s="1"/>
  <c r="B35" i="7"/>
  <c r="B59" i="7" s="1"/>
  <c r="B58" i="7"/>
  <c r="B23" i="10"/>
  <c r="B69" i="10" s="1"/>
  <c r="B64" i="4"/>
  <c r="B35" i="4"/>
  <c r="B59" i="4" s="1"/>
  <c r="B58" i="4"/>
  <c r="B64" i="10" l="1"/>
  <c r="B64" i="9"/>
  <c r="B58" i="10"/>
  <c r="B35" i="10"/>
  <c r="B59" i="10" s="1"/>
  <c r="B35" i="2"/>
  <c r="B59" i="2" s="1"/>
  <c r="B58" i="2"/>
  <c r="B58" i="9"/>
  <c r="B35" i="9"/>
  <c r="B59" i="9" s="1"/>
</calcChain>
</file>

<file path=xl/sharedStrings.xml><?xml version="1.0" encoding="utf-8"?>
<sst xmlns="http://schemas.openxmlformats.org/spreadsheetml/2006/main" count="713" uniqueCount="143">
  <si>
    <t>Indicador</t>
  </si>
  <si>
    <t>Total</t>
  </si>
  <si>
    <t>Productos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</si>
  <si>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</si>
  <si>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</si>
  <si>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</si>
  <si>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</si>
  <si>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</si>
  <si>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</si>
  <si>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</si>
  <si>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</si>
  <si>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</si>
  <si>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</si>
  <si>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</si>
  <si>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</si>
  <si>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</si>
  <si>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</si>
  <si>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</si>
  <si>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</si>
  <si>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</si>
  <si>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</si>
  <si>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</si>
  <si>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</si>
  <si>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</si>
  <si>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</si>
  <si>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</si>
  <si>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</si>
  <si>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</si>
  <si>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</si>
  <si>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</si>
  <si>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</si>
  <si>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</si>
  <si>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</si>
  <si>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</si>
  <si>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Gasto efectivo trimestral por beneficiario (GEB) </t>
  </si>
  <si>
    <t xml:space="preserve">Gasto programado trimestral por beneficiario (GPB) </t>
  </si>
  <si>
    <t>De composición</t>
  </si>
  <si>
    <t xml:space="preserve">Gasto programado acumulado por beneficiario (GPB) </t>
  </si>
  <si>
    <t xml:space="preserve">Gasto efectivo acumulado por beneficiario (GEB) </t>
  </si>
  <si>
    <t>NOTAS</t>
  </si>
  <si>
    <t xml:space="preserve">Gasto mensual programado por beneficiario (GPB) </t>
  </si>
  <si>
    <t xml:space="preserve">Gasto mensual efectivo por beneficiario (GEB) </t>
  </si>
  <si>
    <t xml:space="preserve">Gasto programado mensual por beneficiario (GPB) </t>
  </si>
  <si>
    <t xml:space="preserve">Gasto efectivo mensual por beneficiario (GEB) </t>
  </si>
  <si>
    <t>El cálculo de beneficiarios del trimestre se toma como el promedio de los individuos atendidos en los tres meses, debido a que el grueso de la población es la misma a través del período.</t>
  </si>
  <si>
    <t>Los beneficiarios se miden como comidas servidas intramuros + leche 1600 para evitar la duplicación de individuos, debido a que un mismo individuo puede recibir varios beneficios del programa.</t>
  </si>
  <si>
    <t>No se toman en cuenta modificaciones a las metas o al presupuesto que sean retroactivas, ni aquellas que respondan a cambios de precios.</t>
  </si>
  <si>
    <t>IPC, BCCR</t>
  </si>
  <si>
    <t>Total Leche</t>
  </si>
  <si>
    <t xml:space="preserve"> </t>
  </si>
  <si>
    <t>Leche</t>
  </si>
  <si>
    <t xml:space="preserve">Para el cálculo de Costos Medios por beneficiario en el caso de leche, se toma el total de beneficiarios de leche (1600, 640 y 320 grs). </t>
  </si>
  <si>
    <t>Compra de alimentos</t>
  </si>
  <si>
    <t>Efectivos 1T 2017</t>
  </si>
  <si>
    <t>Efectivos 2T 2017</t>
  </si>
  <si>
    <t>IPC (2T 2017)</t>
  </si>
  <si>
    <t>Gasto efectivo real 2T 2017</t>
  </si>
  <si>
    <t>Gasto efectivo real por beneficiario 2T 2017</t>
  </si>
  <si>
    <t>Efectivos 3T 2017</t>
  </si>
  <si>
    <t>IPC (3T 2017)</t>
  </si>
  <si>
    <t>Gasto efectivo real 3T 2017</t>
  </si>
  <si>
    <t>Gasto efectivo real por beneficiario 3T 2017</t>
  </si>
  <si>
    <t>Efectivos 4T 2017</t>
  </si>
  <si>
    <t>IPC (4T 2017)</t>
  </si>
  <si>
    <t>Gasto efectivo real 4T 2017</t>
  </si>
  <si>
    <t>Gasto efectivo real por beneficiario 4T 2017</t>
  </si>
  <si>
    <t>Efectivos 1S 2017</t>
  </si>
  <si>
    <t>IPC (1S 2017)</t>
  </si>
  <si>
    <t>Gasto efectivo real 1S 2017</t>
  </si>
  <si>
    <t>Gasto efectivo real por beneficiario 1S 2017</t>
  </si>
  <si>
    <t>Efectivos  2017</t>
  </si>
  <si>
    <t>IPC ( 2017)</t>
  </si>
  <si>
    <t>Gasto efectivo real  2017</t>
  </si>
  <si>
    <t>Gasto efectivo real por beneficiario  2017</t>
  </si>
  <si>
    <t>Total API</t>
  </si>
  <si>
    <t>Total programa</t>
  </si>
  <si>
    <t>Indicadores propuestos aplicado a CEN-CINAI. Primer trimestre 2018</t>
  </si>
  <si>
    <t>0,60 gramos</t>
  </si>
  <si>
    <t>0,320 gramos</t>
  </si>
  <si>
    <t xml:space="preserve">0,640 gramos </t>
  </si>
  <si>
    <t>0,8 gramos</t>
  </si>
  <si>
    <t>1,6 kilogramos</t>
  </si>
  <si>
    <t>Distribución de leche íntegra en polvo</t>
  </si>
  <si>
    <t xml:space="preserve">Atención y protección infantil (API) </t>
  </si>
  <si>
    <t>Comidad servidas intramuros</t>
  </si>
  <si>
    <t>Comidas servidas extramuros</t>
  </si>
  <si>
    <t>Comidas servidas</t>
  </si>
  <si>
    <t>Programados 1T 2018</t>
  </si>
  <si>
    <t>Efectivos 1T 2018</t>
  </si>
  <si>
    <t>Programados año 2018</t>
  </si>
  <si>
    <t>En transferencias 1T 2018</t>
  </si>
  <si>
    <t>IPC (1T 2017)</t>
  </si>
  <si>
    <t>IPC (1T 2018)</t>
  </si>
  <si>
    <t>Gasto efectivo real 1T 2017</t>
  </si>
  <si>
    <t>Gasto efectivo real 1T 2018</t>
  </si>
  <si>
    <t>Gasto efectivo real por beneficiario 1T 2017</t>
  </si>
  <si>
    <t>Gasto efectivo real por beneficiario 1T 2018</t>
  </si>
  <si>
    <t>Fuentes: Informes trimestrales, CEN CINAI, 2017 y 2018</t>
  </si>
  <si>
    <t>Metas y Modificaciones CEN CINAI, Desaf 2018</t>
  </si>
  <si>
    <t>ENAHO 2017</t>
  </si>
  <si>
    <t>Indicadores propuestos aplicado a CEN-CINAI. Segundo trimestre 2018</t>
  </si>
  <si>
    <t>Programados 2T 2018</t>
  </si>
  <si>
    <t>Efectivos 2T 2018</t>
  </si>
  <si>
    <t>En transferencias 2T 2018</t>
  </si>
  <si>
    <t>IPC (2T 2018)</t>
  </si>
  <si>
    <t>Gasto efectivo real 2T 2018</t>
  </si>
  <si>
    <t>Gasto efectivo real por beneficiario 2T 2018</t>
  </si>
  <si>
    <t>Indicadores propuestos aplicado a CEN-CINAI. Tercer trimestre 2018</t>
  </si>
  <si>
    <t>Programados 3T 2018</t>
  </si>
  <si>
    <t>Efectivos 3T 2018</t>
  </si>
  <si>
    <t>En transferencias 3T 2018</t>
  </si>
  <si>
    <t>IPC (3T 2018)</t>
  </si>
  <si>
    <t>Gasto efectivo real 3T 2018</t>
  </si>
  <si>
    <t>Gasto efectivo real por beneficiario 3T 2018</t>
  </si>
  <si>
    <t>Indicadores propuestos aplicado a CEN-CINAI. Cuarto trimestre 2018</t>
  </si>
  <si>
    <t>Programados 4T 2018</t>
  </si>
  <si>
    <t>Efectivos 4T 2018</t>
  </si>
  <si>
    <t>En transferencias 4T 2018</t>
  </si>
  <si>
    <t>IPC (4T 2018)</t>
  </si>
  <si>
    <t>Gasto efectivo real 4T 2018</t>
  </si>
  <si>
    <t>Gasto efectivo real por beneficiario 4T 2018</t>
  </si>
  <si>
    <t>Indicadores propuestos aplicado a CEN-CINAI. Primer Semestre 2018</t>
  </si>
  <si>
    <t>Programados 1S 2018</t>
  </si>
  <si>
    <t>Efectivos 1S 2018</t>
  </si>
  <si>
    <t>En transferencias 1S 2018</t>
  </si>
  <si>
    <t>IPC (1S 2018)</t>
  </si>
  <si>
    <t>Gasto efectivo real 1S 2018</t>
  </si>
  <si>
    <t>Gasto efectivo real por beneficiario 1S 2018</t>
  </si>
  <si>
    <t>Indicadores propuestos aplicado a CEN-CINAI. Tercer trimestre ACUMULADO 2018</t>
  </si>
  <si>
    <t>Indicadores propuestos aplicado a CEN-CINAI. Año 2018</t>
  </si>
  <si>
    <t>Programados  2018</t>
  </si>
  <si>
    <t>Programados 2018</t>
  </si>
  <si>
    <t>Efectivos  2018</t>
  </si>
  <si>
    <t>En transferencias  2018</t>
  </si>
  <si>
    <t>IPC ( 2018)</t>
  </si>
  <si>
    <t>Gasto efectivo real  2018</t>
  </si>
  <si>
    <t>Gasto efectivo real por beneficiario  2018</t>
  </si>
  <si>
    <t xml:space="preserve">Distribución de alimentos a familias </t>
  </si>
  <si>
    <t>DAF</t>
  </si>
  <si>
    <t>DAF con leche de cabra</t>
  </si>
  <si>
    <t xml:space="preserve">Total DAF </t>
  </si>
  <si>
    <t>Fecha de actualización: 27/03/2019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</si>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</sst>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#,##0.0____"/>
    <numFmt numFmtId="166" formatCode="#,##0.0"/>
    <numFmt numFmtId="167" formatCode="_(* #,##0_);_(* \(#,##0\);_(* &quot;-&quot;??_);_(@_)"/>
    <numFmt numFmtId="168" formatCode="#,##0____"/>
    <numFmt numFmtId="169" formatCode="&quot;$&quot;#,##0.00"/>
    <numFmt numFmtId="170" formatCode="_(* #,##0.0_);_(* \(#,##0.0\);_(* &quot;-&quot;??_);_(@_)"/>
    <numFmt numFmtId="171" formatCode="0_);\(0\)"/>
    <numFmt numFmtId="172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90">
    <xf numFmtId="0" fontId="0" fillId="0" borderId="0" xfId="0"/>
    <xf numFmtId="3" fontId="0" fillId="0" borderId="0" xfId="0" applyNumberFormat="1" applyFill="1"/>
    <xf numFmtId="165" fontId="0" fillId="0" borderId="0" xfId="0" applyNumberFormat="1" applyFill="1"/>
    <xf numFmtId="168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167" fontId="0" fillId="0" borderId="0" xfId="1" applyNumberFormat="1" applyFont="1" applyFill="1"/>
    <xf numFmtId="0" fontId="2" fillId="0" borderId="0" xfId="0" applyFont="1" applyFill="1"/>
    <xf numFmtId="3" fontId="0" fillId="0" borderId="0" xfId="0" applyNumberFormat="1" applyFill="1" applyAlignment="1"/>
    <xf numFmtId="164" fontId="0" fillId="0" borderId="0" xfId="1" applyFont="1" applyFill="1"/>
    <xf numFmtId="167" fontId="0" fillId="0" borderId="0" xfId="0" applyNumberFormat="1" applyFill="1"/>
    <xf numFmtId="0" fontId="0" fillId="0" borderId="3" xfId="0" applyFill="1" applyBorder="1"/>
    <xf numFmtId="168" fontId="0" fillId="0" borderId="0" xfId="0" applyNumberFormat="1" applyFill="1" applyAlignment="1"/>
    <xf numFmtId="0" fontId="0" fillId="0" borderId="0" xfId="0" applyFill="1" applyAlignment="1">
      <alignment horizontal="left" indent="1"/>
    </xf>
    <xf numFmtId="0" fontId="4" fillId="0" borderId="0" xfId="0" applyFont="1" applyFill="1"/>
    <xf numFmtId="0" fontId="0" fillId="0" borderId="0" xfId="0" applyFill="1" applyAlignment="1">
      <alignment horizontal="left"/>
    </xf>
    <xf numFmtId="0" fontId="3" fillId="0" borderId="0" xfId="0" applyFont="1" applyFill="1"/>
    <xf numFmtId="0" fontId="0" fillId="0" borderId="0" xfId="0" applyFill="1" applyAlignment="1"/>
    <xf numFmtId="3" fontId="0" fillId="0" borderId="0" xfId="0" applyNumberFormat="1" applyFill="1" applyAlignment="1">
      <alignment horizontal="right"/>
    </xf>
    <xf numFmtId="165" fontId="0" fillId="0" borderId="0" xfId="0" applyNumberFormat="1" applyFill="1" applyAlignment="1"/>
    <xf numFmtId="166" fontId="0" fillId="0" borderId="0" xfId="0" applyNumberFormat="1" applyFill="1"/>
    <xf numFmtId="169" fontId="0" fillId="0" borderId="0" xfId="0" applyNumberFormat="1" applyFill="1"/>
    <xf numFmtId="167" fontId="0" fillId="0" borderId="0" xfId="1" applyNumberFormat="1" applyFont="1" applyFill="1" applyAlignment="1"/>
    <xf numFmtId="164" fontId="2" fillId="0" borderId="0" xfId="1" applyFont="1" applyFill="1"/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horizontal="left"/>
    </xf>
    <xf numFmtId="0" fontId="6" fillId="0" borderId="0" xfId="0" applyFont="1" applyFill="1"/>
    <xf numFmtId="170" fontId="0" fillId="0" borderId="0" xfId="1" applyNumberFormat="1" applyFont="1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164" fontId="0" fillId="0" borderId="0" xfId="1" applyFont="1" applyFill="1" applyAlignment="1">
      <alignment horizontal="right"/>
    </xf>
    <xf numFmtId="167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167" fontId="0" fillId="0" borderId="0" xfId="1" applyNumberFormat="1" applyFont="1" applyFill="1" applyAlignment="1">
      <alignment horizontal="right"/>
    </xf>
    <xf numFmtId="167" fontId="0" fillId="0" borderId="0" xfId="0" applyNumberFormat="1" applyFill="1" applyAlignment="1"/>
    <xf numFmtId="3" fontId="0" fillId="0" borderId="0" xfId="1" applyNumberFormat="1" applyFont="1" applyFill="1"/>
    <xf numFmtId="3" fontId="4" fillId="0" borderId="0" xfId="0" applyNumberFormat="1" applyFont="1" applyFill="1"/>
    <xf numFmtId="172" fontId="0" fillId="0" borderId="0" xfId="0" applyNumberFormat="1" applyFill="1"/>
    <xf numFmtId="1" fontId="4" fillId="0" borderId="0" xfId="1" applyNumberFormat="1" applyFont="1" applyFill="1" applyAlignment="1">
      <alignment horizontal="right"/>
    </xf>
    <xf numFmtId="3" fontId="0" fillId="0" borderId="0" xfId="1" applyNumberFormat="1" applyFont="1" applyFill="1" applyAlignment="1"/>
    <xf numFmtId="3" fontId="4" fillId="0" borderId="0" xfId="0" applyNumberFormat="1" applyFont="1" applyFill="1" applyAlignment="1">
      <alignment horizontal="right"/>
    </xf>
    <xf numFmtId="37" fontId="0" fillId="0" borderId="0" xfId="1" applyNumberFormat="1" applyFont="1" applyFill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0" xfId="0" applyFont="1" applyFill="1" applyAlignment="1">
      <alignment horizontal="left" indent="1"/>
    </xf>
    <xf numFmtId="3" fontId="0" fillId="0" borderId="0" xfId="0" applyNumberFormat="1" applyFont="1" applyFill="1" applyAlignment="1"/>
    <xf numFmtId="0" fontId="0" fillId="0" borderId="0" xfId="0" applyFont="1" applyFill="1"/>
    <xf numFmtId="3" fontId="0" fillId="0" borderId="0" xfId="0" applyNumberFormat="1" applyFont="1" applyFill="1" applyAlignment="1">
      <alignment horizontal="right"/>
    </xf>
    <xf numFmtId="168" fontId="0" fillId="0" borderId="0" xfId="0" applyNumberFormat="1" applyFill="1" applyAlignment="1">
      <alignment horizontal="right"/>
    </xf>
    <xf numFmtId="168" fontId="0" fillId="0" borderId="3" xfId="0" applyNumberFormat="1" applyFill="1" applyBorder="1" applyAlignment="1"/>
    <xf numFmtId="167" fontId="4" fillId="0" borderId="0" xfId="1" applyNumberFormat="1" applyFont="1" applyFill="1" applyAlignment="1">
      <alignment horizontal="right"/>
    </xf>
    <xf numFmtId="167" fontId="4" fillId="0" borderId="0" xfId="0" applyNumberFormat="1" applyFont="1" applyFill="1" applyAlignment="1">
      <alignment horizontal="right"/>
    </xf>
    <xf numFmtId="168" fontId="0" fillId="0" borderId="3" xfId="0" applyNumberFormat="1" applyFill="1" applyBorder="1" applyAlignment="1">
      <alignment horizontal="right"/>
    </xf>
    <xf numFmtId="171" fontId="4" fillId="0" borderId="0" xfId="1" applyNumberFormat="1" applyFont="1" applyFill="1" applyAlignment="1">
      <alignment horizontal="right"/>
    </xf>
    <xf numFmtId="37" fontId="4" fillId="0" borderId="0" xfId="1" applyNumberFormat="1" applyFont="1" applyFill="1" applyAlignment="1">
      <alignment horizontal="right"/>
    </xf>
    <xf numFmtId="170" fontId="0" fillId="0" borderId="0" xfId="0" applyNumberFormat="1" applyFill="1" applyAlignment="1"/>
    <xf numFmtId="170" fontId="0" fillId="0" borderId="0" xfId="0" applyNumberFormat="1" applyFill="1"/>
    <xf numFmtId="168" fontId="0" fillId="0" borderId="3" xfId="0" applyNumberFormat="1" applyFill="1" applyBorder="1"/>
    <xf numFmtId="165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" fontId="4" fillId="0" borderId="0" xfId="1" applyNumberFormat="1" applyFont="1" applyFill="1" applyAlignment="1"/>
    <xf numFmtId="37" fontId="0" fillId="0" borderId="0" xfId="1" applyNumberFormat="1" applyFont="1" applyFill="1" applyAlignment="1"/>
    <xf numFmtId="3" fontId="4" fillId="0" borderId="0" xfId="0" applyNumberFormat="1" applyFont="1" applyFill="1" applyAlignment="1"/>
    <xf numFmtId="0" fontId="2" fillId="0" borderId="0" xfId="0" applyFont="1" applyFill="1" applyAlignment="1">
      <alignment horizontal="right"/>
    </xf>
    <xf numFmtId="167" fontId="0" fillId="0" borderId="0" xfId="0" applyNumberFormat="1" applyFont="1" applyFill="1" applyAlignment="1"/>
    <xf numFmtId="0" fontId="0" fillId="0" borderId="3" xfId="0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right"/>
    </xf>
    <xf numFmtId="2" fontId="0" fillId="0" borderId="0" xfId="0" applyNumberFormat="1" applyFill="1"/>
    <xf numFmtId="2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3" fontId="0" fillId="0" borderId="0" xfId="0" applyNumberFormat="1" applyFont="1" applyFill="1" applyAlignment="1">
      <alignment horizontal="center" vertical="center"/>
    </xf>
    <xf numFmtId="171" fontId="4" fillId="0" borderId="0" xfId="0" applyNumberFormat="1" applyFont="1" applyFill="1" applyAlignment="1">
      <alignment horizontal="center"/>
    </xf>
    <xf numFmtId="167" fontId="0" fillId="0" borderId="0" xfId="1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chemeClr val="tx1"/>
                </a:solidFill>
              </a:rPr>
              <a:t>CEN-CINAI: Indicadores de Cobertura Potencial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Anual!$B$4</c:f>
              <c:strCache>
                <c:ptCount val="1"/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01-4937-BBED-0457DB3E554B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001-4937-BBED-0457DB3E554B}"/>
              </c:ext>
            </c:extLst>
          </c:dPt>
          <c:dLbls>
            <c:numFmt formatCode="#,##0____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%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Anual!$A$40:$A$41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Anual!$B$40:$B$41</c:f>
              <c:numCache>
                <c:formatCode>#\ ##0____</c:formatCode>
                <c:ptCount val="2"/>
                <c:pt idx="0">
                  <c:v>124.58051201812836</c:v>
                </c:pt>
                <c:pt idx="1">
                  <c:v>108.79351119983454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6-44D9-872D-8E278EE3E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5216064"/>
        <c:axId val="495223280"/>
      </c:barChart>
      <c:valAx>
        <c:axId val="49522328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___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95216064"/>
        <c:crossBetween val="between"/>
      </c:valAx>
      <c:catAx>
        <c:axId val="495216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522328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CEN-CINAI:Indicadores de Resultado 2018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(Anual!$B$5,Anual!$C$5,Anual!$F$5,Anual!$L$5)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Total DAF </c:v>
                </c:pt>
              </c:strCache>
            </c:strRef>
          </c:cat>
          <c:val>
            <c:numRef>
              <c:f>(Anual!$B$44,Anual!$C$44,Anual!$F$44,Anual!$L$44)</c:f>
              <c:numCache>
                <c:formatCode>#\ ##0.0____</c:formatCode>
                <c:ptCount val="4"/>
                <c:pt idx="0">
                  <c:v>87.327872905196784</c:v>
                </c:pt>
                <c:pt idx="1">
                  <c:v>60.113343595229438</c:v>
                </c:pt>
                <c:pt idx="2">
                  <c:v>96.538830607774628</c:v>
                </c:pt>
                <c:pt idx="3">
                  <c:v>91.317870575754654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0-401E-886E-95D301DDC186}"/>
            </c:ext>
          </c:extLst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(Anual!$B$5,Anual!$C$5,Anual!$F$5,Anual!$L$5)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Total DAF </c:v>
                </c:pt>
              </c:strCache>
            </c:strRef>
          </c:cat>
          <c:val>
            <c:numRef>
              <c:f>(Anual!$B$45,Anual!$C$45,Anual!$F$45,Anual!$L$45)</c:f>
              <c:numCache>
                <c:formatCode>#\ ##0.0____</c:formatCode>
                <c:ptCount val="4"/>
                <c:pt idx="0">
                  <c:v>68.660053480014852</c:v>
                </c:pt>
                <c:pt idx="1">
                  <c:v>58.410347538575977</c:v>
                </c:pt>
                <c:pt idx="2">
                  <c:v>97.923609260294725</c:v>
                </c:pt>
                <c:pt idx="3">
                  <c:v>86.463926293408122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0-401E-886E-95D301DDC186}"/>
            </c:ext>
          </c:extLst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cat>
            <c:strRef>
              <c:f>(Anual!$B$5,Anual!$C$5,Anual!$F$5,Anual!$L$5)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Total DAF </c:v>
                </c:pt>
              </c:strCache>
            </c:strRef>
          </c:cat>
          <c:val>
            <c:numRef>
              <c:f>(Anual!$B$46,Anual!$C$46,Anual!$F$46,Anual!$L$46)</c:f>
              <c:numCache>
                <c:formatCode>#\ ##0.0____</c:formatCode>
                <c:ptCount val="4"/>
                <c:pt idx="0">
                  <c:v>77.993963192605818</c:v>
                </c:pt>
                <c:pt idx="1">
                  <c:v>59.261845566902707</c:v>
                </c:pt>
                <c:pt idx="2">
                  <c:v>97.231219934034669</c:v>
                </c:pt>
                <c:pt idx="3">
                  <c:v>88.890898434581388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0-401E-886E-95D301DDC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2090752"/>
        <c:axId val="52092288"/>
      </c:barChart>
      <c:catAx>
        <c:axId val="52090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2092288"/>
        <c:crosses val="autoZero"/>
        <c:auto val="1"/>
        <c:lblAlgn val="ctr"/>
        <c:lblOffset val="100"/>
        <c:noMultiLvlLbl val="0"/>
      </c:catAx>
      <c:valAx>
        <c:axId val="52092288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209075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CEN-CINAI: Indicadores de Avance 2018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(Anual!$B$5,Anual!$C$5,Anual!$F$5,Anual!$L$5)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Total DAF </c:v>
                </c:pt>
              </c:strCache>
            </c:strRef>
          </c:cat>
          <c:val>
            <c:numRef>
              <c:f>(Anual!$B$49,Anual!$C$49,Anual!$F$49,Anual!$L$49)</c:f>
              <c:numCache>
                <c:formatCode>#\ ##0.0____</c:formatCode>
                <c:ptCount val="4"/>
                <c:pt idx="0">
                  <c:v>87.327977960968553</c:v>
                </c:pt>
                <c:pt idx="1">
                  <c:v>60.113098154499433</c:v>
                </c:pt>
                <c:pt idx="2">
                  <c:v>96.538635171985177</c:v>
                </c:pt>
                <c:pt idx="3">
                  <c:v>91.309064609450346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3-4707-804F-F38891286423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(Anual!$B$5,Anual!$C$5,Anual!$F$5,Anual!$L$5)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Total DAF </c:v>
                </c:pt>
              </c:strCache>
            </c:strRef>
          </c:cat>
          <c:val>
            <c:numRef>
              <c:f>(Anual!$B$50,Anual!$C$50,Anual!$F$50,Anual!$L$50)</c:f>
              <c:numCache>
                <c:formatCode>#\ ##0.0____</c:formatCode>
                <c:ptCount val="4"/>
                <c:pt idx="0">
                  <c:v>68.660053480014852</c:v>
                </c:pt>
                <c:pt idx="1">
                  <c:v>58.410347538575977</c:v>
                </c:pt>
                <c:pt idx="2">
                  <c:v>97.923609260294725</c:v>
                </c:pt>
                <c:pt idx="3">
                  <c:v>86.463926293408122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33-4707-804F-F38891286423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cat>
            <c:strRef>
              <c:f>(Anual!$B$5,Anual!$C$5,Anual!$F$5,Anual!$L$5)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Total DAF </c:v>
                </c:pt>
              </c:strCache>
            </c:strRef>
          </c:cat>
          <c:val>
            <c:numRef>
              <c:f>(Anual!$B$51,Anual!$C$51,Anual!$F$51,Anual!$L$51)</c:f>
              <c:numCache>
                <c:formatCode>#\ ##0.0____</c:formatCode>
                <c:ptCount val="4"/>
                <c:pt idx="0">
                  <c:v>77.994015720491703</c:v>
                </c:pt>
                <c:pt idx="1">
                  <c:v>59.261722846537708</c:v>
                </c:pt>
                <c:pt idx="2">
                  <c:v>97.231122216139951</c:v>
                </c:pt>
                <c:pt idx="3">
                  <c:v>88.886495451429226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33-4707-804F-F38891286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2107136"/>
        <c:axId val="52108672"/>
      </c:barChart>
      <c:catAx>
        <c:axId val="52107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2108672"/>
        <c:crosses val="autoZero"/>
        <c:auto val="1"/>
        <c:lblAlgn val="ctr"/>
        <c:lblOffset val="100"/>
        <c:noMultiLvlLbl val="0"/>
      </c:catAx>
      <c:valAx>
        <c:axId val="52108672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210713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CEN-CINAI: Indicadores de Expansión 2018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8316154179788868E-2"/>
          <c:y val="0.19029094767409396"/>
          <c:w val="0.91190856772063078"/>
          <c:h val="0.48956363433294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Anual!$B$57</c:f>
              <c:numCache>
                <c:formatCode>#\ ##0.0____</c:formatCode>
                <c:ptCount val="1"/>
                <c:pt idx="0">
                  <c:v>4.0827080120698245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0-4DEE-980F-8FF867164B7F}"/>
            </c:ext>
          </c:extLst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Anual!$B$58</c:f>
              <c:numCache>
                <c:formatCode>#\ ##0.0____</c:formatCode>
                <c:ptCount val="1"/>
                <c:pt idx="0">
                  <c:v>7.7252613470150555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00-4DEE-980F-8FF867164B7F}"/>
            </c:ext>
          </c:extLst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Anual!$B$59</c:f>
              <c:numCache>
                <c:formatCode>#\ ##0.0____</c:formatCode>
                <c:ptCount val="1"/>
                <c:pt idx="0">
                  <c:v>3.4996719479308824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00-4DEE-980F-8FF867164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2153728"/>
        <c:axId val="52159616"/>
      </c:barChart>
      <c:catAx>
        <c:axId val="52153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crossAx val="52159616"/>
        <c:crosses val="autoZero"/>
        <c:auto val="1"/>
        <c:lblAlgn val="ctr"/>
        <c:lblOffset val="100"/>
        <c:noMultiLvlLbl val="0"/>
      </c:catAx>
      <c:valAx>
        <c:axId val="52159616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2153728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18082796235836374"/>
          <c:y val="0.7793878797086452"/>
          <c:w val="0.71354515075859404"/>
          <c:h val="0.18604684494615212"/>
        </c:manualLayout>
      </c:layout>
      <c:overlay val="0"/>
      <c:txPr>
        <a:bodyPr/>
        <a:lstStyle/>
        <a:p>
          <a:pPr>
            <a:defRPr sz="1100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CEN-CINAI: Indicadores de gasto medio 2018</a:t>
            </a:r>
          </a:p>
        </c:rich>
      </c:tx>
      <c:layout/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(Anual!$B$5,Anual!$C$5,Anual!$F$5,Anual!$L$5)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Total DAF </c:v>
                </c:pt>
              </c:strCache>
            </c:strRef>
          </c:cat>
          <c:val>
            <c:numRef>
              <c:f>(Anual!$B$65,Anual!$C$65,Anual!$F$65,Anual!$L$65)</c:f>
              <c:numCache>
                <c:formatCode>#,##0</c:formatCode>
                <c:ptCount val="4"/>
                <c:pt idx="0">
                  <c:v>241582.97522972233</c:v>
                </c:pt>
                <c:pt idx="1">
                  <c:v>392938.48981908307</c:v>
                </c:pt>
                <c:pt idx="2">
                  <c:v>56448.534069308414</c:v>
                </c:pt>
                <c:pt idx="3">
                  <c:v>234312.7946764394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6-4721-B448-2E6C8B38F720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(Anual!$B$5,Anual!$C$5,Anual!$F$5,Anual!$L$5)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Total DAF </c:v>
                </c:pt>
              </c:strCache>
            </c:strRef>
          </c:cat>
          <c:val>
            <c:numRef>
              <c:f>(Anual!$B$66,Anual!$C$66,Anual!$F$66,Anual!$L$66)</c:f>
              <c:numCache>
                <c:formatCode>#,##0</c:formatCode>
                <c:ptCount val="4"/>
                <c:pt idx="0">
                  <c:v>189940.50178161109</c:v>
                </c:pt>
                <c:pt idx="1">
                  <c:v>381806.64023881167</c:v>
                </c:pt>
                <c:pt idx="2">
                  <c:v>57258.24684967989</c:v>
                </c:pt>
                <c:pt idx="3">
                  <c:v>221858.04466059408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B6-4721-B448-2E6C8B38F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242688"/>
        <c:axId val="52248576"/>
        <c:axId val="0"/>
      </c:bar3DChart>
      <c:catAx>
        <c:axId val="5224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2248576"/>
        <c:crosses val="autoZero"/>
        <c:auto val="1"/>
        <c:lblAlgn val="ctr"/>
        <c:lblOffset val="100"/>
        <c:noMultiLvlLbl val="0"/>
      </c:catAx>
      <c:valAx>
        <c:axId val="522485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224268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r>
              <a:rPr lang="en-US" sz="1400">
                <a:solidFill>
                  <a:schemeClr val="tx1"/>
                </a:solidFill>
              </a:rPr>
              <a:t>CEN-CINAI:</a:t>
            </a:r>
            <a:r>
              <a:rPr lang="en-US" sz="1400" baseline="0">
                <a:solidFill>
                  <a:schemeClr val="tx1"/>
                </a:solidFill>
              </a:rPr>
              <a:t> </a:t>
            </a:r>
            <a:r>
              <a:rPr lang="en-US" sz="1400">
                <a:solidFill>
                  <a:schemeClr val="tx1"/>
                </a:solidFill>
              </a:rPr>
              <a:t>Índice de eficiencia (IE) 2018 </a:t>
            </a:r>
          </a:p>
        </c:rich>
      </c:tx>
      <c:layout/>
      <c:overlay val="0"/>
    </c:title>
    <c:autoTitleDeleted val="0"/>
    <c:view3D>
      <c:rotX val="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(Anual!$B$5,Anual!$C$5,Anual!$F$5,Anual!$L$5)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Total DAF </c:v>
                </c:pt>
              </c:strCache>
            </c:strRef>
          </c:cat>
          <c:val>
            <c:numRef>
              <c:f>(Anual!$B$64,Anual!$C$64,Anual!$F$64,Anual!$L$64)</c:f>
              <c:numCache>
                <c:formatCode>#,##0</c:formatCode>
                <c:ptCount val="4"/>
                <c:pt idx="0">
                  <c:v>61.32142586063091</c:v>
                </c:pt>
                <c:pt idx="1">
                  <c:v>57.582972237380389</c:v>
                </c:pt>
                <c:pt idx="2">
                  <c:v>98.625930403132642</c:v>
                </c:pt>
                <c:pt idx="3">
                  <c:v>84.165958338094512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4-4EF2-9B5C-E8715C56F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273152"/>
        <c:axId val="52274688"/>
        <c:axId val="0"/>
      </c:bar3DChart>
      <c:catAx>
        <c:axId val="52273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2274688"/>
        <c:crosses val="autoZero"/>
        <c:auto val="1"/>
        <c:lblAlgn val="ctr"/>
        <c:lblOffset val="100"/>
        <c:noMultiLvlLbl val="0"/>
      </c:catAx>
      <c:valAx>
        <c:axId val="522746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227315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chemeClr val="tx1"/>
                </a:solidFill>
              </a:rPr>
              <a:t>CEN-CINAI: Indicador de giro de recursos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DB8-4D13-A1D4-D5E701C45351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3DB3-4445-BD04-57F53DD2CBC6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73%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B8-4D13-A1D4-D5E701C4535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DB3-4445-BD04-57F53DD2CB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#\ ##0____</c:formatCode>
                <c:ptCount val="2"/>
                <c:pt idx="0">
                  <c:v>73.087053905574933</c:v>
                </c:pt>
                <c:pt idx="1">
                  <c:v>93.942839136354351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3-4445-BD04-57F53DD2C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6745648"/>
        <c:axId val="208592232"/>
      </c:barChart>
      <c:valAx>
        <c:axId val="208592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___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6745648"/>
        <c:crossBetween val="between"/>
        <c:majorUnit val="20"/>
      </c:valAx>
      <c:catAx>
        <c:axId val="486745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859223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285750</xdr:colOff>
      <xdr:row>3</xdr:row>
      <xdr:rowOff>51596</xdr:rowOff>
    </xdr:from>
    <xdr:to>
      <xdr:col>24</xdr:col>
      <xdr:colOff>154781</xdr:colOff>
      <xdr:row>17</xdr:row>
      <xdr:rowOff>107158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27781</xdr:colOff>
      <xdr:row>18</xdr:row>
      <xdr:rowOff>123033</xdr:rowOff>
    </xdr:from>
    <xdr:to>
      <xdr:col>24</xdr:col>
      <xdr:colOff>440531</xdr:colOff>
      <xdr:row>36</xdr:row>
      <xdr:rowOff>182564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3969</xdr:colOff>
      <xdr:row>18</xdr:row>
      <xdr:rowOff>134937</xdr:rowOff>
    </xdr:from>
    <xdr:to>
      <xdr:col>33</xdr:col>
      <xdr:colOff>404813</xdr:colOff>
      <xdr:row>36</xdr:row>
      <xdr:rowOff>178593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15875</xdr:colOff>
      <xdr:row>38</xdr:row>
      <xdr:rowOff>0</xdr:rowOff>
    </xdr:from>
    <xdr:to>
      <xdr:col>24</xdr:col>
      <xdr:colOff>428625</xdr:colOff>
      <xdr:row>56</xdr:row>
      <xdr:rowOff>59530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758031</xdr:colOff>
      <xdr:row>38</xdr:row>
      <xdr:rowOff>0</xdr:rowOff>
    </xdr:from>
    <xdr:to>
      <xdr:col>33</xdr:col>
      <xdr:colOff>428624</xdr:colOff>
      <xdr:row>56</xdr:row>
      <xdr:rowOff>83344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3967</xdr:colOff>
      <xdr:row>2</xdr:row>
      <xdr:rowOff>174625</xdr:rowOff>
    </xdr:from>
    <xdr:to>
      <xdr:col>33</xdr:col>
      <xdr:colOff>381001</xdr:colOff>
      <xdr:row>17</xdr:row>
      <xdr:rowOff>83343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369095</xdr:colOff>
      <xdr:row>58</xdr:row>
      <xdr:rowOff>15875</xdr:rowOff>
    </xdr:from>
    <xdr:to>
      <xdr:col>27</xdr:col>
      <xdr:colOff>416719</xdr:colOff>
      <xdr:row>75</xdr:row>
      <xdr:rowOff>130969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7"/>
  <sheetViews>
    <sheetView tabSelected="1"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" style="4" customWidth="1"/>
    <col min="2" max="15" width="15.7109375" style="4" customWidth="1"/>
    <col min="16" max="16384" width="11.42578125" style="4"/>
  </cols>
  <sheetData>
    <row r="1" spans="1:16" x14ac:dyDescent="0.25">
      <c r="I1" s="7"/>
      <c r="J1" s="7"/>
      <c r="K1" s="7"/>
      <c r="L1" s="7"/>
      <c r="M1" s="7"/>
    </row>
    <row r="2" spans="1:16" ht="15.75" x14ac:dyDescent="0.25">
      <c r="A2" s="81" t="s">
        <v>76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4" spans="1:16" x14ac:dyDescent="0.25">
      <c r="A4" s="84" t="s">
        <v>0</v>
      </c>
      <c r="B4" s="26"/>
      <c r="C4" s="82" t="s">
        <v>2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6" ht="30.75" thickBot="1" x14ac:dyDescent="0.3">
      <c r="A5" s="85"/>
      <c r="B5" s="27" t="s">
        <v>75</v>
      </c>
      <c r="C5" s="27" t="s">
        <v>74</v>
      </c>
      <c r="D5" s="86" t="s">
        <v>83</v>
      </c>
      <c r="E5" s="86"/>
      <c r="F5" s="27" t="s">
        <v>48</v>
      </c>
      <c r="G5" s="85" t="s">
        <v>82</v>
      </c>
      <c r="H5" s="85"/>
      <c r="I5" s="85"/>
      <c r="J5" s="85"/>
      <c r="K5" s="85"/>
      <c r="L5" s="27" t="s">
        <v>140</v>
      </c>
      <c r="M5" s="86" t="s">
        <v>137</v>
      </c>
      <c r="N5" s="86"/>
      <c r="O5" s="75" t="s">
        <v>52</v>
      </c>
    </row>
    <row r="6" spans="1:16" ht="45.75" thickTop="1" x14ac:dyDescent="0.25">
      <c r="B6" s="25" t="s">
        <v>1</v>
      </c>
      <c r="C6" s="33" t="s">
        <v>86</v>
      </c>
      <c r="D6" s="28" t="s">
        <v>84</v>
      </c>
      <c r="E6" s="28" t="s">
        <v>85</v>
      </c>
      <c r="F6" s="25" t="s">
        <v>50</v>
      </c>
      <c r="G6" s="25" t="s">
        <v>77</v>
      </c>
      <c r="H6" s="25" t="s">
        <v>78</v>
      </c>
      <c r="I6" s="25" t="s">
        <v>79</v>
      </c>
      <c r="J6" s="25" t="s">
        <v>80</v>
      </c>
      <c r="K6" s="25" t="s">
        <v>81</v>
      </c>
      <c r="L6" s="25" t="s">
        <v>1</v>
      </c>
      <c r="M6" s="25" t="s">
        <v>138</v>
      </c>
      <c r="N6" s="33" t="s">
        <v>139</v>
      </c>
      <c r="O6" s="29"/>
    </row>
    <row r="7" spans="1:16" x14ac:dyDescent="0.25">
      <c r="A7" s="16" t="s">
        <v>3</v>
      </c>
    </row>
    <row r="9" spans="1:16" x14ac:dyDescent="0.25">
      <c r="A9" s="4" t="s">
        <v>4</v>
      </c>
    </row>
    <row r="10" spans="1:16" s="50" customFormat="1" x14ac:dyDescent="0.25">
      <c r="A10" s="48" t="s">
        <v>53</v>
      </c>
      <c r="B10" s="49">
        <f>+D10+K10</f>
        <v>101554</v>
      </c>
      <c r="C10" s="49">
        <f>D10+E10</f>
        <v>20079</v>
      </c>
      <c r="D10" s="49">
        <v>16862</v>
      </c>
      <c r="E10" s="49">
        <v>3217</v>
      </c>
      <c r="F10" s="49">
        <f>H10+K10+I10</f>
        <v>105866</v>
      </c>
      <c r="G10" s="49">
        <v>0</v>
      </c>
      <c r="H10" s="49">
        <v>18570</v>
      </c>
      <c r="I10" s="49">
        <v>2604</v>
      </c>
      <c r="J10" s="49">
        <v>21815</v>
      </c>
      <c r="K10" s="49">
        <v>84692</v>
      </c>
      <c r="L10" s="49">
        <f>+SUM(M10+N10)</f>
        <v>7809</v>
      </c>
      <c r="M10" s="49">
        <v>7809</v>
      </c>
      <c r="N10" s="49">
        <v>0</v>
      </c>
      <c r="O10" s="49">
        <v>0</v>
      </c>
    </row>
    <row r="11" spans="1:16" s="50" customFormat="1" x14ac:dyDescent="0.25">
      <c r="A11" s="48" t="s">
        <v>87</v>
      </c>
      <c r="B11" s="49">
        <f>+D11+K11</f>
        <v>120216</v>
      </c>
      <c r="C11" s="49">
        <f t="shared" ref="C11:C13" si="0">D11+E11</f>
        <v>53066</v>
      </c>
      <c r="D11" s="49">
        <v>35538</v>
      </c>
      <c r="E11" s="49">
        <v>17528</v>
      </c>
      <c r="F11" s="49">
        <f t="shared" ref="F11:F13" si="1">H11+K11+I11</f>
        <v>107164</v>
      </c>
      <c r="G11" s="49">
        <v>12270</v>
      </c>
      <c r="H11" s="49">
        <v>14513</v>
      </c>
      <c r="I11" s="49">
        <v>7973</v>
      </c>
      <c r="J11" s="49">
        <v>34828</v>
      </c>
      <c r="K11" s="49">
        <v>84678</v>
      </c>
      <c r="L11" s="49">
        <f t="shared" ref="L11:L13" si="2">+SUM(M11+N11)</f>
        <v>9005</v>
      </c>
      <c r="M11" s="49">
        <v>8435</v>
      </c>
      <c r="N11" s="49">
        <v>570</v>
      </c>
      <c r="O11" s="49">
        <v>0</v>
      </c>
    </row>
    <row r="12" spans="1:16" s="50" customFormat="1" x14ac:dyDescent="0.25">
      <c r="A12" s="48" t="s">
        <v>88</v>
      </c>
      <c r="B12" s="49">
        <f>+D12+K12</f>
        <v>102137</v>
      </c>
      <c r="C12" s="49">
        <f t="shared" si="0"/>
        <v>23321</v>
      </c>
      <c r="D12" s="49">
        <v>16279</v>
      </c>
      <c r="E12" s="49">
        <v>7042</v>
      </c>
      <c r="F12" s="49">
        <f t="shared" si="1"/>
        <v>100965</v>
      </c>
      <c r="G12" s="49">
        <v>7946</v>
      </c>
      <c r="H12" s="49">
        <v>12503</v>
      </c>
      <c r="I12" s="49">
        <v>2604</v>
      </c>
      <c r="J12" s="49">
        <v>21293</v>
      </c>
      <c r="K12" s="49">
        <v>85858</v>
      </c>
      <c r="L12" s="49">
        <f t="shared" si="2"/>
        <v>8140</v>
      </c>
      <c r="M12" s="49">
        <v>7605</v>
      </c>
      <c r="N12" s="49">
        <v>535</v>
      </c>
      <c r="O12" s="49">
        <v>0</v>
      </c>
    </row>
    <row r="13" spans="1:16" s="50" customFormat="1" x14ac:dyDescent="0.25">
      <c r="A13" s="48" t="s">
        <v>89</v>
      </c>
      <c r="B13" s="49">
        <f>+D13+K13</f>
        <v>138542.08333333331</v>
      </c>
      <c r="C13" s="49">
        <f t="shared" si="0"/>
        <v>61230</v>
      </c>
      <c r="D13" s="49">
        <v>41072</v>
      </c>
      <c r="E13" s="49">
        <v>20158</v>
      </c>
      <c r="F13" s="49">
        <f t="shared" si="1"/>
        <v>123491.75</v>
      </c>
      <c r="G13" s="49">
        <v>14137.833333333334</v>
      </c>
      <c r="H13" s="49">
        <v>16732.666666666668</v>
      </c>
      <c r="I13" s="49">
        <v>9289</v>
      </c>
      <c r="J13" s="49">
        <v>40246.583333333336</v>
      </c>
      <c r="K13" s="49">
        <v>97470.083333333328</v>
      </c>
      <c r="L13" s="49">
        <f t="shared" si="2"/>
        <v>10370</v>
      </c>
      <c r="M13" s="49">
        <v>9714</v>
      </c>
      <c r="N13" s="49">
        <v>656</v>
      </c>
      <c r="O13" s="49">
        <v>0</v>
      </c>
    </row>
    <row r="14" spans="1:16" x14ac:dyDescent="0.25">
      <c r="I14" s="1"/>
      <c r="J14" s="1"/>
      <c r="K14" s="1"/>
      <c r="L14" s="1"/>
      <c r="M14" s="1"/>
      <c r="P14" s="31"/>
    </row>
    <row r="15" spans="1:16" x14ac:dyDescent="0.25">
      <c r="A15" s="15" t="s">
        <v>5</v>
      </c>
      <c r="I15" s="1"/>
      <c r="J15" s="1"/>
      <c r="K15" s="1"/>
      <c r="L15" s="1"/>
      <c r="M15" s="1"/>
      <c r="O15" s="21"/>
    </row>
    <row r="16" spans="1:16" s="50" customFormat="1" x14ac:dyDescent="0.25">
      <c r="A16" s="48" t="s">
        <v>53</v>
      </c>
      <c r="B16" s="51">
        <f>+C16+F16+L16+O16</f>
        <v>1011473548</v>
      </c>
      <c r="C16" s="51">
        <f>D16</f>
        <v>768990460</v>
      </c>
      <c r="D16" s="87">
        <v>768990460</v>
      </c>
      <c r="E16" s="87"/>
      <c r="F16" s="51">
        <f>G16</f>
        <v>0</v>
      </c>
      <c r="G16" s="80">
        <v>0</v>
      </c>
      <c r="H16" s="80"/>
      <c r="I16" s="80"/>
      <c r="J16" s="80"/>
      <c r="K16" s="80"/>
      <c r="L16" s="51">
        <f t="shared" ref="L16:L18" si="3">SUM(M16:N16)</f>
        <v>242483088</v>
      </c>
      <c r="M16" s="80">
        <v>242483088</v>
      </c>
      <c r="N16" s="80"/>
      <c r="O16" s="51">
        <v>0</v>
      </c>
    </row>
    <row r="17" spans="1:15" s="50" customFormat="1" x14ac:dyDescent="0.25">
      <c r="A17" s="48" t="s">
        <v>87</v>
      </c>
      <c r="B17" s="51">
        <f>+C17+F17+L17+O17</f>
        <v>7207780711</v>
      </c>
      <c r="C17" s="51">
        <f>+D17+E17</f>
        <v>5026275367</v>
      </c>
      <c r="D17" s="51">
        <v>4955248867</v>
      </c>
      <c r="E17" s="51">
        <v>71026500</v>
      </c>
      <c r="F17" s="51">
        <f>G17</f>
        <v>1642815594</v>
      </c>
      <c r="G17" s="80">
        <v>1642815594</v>
      </c>
      <c r="H17" s="80"/>
      <c r="I17" s="80"/>
      <c r="J17" s="80"/>
      <c r="K17" s="80"/>
      <c r="L17" s="51">
        <f t="shared" si="3"/>
        <v>538689750</v>
      </c>
      <c r="M17" s="80">
        <v>538689750</v>
      </c>
      <c r="N17" s="80"/>
      <c r="O17" s="51">
        <v>0</v>
      </c>
    </row>
    <row r="18" spans="1:15" x14ac:dyDescent="0.25">
      <c r="A18" s="13" t="s">
        <v>88</v>
      </c>
      <c r="B18" s="18">
        <f>+C18+F18+L18+O18</f>
        <v>3076624835</v>
      </c>
      <c r="C18" s="18">
        <f>D18</f>
        <v>2105453367</v>
      </c>
      <c r="D18" s="79">
        <v>2105453367</v>
      </c>
      <c r="E18" s="79"/>
      <c r="F18" s="18">
        <f>G18</f>
        <v>622923274</v>
      </c>
      <c r="G18" s="79">
        <v>622923274</v>
      </c>
      <c r="H18" s="79"/>
      <c r="I18" s="79"/>
      <c r="J18" s="79"/>
      <c r="K18" s="79"/>
      <c r="L18" s="51">
        <f t="shared" si="3"/>
        <v>348248194</v>
      </c>
      <c r="M18" s="79">
        <v>348248194</v>
      </c>
      <c r="N18" s="79"/>
      <c r="O18" s="45">
        <v>0</v>
      </c>
    </row>
    <row r="19" spans="1:15" s="50" customFormat="1" x14ac:dyDescent="0.25">
      <c r="A19" s="48" t="s">
        <v>89</v>
      </c>
      <c r="B19" s="51">
        <f>+C19+F19+L19+O19</f>
        <v>33410497500</v>
      </c>
      <c r="C19" s="51">
        <f>+D19+E19</f>
        <v>23348049200</v>
      </c>
      <c r="D19" s="51">
        <v>23021327300</v>
      </c>
      <c r="E19" s="51">
        <v>326721900</v>
      </c>
      <c r="F19" s="51">
        <f>G19</f>
        <v>7571703510</v>
      </c>
      <c r="G19" s="80">
        <v>7571703510</v>
      </c>
      <c r="H19" s="80"/>
      <c r="I19" s="80"/>
      <c r="J19" s="80"/>
      <c r="K19" s="80"/>
      <c r="L19" s="51">
        <f>+SUM(M19:N19)</f>
        <v>2481324850</v>
      </c>
      <c r="M19" s="80">
        <v>2481324850</v>
      </c>
      <c r="N19" s="80"/>
      <c r="O19" s="51">
        <v>9419940</v>
      </c>
    </row>
    <row r="20" spans="1:15" x14ac:dyDescent="0.25">
      <c r="A20" s="13" t="s">
        <v>90</v>
      </c>
      <c r="B20" s="18">
        <f>+C20+F20+L20+O20</f>
        <v>3076624835</v>
      </c>
      <c r="C20" s="18">
        <f>C18</f>
        <v>2105453367</v>
      </c>
      <c r="D20" s="18"/>
      <c r="E20" s="18"/>
      <c r="F20" s="18">
        <f>F18</f>
        <v>622923274</v>
      </c>
      <c r="G20" s="24"/>
      <c r="H20" s="24"/>
      <c r="I20" s="24"/>
      <c r="J20" s="24"/>
      <c r="K20" s="24"/>
      <c r="L20" s="51">
        <f>+L18</f>
        <v>348248194</v>
      </c>
      <c r="M20" s="18"/>
      <c r="N20" s="18"/>
      <c r="O20" s="45">
        <f>+O18</f>
        <v>0</v>
      </c>
    </row>
    <row r="21" spans="1:1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5" x14ac:dyDescent="0.25">
      <c r="A22" s="15" t="s">
        <v>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5" x14ac:dyDescent="0.25">
      <c r="A23" s="13" t="s">
        <v>87</v>
      </c>
      <c r="B23" s="1">
        <f>B17</f>
        <v>7207780711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5" x14ac:dyDescent="0.25">
      <c r="A24" s="13" t="s">
        <v>88</v>
      </c>
      <c r="B24" s="1">
        <v>7891330711</v>
      </c>
      <c r="C24" s="1"/>
      <c r="D24" s="10"/>
      <c r="E24" s="1"/>
      <c r="F24" s="1"/>
      <c r="G24" s="1"/>
      <c r="H24" s="1"/>
      <c r="I24" s="1"/>
      <c r="J24" s="1"/>
      <c r="K24" s="1"/>
      <c r="L24" s="1"/>
      <c r="M24" s="1"/>
      <c r="N24" s="1"/>
    </row>
    <row r="26" spans="1:15" x14ac:dyDescent="0.25">
      <c r="A26" s="4" t="s">
        <v>7</v>
      </c>
    </row>
    <row r="27" spans="1:15" x14ac:dyDescent="0.25">
      <c r="A27" s="13" t="s">
        <v>91</v>
      </c>
      <c r="B27" s="42">
        <v>1.0042274323</v>
      </c>
      <c r="C27" s="42">
        <v>1.0042274323</v>
      </c>
      <c r="D27" s="42">
        <v>1.0042274323</v>
      </c>
      <c r="E27" s="42">
        <v>1.0042274323</v>
      </c>
      <c r="F27" s="42">
        <v>1.0042274323</v>
      </c>
      <c r="G27" s="42">
        <v>1.0042274323</v>
      </c>
      <c r="H27" s="42">
        <v>1.0042274323</v>
      </c>
      <c r="I27" s="42">
        <v>1.0042274323</v>
      </c>
      <c r="J27" s="42">
        <v>1.0042274323</v>
      </c>
      <c r="K27" s="42">
        <v>1.0042274323</v>
      </c>
      <c r="L27" s="42">
        <v>1.0042274323</v>
      </c>
      <c r="M27" s="42">
        <v>1.0042274323</v>
      </c>
      <c r="N27" s="42">
        <v>1.0042274323</v>
      </c>
      <c r="O27" s="42">
        <v>1.0042274323</v>
      </c>
    </row>
    <row r="28" spans="1:15" x14ac:dyDescent="0.25">
      <c r="A28" s="13" t="s">
        <v>92</v>
      </c>
      <c r="B28" s="42">
        <v>1.0304675706999999</v>
      </c>
      <c r="C28" s="42">
        <v>1.0304675706999999</v>
      </c>
      <c r="D28" s="42">
        <v>1.0304675706999999</v>
      </c>
      <c r="E28" s="42">
        <v>1.0304675706999999</v>
      </c>
      <c r="F28" s="42">
        <v>1.0304675706999999</v>
      </c>
      <c r="G28" s="42">
        <v>1.0304675706999999</v>
      </c>
      <c r="H28" s="42">
        <v>1.0304675706999999</v>
      </c>
      <c r="I28" s="42">
        <v>1.0304675706999999</v>
      </c>
      <c r="J28" s="42">
        <v>1.0304675706999999</v>
      </c>
      <c r="K28" s="42">
        <v>1.0304675706999999</v>
      </c>
      <c r="L28" s="42">
        <v>1.0304675706999999</v>
      </c>
      <c r="M28" s="42">
        <v>1.0304675706999999</v>
      </c>
      <c r="N28" s="42">
        <v>1.0304675706999999</v>
      </c>
      <c r="O28" s="42">
        <v>1.0304675706999999</v>
      </c>
    </row>
    <row r="29" spans="1:15" x14ac:dyDescent="0.25">
      <c r="A29" s="13" t="s">
        <v>8</v>
      </c>
      <c r="B29" s="1">
        <v>111207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E30" s="5"/>
      <c r="F30" s="5"/>
    </row>
    <row r="31" spans="1:15" x14ac:dyDescent="0.25">
      <c r="A31" s="16" t="s">
        <v>9</v>
      </c>
      <c r="D31" s="17"/>
      <c r="E31" s="17"/>
      <c r="F31" s="17"/>
      <c r="G31" s="83"/>
      <c r="H31" s="83"/>
      <c r="I31" s="83"/>
      <c r="J31" s="83"/>
      <c r="K31" s="34"/>
      <c r="L31" s="34"/>
      <c r="M31" s="34"/>
    </row>
    <row r="32" spans="1:15" x14ac:dyDescent="0.25">
      <c r="A32" s="4" t="s">
        <v>93</v>
      </c>
      <c r="B32" s="1">
        <f>B16/B27</f>
        <v>1007215612.1879723</v>
      </c>
      <c r="C32" s="8">
        <f>C16/C27</f>
        <v>765753289.80883086</v>
      </c>
      <c r="D32" s="8"/>
      <c r="E32" s="8"/>
      <c r="F32" s="8">
        <f>F16/F27</f>
        <v>0</v>
      </c>
      <c r="G32" s="8"/>
      <c r="H32" s="8"/>
      <c r="I32" s="8"/>
      <c r="J32" s="8"/>
      <c r="K32" s="8"/>
      <c r="L32" s="8">
        <f>L16/L27</f>
        <v>241462322.37914139</v>
      </c>
      <c r="M32" s="8"/>
      <c r="N32" s="1"/>
      <c r="O32" s="18">
        <f>O16/O27</f>
        <v>0</v>
      </c>
    </row>
    <row r="33" spans="1:15" x14ac:dyDescent="0.25">
      <c r="A33" s="4" t="s">
        <v>94</v>
      </c>
      <c r="B33" s="1">
        <f>B18/B28</f>
        <v>2985659056.606739</v>
      </c>
      <c r="C33" s="8">
        <f>C18/C28</f>
        <v>2043201966.6274006</v>
      </c>
      <c r="D33" s="8"/>
      <c r="E33" s="8"/>
      <c r="F33" s="8">
        <f>F18/F28</f>
        <v>604505461.12464869</v>
      </c>
      <c r="G33" s="8"/>
      <c r="H33" s="8"/>
      <c r="I33" s="8"/>
      <c r="J33" s="8"/>
      <c r="K33" s="8"/>
      <c r="L33" s="8">
        <f>L18/L28</f>
        <v>337951628.8546896</v>
      </c>
      <c r="M33" s="8"/>
      <c r="N33" s="1"/>
      <c r="O33" s="18">
        <f>O18/O28</f>
        <v>0</v>
      </c>
    </row>
    <row r="34" spans="1:15" x14ac:dyDescent="0.25">
      <c r="A34" s="4" t="s">
        <v>95</v>
      </c>
      <c r="B34" s="1">
        <f>B32/B10</f>
        <v>9918.0299366639647</v>
      </c>
      <c r="C34" s="8">
        <f>C32/C10</f>
        <v>38137.023248609534</v>
      </c>
      <c r="D34" s="8"/>
      <c r="E34" s="8"/>
      <c r="F34" s="8">
        <f>F32/F10</f>
        <v>0</v>
      </c>
      <c r="G34" s="8"/>
      <c r="H34" s="8"/>
      <c r="I34" s="8"/>
      <c r="J34" s="8"/>
      <c r="K34" s="8"/>
      <c r="L34" s="8">
        <f>L32/L10</f>
        <v>30921.02988591899</v>
      </c>
      <c r="M34" s="8"/>
      <c r="N34" s="1"/>
      <c r="O34" s="18" t="s">
        <v>142</v>
      </c>
    </row>
    <row r="35" spans="1:15" x14ac:dyDescent="0.25">
      <c r="A35" s="4" t="s">
        <v>96</v>
      </c>
      <c r="B35" s="1">
        <f>B33/B12</f>
        <v>29231.904761318023</v>
      </c>
      <c r="C35" s="8">
        <f>C33/C12</f>
        <v>87612.10782673987</v>
      </c>
      <c r="D35" s="8"/>
      <c r="E35" s="8"/>
      <c r="F35" s="8">
        <f>F33/F12</f>
        <v>5987.2773844861949</v>
      </c>
      <c r="G35" s="8"/>
      <c r="H35" s="8"/>
      <c r="I35" s="8"/>
      <c r="J35" s="8"/>
      <c r="K35" s="8"/>
      <c r="L35" s="8">
        <f>L33/L12</f>
        <v>41517.399122197741</v>
      </c>
      <c r="M35" s="8"/>
      <c r="N35" s="18"/>
      <c r="O35" s="18" t="s">
        <v>142</v>
      </c>
    </row>
    <row r="37" spans="1:15" x14ac:dyDescent="0.25">
      <c r="A37" s="16" t="s">
        <v>10</v>
      </c>
    </row>
    <row r="39" spans="1:15" x14ac:dyDescent="0.25">
      <c r="A39" s="4" t="s">
        <v>11</v>
      </c>
    </row>
    <row r="40" spans="1:15" x14ac:dyDescent="0.25">
      <c r="A40" s="4" t="s">
        <v>12</v>
      </c>
      <c r="B40" s="3">
        <f t="shared" ref="B40" si="4">(B11/B29)*100</f>
        <v>108.10110874315467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4" t="s">
        <v>13</v>
      </c>
      <c r="B41" s="3">
        <f t="shared" ref="B41" si="5">(B12/B29)*100</f>
        <v>91.844038594692776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3" spans="1:15" x14ac:dyDescent="0.25">
      <c r="A43" s="4" t="s">
        <v>14</v>
      </c>
    </row>
    <row r="44" spans="1:15" x14ac:dyDescent="0.25">
      <c r="A44" s="4" t="s">
        <v>15</v>
      </c>
      <c r="B44" s="47">
        <f t="shared" ref="B44:N44" si="6">B12/B11*100</f>
        <v>84.961236441072742</v>
      </c>
      <c r="C44" s="47">
        <f t="shared" si="6"/>
        <v>43.947160140202769</v>
      </c>
      <c r="D44" s="47">
        <f t="shared" si="6"/>
        <v>45.80730485677303</v>
      </c>
      <c r="E44" s="47">
        <f t="shared" si="6"/>
        <v>40.175718849840251</v>
      </c>
      <c r="F44" s="47">
        <f t="shared" ref="F44" si="7">F12/F11*100</f>
        <v>94.215408159456544</v>
      </c>
      <c r="G44" s="47">
        <f t="shared" si="6"/>
        <v>64.759576202118978</v>
      </c>
      <c r="H44" s="47">
        <f t="shared" si="6"/>
        <v>86.150347963894433</v>
      </c>
      <c r="I44" s="47">
        <f t="shared" si="6"/>
        <v>32.660228270412645</v>
      </c>
      <c r="J44" s="47">
        <f t="shared" si="6"/>
        <v>61.137590444469971</v>
      </c>
      <c r="K44" s="47">
        <f t="shared" si="6"/>
        <v>101.39351425399749</v>
      </c>
      <c r="L44" s="47">
        <f t="shared" si="6"/>
        <v>90.394225430316482</v>
      </c>
      <c r="M44" s="47">
        <f t="shared" si="6"/>
        <v>90.160047421458216</v>
      </c>
      <c r="N44" s="47">
        <f t="shared" si="6"/>
        <v>93.859649122807014</v>
      </c>
      <c r="O44" s="18" t="s">
        <v>142</v>
      </c>
    </row>
    <row r="45" spans="1:15" x14ac:dyDescent="0.25">
      <c r="A45" s="4" t="s">
        <v>16</v>
      </c>
      <c r="B45" s="47">
        <f>B18/B17*100</f>
        <v>42.684773002384425</v>
      </c>
      <c r="C45" s="47">
        <f>C18/C17*100</f>
        <v>41.888937896704775</v>
      </c>
      <c r="D45" s="47"/>
      <c r="E45" s="47"/>
      <c r="F45" s="47">
        <f>F18/F17*100</f>
        <v>37.918027822178075</v>
      </c>
      <c r="G45" s="47"/>
      <c r="H45" s="47"/>
      <c r="I45" s="47"/>
      <c r="J45" s="47"/>
      <c r="K45" s="47"/>
      <c r="L45" s="47">
        <f>L18/L17*100</f>
        <v>64.647265703496302</v>
      </c>
      <c r="M45" s="47"/>
      <c r="N45" s="47"/>
      <c r="O45" s="18" t="s">
        <v>142</v>
      </c>
    </row>
    <row r="46" spans="1:15" x14ac:dyDescent="0.25">
      <c r="A46" s="4" t="s">
        <v>17</v>
      </c>
      <c r="B46" s="47">
        <f>AVERAGE(B44:B45)</f>
        <v>63.82300472172858</v>
      </c>
      <c r="C46" s="47">
        <f t="shared" ref="C46" si="8">AVERAGE(C44:C45)</f>
        <v>42.918049018453772</v>
      </c>
      <c r="D46" s="47"/>
      <c r="E46" s="47"/>
      <c r="F46" s="47">
        <f t="shared" ref="F46" si="9">AVERAGE(F44:F45)</f>
        <v>66.06671799081731</v>
      </c>
      <c r="G46" s="47"/>
      <c r="H46" s="47"/>
      <c r="I46" s="47"/>
      <c r="J46" s="47"/>
      <c r="K46" s="47"/>
      <c r="L46" s="47">
        <f t="shared" ref="L46" si="10">AVERAGE(L44:L45)</f>
        <v>77.520745566906385</v>
      </c>
      <c r="M46" s="47"/>
      <c r="N46" s="47"/>
      <c r="O46" s="18" t="s">
        <v>142</v>
      </c>
    </row>
    <row r="47" spans="1:1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5" x14ac:dyDescent="0.25">
      <c r="A48" s="4" t="s">
        <v>18</v>
      </c>
    </row>
    <row r="49" spans="1:15" x14ac:dyDescent="0.25">
      <c r="A49" s="4" t="s">
        <v>19</v>
      </c>
      <c r="B49" s="47">
        <f t="shared" ref="B49:N49" si="11">((B12/B13)*100)</f>
        <v>73.722725645937913</v>
      </c>
      <c r="C49" s="47">
        <f t="shared" ref="C49" si="12">((C12/C13)*100)</f>
        <v>38.087538788175728</v>
      </c>
      <c r="D49" s="47">
        <f t="shared" si="11"/>
        <v>39.635274639657183</v>
      </c>
      <c r="E49" s="47">
        <f t="shared" si="11"/>
        <v>34.934021232265103</v>
      </c>
      <c r="F49" s="47">
        <f t="shared" ref="F49" si="13">((F12/F13)*100)</f>
        <v>81.75849803731829</v>
      </c>
      <c r="G49" s="47">
        <f t="shared" si="11"/>
        <v>56.203803034411216</v>
      </c>
      <c r="H49" s="47">
        <f t="shared" si="11"/>
        <v>74.722100482090909</v>
      </c>
      <c r="I49" s="47">
        <f t="shared" si="11"/>
        <v>28.033157498116051</v>
      </c>
      <c r="J49" s="47">
        <f t="shared" si="11"/>
        <v>52.906354369625575</v>
      </c>
      <c r="K49" s="47">
        <f t="shared" si="11"/>
        <v>88.086515435077956</v>
      </c>
      <c r="L49" s="47">
        <f t="shared" ref="L49" si="14">((L12/L13)*100)</f>
        <v>78.495660559305691</v>
      </c>
      <c r="M49" s="47">
        <f t="shared" si="11"/>
        <v>78.289067325509578</v>
      </c>
      <c r="N49" s="47">
        <f t="shared" si="11"/>
        <v>81.554878048780495</v>
      </c>
      <c r="O49" s="18" t="s">
        <v>142</v>
      </c>
    </row>
    <row r="50" spans="1:15" x14ac:dyDescent="0.25">
      <c r="A50" s="4" t="s">
        <v>20</v>
      </c>
      <c r="B50" s="47">
        <f>B18/B19*100</f>
        <v>9.2085573852948457</v>
      </c>
      <c r="C50" s="47">
        <f>C18/C19*100</f>
        <v>9.0176842997229922</v>
      </c>
      <c r="D50" s="47"/>
      <c r="E50" s="47"/>
      <c r="F50" s="47">
        <f>F18/F19*100</f>
        <v>8.2269897807976911</v>
      </c>
      <c r="G50" s="47"/>
      <c r="H50" s="47"/>
      <c r="I50" s="47"/>
      <c r="J50" s="47"/>
      <c r="K50" s="47"/>
      <c r="L50" s="47">
        <f>L18/L19*100</f>
        <v>14.034768321447311</v>
      </c>
      <c r="M50" s="47"/>
      <c r="N50" s="47"/>
      <c r="O50" s="47">
        <f>O18/O19*100</f>
        <v>0</v>
      </c>
    </row>
    <row r="51" spans="1:15" x14ac:dyDescent="0.25">
      <c r="A51" s="4" t="s">
        <v>21</v>
      </c>
      <c r="B51" s="47">
        <f>(B49+B50)/2</f>
        <v>41.465641515616383</v>
      </c>
      <c r="C51" s="47">
        <f>(C49+C50)/2</f>
        <v>23.552611543949361</v>
      </c>
      <c r="D51" s="47"/>
      <c r="E51" s="47"/>
      <c r="F51" s="47">
        <f>(F49+F50)/2</f>
        <v>44.992743909057992</v>
      </c>
      <c r="G51" s="47"/>
      <c r="H51" s="47"/>
      <c r="I51" s="47"/>
      <c r="J51" s="47"/>
      <c r="K51" s="47"/>
      <c r="L51" s="47">
        <f>(L49+L50)/2</f>
        <v>46.265214440376504</v>
      </c>
      <c r="M51" s="47"/>
      <c r="N51" s="47"/>
      <c r="O51" s="18" t="s">
        <v>142</v>
      </c>
    </row>
    <row r="52" spans="1:1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5" x14ac:dyDescent="0.25">
      <c r="A53" s="4" t="s">
        <v>36</v>
      </c>
    </row>
    <row r="54" spans="1:15" x14ac:dyDescent="0.25">
      <c r="A54" s="4" t="s">
        <v>22</v>
      </c>
      <c r="B54" s="3">
        <f>B20/B18*100</f>
        <v>100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6" spans="1:15" x14ac:dyDescent="0.25">
      <c r="A56" s="4" t="s">
        <v>23</v>
      </c>
    </row>
    <row r="57" spans="1:15" x14ac:dyDescent="0.25">
      <c r="A57" s="4" t="s">
        <v>24</v>
      </c>
      <c r="B57" s="47">
        <f t="shared" ref="B57:M57" si="15">((B12/B10)-1)*100</f>
        <v>0.57407881521160942</v>
      </c>
      <c r="C57" s="47">
        <f t="shared" ref="C57" si="16">((C12/C10)-1)*100</f>
        <v>16.146222421435329</v>
      </c>
      <c r="D57" s="47">
        <f t="shared" si="15"/>
        <v>-3.4574783536946985</v>
      </c>
      <c r="E57" s="47">
        <f t="shared" si="15"/>
        <v>118.89959589679826</v>
      </c>
      <c r="F57" s="47">
        <f t="shared" ref="F57" si="17">((F12/F10)-1)*100</f>
        <v>-4.6294372130806893</v>
      </c>
      <c r="G57" s="18" t="s">
        <v>142</v>
      </c>
      <c r="H57" s="47">
        <f t="shared" si="15"/>
        <v>-32.670974690360801</v>
      </c>
      <c r="I57" s="47">
        <f t="shared" si="15"/>
        <v>0</v>
      </c>
      <c r="J57" s="47">
        <f t="shared" si="15"/>
        <v>-2.3928489571395817</v>
      </c>
      <c r="K57" s="47">
        <f t="shared" si="15"/>
        <v>1.3767534123648062</v>
      </c>
      <c r="L57" s="47">
        <f t="shared" ref="L57" si="18">((L12/L10)-1)*100</f>
        <v>4.2386989371238304</v>
      </c>
      <c r="M57" s="47">
        <f t="shared" si="15"/>
        <v>-2.6123703419131727</v>
      </c>
      <c r="N57" s="18" t="s">
        <v>142</v>
      </c>
      <c r="O57" s="18" t="s">
        <v>142</v>
      </c>
    </row>
    <row r="58" spans="1:15" x14ac:dyDescent="0.25">
      <c r="A58" s="4" t="s">
        <v>25</v>
      </c>
      <c r="B58" s="47">
        <f>((B33/B32)-1)*100</f>
        <v>196.42700336236828</v>
      </c>
      <c r="C58" s="47">
        <f>((C33/C32)-1)*100</f>
        <v>166.82248627850922</v>
      </c>
      <c r="D58" s="47"/>
      <c r="E58" s="47"/>
      <c r="F58" s="18" t="s">
        <v>142</v>
      </c>
      <c r="G58" s="47"/>
      <c r="H58" s="47"/>
      <c r="I58" s="47"/>
      <c r="J58" s="47"/>
      <c r="K58" s="47"/>
      <c r="L58" s="47">
        <f>((L33/L32)-1)*100</f>
        <v>39.960398593384603</v>
      </c>
      <c r="M58" s="47"/>
      <c r="N58" s="47"/>
      <c r="O58" s="18" t="s">
        <v>142</v>
      </c>
    </row>
    <row r="59" spans="1:15" x14ac:dyDescent="0.25">
      <c r="A59" s="4" t="s">
        <v>26</v>
      </c>
      <c r="B59" s="47">
        <f>((B35/B34)-1)*100</f>
        <v>194.73499221106897</v>
      </c>
      <c r="C59" s="47">
        <f>((C35/C34)-1)*100</f>
        <v>129.72980155165672</v>
      </c>
      <c r="D59" s="47"/>
      <c r="E59" s="47"/>
      <c r="F59" s="18" t="s">
        <v>142</v>
      </c>
      <c r="G59" s="47"/>
      <c r="H59" s="47"/>
      <c r="I59" s="47"/>
      <c r="J59" s="47"/>
      <c r="K59" s="47"/>
      <c r="L59" s="47">
        <f>((L35/L34)-1)*100</f>
        <v>34.269134227977929</v>
      </c>
      <c r="M59" s="47"/>
      <c r="N59" s="47"/>
      <c r="O59" s="18" t="s">
        <v>142</v>
      </c>
    </row>
    <row r="60" spans="1:15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5" x14ac:dyDescent="0.25">
      <c r="A61" s="4" t="s">
        <v>27</v>
      </c>
    </row>
    <row r="62" spans="1:15" x14ac:dyDescent="0.25">
      <c r="A62" s="4" t="s">
        <v>40</v>
      </c>
      <c r="B62" s="18">
        <f>B17/(B11*3)</f>
        <v>19985.638936026266</v>
      </c>
      <c r="C62" s="18">
        <f>C17/(C11*3)</f>
        <v>31572.478090177014</v>
      </c>
      <c r="D62" s="18"/>
      <c r="E62" s="18"/>
      <c r="F62" s="18">
        <f>F17/(F11*3)</f>
        <v>5109.9734798999662</v>
      </c>
      <c r="G62" s="18"/>
      <c r="H62" s="18"/>
      <c r="I62" s="18"/>
      <c r="J62" s="18"/>
      <c r="K62" s="18"/>
      <c r="L62" s="18">
        <f>L17/(L11*3)</f>
        <v>19940.394225430315</v>
      </c>
      <c r="M62" s="18"/>
      <c r="N62" s="18"/>
      <c r="O62" s="18" t="s">
        <v>142</v>
      </c>
    </row>
    <row r="63" spans="1:15" x14ac:dyDescent="0.25">
      <c r="A63" s="4" t="s">
        <v>41</v>
      </c>
      <c r="B63" s="18">
        <f>B18/(B12*3)</f>
        <v>10040.843295443048</v>
      </c>
      <c r="C63" s="18">
        <f>C18/(C12*3)</f>
        <v>30093.811972042364</v>
      </c>
      <c r="D63" s="18"/>
      <c r="E63" s="18"/>
      <c r="F63" s="18">
        <f>F18/(F12*3)</f>
        <v>2056.565060499513</v>
      </c>
      <c r="G63" s="18"/>
      <c r="H63" s="18"/>
      <c r="I63" s="18"/>
      <c r="J63" s="18"/>
      <c r="K63" s="18"/>
      <c r="L63" s="18">
        <f>L18/(L12*3)</f>
        <v>14260.777805077805</v>
      </c>
      <c r="M63" s="18"/>
      <c r="N63" s="18"/>
      <c r="O63" s="18" t="s">
        <v>142</v>
      </c>
    </row>
    <row r="64" spans="1:15" x14ac:dyDescent="0.25">
      <c r="A64" s="4" t="s">
        <v>30</v>
      </c>
      <c r="B64" s="18">
        <f>(B63/B62)*B46</f>
        <v>32.064863730727225</v>
      </c>
      <c r="C64" s="18">
        <f>(C63/C62)*C46</f>
        <v>40.908024187372355</v>
      </c>
      <c r="D64" s="47"/>
      <c r="E64" s="47"/>
      <c r="F64" s="18">
        <f>(F63/F62)*F46</f>
        <v>26.589277697082938</v>
      </c>
      <c r="G64" s="47"/>
      <c r="H64" s="47"/>
      <c r="I64" s="47"/>
      <c r="J64" s="47"/>
      <c r="K64" s="47"/>
      <c r="L64" s="18">
        <f>(L63/L62)*L46</f>
        <v>55.440535192817407</v>
      </c>
      <c r="M64" s="47"/>
      <c r="N64" s="47"/>
      <c r="O64" s="18" t="s">
        <v>142</v>
      </c>
    </row>
    <row r="65" spans="1:15" x14ac:dyDescent="0.25">
      <c r="A65" s="2" t="s">
        <v>35</v>
      </c>
      <c r="B65" s="18">
        <f>B17/B11</f>
        <v>59956.916808078793</v>
      </c>
      <c r="C65" s="18">
        <f>C17/C11</f>
        <v>94717.434270531041</v>
      </c>
      <c r="D65" s="52"/>
      <c r="E65" s="52"/>
      <c r="F65" s="18">
        <f>F17/F11</f>
        <v>15329.920439699899</v>
      </c>
      <c r="G65" s="52"/>
      <c r="H65" s="52"/>
      <c r="I65" s="52"/>
      <c r="J65" s="52"/>
      <c r="K65" s="52"/>
      <c r="L65" s="18">
        <f>L17/L11</f>
        <v>59821.182676290948</v>
      </c>
      <c r="M65" s="52"/>
      <c r="N65" s="52"/>
      <c r="O65" s="18" t="s">
        <v>142</v>
      </c>
    </row>
    <row r="66" spans="1:15" x14ac:dyDescent="0.25">
      <c r="A66" s="2" t="s">
        <v>34</v>
      </c>
      <c r="B66" s="18">
        <f>B18/B12</f>
        <v>30122.529886329146</v>
      </c>
      <c r="C66" s="18">
        <f>C18/C12</f>
        <v>90281.435916127099</v>
      </c>
      <c r="D66" s="47"/>
      <c r="E66" s="47"/>
      <c r="F66" s="18">
        <f>F18/F12</f>
        <v>6169.6951814985387</v>
      </c>
      <c r="G66" s="52"/>
      <c r="H66" s="52"/>
      <c r="I66" s="52"/>
      <c r="J66" s="52"/>
      <c r="K66" s="52"/>
      <c r="L66" s="18">
        <f>L18/L12</f>
        <v>42782.333415233414</v>
      </c>
      <c r="M66" s="52"/>
      <c r="N66" s="52"/>
      <c r="O66" s="18" t="s">
        <v>142</v>
      </c>
    </row>
    <row r="67" spans="1:15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5" x14ac:dyDescent="0.25">
      <c r="A68" s="4" t="s">
        <v>31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5" x14ac:dyDescent="0.25">
      <c r="A69" s="4" t="s">
        <v>32</v>
      </c>
      <c r="B69" s="12">
        <f>(B24/B23)*100</f>
        <v>109.48350161315001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5" ht="15.75" thickBot="1" x14ac:dyDescent="0.3">
      <c r="A70" s="11" t="s">
        <v>33</v>
      </c>
      <c r="B70" s="53">
        <f>(B18/B24)*100</f>
        <v>38.98740209571227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5.75" thickTop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 x14ac:dyDescent="0.25">
      <c r="A73" s="5" t="s">
        <v>97</v>
      </c>
    </row>
    <row r="74" spans="1:15" x14ac:dyDescent="0.25">
      <c r="A74" s="4" t="s">
        <v>98</v>
      </c>
    </row>
    <row r="75" spans="1:15" x14ac:dyDescent="0.25">
      <c r="A75" s="4" t="s">
        <v>99</v>
      </c>
    </row>
    <row r="76" spans="1:15" x14ac:dyDescent="0.25">
      <c r="A76" s="4" t="s">
        <v>47</v>
      </c>
    </row>
    <row r="78" spans="1:15" x14ac:dyDescent="0.25">
      <c r="A78" s="4" t="s">
        <v>39</v>
      </c>
    </row>
    <row r="79" spans="1:15" x14ac:dyDescent="0.25">
      <c r="A79" s="4" t="s">
        <v>45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5" x14ac:dyDescent="0.25">
      <c r="A80" s="4" t="s">
        <v>51</v>
      </c>
    </row>
    <row r="81" spans="1:1" x14ac:dyDescent="0.25">
      <c r="A81" s="4" t="s">
        <v>44</v>
      </c>
    </row>
    <row r="82" spans="1:1" x14ac:dyDescent="0.25">
      <c r="A82" s="4" t="s">
        <v>46</v>
      </c>
    </row>
    <row r="84" spans="1:1" x14ac:dyDescent="0.25">
      <c r="A84" s="4" t="s">
        <v>141</v>
      </c>
    </row>
    <row r="106" spans="27:30" x14ac:dyDescent="0.25">
      <c r="AA106" s="32"/>
      <c r="AB106" s="32"/>
      <c r="AC106" s="32"/>
      <c r="AD106" s="32"/>
    </row>
    <row r="107" spans="27:30" x14ac:dyDescent="0.25">
      <c r="AA107" s="32"/>
      <c r="AB107" s="32"/>
      <c r="AC107" s="32"/>
      <c r="AD107" s="32"/>
    </row>
  </sheetData>
  <mergeCells count="17">
    <mergeCell ref="M16:N16"/>
    <mergeCell ref="M18:N18"/>
    <mergeCell ref="G19:K19"/>
    <mergeCell ref="A2:O2"/>
    <mergeCell ref="C4:O4"/>
    <mergeCell ref="G31:J31"/>
    <mergeCell ref="A4:A5"/>
    <mergeCell ref="D5:E5"/>
    <mergeCell ref="D16:E16"/>
    <mergeCell ref="D18:E18"/>
    <mergeCell ref="G5:K5"/>
    <mergeCell ref="M5:N5"/>
    <mergeCell ref="G17:K17"/>
    <mergeCell ref="G16:K16"/>
    <mergeCell ref="G18:K18"/>
    <mergeCell ref="M17:N17"/>
    <mergeCell ref="M19:N19"/>
  </mergeCells>
  <pageMargins left="0.7" right="0.7" top="0.75" bottom="0.75" header="0.3" footer="0.3"/>
  <pageSetup orientation="portrait" r:id="rId1"/>
  <ignoredErrors>
    <ignoredError sqref="L16:L19" formulaRange="1"/>
    <ignoredError sqref="C17:C18" formula="1"/>
    <ignoredError sqref="O5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6" sqref="B3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4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" style="4" customWidth="1"/>
    <col min="2" max="15" width="15.7109375" style="4" customWidth="1"/>
    <col min="16" max="16384" width="11.42578125" style="4"/>
  </cols>
  <sheetData>
    <row r="2" spans="1:15" ht="15.75" x14ac:dyDescent="0.25">
      <c r="A2" s="81" t="s">
        <v>100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4" spans="1:15" x14ac:dyDescent="0.25">
      <c r="A4" s="84" t="s">
        <v>0</v>
      </c>
      <c r="B4" s="26"/>
      <c r="C4" s="82" t="s">
        <v>2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ht="30.75" thickBot="1" x14ac:dyDescent="0.3">
      <c r="A5" s="85"/>
      <c r="B5" s="27" t="s">
        <v>75</v>
      </c>
      <c r="C5" s="27" t="s">
        <v>74</v>
      </c>
      <c r="D5" s="86" t="s">
        <v>83</v>
      </c>
      <c r="E5" s="86"/>
      <c r="F5" s="27" t="s">
        <v>48</v>
      </c>
      <c r="G5" s="85" t="s">
        <v>82</v>
      </c>
      <c r="H5" s="85"/>
      <c r="I5" s="85"/>
      <c r="J5" s="85"/>
      <c r="K5" s="85"/>
      <c r="L5" s="27" t="s">
        <v>140</v>
      </c>
      <c r="M5" s="86" t="s">
        <v>137</v>
      </c>
      <c r="N5" s="86"/>
      <c r="O5" s="75" t="s">
        <v>52</v>
      </c>
    </row>
    <row r="6" spans="1:15" ht="45.75" thickTop="1" x14ac:dyDescent="0.25">
      <c r="B6" s="25" t="s">
        <v>1</v>
      </c>
      <c r="C6" s="33" t="s">
        <v>86</v>
      </c>
      <c r="D6" s="28" t="s">
        <v>84</v>
      </c>
      <c r="E6" s="28" t="s">
        <v>85</v>
      </c>
      <c r="F6" s="25" t="s">
        <v>50</v>
      </c>
      <c r="G6" s="25" t="s">
        <v>77</v>
      </c>
      <c r="H6" s="25" t="s">
        <v>78</v>
      </c>
      <c r="I6" s="25" t="s">
        <v>79</v>
      </c>
      <c r="J6" s="25" t="s">
        <v>80</v>
      </c>
      <c r="K6" s="25" t="s">
        <v>81</v>
      </c>
      <c r="L6" s="25" t="s">
        <v>1</v>
      </c>
      <c r="M6" s="25" t="s">
        <v>138</v>
      </c>
      <c r="N6" s="33" t="s">
        <v>139</v>
      </c>
      <c r="O6" s="29"/>
    </row>
    <row r="7" spans="1:15" x14ac:dyDescent="0.25">
      <c r="A7" s="16" t="s">
        <v>3</v>
      </c>
    </row>
    <row r="9" spans="1:15" x14ac:dyDescent="0.25">
      <c r="A9" s="4" t="s">
        <v>4</v>
      </c>
    </row>
    <row r="10" spans="1:15" x14ac:dyDescent="0.25">
      <c r="A10" s="13" t="s">
        <v>54</v>
      </c>
      <c r="B10" s="38">
        <f>+D10+K10</f>
        <v>117838</v>
      </c>
      <c r="C10" s="38">
        <f>+D10+E10</f>
        <v>34517</v>
      </c>
      <c r="D10" s="38">
        <v>23777</v>
      </c>
      <c r="E10" s="38">
        <v>10740</v>
      </c>
      <c r="F10" s="54">
        <f>K10+I10+H10</f>
        <v>120802</v>
      </c>
      <c r="G10" s="37">
        <v>0</v>
      </c>
      <c r="H10" s="54">
        <v>22647</v>
      </c>
      <c r="I10" s="54">
        <v>4094</v>
      </c>
      <c r="J10" s="38">
        <v>25671</v>
      </c>
      <c r="K10" s="38">
        <v>94061</v>
      </c>
      <c r="L10" s="38">
        <f>+SUM(M10:N10)</f>
        <v>8827</v>
      </c>
      <c r="M10" s="54">
        <v>8827</v>
      </c>
      <c r="N10" s="37">
        <v>0</v>
      </c>
      <c r="O10" s="37">
        <v>0</v>
      </c>
    </row>
    <row r="11" spans="1:15" x14ac:dyDescent="0.25">
      <c r="A11" s="13" t="s">
        <v>101</v>
      </c>
      <c r="B11" s="38">
        <f t="shared" ref="B11:B13" si="0">+D11+K11</f>
        <v>144553</v>
      </c>
      <c r="C11" s="38">
        <f t="shared" ref="C11:C13" si="1">+D11+E11</f>
        <v>63883</v>
      </c>
      <c r="D11" s="38">
        <v>42849</v>
      </c>
      <c r="E11" s="38">
        <v>21034</v>
      </c>
      <c r="F11" s="54">
        <f t="shared" ref="F11:F13" si="2">K11+I11+H11</f>
        <v>128848</v>
      </c>
      <c r="G11" s="38">
        <v>14751</v>
      </c>
      <c r="H11" s="38">
        <v>17457</v>
      </c>
      <c r="I11" s="36">
        <v>9687</v>
      </c>
      <c r="J11" s="36">
        <v>41988</v>
      </c>
      <c r="K11" s="36">
        <v>101704</v>
      </c>
      <c r="L11" s="38">
        <f t="shared" ref="L11:L13" si="3">+SUM(M11:N11)</f>
        <v>10819</v>
      </c>
      <c r="M11" s="55">
        <v>10135</v>
      </c>
      <c r="N11" s="36">
        <v>684</v>
      </c>
      <c r="O11" s="37">
        <v>0</v>
      </c>
    </row>
    <row r="12" spans="1:15" x14ac:dyDescent="0.25">
      <c r="A12" s="13" t="s">
        <v>102</v>
      </c>
      <c r="B12" s="38">
        <f t="shared" si="0"/>
        <v>122665</v>
      </c>
      <c r="C12" s="38">
        <f t="shared" si="1"/>
        <v>38482</v>
      </c>
      <c r="D12" s="38">
        <v>23371</v>
      </c>
      <c r="E12" s="38">
        <v>15111</v>
      </c>
      <c r="F12" s="54">
        <f t="shared" si="2"/>
        <v>120007</v>
      </c>
      <c r="G12" s="38">
        <v>10797.3</v>
      </c>
      <c r="H12" s="38">
        <v>13116</v>
      </c>
      <c r="I12" s="38">
        <v>7597</v>
      </c>
      <c r="J12" s="38">
        <v>28228</v>
      </c>
      <c r="K12" s="38">
        <v>99294</v>
      </c>
      <c r="L12" s="38">
        <f t="shared" si="3"/>
        <v>9465</v>
      </c>
      <c r="M12" s="55">
        <v>8888</v>
      </c>
      <c r="N12" s="37">
        <v>577</v>
      </c>
      <c r="O12" s="37">
        <v>0</v>
      </c>
    </row>
    <row r="13" spans="1:15" x14ac:dyDescent="0.25">
      <c r="A13" s="13" t="s">
        <v>89</v>
      </c>
      <c r="B13" s="38">
        <f t="shared" si="0"/>
        <v>138542.08333333331</v>
      </c>
      <c r="C13" s="38">
        <f t="shared" si="1"/>
        <v>61230</v>
      </c>
      <c r="D13" s="36">
        <v>41072</v>
      </c>
      <c r="E13" s="36">
        <v>20158</v>
      </c>
      <c r="F13" s="54">
        <f t="shared" si="2"/>
        <v>123491.75</v>
      </c>
      <c r="G13" s="36">
        <v>14137.833333333334</v>
      </c>
      <c r="H13" s="36">
        <v>16732.666666666668</v>
      </c>
      <c r="I13" s="36">
        <v>9289</v>
      </c>
      <c r="J13" s="36">
        <v>40246.583333333336</v>
      </c>
      <c r="K13" s="36">
        <v>97470.083333333328</v>
      </c>
      <c r="L13" s="38">
        <f t="shared" si="3"/>
        <v>10370</v>
      </c>
      <c r="M13" s="55">
        <v>9714</v>
      </c>
      <c r="N13" s="36">
        <v>656</v>
      </c>
      <c r="O13" s="18">
        <v>0</v>
      </c>
    </row>
    <row r="14" spans="1:15" x14ac:dyDescent="0.25">
      <c r="B14" s="35"/>
      <c r="C14" s="35"/>
      <c r="D14" s="35"/>
      <c r="E14" s="35"/>
      <c r="F14" s="35"/>
      <c r="G14" s="35"/>
      <c r="H14" s="35"/>
      <c r="I14" s="36"/>
      <c r="J14" s="36"/>
      <c r="K14" s="35"/>
      <c r="L14" s="37"/>
      <c r="M14" s="37"/>
      <c r="N14" s="37"/>
      <c r="O14" s="37"/>
    </row>
    <row r="15" spans="1:15" x14ac:dyDescent="0.25">
      <c r="A15" s="15" t="s">
        <v>5</v>
      </c>
      <c r="B15" s="38"/>
      <c r="C15" s="38"/>
      <c r="D15" s="35"/>
      <c r="E15" s="37"/>
      <c r="F15" s="37"/>
      <c r="G15" s="35"/>
      <c r="H15" s="35"/>
      <c r="I15" s="38"/>
      <c r="J15" s="38"/>
      <c r="K15" s="35"/>
      <c r="L15" s="37"/>
      <c r="M15" s="37"/>
      <c r="N15" s="37"/>
      <c r="O15" s="37"/>
    </row>
    <row r="16" spans="1:15" x14ac:dyDescent="0.25">
      <c r="A16" s="13" t="s">
        <v>54</v>
      </c>
      <c r="B16" s="22">
        <f>+C16+F16+L16+O16</f>
        <v>6478327580</v>
      </c>
      <c r="C16" s="8">
        <f>D16</f>
        <v>3306279900</v>
      </c>
      <c r="D16" s="79">
        <v>3306279900</v>
      </c>
      <c r="E16" s="79"/>
      <c r="F16" s="8">
        <f>G16</f>
        <v>2503973520</v>
      </c>
      <c r="G16" s="79">
        <v>2503973520</v>
      </c>
      <c r="H16" s="79"/>
      <c r="I16" s="79"/>
      <c r="J16" s="79"/>
      <c r="K16" s="79"/>
      <c r="L16" s="8">
        <f>+M16</f>
        <v>668074160</v>
      </c>
      <c r="M16" s="88">
        <v>668074160</v>
      </c>
      <c r="N16" s="88"/>
      <c r="O16" s="18">
        <v>0</v>
      </c>
    </row>
    <row r="17" spans="1:15" s="50" customFormat="1" x14ac:dyDescent="0.25">
      <c r="A17" s="48" t="s">
        <v>101</v>
      </c>
      <c r="B17" s="22">
        <f>+C17+F17+L17+O17</f>
        <v>8908317661.8600006</v>
      </c>
      <c r="C17" s="49">
        <f>+D17+E17</f>
        <v>6362408444</v>
      </c>
      <c r="D17" s="49">
        <v>6236548073</v>
      </c>
      <c r="E17" s="49">
        <v>125860371</v>
      </c>
      <c r="F17" s="49">
        <f>G17</f>
        <v>1889223577.8599999</v>
      </c>
      <c r="G17" s="80">
        <v>1889223577.8599999</v>
      </c>
      <c r="H17" s="80"/>
      <c r="I17" s="80"/>
      <c r="J17" s="80"/>
      <c r="K17" s="80"/>
      <c r="L17" s="49">
        <f>+M17</f>
        <v>647265700</v>
      </c>
      <c r="M17" s="80">
        <v>647265700</v>
      </c>
      <c r="N17" s="80"/>
      <c r="O17" s="22">
        <v>9419940</v>
      </c>
    </row>
    <row r="18" spans="1:15" x14ac:dyDescent="0.25">
      <c r="A18" s="13" t="s">
        <v>102</v>
      </c>
      <c r="B18" s="22">
        <f>+C18+F18+L18+O18</f>
        <v>5697847148.0299997</v>
      </c>
      <c r="C18" s="8">
        <f>D18</f>
        <v>3283227921.3400002</v>
      </c>
      <c r="D18" s="79">
        <v>3283227921.3400002</v>
      </c>
      <c r="E18" s="79"/>
      <c r="F18" s="8">
        <f>G18</f>
        <v>1733874580.24</v>
      </c>
      <c r="G18" s="79">
        <v>1733874580.24</v>
      </c>
      <c r="H18" s="79"/>
      <c r="I18" s="79"/>
      <c r="J18" s="79"/>
      <c r="K18" s="79"/>
      <c r="L18" s="8">
        <f t="shared" ref="L18" si="4">+SUM(M18:N18)</f>
        <v>680744646.45000005</v>
      </c>
      <c r="M18" s="79">
        <v>680744646.45000005</v>
      </c>
      <c r="N18" s="79"/>
      <c r="O18" s="18">
        <v>0</v>
      </c>
    </row>
    <row r="19" spans="1:15" x14ac:dyDescent="0.25">
      <c r="A19" s="13" t="s">
        <v>89</v>
      </c>
      <c r="B19" s="22">
        <f>+C19+F19+L19+O19</f>
        <v>33469448950.02</v>
      </c>
      <c r="C19" s="22">
        <f>+D19+E19</f>
        <v>24059525497</v>
      </c>
      <c r="D19" s="8">
        <v>23448403597</v>
      </c>
      <c r="E19" s="8">
        <v>611121900</v>
      </c>
      <c r="F19" s="8">
        <f>G19</f>
        <v>6970914145.0200005</v>
      </c>
      <c r="G19" s="79">
        <v>6970914145.0200005</v>
      </c>
      <c r="H19" s="79"/>
      <c r="I19" s="79"/>
      <c r="J19" s="79"/>
      <c r="K19" s="79"/>
      <c r="L19" s="8">
        <f>+M19</f>
        <v>2429589368</v>
      </c>
      <c r="M19" s="79">
        <v>2429589368</v>
      </c>
      <c r="N19" s="79"/>
      <c r="O19" s="22">
        <v>9419940</v>
      </c>
    </row>
    <row r="20" spans="1:15" x14ac:dyDescent="0.25">
      <c r="A20" s="13" t="s">
        <v>103</v>
      </c>
      <c r="B20" s="22">
        <f>+C20+F20+L20+O20</f>
        <v>5697847148.0299997</v>
      </c>
      <c r="C20" s="8">
        <f>C18</f>
        <v>3283227921.3400002</v>
      </c>
      <c r="D20" s="8"/>
      <c r="E20" s="8"/>
      <c r="F20" s="8">
        <f>F18</f>
        <v>1733874580.24</v>
      </c>
      <c r="G20" s="8"/>
      <c r="H20" s="8"/>
      <c r="I20" s="8"/>
      <c r="J20" s="8"/>
      <c r="K20" s="8"/>
      <c r="L20" s="8">
        <f>L18</f>
        <v>680744646.45000005</v>
      </c>
      <c r="M20" s="8"/>
      <c r="N20" s="17"/>
      <c r="O20" s="18">
        <f>+O18</f>
        <v>0</v>
      </c>
    </row>
    <row r="21" spans="1:15" x14ac:dyDescent="0.25">
      <c r="B21" s="38"/>
      <c r="C21" s="35"/>
      <c r="D21" s="35"/>
      <c r="E21" s="35"/>
      <c r="F21" s="35"/>
      <c r="G21" s="35"/>
      <c r="H21" s="35"/>
      <c r="I21" s="35"/>
      <c r="J21" s="35"/>
      <c r="K21" s="35"/>
      <c r="L21" s="37"/>
      <c r="M21" s="37"/>
      <c r="N21" s="37"/>
      <c r="O21" s="37"/>
    </row>
    <row r="22" spans="1:15" x14ac:dyDescent="0.25">
      <c r="A22" s="15" t="s">
        <v>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7"/>
      <c r="N22" s="37"/>
      <c r="O22" s="37"/>
    </row>
    <row r="23" spans="1:15" x14ac:dyDescent="0.25">
      <c r="A23" s="13" t="s">
        <v>101</v>
      </c>
      <c r="B23" s="38">
        <f>B17</f>
        <v>8908317661.8600006</v>
      </c>
      <c r="C23" s="38"/>
      <c r="D23" s="35"/>
      <c r="E23" s="35"/>
      <c r="F23" s="35"/>
      <c r="G23" s="35"/>
      <c r="H23" s="35"/>
      <c r="I23" s="35"/>
      <c r="J23" s="35"/>
      <c r="K23" s="35"/>
      <c r="L23" s="35"/>
      <c r="M23" s="37"/>
      <c r="N23" s="37"/>
      <c r="O23" s="37"/>
    </row>
    <row r="24" spans="1:15" x14ac:dyDescent="0.25">
      <c r="A24" s="13" t="s">
        <v>102</v>
      </c>
      <c r="B24" s="22">
        <v>9074618713</v>
      </c>
      <c r="C24" s="38"/>
      <c r="D24" s="35"/>
      <c r="E24" s="35"/>
      <c r="F24" s="35"/>
      <c r="G24" s="35"/>
      <c r="H24" s="35"/>
      <c r="I24" s="35"/>
      <c r="J24" s="35"/>
      <c r="K24" s="35"/>
      <c r="L24" s="35"/>
      <c r="M24" s="37"/>
      <c r="N24" s="37"/>
      <c r="O24" s="37"/>
    </row>
    <row r="26" spans="1:15" x14ac:dyDescent="0.25">
      <c r="A26" s="4" t="s">
        <v>7</v>
      </c>
    </row>
    <row r="27" spans="1:15" x14ac:dyDescent="0.25">
      <c r="A27" s="13" t="s">
        <v>55</v>
      </c>
      <c r="B27" s="42">
        <v>1.0088033727000001</v>
      </c>
      <c r="C27" s="42">
        <v>1.0088033727000001</v>
      </c>
      <c r="D27" s="42">
        <v>1.0088033727000001</v>
      </c>
      <c r="E27" s="42">
        <v>1.0088033727000001</v>
      </c>
      <c r="F27" s="42">
        <v>1.0088033727000001</v>
      </c>
      <c r="G27" s="42">
        <v>1.0088033727000001</v>
      </c>
      <c r="H27" s="42">
        <v>1.0088033727000001</v>
      </c>
      <c r="I27" s="42">
        <v>1.0088033727000001</v>
      </c>
      <c r="J27" s="42">
        <v>1.0088033727000001</v>
      </c>
      <c r="K27" s="42">
        <v>1.0088033727000001</v>
      </c>
      <c r="L27" s="42">
        <v>1.0088033727000001</v>
      </c>
      <c r="M27" s="42">
        <v>1.0088033727000001</v>
      </c>
      <c r="N27" s="42">
        <v>1.0088033727000001</v>
      </c>
      <c r="O27" s="42">
        <v>1.0088033727000001</v>
      </c>
    </row>
    <row r="28" spans="1:15" x14ac:dyDescent="0.25">
      <c r="A28" s="13" t="s">
        <v>104</v>
      </c>
      <c r="B28" s="42">
        <v>1.0303325644000001</v>
      </c>
      <c r="C28" s="42">
        <v>1.0303325644000001</v>
      </c>
      <c r="D28" s="42">
        <v>1.0303325644000001</v>
      </c>
      <c r="E28" s="42">
        <v>1.0303325644000001</v>
      </c>
      <c r="F28" s="42">
        <v>1.0303325644000001</v>
      </c>
      <c r="G28" s="42">
        <v>1.0303325644000001</v>
      </c>
      <c r="H28" s="42">
        <v>1.0303325644000001</v>
      </c>
      <c r="I28" s="42">
        <v>1.0303325644000001</v>
      </c>
      <c r="J28" s="42">
        <v>1.0303325644000001</v>
      </c>
      <c r="K28" s="42">
        <v>1.0303325644000001</v>
      </c>
      <c r="L28" s="42">
        <v>1.0303325644000001</v>
      </c>
      <c r="M28" s="42">
        <v>1.0303325644000001</v>
      </c>
      <c r="N28" s="42">
        <v>1.0303325644000001</v>
      </c>
      <c r="O28" s="42">
        <v>1.0303325644000001</v>
      </c>
    </row>
    <row r="29" spans="1:15" ht="15.75" customHeight="1" x14ac:dyDescent="0.25">
      <c r="A29" s="13" t="s">
        <v>8</v>
      </c>
      <c r="B29" s="1">
        <v>111207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1" spans="1:15" x14ac:dyDescent="0.25">
      <c r="A31" s="16" t="s">
        <v>9</v>
      </c>
      <c r="D31" s="17"/>
      <c r="E31" s="17"/>
      <c r="F31" s="17"/>
      <c r="G31" s="83"/>
      <c r="H31" s="83"/>
      <c r="I31" s="83"/>
      <c r="J31" s="83"/>
    </row>
    <row r="32" spans="1:15" x14ac:dyDescent="0.25">
      <c r="A32" s="4" t="s">
        <v>56</v>
      </c>
      <c r="B32" s="18">
        <f>B16/B27</f>
        <v>6421794132.8458834</v>
      </c>
      <c r="C32" s="18">
        <f>C16/C27</f>
        <v>3277427484.3579731</v>
      </c>
      <c r="D32" s="18"/>
      <c r="E32" s="18"/>
      <c r="F32" s="18">
        <f>F16/F27</f>
        <v>2482122470.8024807</v>
      </c>
      <c r="G32" s="18"/>
      <c r="H32" s="18"/>
      <c r="I32" s="18"/>
      <c r="J32" s="18"/>
      <c r="K32" s="18"/>
      <c r="L32" s="18">
        <f>L16/L27</f>
        <v>662244177.68543005</v>
      </c>
      <c r="M32" s="18"/>
      <c r="N32" s="37"/>
      <c r="O32" s="37">
        <f>O16/O27</f>
        <v>0</v>
      </c>
    </row>
    <row r="33" spans="1:15" x14ac:dyDescent="0.25">
      <c r="A33" s="4" t="s">
        <v>105</v>
      </c>
      <c r="B33" s="18">
        <f>B18/B28</f>
        <v>5530104885.4532347</v>
      </c>
      <c r="C33" s="18">
        <f>C18/C28</f>
        <v>3186571049.7580385</v>
      </c>
      <c r="D33" s="18"/>
      <c r="E33" s="18"/>
      <c r="F33" s="18">
        <f>F18/F28</f>
        <v>1682830029.9813371</v>
      </c>
      <c r="G33" s="18"/>
      <c r="H33" s="18"/>
      <c r="I33" s="18"/>
      <c r="J33" s="18"/>
      <c r="K33" s="18"/>
      <c r="L33" s="18">
        <f>L18/L28</f>
        <v>660703805.71385932</v>
      </c>
      <c r="M33" s="18"/>
      <c r="N33" s="37"/>
      <c r="O33" s="37">
        <f>O18/O28</f>
        <v>0</v>
      </c>
    </row>
    <row r="34" spans="1:15" x14ac:dyDescent="0.25">
      <c r="A34" s="4" t="s">
        <v>57</v>
      </c>
      <c r="B34" s="18">
        <f>B32/B10</f>
        <v>54496.801819836415</v>
      </c>
      <c r="C34" s="18">
        <f>C32/C10</f>
        <v>94951.110593561811</v>
      </c>
      <c r="D34" s="18"/>
      <c r="E34" s="18"/>
      <c r="F34" s="18">
        <f>F32/F10</f>
        <v>20547.031264403577</v>
      </c>
      <c r="G34" s="18"/>
      <c r="H34" s="18"/>
      <c r="I34" s="18"/>
      <c r="J34" s="18"/>
      <c r="K34" s="18"/>
      <c r="L34" s="18">
        <f>L32/L10</f>
        <v>75024.830371069445</v>
      </c>
      <c r="M34" s="18"/>
      <c r="N34" s="37"/>
      <c r="O34" s="37" t="s">
        <v>142</v>
      </c>
    </row>
    <row r="35" spans="1:15" x14ac:dyDescent="0.25">
      <c r="A35" s="4" t="s">
        <v>106</v>
      </c>
      <c r="B35" s="18">
        <f>B33/B12</f>
        <v>45082.989324201968</v>
      </c>
      <c r="C35" s="18">
        <f>C33/C12</f>
        <v>82806.794079258834</v>
      </c>
      <c r="D35" s="18"/>
      <c r="E35" s="18"/>
      <c r="F35" s="18">
        <f>F33/F12</f>
        <v>14022.765588518479</v>
      </c>
      <c r="G35" s="18"/>
      <c r="H35" s="18"/>
      <c r="I35" s="18"/>
      <c r="J35" s="18"/>
      <c r="K35" s="18"/>
      <c r="L35" s="18">
        <f>L33/L12</f>
        <v>69804.945136171082</v>
      </c>
      <c r="M35" s="18"/>
      <c r="N35" s="37"/>
      <c r="O35" s="37" t="s">
        <v>142</v>
      </c>
    </row>
    <row r="37" spans="1:15" x14ac:dyDescent="0.25">
      <c r="A37" s="16" t="s">
        <v>10</v>
      </c>
    </row>
    <row r="39" spans="1:15" x14ac:dyDescent="0.25">
      <c r="A39" s="4" t="s">
        <v>11</v>
      </c>
    </row>
    <row r="40" spans="1:15" x14ac:dyDescent="0.25">
      <c r="A40" s="4" t="s">
        <v>12</v>
      </c>
      <c r="B40" s="3">
        <f t="shared" ref="B40" si="5">(B11/B29)*100</f>
        <v>129.9855224940876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5" x14ac:dyDescent="0.25">
      <c r="A41" s="4" t="s">
        <v>13</v>
      </c>
      <c r="B41" s="3">
        <f t="shared" ref="B41" si="6">(B12/B29)*100</f>
        <v>110.30330824498458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3" spans="1:15" x14ac:dyDescent="0.25">
      <c r="A43" s="4" t="s">
        <v>14</v>
      </c>
    </row>
    <row r="44" spans="1:15" x14ac:dyDescent="0.25">
      <c r="A44" s="4" t="s">
        <v>15</v>
      </c>
      <c r="B44" s="47">
        <f t="shared" ref="B44:N44" si="7">B12/B11*100</f>
        <v>84.858148914239067</v>
      </c>
      <c r="C44" s="47">
        <f t="shared" si="7"/>
        <v>60.238248047211307</v>
      </c>
      <c r="D44" s="47">
        <f t="shared" si="7"/>
        <v>54.542696445658009</v>
      </c>
      <c r="E44" s="47">
        <f t="shared" si="7"/>
        <v>71.840829133783402</v>
      </c>
      <c r="F44" s="47">
        <f t="shared" si="7"/>
        <v>93.138426673289459</v>
      </c>
      <c r="G44" s="47">
        <f t="shared" si="7"/>
        <v>73.197071384990835</v>
      </c>
      <c r="H44" s="47">
        <f t="shared" si="7"/>
        <v>75.133184395944312</v>
      </c>
      <c r="I44" s="47">
        <f t="shared" si="7"/>
        <v>78.424692887374832</v>
      </c>
      <c r="J44" s="47">
        <f t="shared" si="7"/>
        <v>67.228732018672005</v>
      </c>
      <c r="K44" s="47">
        <f t="shared" si="7"/>
        <v>97.63037835286714</v>
      </c>
      <c r="L44" s="47">
        <f t="shared" si="7"/>
        <v>87.484980127553385</v>
      </c>
      <c r="M44" s="47">
        <f t="shared" si="7"/>
        <v>87.69610261470153</v>
      </c>
      <c r="N44" s="37">
        <f t="shared" si="7"/>
        <v>84.356725146198826</v>
      </c>
      <c r="O44" s="37" t="s">
        <v>142</v>
      </c>
    </row>
    <row r="45" spans="1:15" x14ac:dyDescent="0.25">
      <c r="A45" s="4" t="s">
        <v>16</v>
      </c>
      <c r="B45" s="47">
        <f>B18/B17*100</f>
        <v>63.960978540591526</v>
      </c>
      <c r="C45" s="47">
        <f>C18/C17*100</f>
        <v>51.603538978014093</v>
      </c>
      <c r="D45" s="47"/>
      <c r="E45" s="47"/>
      <c r="F45" s="47">
        <f>F18/F17*100</f>
        <v>91.777098304269003</v>
      </c>
      <c r="G45" s="47"/>
      <c r="H45" s="47"/>
      <c r="I45" s="47"/>
      <c r="J45" s="47"/>
      <c r="K45" s="47"/>
      <c r="L45" s="47">
        <f>L18/L17*100</f>
        <v>105.17236529758955</v>
      </c>
      <c r="M45" s="47"/>
      <c r="N45" s="37"/>
      <c r="O45" s="37">
        <f>O18/O17*100</f>
        <v>0</v>
      </c>
    </row>
    <row r="46" spans="1:15" x14ac:dyDescent="0.25">
      <c r="A46" s="4" t="s">
        <v>17</v>
      </c>
      <c r="B46" s="47">
        <f>AVERAGE(B44:B45)</f>
        <v>74.409563727415303</v>
      </c>
      <c r="C46" s="47">
        <f t="shared" ref="C46" si="8">AVERAGE(C44:C45)</f>
        <v>55.9208935126127</v>
      </c>
      <c r="D46" s="47"/>
      <c r="E46" s="47"/>
      <c r="F46" s="47">
        <f t="shared" ref="F46" si="9">AVERAGE(F44:F45)</f>
        <v>92.457762488779224</v>
      </c>
      <c r="G46" s="47"/>
      <c r="H46" s="47"/>
      <c r="I46" s="47"/>
      <c r="J46" s="47"/>
      <c r="K46" s="47"/>
      <c r="L46" s="47">
        <f t="shared" ref="L46" si="10">AVERAGE(L44:L45)</f>
        <v>96.328672712571461</v>
      </c>
      <c r="M46" s="47"/>
      <c r="N46" s="37"/>
      <c r="O46" s="37" t="s">
        <v>142</v>
      </c>
    </row>
    <row r="47" spans="1:1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5" x14ac:dyDescent="0.25">
      <c r="A48" s="4" t="s">
        <v>18</v>
      </c>
    </row>
    <row r="49" spans="1:15" x14ac:dyDescent="0.25">
      <c r="A49" s="4" t="s">
        <v>19</v>
      </c>
      <c r="B49" s="47">
        <f t="shared" ref="B49:N49" si="11">((B12/B13)*100)</f>
        <v>88.539884090574176</v>
      </c>
      <c r="C49" s="47">
        <f t="shared" si="11"/>
        <v>62.848276988404372</v>
      </c>
      <c r="D49" s="47">
        <f t="shared" si="11"/>
        <v>56.902512660693418</v>
      </c>
      <c r="E49" s="47">
        <f t="shared" si="11"/>
        <v>74.962793927969045</v>
      </c>
      <c r="F49" s="47">
        <f t="shared" si="11"/>
        <v>97.178151576927206</v>
      </c>
      <c r="G49" s="47">
        <f t="shared" si="11"/>
        <v>76.371674113195084</v>
      </c>
      <c r="H49" s="47">
        <f t="shared" si="11"/>
        <v>78.385593051515983</v>
      </c>
      <c r="I49" s="47">
        <f t="shared" si="11"/>
        <v>81.784906879104312</v>
      </c>
      <c r="J49" s="47">
        <f t="shared" si="11"/>
        <v>70.137630730558911</v>
      </c>
      <c r="K49" s="47">
        <f t="shared" si="11"/>
        <v>101.87125793298971</v>
      </c>
      <c r="L49" s="47">
        <f t="shared" si="11"/>
        <v>91.27290260366442</v>
      </c>
      <c r="M49" s="47">
        <f t="shared" si="11"/>
        <v>91.496808729668516</v>
      </c>
      <c r="N49" s="37">
        <f t="shared" si="11"/>
        <v>87.957317073170728</v>
      </c>
      <c r="O49" s="37" t="s">
        <v>142</v>
      </c>
    </row>
    <row r="50" spans="1:15" x14ac:dyDescent="0.25">
      <c r="A50" s="4" t="s">
        <v>20</v>
      </c>
      <c r="B50" s="47">
        <f>B18/B19*100</f>
        <v>17.024024376793914</v>
      </c>
      <c r="C50" s="47">
        <f>C18/C19*100</f>
        <v>13.646270462604877</v>
      </c>
      <c r="D50" s="47"/>
      <c r="E50" s="47"/>
      <c r="F50" s="47">
        <f>F18/F19*100</f>
        <v>24.872987160208744</v>
      </c>
      <c r="G50" s="47"/>
      <c r="H50" s="47"/>
      <c r="I50" s="47"/>
      <c r="J50" s="47"/>
      <c r="K50" s="47"/>
      <c r="L50" s="47">
        <f>L18/L19*100</f>
        <v>28.018917740423699</v>
      </c>
      <c r="M50" s="47"/>
      <c r="N50" s="37"/>
      <c r="O50" s="37">
        <f>O18/O19*100</f>
        <v>0</v>
      </c>
    </row>
    <row r="51" spans="1:15" x14ac:dyDescent="0.25">
      <c r="A51" s="4" t="s">
        <v>21</v>
      </c>
      <c r="B51" s="47">
        <f>(B49+B50)/2</f>
        <v>52.781954233684047</v>
      </c>
      <c r="C51" s="47">
        <f>(C49+C50)/2</f>
        <v>38.247273725504627</v>
      </c>
      <c r="D51" s="47"/>
      <c r="E51" s="47"/>
      <c r="F51" s="47">
        <f>(F49+F50)/2</f>
        <v>61.025569368567972</v>
      </c>
      <c r="G51" s="47"/>
      <c r="H51" s="47"/>
      <c r="I51" s="47"/>
      <c r="J51" s="47"/>
      <c r="K51" s="47"/>
      <c r="L51" s="47">
        <f>(L49+L50)/2</f>
        <v>59.645910172044061</v>
      </c>
      <c r="M51" s="47"/>
      <c r="N51" s="37"/>
      <c r="O51" s="37" t="s">
        <v>142</v>
      </c>
    </row>
    <row r="52" spans="1:1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5" x14ac:dyDescent="0.25">
      <c r="A53" s="4" t="s">
        <v>36</v>
      </c>
    </row>
    <row r="54" spans="1:15" x14ac:dyDescent="0.25">
      <c r="A54" s="4" t="s">
        <v>22</v>
      </c>
      <c r="B54" s="3">
        <f>B20/B18*100</f>
        <v>100</v>
      </c>
      <c r="C54" s="2"/>
      <c r="D54" s="2"/>
      <c r="E54" s="2"/>
      <c r="F54" s="2"/>
      <c r="G54" s="2"/>
      <c r="H54" s="2"/>
      <c r="I54" s="2"/>
      <c r="J54" s="2"/>
      <c r="K54" s="2"/>
      <c r="L54" s="2"/>
    </row>
    <row r="56" spans="1:15" x14ac:dyDescent="0.25">
      <c r="A56" s="4" t="s">
        <v>23</v>
      </c>
    </row>
    <row r="57" spans="1:15" x14ac:dyDescent="0.25">
      <c r="A57" s="4" t="s">
        <v>24</v>
      </c>
      <c r="B57" s="47">
        <f t="shared" ref="B57:M57" si="12">((B12/B10)-1)*100</f>
        <v>4.0963017023371018</v>
      </c>
      <c r="C57" s="47">
        <f t="shared" si="12"/>
        <v>11.487093316336882</v>
      </c>
      <c r="D57" s="47">
        <f t="shared" si="12"/>
        <v>-1.7075324893804922</v>
      </c>
      <c r="E57" s="47">
        <f t="shared" si="12"/>
        <v>40.69832402234637</v>
      </c>
      <c r="F57" s="47">
        <f t="shared" si="12"/>
        <v>-0.65810168705816574</v>
      </c>
      <c r="G57" s="47" t="s">
        <v>142</v>
      </c>
      <c r="H57" s="47">
        <f t="shared" si="12"/>
        <v>-42.085044376738644</v>
      </c>
      <c r="I57" s="47">
        <f t="shared" si="12"/>
        <v>85.564240351734242</v>
      </c>
      <c r="J57" s="47">
        <f t="shared" si="12"/>
        <v>9.9606559931440195</v>
      </c>
      <c r="K57" s="47">
        <f t="shared" si="12"/>
        <v>5.5634109779823637</v>
      </c>
      <c r="L57" s="47">
        <f t="shared" si="12"/>
        <v>7.22782372266908</v>
      </c>
      <c r="M57" s="47">
        <f t="shared" si="12"/>
        <v>0.69106151580378139</v>
      </c>
      <c r="N57" s="37" t="s">
        <v>142</v>
      </c>
      <c r="O57" s="37" t="s">
        <v>142</v>
      </c>
    </row>
    <row r="58" spans="1:15" x14ac:dyDescent="0.25">
      <c r="A58" s="4" t="s">
        <v>25</v>
      </c>
      <c r="B58" s="47">
        <f>((B33/B32)-1)*100</f>
        <v>-13.885360211593822</v>
      </c>
      <c r="C58" s="47">
        <f>((C33/C32)-1)*100</f>
        <v>-2.7721874864832574</v>
      </c>
      <c r="D58" s="47"/>
      <c r="E58" s="47"/>
      <c r="F58" s="47">
        <f>((F33/F32)-1)*100</f>
        <v>-32.201974327347713</v>
      </c>
      <c r="G58" s="47"/>
      <c r="H58" s="47"/>
      <c r="I58" s="47"/>
      <c r="J58" s="47"/>
      <c r="K58" s="47"/>
      <c r="L58" s="47">
        <f>((L33/L32)-1)*100</f>
        <v>-0.23259879414182505</v>
      </c>
      <c r="M58" s="47"/>
      <c r="N58" s="37"/>
      <c r="O58" s="37" t="s">
        <v>142</v>
      </c>
    </row>
    <row r="59" spans="1:15" x14ac:dyDescent="0.25">
      <c r="A59" s="4" t="s">
        <v>26</v>
      </c>
      <c r="B59" s="47">
        <f>((B35/B34)-1)*100</f>
        <v>-17.27406413087509</v>
      </c>
      <c r="C59" s="47">
        <f>((C35/C34)-1)*100</f>
        <v>-12.790073163321614</v>
      </c>
      <c r="D59" s="47"/>
      <c r="E59" s="47"/>
      <c r="F59" s="47">
        <f>((F35/F34)-1)*100</f>
        <v>-31.752838606850087</v>
      </c>
      <c r="G59" s="47"/>
      <c r="H59" s="47"/>
      <c r="I59" s="47"/>
      <c r="J59" s="47"/>
      <c r="K59" s="47"/>
      <c r="L59" s="47">
        <f>((L35/L34)-1)*100</f>
        <v>-6.9575435346951764</v>
      </c>
      <c r="M59" s="47"/>
      <c r="N59" s="37"/>
      <c r="O59" s="37" t="s">
        <v>142</v>
      </c>
    </row>
    <row r="60" spans="1:15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5" x14ac:dyDescent="0.25">
      <c r="A61" s="4" t="s">
        <v>27</v>
      </c>
    </row>
    <row r="62" spans="1:15" x14ac:dyDescent="0.25">
      <c r="A62" s="4" t="s">
        <v>42</v>
      </c>
      <c r="B62" s="18">
        <f>B17/(B11*3)</f>
        <v>20542.217875934781</v>
      </c>
      <c r="C62" s="18">
        <f>C17/(C11*3)</f>
        <v>33198.234501614934</v>
      </c>
      <c r="D62" s="18"/>
      <c r="E62" s="18"/>
      <c r="F62" s="18">
        <f>F17/(F11*3)</f>
        <v>4887.473555041599</v>
      </c>
      <c r="G62" s="18"/>
      <c r="H62" s="18"/>
      <c r="I62" s="18"/>
      <c r="J62" s="18"/>
      <c r="K62" s="18"/>
      <c r="L62" s="18">
        <f>L17/(L11*3)</f>
        <v>19942.252826817021</v>
      </c>
      <c r="M62" s="18"/>
      <c r="N62" s="18"/>
      <c r="O62" s="37" t="s">
        <v>142</v>
      </c>
    </row>
    <row r="63" spans="1:15" x14ac:dyDescent="0.25">
      <c r="A63" s="4" t="s">
        <v>43</v>
      </c>
      <c r="B63" s="18">
        <f>B18/(B12*3)</f>
        <v>15483.49066707428</v>
      </c>
      <c r="C63" s="18">
        <f>C18/(C12*3)</f>
        <v>28439.512164475167</v>
      </c>
      <c r="D63" s="18"/>
      <c r="E63" s="18"/>
      <c r="F63" s="18">
        <f>F18/(F12*3)</f>
        <v>4816.0373429327738</v>
      </c>
      <c r="G63" s="18"/>
      <c r="H63" s="18"/>
      <c r="I63" s="18"/>
      <c r="J63" s="18"/>
      <c r="K63" s="18"/>
      <c r="L63" s="18">
        <f>L18/(L12*3)</f>
        <v>23974.102709984152</v>
      </c>
      <c r="M63" s="18"/>
      <c r="N63" s="18"/>
      <c r="O63" s="37" t="s">
        <v>142</v>
      </c>
    </row>
    <row r="64" spans="1:15" x14ac:dyDescent="0.25">
      <c r="A64" s="4" t="s">
        <v>30</v>
      </c>
      <c r="B64" s="18">
        <f>(B63/B62)*B46</f>
        <v>56.085462264725209</v>
      </c>
      <c r="C64" s="18">
        <f>(C63/C62)*C46</f>
        <v>47.905045409053479</v>
      </c>
      <c r="D64" s="18"/>
      <c r="E64" s="18"/>
      <c r="F64" s="18">
        <f>(F63/F62)*F46</f>
        <v>91.106382832628924</v>
      </c>
      <c r="G64" s="18"/>
      <c r="H64" s="18"/>
      <c r="I64" s="18"/>
      <c r="J64" s="18"/>
      <c r="K64" s="18"/>
      <c r="L64" s="18">
        <f>(L63/L62)*L46</f>
        <v>115.80404248120436</v>
      </c>
      <c r="M64" s="18"/>
      <c r="N64" s="18"/>
      <c r="O64" s="37" t="s">
        <v>142</v>
      </c>
    </row>
    <row r="65" spans="1:15" x14ac:dyDescent="0.25">
      <c r="A65" s="4" t="s">
        <v>35</v>
      </c>
      <c r="B65" s="18">
        <f>B17/B11</f>
        <v>61626.653627804342</v>
      </c>
      <c r="C65" s="18">
        <f>C17/C11</f>
        <v>99594.703504844802</v>
      </c>
      <c r="D65" s="18"/>
      <c r="E65" s="18"/>
      <c r="F65" s="18">
        <f>F17/F11</f>
        <v>14662.420665124797</v>
      </c>
      <c r="G65" s="18"/>
      <c r="H65" s="18"/>
      <c r="I65" s="18"/>
      <c r="J65" s="18"/>
      <c r="K65" s="18"/>
      <c r="L65" s="18">
        <f>L17/L11</f>
        <v>59826.758480451055</v>
      </c>
      <c r="M65" s="18"/>
      <c r="N65" s="18"/>
      <c r="O65" s="37" t="s">
        <v>142</v>
      </c>
    </row>
    <row r="66" spans="1:15" x14ac:dyDescent="0.25">
      <c r="A66" s="4" t="s">
        <v>34</v>
      </c>
      <c r="B66" s="18">
        <f>B18/B12</f>
        <v>46450.472001222843</v>
      </c>
      <c r="C66" s="18">
        <f>C18/C12</f>
        <v>85318.536493425505</v>
      </c>
      <c r="D66" s="18"/>
      <c r="E66" s="18"/>
      <c r="F66" s="18">
        <f>F18/F12</f>
        <v>14448.112028798319</v>
      </c>
      <c r="G66" s="18"/>
      <c r="H66" s="18"/>
      <c r="I66" s="18"/>
      <c r="J66" s="18"/>
      <c r="K66" s="18"/>
      <c r="L66" s="18">
        <f>L18/L12</f>
        <v>71922.308129952464</v>
      </c>
      <c r="M66" s="18"/>
      <c r="N66" s="18"/>
      <c r="O66" s="37" t="s">
        <v>142</v>
      </c>
    </row>
    <row r="67" spans="1:15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5" x14ac:dyDescent="0.25">
      <c r="A68" s="4" t="s">
        <v>31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5" x14ac:dyDescent="0.25">
      <c r="A69" s="4" t="s">
        <v>32</v>
      </c>
      <c r="B69" s="52">
        <f>(B24/B23)*100</f>
        <v>101.86680647741156</v>
      </c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5" ht="15.75" thickBot="1" x14ac:dyDescent="0.3">
      <c r="A70" s="11" t="s">
        <v>33</v>
      </c>
      <c r="B70" s="56">
        <f>(B18/B24)*100</f>
        <v>62.788832547503638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5.75" thickTop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5" x14ac:dyDescent="0.25">
      <c r="A73" s="4" t="s">
        <v>97</v>
      </c>
    </row>
    <row r="74" spans="1:15" x14ac:dyDescent="0.25">
      <c r="A74" s="4" t="s">
        <v>98</v>
      </c>
    </row>
    <row r="75" spans="1:15" x14ac:dyDescent="0.25">
      <c r="A75" s="4" t="s">
        <v>99</v>
      </c>
      <c r="B75" s="20"/>
      <c r="C75" s="20"/>
      <c r="D75" s="20"/>
      <c r="E75" s="20"/>
      <c r="F75" s="20"/>
      <c r="G75" s="20"/>
      <c r="H75" s="20"/>
      <c r="I75" s="20"/>
      <c r="J75" s="20"/>
    </row>
    <row r="76" spans="1:15" x14ac:dyDescent="0.25">
      <c r="A76" s="4" t="s">
        <v>47</v>
      </c>
    </row>
    <row r="78" spans="1:15" x14ac:dyDescent="0.25">
      <c r="A78" s="4" t="s">
        <v>39</v>
      </c>
    </row>
    <row r="79" spans="1:15" x14ac:dyDescent="0.25">
      <c r="A79" s="4" t="s">
        <v>45</v>
      </c>
    </row>
    <row r="80" spans="1:15" x14ac:dyDescent="0.25">
      <c r="A80" s="4" t="s">
        <v>51</v>
      </c>
    </row>
    <row r="81" spans="1:1" x14ac:dyDescent="0.25">
      <c r="A81" s="4" t="s">
        <v>44</v>
      </c>
    </row>
    <row r="82" spans="1:1" x14ac:dyDescent="0.25">
      <c r="A82" s="4" t="s">
        <v>46</v>
      </c>
    </row>
    <row r="84" spans="1:1" x14ac:dyDescent="0.25">
      <c r="A84" s="4" t="s">
        <v>141</v>
      </c>
    </row>
  </sheetData>
  <mergeCells count="17">
    <mergeCell ref="M19:N19"/>
    <mergeCell ref="A2:M2"/>
    <mergeCell ref="M5:N5"/>
    <mergeCell ref="M16:N16"/>
    <mergeCell ref="M18:N18"/>
    <mergeCell ref="G31:J31"/>
    <mergeCell ref="A4:A5"/>
    <mergeCell ref="D5:E5"/>
    <mergeCell ref="D16:E16"/>
    <mergeCell ref="D18:E18"/>
    <mergeCell ref="G5:K5"/>
    <mergeCell ref="G16:K16"/>
    <mergeCell ref="G17:K17"/>
    <mergeCell ref="G19:K19"/>
    <mergeCell ref="G18:K18"/>
    <mergeCell ref="C4:O4"/>
    <mergeCell ref="M17:N17"/>
  </mergeCells>
  <pageMargins left="0.7" right="0.7" top="0.75" bottom="0.75" header="0.3" footer="0.3"/>
  <pageSetup orientation="portrait" r:id="rId1"/>
  <ignoredErrors>
    <ignoredError sqref="C17:C18 L17" formula="1"/>
    <ignoredError sqref="L10 L11:L13" formulaRange="1"/>
    <ignoredError sqref="L18" formula="1" formulaRange="1"/>
    <ignoredError sqref="O45 O50 N58:N59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4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7109375" style="4" customWidth="1"/>
    <col min="2" max="15" width="15.7109375" style="4" customWidth="1"/>
    <col min="16" max="16384" width="11.42578125" style="4"/>
  </cols>
  <sheetData>
    <row r="2" spans="1:15" ht="15.75" x14ac:dyDescent="0.25">
      <c r="A2" s="81" t="s">
        <v>107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4" spans="1:15" x14ac:dyDescent="0.25">
      <c r="A4" s="84" t="s">
        <v>0</v>
      </c>
      <c r="B4" s="26"/>
      <c r="C4" s="82" t="s">
        <v>2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ht="30.75" thickBot="1" x14ac:dyDescent="0.3">
      <c r="A5" s="85"/>
      <c r="B5" s="27" t="s">
        <v>75</v>
      </c>
      <c r="C5" s="27" t="s">
        <v>74</v>
      </c>
      <c r="D5" s="86" t="s">
        <v>83</v>
      </c>
      <c r="E5" s="86"/>
      <c r="F5" s="27" t="s">
        <v>48</v>
      </c>
      <c r="G5" s="85" t="s">
        <v>82</v>
      </c>
      <c r="H5" s="85"/>
      <c r="I5" s="85"/>
      <c r="J5" s="85"/>
      <c r="K5" s="85"/>
      <c r="L5" s="27" t="s">
        <v>140</v>
      </c>
      <c r="M5" s="86" t="s">
        <v>137</v>
      </c>
      <c r="N5" s="86"/>
      <c r="O5" s="75" t="s">
        <v>52</v>
      </c>
    </row>
    <row r="6" spans="1:15" ht="45.75" thickTop="1" x14ac:dyDescent="0.25">
      <c r="B6" s="25" t="s">
        <v>1</v>
      </c>
      <c r="C6" s="33" t="s">
        <v>86</v>
      </c>
      <c r="D6" s="28" t="s">
        <v>84</v>
      </c>
      <c r="E6" s="28" t="s">
        <v>85</v>
      </c>
      <c r="F6" s="25" t="s">
        <v>50</v>
      </c>
      <c r="G6" s="25" t="s">
        <v>77</v>
      </c>
      <c r="H6" s="25" t="s">
        <v>78</v>
      </c>
      <c r="I6" s="25" t="s">
        <v>79</v>
      </c>
      <c r="J6" s="25" t="s">
        <v>80</v>
      </c>
      <c r="K6" s="25" t="s">
        <v>81</v>
      </c>
      <c r="L6" s="25" t="s">
        <v>1</v>
      </c>
      <c r="M6" s="25" t="s">
        <v>138</v>
      </c>
      <c r="N6" s="33" t="s">
        <v>139</v>
      </c>
      <c r="O6" s="29"/>
    </row>
    <row r="7" spans="1:15" x14ac:dyDescent="0.25">
      <c r="A7" s="16" t="s">
        <v>3</v>
      </c>
    </row>
    <row r="9" spans="1:15" x14ac:dyDescent="0.25">
      <c r="A9" s="4" t="s">
        <v>4</v>
      </c>
    </row>
    <row r="10" spans="1:15" x14ac:dyDescent="0.25">
      <c r="A10" s="13" t="s">
        <v>58</v>
      </c>
      <c r="B10" s="38">
        <f>+D10+K10</f>
        <v>121957</v>
      </c>
      <c r="C10" s="38">
        <f>+D10+E10</f>
        <v>36854</v>
      </c>
      <c r="D10" s="38">
        <v>24351</v>
      </c>
      <c r="E10" s="38">
        <v>12503</v>
      </c>
      <c r="F10" s="54">
        <f>+K10+I10+H10</f>
        <v>121288</v>
      </c>
      <c r="G10" s="57">
        <v>0</v>
      </c>
      <c r="H10" s="58">
        <v>19664</v>
      </c>
      <c r="I10" s="58">
        <v>4018</v>
      </c>
      <c r="J10" s="38">
        <v>27000</v>
      </c>
      <c r="K10" s="38">
        <v>97606</v>
      </c>
      <c r="L10" s="57">
        <f>+M10+N10</f>
        <v>9485</v>
      </c>
      <c r="M10" s="37">
        <v>9485</v>
      </c>
      <c r="N10" s="37">
        <v>0</v>
      </c>
      <c r="O10" s="37">
        <v>0</v>
      </c>
    </row>
    <row r="11" spans="1:15" x14ac:dyDescent="0.25">
      <c r="A11" s="13" t="s">
        <v>108</v>
      </c>
      <c r="B11" s="38">
        <f t="shared" ref="B11:B13" si="0">+D11+K11</f>
        <v>144700</v>
      </c>
      <c r="C11" s="38">
        <f t="shared" ref="C11:C13" si="1">+D11+E11</f>
        <v>63985</v>
      </c>
      <c r="D11" s="38">
        <v>42951</v>
      </c>
      <c r="E11" s="38">
        <v>21034</v>
      </c>
      <c r="F11" s="54">
        <f t="shared" ref="F11:F13" si="2">+K11+I11+H11</f>
        <v>128977</v>
      </c>
      <c r="G11" s="38">
        <v>14765</v>
      </c>
      <c r="H11" s="38">
        <v>17480</v>
      </c>
      <c r="I11" s="38">
        <v>9748</v>
      </c>
      <c r="J11" s="38">
        <v>42085</v>
      </c>
      <c r="K11" s="18">
        <v>101749</v>
      </c>
      <c r="L11" s="57">
        <f t="shared" ref="L11:L13" si="3">+M11+N11</f>
        <v>10826</v>
      </c>
      <c r="M11" s="38">
        <v>10142</v>
      </c>
      <c r="N11" s="38">
        <v>684</v>
      </c>
      <c r="O11" s="37">
        <v>0</v>
      </c>
    </row>
    <row r="12" spans="1:15" x14ac:dyDescent="0.25">
      <c r="A12" s="13" t="s">
        <v>109</v>
      </c>
      <c r="B12" s="38">
        <f t="shared" si="0"/>
        <v>128577</v>
      </c>
      <c r="C12" s="38">
        <f t="shared" si="1"/>
        <v>42802</v>
      </c>
      <c r="D12" s="38">
        <v>25050</v>
      </c>
      <c r="E12" s="38">
        <v>17752</v>
      </c>
      <c r="F12" s="54">
        <f t="shared" si="2"/>
        <v>127053</v>
      </c>
      <c r="G12" s="38">
        <v>10944.6</v>
      </c>
      <c r="H12" s="38">
        <v>14513</v>
      </c>
      <c r="I12" s="38">
        <v>9013</v>
      </c>
      <c r="J12" s="38">
        <v>31700</v>
      </c>
      <c r="K12" s="38">
        <v>103527</v>
      </c>
      <c r="L12" s="57">
        <f t="shared" si="3"/>
        <v>10089</v>
      </c>
      <c r="M12" s="38">
        <v>9256</v>
      </c>
      <c r="N12" s="37">
        <v>833</v>
      </c>
      <c r="O12" s="37">
        <v>0</v>
      </c>
    </row>
    <row r="13" spans="1:15" x14ac:dyDescent="0.25">
      <c r="A13" s="13" t="s">
        <v>89</v>
      </c>
      <c r="B13" s="38">
        <f t="shared" si="0"/>
        <v>138542.08333333331</v>
      </c>
      <c r="C13" s="38">
        <f t="shared" si="1"/>
        <v>61230</v>
      </c>
      <c r="D13" s="18">
        <v>41072</v>
      </c>
      <c r="E13" s="18">
        <v>20158</v>
      </c>
      <c r="F13" s="54">
        <f t="shared" si="2"/>
        <v>123491.75</v>
      </c>
      <c r="G13" s="18">
        <v>14137.833333333334</v>
      </c>
      <c r="H13" s="18">
        <v>16732.666666666668</v>
      </c>
      <c r="I13" s="18">
        <v>9289</v>
      </c>
      <c r="J13" s="18">
        <v>40246.583333333336</v>
      </c>
      <c r="K13" s="18">
        <v>97470.083333333328</v>
      </c>
      <c r="L13" s="57">
        <f t="shared" si="3"/>
        <v>10370</v>
      </c>
      <c r="M13" s="37">
        <v>9714</v>
      </c>
      <c r="N13" s="37">
        <v>656</v>
      </c>
      <c r="O13" s="37">
        <v>0</v>
      </c>
    </row>
    <row r="14" spans="1:15" x14ac:dyDescent="0.25">
      <c r="B14" s="9"/>
      <c r="C14" s="9"/>
      <c r="D14" s="9"/>
      <c r="E14" s="9"/>
      <c r="F14" s="9"/>
      <c r="G14" s="9"/>
      <c r="H14" s="9"/>
      <c r="I14" s="6"/>
      <c r="J14" s="6"/>
      <c r="K14" s="9"/>
    </row>
    <row r="15" spans="1:15" x14ac:dyDescent="0.25">
      <c r="A15" s="15" t="s">
        <v>5</v>
      </c>
      <c r="B15" s="9"/>
      <c r="C15" s="9"/>
      <c r="D15" s="9"/>
      <c r="E15" s="9"/>
      <c r="F15" s="9"/>
      <c r="G15" s="9"/>
      <c r="H15" s="9"/>
      <c r="I15" s="6"/>
      <c r="J15" s="6"/>
      <c r="K15" s="9"/>
    </row>
    <row r="16" spans="1:15" x14ac:dyDescent="0.25">
      <c r="A16" s="13" t="s">
        <v>58</v>
      </c>
      <c r="B16" s="6">
        <f>+C16+F16+O16+L16</f>
        <v>5645340125</v>
      </c>
      <c r="C16" s="39">
        <f>+D16</f>
        <v>3127478297</v>
      </c>
      <c r="D16" s="79">
        <v>3127478297</v>
      </c>
      <c r="E16" s="79"/>
      <c r="F16" s="39">
        <f>G16</f>
        <v>2144349060</v>
      </c>
      <c r="G16" s="79">
        <v>2144349060</v>
      </c>
      <c r="H16" s="79"/>
      <c r="I16" s="79"/>
      <c r="J16" s="79"/>
      <c r="K16" s="79"/>
      <c r="L16" s="6">
        <f>+M16</f>
        <v>373512768</v>
      </c>
      <c r="M16" s="79">
        <v>373512768</v>
      </c>
      <c r="N16" s="79"/>
      <c r="O16" s="4">
        <v>0</v>
      </c>
    </row>
    <row r="17" spans="1:15" s="50" customFormat="1" x14ac:dyDescent="0.25">
      <c r="A17" s="48" t="s">
        <v>108</v>
      </c>
      <c r="B17" s="6">
        <f>+C17+F17+O17+L17</f>
        <v>8937343443.0799999</v>
      </c>
      <c r="C17" s="6">
        <f>+D17+E17</f>
        <v>6583166215</v>
      </c>
      <c r="D17" s="74">
        <v>6376048701</v>
      </c>
      <c r="E17" s="74">
        <v>207117514</v>
      </c>
      <c r="F17" s="74">
        <f>G17</f>
        <v>1719426398.5799999</v>
      </c>
      <c r="G17" s="80">
        <v>1719426398.5799999</v>
      </c>
      <c r="H17" s="80"/>
      <c r="I17" s="80"/>
      <c r="J17" s="80"/>
      <c r="K17" s="80"/>
      <c r="L17" s="6">
        <f t="shared" ref="L17:L19" si="4">+M17</f>
        <v>634750829.5</v>
      </c>
      <c r="M17" s="80">
        <v>634750829.5</v>
      </c>
      <c r="N17" s="80"/>
      <c r="O17" s="50">
        <v>0</v>
      </c>
    </row>
    <row r="18" spans="1:15" x14ac:dyDescent="0.25">
      <c r="A18" s="13" t="s">
        <v>109</v>
      </c>
      <c r="B18" s="6">
        <f>+C18+F18+L18+O18</f>
        <v>6654533523.5200005</v>
      </c>
      <c r="C18" s="39">
        <f>D18</f>
        <v>4020622517.5900002</v>
      </c>
      <c r="D18" s="79">
        <v>4020622517.5900002</v>
      </c>
      <c r="E18" s="79"/>
      <c r="F18" s="39">
        <f>G18</f>
        <v>2105170398</v>
      </c>
      <c r="G18" s="79">
        <v>2105170398</v>
      </c>
      <c r="H18" s="79"/>
      <c r="I18" s="79"/>
      <c r="J18" s="79"/>
      <c r="K18" s="79"/>
      <c r="L18" s="6">
        <f t="shared" si="4"/>
        <v>528740607.93000001</v>
      </c>
      <c r="M18" s="79">
        <v>528740607.93000001</v>
      </c>
      <c r="N18" s="79"/>
      <c r="O18" s="4">
        <v>0</v>
      </c>
    </row>
    <row r="19" spans="1:15" x14ac:dyDescent="0.25">
      <c r="A19" s="13" t="s">
        <v>89</v>
      </c>
      <c r="B19" s="6">
        <f>+C19+F19+O19+L19</f>
        <v>33469448950.02</v>
      </c>
      <c r="C19" s="6">
        <f>+D19+E19</f>
        <v>24059525497</v>
      </c>
      <c r="D19" s="39">
        <v>23448403597</v>
      </c>
      <c r="E19" s="39">
        <v>611121900</v>
      </c>
      <c r="F19" s="39">
        <f>G19</f>
        <v>6970914145.0200005</v>
      </c>
      <c r="G19" s="79">
        <v>6970914145.0200005</v>
      </c>
      <c r="H19" s="79"/>
      <c r="I19" s="79"/>
      <c r="J19" s="79"/>
      <c r="K19" s="79"/>
      <c r="L19" s="6">
        <f t="shared" si="4"/>
        <v>2429589368</v>
      </c>
      <c r="M19" s="79">
        <v>2429589368</v>
      </c>
      <c r="N19" s="79"/>
      <c r="O19" s="10">
        <v>9419940</v>
      </c>
    </row>
    <row r="20" spans="1:15" x14ac:dyDescent="0.25">
      <c r="A20" s="13" t="s">
        <v>110</v>
      </c>
      <c r="B20" s="6">
        <f>+C20+F20+L20+O20</f>
        <v>6654533523.5200005</v>
      </c>
      <c r="C20" s="10">
        <f>C18</f>
        <v>4020622517.5900002</v>
      </c>
      <c r="D20" s="59"/>
      <c r="E20" s="59"/>
      <c r="F20" s="39">
        <f>F18</f>
        <v>2105170398</v>
      </c>
      <c r="G20" s="59"/>
      <c r="H20" s="59"/>
      <c r="I20" s="59"/>
      <c r="J20" s="59"/>
      <c r="K20" s="60"/>
      <c r="L20" s="10">
        <f t="shared" ref="L20" si="5">L18</f>
        <v>528740607.93000001</v>
      </c>
      <c r="M20" s="60"/>
      <c r="N20" s="60"/>
      <c r="O20" s="4">
        <f>O18</f>
        <v>0</v>
      </c>
    </row>
    <row r="21" spans="1:15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5" x14ac:dyDescent="0.25">
      <c r="A22" s="15" t="s">
        <v>6</v>
      </c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5" x14ac:dyDescent="0.25">
      <c r="A23" s="13" t="s">
        <v>108</v>
      </c>
      <c r="B23" s="6">
        <f>B17</f>
        <v>8937343443.0799999</v>
      </c>
      <c r="C23" s="9"/>
      <c r="D23" s="9"/>
      <c r="E23" s="9"/>
      <c r="F23" s="9"/>
      <c r="G23" s="9"/>
      <c r="H23" s="9"/>
      <c r="I23" s="9"/>
      <c r="J23" s="9"/>
      <c r="K23" s="9"/>
    </row>
    <row r="24" spans="1:15" x14ac:dyDescent="0.25">
      <c r="A24" s="13" t="s">
        <v>109</v>
      </c>
      <c r="B24" s="6">
        <v>2969371860</v>
      </c>
      <c r="C24" s="9"/>
      <c r="D24" s="9"/>
      <c r="E24" s="9"/>
      <c r="F24" s="9"/>
      <c r="G24" s="9"/>
      <c r="H24" s="9"/>
      <c r="I24" s="9"/>
      <c r="J24" s="9"/>
      <c r="K24" s="9"/>
    </row>
    <row r="26" spans="1:15" x14ac:dyDescent="0.25">
      <c r="A26" s="4" t="s">
        <v>7</v>
      </c>
    </row>
    <row r="27" spans="1:15" x14ac:dyDescent="0.25">
      <c r="A27" s="13" t="s">
        <v>59</v>
      </c>
      <c r="B27" s="42">
        <v>1.0123857379999999</v>
      </c>
      <c r="C27" s="42">
        <v>1.0123857379999999</v>
      </c>
      <c r="D27" s="42">
        <v>1.0123857379999999</v>
      </c>
      <c r="E27" s="42">
        <v>1.0123857379999999</v>
      </c>
      <c r="F27" s="42">
        <v>1.0123857379999999</v>
      </c>
      <c r="G27" s="42">
        <v>1.0123857379999999</v>
      </c>
      <c r="H27" s="42">
        <v>1.0123857379999999</v>
      </c>
      <c r="I27" s="42">
        <v>1.0123857379999999</v>
      </c>
      <c r="J27" s="42">
        <v>1.0123857379999999</v>
      </c>
      <c r="K27" s="42">
        <v>1.0123857379999999</v>
      </c>
      <c r="L27" s="42">
        <v>1.0123857379999999</v>
      </c>
      <c r="M27" s="42">
        <v>1.0123857379999999</v>
      </c>
      <c r="N27" s="42">
        <v>1.0123857379999999</v>
      </c>
      <c r="O27" s="42">
        <v>1.0123857379999999</v>
      </c>
    </row>
    <row r="28" spans="1:15" x14ac:dyDescent="0.25">
      <c r="A28" s="13" t="s">
        <v>111</v>
      </c>
      <c r="B28" s="42">
        <v>1.0303325644000001</v>
      </c>
      <c r="C28" s="42">
        <v>1.0303325644000001</v>
      </c>
      <c r="D28" s="42">
        <v>1.0303325644000001</v>
      </c>
      <c r="E28" s="42">
        <v>1.0303325644000001</v>
      </c>
      <c r="F28" s="42">
        <v>1.0303325644000001</v>
      </c>
      <c r="G28" s="42">
        <v>1.0303325644000001</v>
      </c>
      <c r="H28" s="42">
        <v>1.0303325644000001</v>
      </c>
      <c r="I28" s="42">
        <v>1.0303325644000001</v>
      </c>
      <c r="J28" s="42">
        <v>1.0303325644000001</v>
      </c>
      <c r="K28" s="42">
        <v>1.0303325644000001</v>
      </c>
      <c r="L28" s="42">
        <v>1.0303325644000001</v>
      </c>
      <c r="M28" s="42">
        <v>1.0303325644000001</v>
      </c>
      <c r="N28" s="42">
        <v>1.0303325644000001</v>
      </c>
      <c r="O28" s="42">
        <v>1.0303325644000001</v>
      </c>
    </row>
    <row r="29" spans="1:15" x14ac:dyDescent="0.25">
      <c r="A29" s="13" t="s">
        <v>8</v>
      </c>
      <c r="B29" s="1">
        <v>111207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1" spans="1:15" x14ac:dyDescent="0.25">
      <c r="A31" s="16" t="s">
        <v>9</v>
      </c>
      <c r="D31" s="17"/>
      <c r="E31" s="17"/>
      <c r="F31" s="17"/>
      <c r="G31" s="83"/>
      <c r="H31" s="83"/>
      <c r="I31" s="83"/>
      <c r="J31" s="83"/>
    </row>
    <row r="32" spans="1:15" x14ac:dyDescent="0.25">
      <c r="A32" s="4" t="s">
        <v>60</v>
      </c>
      <c r="B32" s="18">
        <f>B16/B27</f>
        <v>5576273857.9788256</v>
      </c>
      <c r="C32" s="18">
        <f>C16/C27</f>
        <v>3089216076.0565758</v>
      </c>
      <c r="D32" s="18"/>
      <c r="E32" s="18"/>
      <c r="F32" s="18">
        <f>F16/F27</f>
        <v>2118114646.929173</v>
      </c>
      <c r="G32" s="18"/>
      <c r="H32" s="18"/>
      <c r="I32" s="18"/>
      <c r="J32" s="18"/>
      <c r="K32" s="18"/>
      <c r="L32" s="18">
        <f>L16/L27</f>
        <v>368943134.99307716</v>
      </c>
      <c r="M32" s="37"/>
      <c r="N32" s="37"/>
      <c r="O32" s="37">
        <f>O16/O27</f>
        <v>0</v>
      </c>
    </row>
    <row r="33" spans="1:15" x14ac:dyDescent="0.25">
      <c r="A33" s="4" t="s">
        <v>112</v>
      </c>
      <c r="B33" s="18">
        <f>B18/B28</f>
        <v>6458626809.8739319</v>
      </c>
      <c r="C33" s="18">
        <f>C18/C28</f>
        <v>3902257054.1884737</v>
      </c>
      <c r="D33" s="18"/>
      <c r="E33" s="18"/>
      <c r="F33" s="18">
        <f>F18/F28</f>
        <v>2043195052.4886272</v>
      </c>
      <c r="G33" s="18"/>
      <c r="H33" s="18"/>
      <c r="I33" s="18"/>
      <c r="J33" s="18"/>
      <c r="K33" s="18"/>
      <c r="L33" s="18">
        <f>L18/L28</f>
        <v>513174703.19683117</v>
      </c>
      <c r="M33" s="37"/>
      <c r="N33" s="37"/>
      <c r="O33" s="37">
        <f>O18/O28</f>
        <v>0</v>
      </c>
    </row>
    <row r="34" spans="1:15" x14ac:dyDescent="0.25">
      <c r="A34" s="4" t="s">
        <v>61</v>
      </c>
      <c r="B34" s="18">
        <f>B32/B10</f>
        <v>45723.278352032481</v>
      </c>
      <c r="C34" s="18">
        <f>C32/C10</f>
        <v>83823.087753203887</v>
      </c>
      <c r="D34" s="18"/>
      <c r="E34" s="18"/>
      <c r="F34" s="18">
        <f>F32/F10</f>
        <v>17463.513677603496</v>
      </c>
      <c r="G34" s="18"/>
      <c r="H34" s="18"/>
      <c r="I34" s="18"/>
      <c r="J34" s="18"/>
      <c r="K34" s="18"/>
      <c r="L34" s="18">
        <f>L32/L10</f>
        <v>38897.536636065066</v>
      </c>
      <c r="M34" s="37"/>
      <c r="N34" s="37"/>
      <c r="O34" s="37" t="s">
        <v>142</v>
      </c>
    </row>
    <row r="35" spans="1:15" x14ac:dyDescent="0.25">
      <c r="A35" s="4" t="s">
        <v>113</v>
      </c>
      <c r="B35" s="18">
        <f>B33/B12</f>
        <v>50231.587374677678</v>
      </c>
      <c r="C35" s="18">
        <f>C33/C12</f>
        <v>91169.9699590784</v>
      </c>
      <c r="D35" s="18"/>
      <c r="E35" s="18"/>
      <c r="F35" s="18">
        <f>F33/F12</f>
        <v>16081.438867941939</v>
      </c>
      <c r="G35" s="18"/>
      <c r="H35" s="18"/>
      <c r="I35" s="18"/>
      <c r="J35" s="18"/>
      <c r="K35" s="18"/>
      <c r="L35" s="18">
        <f>L33/L12</f>
        <v>50864.773832573213</v>
      </c>
      <c r="M35" s="37"/>
      <c r="N35" s="37"/>
      <c r="O35" s="37" t="s">
        <v>142</v>
      </c>
    </row>
    <row r="37" spans="1:15" x14ac:dyDescent="0.25">
      <c r="A37" s="16" t="s">
        <v>10</v>
      </c>
    </row>
    <row r="39" spans="1:15" x14ac:dyDescent="0.25">
      <c r="A39" s="4" t="s">
        <v>11</v>
      </c>
    </row>
    <row r="40" spans="1:15" x14ac:dyDescent="0.25">
      <c r="A40" s="4" t="s">
        <v>12</v>
      </c>
      <c r="B40" s="3">
        <f t="shared" ref="B40" si="6">(B11/B29)*100</f>
        <v>130.11770841763558</v>
      </c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5" x14ac:dyDescent="0.25">
      <c r="A41" s="4" t="s">
        <v>13</v>
      </c>
      <c r="B41" s="3">
        <f t="shared" ref="B41" si="7">(B12/B29)*100</f>
        <v>115.61952035393455</v>
      </c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5" x14ac:dyDescent="0.25">
      <c r="A43" s="4" t="s">
        <v>14</v>
      </c>
    </row>
    <row r="44" spans="1:15" x14ac:dyDescent="0.25">
      <c r="A44" s="4" t="s">
        <v>15</v>
      </c>
      <c r="B44" s="47">
        <f t="shared" ref="B44:N44" si="8">B12/B11*100</f>
        <v>88.857636489288183</v>
      </c>
      <c r="C44" s="47">
        <f t="shared" si="8"/>
        <v>66.893803235133234</v>
      </c>
      <c r="D44" s="47">
        <f t="shared" si="8"/>
        <v>58.322274219459381</v>
      </c>
      <c r="E44" s="47">
        <f t="shared" si="8"/>
        <v>84.396691071598369</v>
      </c>
      <c r="F44" s="47">
        <f t="shared" si="8"/>
        <v>98.508261162842985</v>
      </c>
      <c r="G44" s="47">
        <f t="shared" si="8"/>
        <v>74.125296308838472</v>
      </c>
      <c r="H44" s="47">
        <f t="shared" si="8"/>
        <v>83.026315789473685</v>
      </c>
      <c r="I44" s="47">
        <f t="shared" si="8"/>
        <v>92.459991793188351</v>
      </c>
      <c r="J44" s="47">
        <f t="shared" si="8"/>
        <v>75.323749554473082</v>
      </c>
      <c r="K44" s="47">
        <f t="shared" si="8"/>
        <v>101.74743732125131</v>
      </c>
      <c r="L44" s="47">
        <f t="shared" si="8"/>
        <v>93.192314797709216</v>
      </c>
      <c r="M44" s="47">
        <f t="shared" si="8"/>
        <v>91.264050483139428</v>
      </c>
      <c r="N44" s="37">
        <f t="shared" si="8"/>
        <v>121.78362573099415</v>
      </c>
      <c r="O44" s="37" t="s">
        <v>142</v>
      </c>
    </row>
    <row r="45" spans="1:15" x14ac:dyDescent="0.25">
      <c r="A45" s="4" t="s">
        <v>16</v>
      </c>
      <c r="B45" s="47">
        <f>B18/B17*100</f>
        <v>74.457623407909509</v>
      </c>
      <c r="C45" s="47">
        <f>C18/C17*100</f>
        <v>61.074297477539844</v>
      </c>
      <c r="D45" s="47"/>
      <c r="E45" s="47"/>
      <c r="F45" s="47">
        <f>F18/F17*100</f>
        <v>122.43445835998385</v>
      </c>
      <c r="G45" s="47"/>
      <c r="H45" s="47"/>
      <c r="I45" s="47"/>
      <c r="J45" s="47"/>
      <c r="K45" s="47"/>
      <c r="L45" s="47">
        <f>L18/L17*100</f>
        <v>83.298923507747858</v>
      </c>
      <c r="M45" s="37"/>
      <c r="N45" s="37"/>
      <c r="O45" s="37" t="s">
        <v>142</v>
      </c>
    </row>
    <row r="46" spans="1:15" x14ac:dyDescent="0.25">
      <c r="A46" s="4" t="s">
        <v>17</v>
      </c>
      <c r="B46" s="47">
        <f>AVERAGE(B44:B45)</f>
        <v>81.657629948598839</v>
      </c>
      <c r="C46" s="47">
        <f t="shared" ref="C46" si="9">AVERAGE(C44:C45)</f>
        <v>63.984050356336539</v>
      </c>
      <c r="D46" s="47"/>
      <c r="E46" s="47"/>
      <c r="F46" s="47">
        <f t="shared" ref="F46" si="10">AVERAGE(F44:F45)</f>
        <v>110.47135976141342</v>
      </c>
      <c r="G46" s="47"/>
      <c r="H46" s="47"/>
      <c r="I46" s="47"/>
      <c r="J46" s="47"/>
      <c r="K46" s="47"/>
      <c r="L46" s="47">
        <f t="shared" ref="L46" si="11">AVERAGE(L44:L45)</f>
        <v>88.245619152728537</v>
      </c>
      <c r="M46" s="37"/>
      <c r="N46" s="37"/>
      <c r="O46" s="37" t="s">
        <v>142</v>
      </c>
    </row>
    <row r="47" spans="1:15" x14ac:dyDescent="0.25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37"/>
      <c r="M47" s="37"/>
      <c r="N47" s="37"/>
      <c r="O47" s="37"/>
    </row>
    <row r="48" spans="1:15" x14ac:dyDescent="0.25">
      <c r="A48" s="4" t="s">
        <v>18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x14ac:dyDescent="0.25">
      <c r="A49" s="4" t="s">
        <v>19</v>
      </c>
      <c r="B49" s="47">
        <f t="shared" ref="B49:N49" si="12">((B12/B13)*100)</f>
        <v>92.807179527279629</v>
      </c>
      <c r="C49" s="47">
        <f t="shared" si="12"/>
        <v>69.90364200555284</v>
      </c>
      <c r="D49" s="47">
        <f t="shared" si="12"/>
        <v>60.990455784962997</v>
      </c>
      <c r="E49" s="47">
        <f t="shared" si="12"/>
        <v>88.064292092469486</v>
      </c>
      <c r="F49" s="47">
        <f t="shared" si="12"/>
        <v>102.88379588110136</v>
      </c>
      <c r="G49" s="47">
        <f t="shared" si="12"/>
        <v>77.413559361995581</v>
      </c>
      <c r="H49" s="47">
        <f t="shared" si="12"/>
        <v>86.734531256225338</v>
      </c>
      <c r="I49" s="47">
        <f t="shared" si="12"/>
        <v>97.028743675314885</v>
      </c>
      <c r="J49" s="47">
        <f t="shared" si="12"/>
        <v>78.764449984367204</v>
      </c>
      <c r="K49" s="47">
        <f t="shared" si="12"/>
        <v>106.21412895067803</v>
      </c>
      <c r="L49" s="47">
        <f t="shared" si="12"/>
        <v>97.290260366441657</v>
      </c>
      <c r="M49" s="47">
        <f t="shared" si="12"/>
        <v>95.285155445748401</v>
      </c>
      <c r="N49" s="37">
        <f t="shared" si="12"/>
        <v>126.98170731707317</v>
      </c>
      <c r="O49" s="37" t="s">
        <v>142</v>
      </c>
    </row>
    <row r="50" spans="1:15" x14ac:dyDescent="0.25">
      <c r="A50" s="4" t="s">
        <v>20</v>
      </c>
      <c r="B50" s="47">
        <f>B18/B19*100</f>
        <v>19.882411370014573</v>
      </c>
      <c r="C50" s="47">
        <f>C18/C19*100</f>
        <v>16.711146352787939</v>
      </c>
      <c r="D50" s="47"/>
      <c r="E50" s="47"/>
      <c r="F50" s="47">
        <f>F18/F19*100</f>
        <v>30.199344794741549</v>
      </c>
      <c r="G50" s="47"/>
      <c r="H50" s="47"/>
      <c r="I50" s="47"/>
      <c r="J50" s="47"/>
      <c r="K50" s="47"/>
      <c r="L50" s="47">
        <f>L18/L19*100</f>
        <v>21.762550284999435</v>
      </c>
      <c r="M50" s="37"/>
      <c r="N50" s="37"/>
      <c r="O50" s="37">
        <f>O18/O19*100</f>
        <v>0</v>
      </c>
    </row>
    <row r="51" spans="1:15" x14ac:dyDescent="0.25">
      <c r="A51" s="4" t="s">
        <v>21</v>
      </c>
      <c r="B51" s="47">
        <f>(B49+B50)/2</f>
        <v>56.344795448647105</v>
      </c>
      <c r="C51" s="47">
        <f>(C49+C50)/2</f>
        <v>43.307394179170387</v>
      </c>
      <c r="D51" s="47"/>
      <c r="E51" s="47"/>
      <c r="F51" s="47">
        <f>(F49+F50)/2</f>
        <v>66.541570337921456</v>
      </c>
      <c r="G51" s="47"/>
      <c r="H51" s="47"/>
      <c r="I51" s="47"/>
      <c r="J51" s="47"/>
      <c r="K51" s="47"/>
      <c r="L51" s="47">
        <f>(L49+L50)/2</f>
        <v>59.526405325720546</v>
      </c>
      <c r="M51" s="37"/>
      <c r="N51" s="37"/>
      <c r="O51" s="37" t="s">
        <v>142</v>
      </c>
    </row>
    <row r="52" spans="1:1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5" x14ac:dyDescent="0.25">
      <c r="A53" s="4" t="s">
        <v>36</v>
      </c>
    </row>
    <row r="54" spans="1:15" x14ac:dyDescent="0.25">
      <c r="A54" s="4" t="s">
        <v>22</v>
      </c>
      <c r="B54" s="3">
        <f>B20/B18*100</f>
        <v>100</v>
      </c>
      <c r="C54" s="2"/>
      <c r="D54" s="2"/>
      <c r="E54" s="2"/>
      <c r="F54" s="2"/>
      <c r="G54" s="2"/>
      <c r="H54" s="2"/>
      <c r="I54" s="2"/>
      <c r="J54" s="2"/>
      <c r="K54" s="2"/>
    </row>
    <row r="56" spans="1:15" x14ac:dyDescent="0.25">
      <c r="A56" s="4" t="s">
        <v>23</v>
      </c>
    </row>
    <row r="57" spans="1:15" x14ac:dyDescent="0.25">
      <c r="A57" s="4" t="s">
        <v>24</v>
      </c>
      <c r="B57" s="47">
        <f t="shared" ref="B57:M57" si="13">((B12/B10)-1)*100</f>
        <v>5.4281427060357323</v>
      </c>
      <c r="C57" s="47">
        <f t="shared" si="13"/>
        <v>16.139360720681605</v>
      </c>
      <c r="D57" s="47">
        <f t="shared" si="13"/>
        <v>2.8705186645312297</v>
      </c>
      <c r="E57" s="47">
        <f t="shared" si="13"/>
        <v>41.981924338158841</v>
      </c>
      <c r="F57" s="47">
        <f t="shared" si="13"/>
        <v>4.7531495283952285</v>
      </c>
      <c r="G57" s="37" t="s">
        <v>142</v>
      </c>
      <c r="H57" s="47">
        <f t="shared" si="13"/>
        <v>-26.195077298616766</v>
      </c>
      <c r="I57" s="47">
        <f t="shared" si="13"/>
        <v>124.31557989049278</v>
      </c>
      <c r="J57" s="47">
        <f t="shared" si="13"/>
        <v>17.407407407407405</v>
      </c>
      <c r="K57" s="47">
        <f t="shared" si="13"/>
        <v>6.0662254369608481</v>
      </c>
      <c r="L57" s="47">
        <f t="shared" si="13"/>
        <v>6.3679493937796483</v>
      </c>
      <c r="M57" s="47">
        <f t="shared" si="13"/>
        <v>-2.4143384290985725</v>
      </c>
      <c r="N57" s="37" t="s">
        <v>142</v>
      </c>
      <c r="O57" s="37" t="s">
        <v>142</v>
      </c>
    </row>
    <row r="58" spans="1:15" x14ac:dyDescent="0.25">
      <c r="A58" s="4" t="s">
        <v>25</v>
      </c>
      <c r="B58" s="47">
        <f>((B33/B32)-1)*100</f>
        <v>15.823343228248898</v>
      </c>
      <c r="C58" s="47">
        <f>((C33/C32)-1)*100</f>
        <v>26.318682737458609</v>
      </c>
      <c r="D58" s="47"/>
      <c r="E58" s="47"/>
      <c r="F58" s="47">
        <f>((F33/F32)-1)*100</f>
        <v>-3.5370887288449504</v>
      </c>
      <c r="G58" s="47"/>
      <c r="H58" s="47"/>
      <c r="I58" s="47"/>
      <c r="J58" s="47"/>
      <c r="K58" s="47"/>
      <c r="L58" s="47">
        <f>((L33/L32)-1)*100</f>
        <v>39.093170335439467</v>
      </c>
      <c r="M58" s="37"/>
      <c r="N58" s="37"/>
      <c r="O58" s="37" t="s">
        <v>142</v>
      </c>
    </row>
    <row r="59" spans="1:15" x14ac:dyDescent="0.25">
      <c r="A59" s="4" t="s">
        <v>26</v>
      </c>
      <c r="B59" s="47">
        <f>((B35/B34)-1)*100</f>
        <v>9.8599863901596141</v>
      </c>
      <c r="C59" s="47">
        <f>((C35/C34)-1)*100</f>
        <v>8.7647477595976575</v>
      </c>
      <c r="D59" s="47"/>
      <c r="E59" s="47"/>
      <c r="F59" s="47">
        <f>((F35/F34)-1)*100</f>
        <v>-7.9140706456687031</v>
      </c>
      <c r="G59" s="47"/>
      <c r="H59" s="47"/>
      <c r="I59" s="47"/>
      <c r="J59" s="47"/>
      <c r="K59" s="47"/>
      <c r="L59" s="47">
        <f>((L35/L34)-1)*100</f>
        <v>30.766054180953837</v>
      </c>
      <c r="M59" s="37"/>
      <c r="N59" s="37"/>
      <c r="O59" s="37" t="s">
        <v>142</v>
      </c>
    </row>
    <row r="60" spans="1:15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5" x14ac:dyDescent="0.25">
      <c r="A61" s="4" t="s">
        <v>27</v>
      </c>
    </row>
    <row r="62" spans="1:15" x14ac:dyDescent="0.25">
      <c r="A62" s="4" t="s">
        <v>42</v>
      </c>
      <c r="B62" s="8">
        <f>B17/(B11*3)</f>
        <v>20588.213414144207</v>
      </c>
      <c r="C62" s="8">
        <f>C17/(C11*3)</f>
        <v>34295.362011929879</v>
      </c>
      <c r="D62" s="8"/>
      <c r="E62" s="8"/>
      <c r="F62" s="8">
        <f>F17/(F11*3)</f>
        <v>4443.754567558557</v>
      </c>
      <c r="G62" s="8"/>
      <c r="H62" s="8"/>
      <c r="I62" s="8"/>
      <c r="J62" s="8"/>
      <c r="K62" s="8"/>
      <c r="L62" s="8">
        <f>L17/(L11*3)</f>
        <v>19544.024555083441</v>
      </c>
      <c r="M62" s="8"/>
      <c r="N62" s="8"/>
      <c r="O62" s="37" t="s">
        <v>142</v>
      </c>
    </row>
    <row r="63" spans="1:15" x14ac:dyDescent="0.25">
      <c r="A63" s="4" t="s">
        <v>43</v>
      </c>
      <c r="B63" s="8">
        <f>B18/(B12*3)</f>
        <v>17251.746744544773</v>
      </c>
      <c r="C63" s="8">
        <f>C18/(C12*3)</f>
        <v>31311.796314736072</v>
      </c>
      <c r="D63" s="8"/>
      <c r="E63" s="8"/>
      <c r="F63" s="8">
        <f>F18/(F12*3)</f>
        <v>5523.0767160161504</v>
      </c>
      <c r="G63" s="8"/>
      <c r="H63" s="8"/>
      <c r="I63" s="8"/>
      <c r="J63" s="8"/>
      <c r="K63" s="8"/>
      <c r="L63" s="8">
        <f>L18/(L12*3)</f>
        <v>17469.210953513728</v>
      </c>
      <c r="M63" s="8"/>
      <c r="N63" s="8"/>
      <c r="O63" s="37" t="s">
        <v>142</v>
      </c>
    </row>
    <row r="64" spans="1:15" x14ac:dyDescent="0.25">
      <c r="A64" s="4" t="s">
        <v>30</v>
      </c>
      <c r="B64" s="8">
        <f>(B63/B62)*B46</f>
        <v>68.424429225372819</v>
      </c>
      <c r="C64" s="8">
        <f>(C63/C62)*C46</f>
        <v>58.417682001796912</v>
      </c>
      <c r="D64" s="8"/>
      <c r="E64" s="8"/>
      <c r="F64" s="8">
        <f>(F63/F62)*F46</f>
        <v>137.30321637005346</v>
      </c>
      <c r="G64" s="8"/>
      <c r="H64" s="8"/>
      <c r="I64" s="8"/>
      <c r="J64" s="8"/>
      <c r="K64" s="8"/>
      <c r="L64" s="8">
        <f>(L63/L62)*L46</f>
        <v>78.87737412310392</v>
      </c>
      <c r="M64" s="8"/>
      <c r="N64" s="8"/>
      <c r="O64" s="37" t="s">
        <v>142</v>
      </c>
    </row>
    <row r="65" spans="1:15" x14ac:dyDescent="0.25">
      <c r="A65" s="4" t="s">
        <v>35</v>
      </c>
      <c r="B65" s="8">
        <f>B17/B11</f>
        <v>61764.640242432615</v>
      </c>
      <c r="C65" s="8">
        <f>C17/C11</f>
        <v>102886.08603578965</v>
      </c>
      <c r="D65" s="8"/>
      <c r="E65" s="8"/>
      <c r="F65" s="8">
        <f>F17/F11</f>
        <v>13331.263702675671</v>
      </c>
      <c r="G65" s="8"/>
      <c r="H65" s="8"/>
      <c r="I65" s="8"/>
      <c r="J65" s="8"/>
      <c r="K65" s="8"/>
      <c r="L65" s="8">
        <f>L17/L11</f>
        <v>58632.073665250326</v>
      </c>
      <c r="M65" s="8"/>
      <c r="N65" s="8"/>
      <c r="O65" s="37" t="s">
        <v>142</v>
      </c>
    </row>
    <row r="66" spans="1:15" x14ac:dyDescent="0.25">
      <c r="A66" s="4" t="s">
        <v>34</v>
      </c>
      <c r="B66" s="8">
        <f>B18/B12</f>
        <v>51755.240233634322</v>
      </c>
      <c r="C66" s="8">
        <f>C18/C12</f>
        <v>93935.388944208215</v>
      </c>
      <c r="D66" s="8"/>
      <c r="E66" s="8"/>
      <c r="F66" s="8">
        <f>F18/F12</f>
        <v>16569.230148048453</v>
      </c>
      <c r="G66" s="8"/>
      <c r="H66" s="8"/>
      <c r="I66" s="8"/>
      <c r="J66" s="8"/>
      <c r="K66" s="8"/>
      <c r="L66" s="8">
        <f>L18/L12</f>
        <v>52407.632860541184</v>
      </c>
      <c r="M66" s="8"/>
      <c r="N66" s="8"/>
      <c r="O66" s="37" t="s">
        <v>142</v>
      </c>
    </row>
    <row r="67" spans="1:15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5" x14ac:dyDescent="0.25">
      <c r="A68" s="4" t="s">
        <v>31</v>
      </c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5" x14ac:dyDescent="0.25">
      <c r="A69" s="4" t="s">
        <v>32</v>
      </c>
      <c r="B69" s="3">
        <f>(B24/B23)*100</f>
        <v>33.224323076664611</v>
      </c>
      <c r="C69" s="2"/>
      <c r="D69" s="2"/>
      <c r="E69" s="2"/>
      <c r="F69" s="2"/>
      <c r="G69" s="2"/>
      <c r="H69" s="2"/>
      <c r="I69" s="2"/>
      <c r="J69" s="2"/>
      <c r="K69" s="2"/>
    </row>
    <row r="70" spans="1:15" ht="15.75" thickBot="1" x14ac:dyDescent="0.3">
      <c r="A70" s="11" t="s">
        <v>33</v>
      </c>
      <c r="B70" s="61">
        <f>(B18/B24)*100</f>
        <v>224.10576503274334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5.75" thickTop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5" x14ac:dyDescent="0.25">
      <c r="A73" s="4" t="s">
        <v>97</v>
      </c>
    </row>
    <row r="74" spans="1:15" x14ac:dyDescent="0.25">
      <c r="A74" s="4" t="s">
        <v>98</v>
      </c>
    </row>
    <row r="75" spans="1:15" x14ac:dyDescent="0.25">
      <c r="A75" s="4" t="s">
        <v>99</v>
      </c>
      <c r="B75" s="20"/>
      <c r="C75" s="20"/>
      <c r="D75" s="20"/>
      <c r="E75" s="20"/>
      <c r="F75" s="20"/>
      <c r="G75" s="20"/>
      <c r="H75" s="20"/>
      <c r="I75" s="20"/>
      <c r="J75" s="20"/>
    </row>
    <row r="76" spans="1:15" x14ac:dyDescent="0.25">
      <c r="A76" s="4" t="s">
        <v>47</v>
      </c>
    </row>
    <row r="78" spans="1:15" x14ac:dyDescent="0.25">
      <c r="A78" s="4" t="s">
        <v>39</v>
      </c>
    </row>
    <row r="79" spans="1:15" x14ac:dyDescent="0.25">
      <c r="A79" s="4" t="s">
        <v>45</v>
      </c>
    </row>
    <row r="80" spans="1:15" x14ac:dyDescent="0.25">
      <c r="A80" s="4" t="s">
        <v>51</v>
      </c>
    </row>
    <row r="81" spans="1:1" x14ac:dyDescent="0.25">
      <c r="A81" s="4" t="s">
        <v>44</v>
      </c>
    </row>
    <row r="82" spans="1:1" x14ac:dyDescent="0.25">
      <c r="A82" s="4" t="s">
        <v>46</v>
      </c>
    </row>
    <row r="84" spans="1:1" x14ac:dyDescent="0.25">
      <c r="A84" s="4" t="s">
        <v>141</v>
      </c>
    </row>
  </sheetData>
  <mergeCells count="17">
    <mergeCell ref="G31:J31"/>
    <mergeCell ref="A4:A5"/>
    <mergeCell ref="D5:E5"/>
    <mergeCell ref="D18:E18"/>
    <mergeCell ref="G5:K5"/>
    <mergeCell ref="D16:E16"/>
    <mergeCell ref="G16:K16"/>
    <mergeCell ref="G17:K17"/>
    <mergeCell ref="C4:O4"/>
    <mergeCell ref="G18:K18"/>
    <mergeCell ref="G19:K19"/>
    <mergeCell ref="M19:N19"/>
    <mergeCell ref="A2:M2"/>
    <mergeCell ref="M5:N5"/>
    <mergeCell ref="M16:N16"/>
    <mergeCell ref="M17:N17"/>
    <mergeCell ref="M18:N18"/>
  </mergeCells>
  <pageMargins left="0.7" right="0.7" top="0.75" bottom="0.75" header="0.3" footer="0.3"/>
  <pageSetup paperSize="9" scale="17" orientation="portrait" r:id="rId1"/>
  <ignoredErrors>
    <ignoredError sqref="B18:C18 B19" formula="1"/>
    <ignoredError sqref="O5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5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7109375" style="4" customWidth="1"/>
    <col min="2" max="15" width="15.7109375" style="4" customWidth="1"/>
    <col min="16" max="16384" width="11.42578125" style="4"/>
  </cols>
  <sheetData>
    <row r="2" spans="1:15" ht="15.75" x14ac:dyDescent="0.25">
      <c r="A2" s="81" t="s">
        <v>114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4" spans="1:15" x14ac:dyDescent="0.25">
      <c r="A4" s="84" t="s">
        <v>0</v>
      </c>
      <c r="B4" s="26"/>
      <c r="C4" s="82" t="s">
        <v>2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ht="30.75" thickBot="1" x14ac:dyDescent="0.3">
      <c r="A5" s="85"/>
      <c r="B5" s="27" t="s">
        <v>75</v>
      </c>
      <c r="C5" s="27" t="s">
        <v>74</v>
      </c>
      <c r="D5" s="86" t="s">
        <v>83</v>
      </c>
      <c r="E5" s="86"/>
      <c r="F5" s="27" t="s">
        <v>48</v>
      </c>
      <c r="G5" s="85" t="s">
        <v>82</v>
      </c>
      <c r="H5" s="85"/>
      <c r="I5" s="85"/>
      <c r="J5" s="85"/>
      <c r="K5" s="85"/>
      <c r="L5" s="27" t="s">
        <v>140</v>
      </c>
      <c r="M5" s="86" t="s">
        <v>137</v>
      </c>
      <c r="N5" s="86"/>
      <c r="O5" s="75" t="s">
        <v>52</v>
      </c>
    </row>
    <row r="6" spans="1:15" ht="45.75" thickTop="1" x14ac:dyDescent="0.25">
      <c r="B6" s="25" t="s">
        <v>1</v>
      </c>
      <c r="C6" s="33" t="s">
        <v>86</v>
      </c>
      <c r="D6" s="28" t="s">
        <v>84</v>
      </c>
      <c r="E6" s="28" t="s">
        <v>85</v>
      </c>
      <c r="F6" s="25" t="s">
        <v>50</v>
      </c>
      <c r="G6" s="25" t="s">
        <v>77</v>
      </c>
      <c r="H6" s="25" t="s">
        <v>78</v>
      </c>
      <c r="I6" s="25" t="s">
        <v>79</v>
      </c>
      <c r="J6" s="25" t="s">
        <v>80</v>
      </c>
      <c r="K6" s="25" t="s">
        <v>81</v>
      </c>
      <c r="L6" s="25" t="s">
        <v>1</v>
      </c>
      <c r="M6" s="25" t="s">
        <v>138</v>
      </c>
      <c r="N6" s="33" t="s">
        <v>139</v>
      </c>
      <c r="O6" s="29"/>
    </row>
    <row r="7" spans="1:15" x14ac:dyDescent="0.25">
      <c r="A7" s="16" t="s">
        <v>3</v>
      </c>
    </row>
    <row r="9" spans="1:15" x14ac:dyDescent="0.25">
      <c r="A9" s="4" t="s">
        <v>4</v>
      </c>
      <c r="M9" s="7"/>
    </row>
    <row r="10" spans="1:15" x14ac:dyDescent="0.25">
      <c r="A10" s="13" t="s">
        <v>62</v>
      </c>
      <c r="B10" s="18">
        <f>+D10+K10</f>
        <v>123612</v>
      </c>
      <c r="C10" s="18">
        <f>+D10+E10</f>
        <v>37602</v>
      </c>
      <c r="D10" s="18">
        <v>24745</v>
      </c>
      <c r="E10" s="18">
        <v>12857</v>
      </c>
      <c r="F10" s="45">
        <f>+K10+I10+H10</f>
        <v>122538</v>
      </c>
      <c r="G10" s="18">
        <v>0</v>
      </c>
      <c r="H10" s="58">
        <v>19339</v>
      </c>
      <c r="I10" s="58">
        <v>4332</v>
      </c>
      <c r="J10" s="38">
        <v>27336</v>
      </c>
      <c r="K10" s="18">
        <v>98867</v>
      </c>
      <c r="L10" s="63">
        <f>+SUM(M10:N10)</f>
        <v>9722</v>
      </c>
      <c r="M10" s="64">
        <v>9722</v>
      </c>
      <c r="N10" s="37">
        <v>0</v>
      </c>
      <c r="O10" s="37">
        <v>0</v>
      </c>
    </row>
    <row r="11" spans="1:15" x14ac:dyDescent="0.25">
      <c r="A11" s="13" t="s">
        <v>115</v>
      </c>
      <c r="B11" s="18">
        <f t="shared" ref="B11:B13" si="0">+D11+K11</f>
        <v>144700</v>
      </c>
      <c r="C11" s="18">
        <f t="shared" ref="C11:C13" si="1">+D11+E11</f>
        <v>63985</v>
      </c>
      <c r="D11" s="18">
        <v>42951</v>
      </c>
      <c r="E11" s="38">
        <v>21034</v>
      </c>
      <c r="F11" s="45">
        <f t="shared" ref="F11:F13" si="2">+K11+I11+H11</f>
        <v>128977</v>
      </c>
      <c r="G11" s="38">
        <v>14765</v>
      </c>
      <c r="H11" s="38">
        <v>17480</v>
      </c>
      <c r="I11" s="18">
        <v>9748</v>
      </c>
      <c r="J11" s="18">
        <v>42085</v>
      </c>
      <c r="K11" s="18">
        <v>101749</v>
      </c>
      <c r="L11" s="63">
        <f t="shared" ref="L11:L13" si="3">+SUM(M11:N11)</f>
        <v>10826</v>
      </c>
      <c r="M11" s="18">
        <v>10142</v>
      </c>
      <c r="N11" s="18">
        <v>684</v>
      </c>
      <c r="O11" s="18">
        <v>0</v>
      </c>
    </row>
    <row r="12" spans="1:15" x14ac:dyDescent="0.25">
      <c r="A12" s="13" t="s">
        <v>116</v>
      </c>
      <c r="B12" s="18">
        <f t="shared" si="0"/>
        <v>130565</v>
      </c>
      <c r="C12" s="18">
        <f t="shared" si="1"/>
        <v>42624</v>
      </c>
      <c r="D12" s="18">
        <v>25706</v>
      </c>
      <c r="E12" s="18">
        <v>16918</v>
      </c>
      <c r="F12" s="45">
        <f t="shared" si="2"/>
        <v>128844</v>
      </c>
      <c r="G12" s="18">
        <v>9498</v>
      </c>
      <c r="H12" s="18">
        <v>14401</v>
      </c>
      <c r="I12" s="38">
        <v>9584</v>
      </c>
      <c r="J12" s="38">
        <v>32320</v>
      </c>
      <c r="K12" s="18">
        <v>104859</v>
      </c>
      <c r="L12" s="63">
        <f t="shared" si="3"/>
        <v>10181</v>
      </c>
      <c r="M12" s="37">
        <v>9610</v>
      </c>
      <c r="N12" s="37">
        <v>571</v>
      </c>
      <c r="O12" s="37">
        <v>0</v>
      </c>
    </row>
    <row r="13" spans="1:15" x14ac:dyDescent="0.25">
      <c r="A13" s="13" t="s">
        <v>89</v>
      </c>
      <c r="B13" s="18">
        <f t="shared" si="0"/>
        <v>138542.08333333331</v>
      </c>
      <c r="C13" s="18">
        <f t="shared" si="1"/>
        <v>61230</v>
      </c>
      <c r="D13" s="18">
        <v>41072</v>
      </c>
      <c r="E13" s="18">
        <v>20158</v>
      </c>
      <c r="F13" s="45">
        <f t="shared" si="2"/>
        <v>123491.75</v>
      </c>
      <c r="G13" s="45">
        <v>14137.833333333334</v>
      </c>
      <c r="H13" s="18">
        <v>16732.666666666668</v>
      </c>
      <c r="I13" s="18">
        <v>9289</v>
      </c>
      <c r="J13" s="18">
        <v>40246.583333333336</v>
      </c>
      <c r="K13" s="18">
        <v>97470.083333333328</v>
      </c>
      <c r="L13" s="63">
        <f t="shared" si="3"/>
        <v>10370</v>
      </c>
      <c r="M13" s="18">
        <v>9714</v>
      </c>
      <c r="N13" s="18">
        <v>656</v>
      </c>
      <c r="O13" s="18">
        <v>0</v>
      </c>
    </row>
    <row r="14" spans="1:15" x14ac:dyDescent="0.25">
      <c r="G14" s="7"/>
      <c r="I14" s="1"/>
      <c r="J14" s="1"/>
    </row>
    <row r="15" spans="1:15" x14ac:dyDescent="0.25">
      <c r="A15" s="15" t="s">
        <v>5</v>
      </c>
      <c r="I15" s="6"/>
      <c r="J15" s="6"/>
      <c r="L15" s="8"/>
    </row>
    <row r="16" spans="1:15" x14ac:dyDescent="0.25">
      <c r="A16" s="13" t="s">
        <v>62</v>
      </c>
      <c r="B16" s="18">
        <f>+C16+F16+L16+O16</f>
        <v>7774554071</v>
      </c>
      <c r="C16" s="18">
        <f>D16</f>
        <v>3491560907</v>
      </c>
      <c r="D16" s="79">
        <v>3491560907</v>
      </c>
      <c r="E16" s="79"/>
      <c r="F16" s="18">
        <v>3236953510</v>
      </c>
      <c r="G16" s="79">
        <v>3328848699</v>
      </c>
      <c r="H16" s="79"/>
      <c r="I16" s="79"/>
      <c r="J16" s="79"/>
      <c r="K16" s="79"/>
      <c r="L16" s="18">
        <f>M16</f>
        <v>1046039654</v>
      </c>
      <c r="M16" s="79">
        <v>1046039654</v>
      </c>
      <c r="N16" s="79"/>
      <c r="O16" s="18">
        <v>0</v>
      </c>
    </row>
    <row r="17" spans="1:15" s="50" customFormat="1" x14ac:dyDescent="0.25">
      <c r="A17" s="48" t="s">
        <v>115</v>
      </c>
      <c r="B17" s="51">
        <f>+C17+F17+L17+O17</f>
        <v>8416007134.0799999</v>
      </c>
      <c r="C17" s="51">
        <f>+D17+E17</f>
        <v>6087675471</v>
      </c>
      <c r="D17" s="51">
        <v>5880557957</v>
      </c>
      <c r="E17" s="51">
        <v>207117514</v>
      </c>
      <c r="F17" s="51">
        <f>G17</f>
        <v>1719448574.5799999</v>
      </c>
      <c r="G17" s="80">
        <v>1719448574.5799999</v>
      </c>
      <c r="H17" s="80"/>
      <c r="I17" s="80"/>
      <c r="J17" s="80"/>
      <c r="K17" s="80"/>
      <c r="L17" s="51">
        <f>M17</f>
        <v>608883088.5</v>
      </c>
      <c r="M17" s="80">
        <v>608883088.5</v>
      </c>
      <c r="N17" s="80"/>
      <c r="O17" s="51">
        <v>0</v>
      </c>
    </row>
    <row r="18" spans="1:15" x14ac:dyDescent="0.25">
      <c r="A18" s="13" t="s">
        <v>116</v>
      </c>
      <c r="B18" s="18">
        <f>+C18+F18+L18+O18</f>
        <v>7551136042</v>
      </c>
      <c r="C18" s="18">
        <f>D18</f>
        <v>4643948653</v>
      </c>
      <c r="D18" s="79">
        <v>4643948653</v>
      </c>
      <c r="E18" s="79"/>
      <c r="F18" s="45">
        <f t="shared" ref="F18:F19" si="4">G18</f>
        <v>2364202477</v>
      </c>
      <c r="G18" s="79">
        <v>2364202477</v>
      </c>
      <c r="H18" s="79"/>
      <c r="I18" s="79"/>
      <c r="J18" s="79"/>
      <c r="K18" s="79"/>
      <c r="L18" s="18">
        <f>M18</f>
        <v>542984912</v>
      </c>
      <c r="M18" s="79">
        <v>542984912</v>
      </c>
      <c r="N18" s="79"/>
      <c r="O18" s="18">
        <v>0</v>
      </c>
    </row>
    <row r="19" spans="1:15" x14ac:dyDescent="0.25">
      <c r="A19" s="13" t="s">
        <v>89</v>
      </c>
      <c r="B19" s="18">
        <f>+C19+F19+L19+O19</f>
        <v>33469448950.02</v>
      </c>
      <c r="C19" s="18">
        <f>+D19+E19</f>
        <v>24059525497</v>
      </c>
      <c r="D19" s="18">
        <v>23448403597</v>
      </c>
      <c r="E19" s="18">
        <v>611121900</v>
      </c>
      <c r="F19" s="45">
        <f t="shared" si="4"/>
        <v>6970914145.0200005</v>
      </c>
      <c r="G19" s="79">
        <v>6970914145.0200005</v>
      </c>
      <c r="H19" s="79"/>
      <c r="I19" s="79"/>
      <c r="J19" s="79"/>
      <c r="K19" s="79"/>
      <c r="L19" s="18">
        <f>M19</f>
        <v>2429589368</v>
      </c>
      <c r="M19" s="79">
        <v>2429589368</v>
      </c>
      <c r="N19" s="79"/>
      <c r="O19" s="18">
        <v>9419940</v>
      </c>
    </row>
    <row r="20" spans="1:15" x14ac:dyDescent="0.25">
      <c r="A20" s="13" t="s">
        <v>117</v>
      </c>
      <c r="B20" s="18">
        <f>+C20+F20+L20+O20</f>
        <v>7551136042</v>
      </c>
      <c r="C20" s="18">
        <f>C18</f>
        <v>4643948653</v>
      </c>
      <c r="D20" s="24"/>
      <c r="E20" s="24"/>
      <c r="F20" s="18">
        <f>F18</f>
        <v>2364202477</v>
      </c>
      <c r="G20" s="24"/>
      <c r="H20" s="24"/>
      <c r="I20" s="24"/>
      <c r="J20" s="24"/>
      <c r="K20" s="24"/>
      <c r="L20" s="18">
        <f>L18</f>
        <v>542984912</v>
      </c>
      <c r="M20" s="65"/>
      <c r="N20" s="34"/>
      <c r="O20" s="18">
        <f>O18</f>
        <v>0</v>
      </c>
    </row>
    <row r="21" spans="1:1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5" x14ac:dyDescent="0.25">
      <c r="A22" s="15" t="s">
        <v>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5" x14ac:dyDescent="0.25">
      <c r="A23" s="13" t="s">
        <v>115</v>
      </c>
      <c r="B23" s="1">
        <f>B17</f>
        <v>8416007134.0799999</v>
      </c>
      <c r="C23" s="1"/>
      <c r="D23" s="1"/>
      <c r="E23" s="1"/>
      <c r="F23" s="1"/>
      <c r="G23" s="1"/>
      <c r="H23" s="1"/>
      <c r="I23" s="1"/>
      <c r="J23" s="1"/>
      <c r="K23" s="1"/>
    </row>
    <row r="24" spans="1:15" x14ac:dyDescent="0.25">
      <c r="A24" s="13" t="s">
        <v>116</v>
      </c>
      <c r="B24" s="41">
        <v>4526512912</v>
      </c>
      <c r="C24" s="41"/>
      <c r="D24" s="66"/>
      <c r="E24" s="66"/>
      <c r="F24" s="66"/>
      <c r="G24" s="1"/>
      <c r="H24" s="1"/>
      <c r="I24" s="1"/>
      <c r="J24" s="1"/>
      <c r="K24" s="1"/>
    </row>
    <row r="25" spans="1:15" x14ac:dyDescent="0.25">
      <c r="D25" s="10"/>
    </row>
    <row r="26" spans="1:15" x14ac:dyDescent="0.25">
      <c r="A26" s="4" t="s">
        <v>7</v>
      </c>
    </row>
    <row r="27" spans="1:15" x14ac:dyDescent="0.25">
      <c r="A27" s="13" t="s">
        <v>63</v>
      </c>
      <c r="B27" s="42">
        <v>1.0245</v>
      </c>
      <c r="C27" s="42">
        <v>1.0245</v>
      </c>
      <c r="D27" s="42">
        <v>1.0245</v>
      </c>
      <c r="E27" s="42">
        <v>1.0245</v>
      </c>
      <c r="F27" s="42">
        <v>1.0245</v>
      </c>
      <c r="G27" s="42">
        <v>1.0245</v>
      </c>
      <c r="H27" s="42">
        <v>1.0245</v>
      </c>
      <c r="I27" s="42">
        <v>1.0245</v>
      </c>
      <c r="J27" s="42">
        <v>1.0245</v>
      </c>
      <c r="K27" s="42">
        <v>1.0245</v>
      </c>
      <c r="L27" s="42">
        <v>1.0245</v>
      </c>
      <c r="M27" s="42">
        <v>1.0245</v>
      </c>
      <c r="N27" s="42">
        <v>1.0245</v>
      </c>
      <c r="O27" s="42">
        <v>1.0245</v>
      </c>
    </row>
    <row r="28" spans="1:15" x14ac:dyDescent="0.25">
      <c r="A28" s="13" t="s">
        <v>118</v>
      </c>
      <c r="B28" s="42">
        <v>1.0451999999999999</v>
      </c>
      <c r="C28" s="42">
        <v>1.0451999999999999</v>
      </c>
      <c r="D28" s="42">
        <v>1.0451999999999999</v>
      </c>
      <c r="E28" s="42">
        <v>1.0451999999999999</v>
      </c>
      <c r="F28" s="42">
        <v>1.0451999999999999</v>
      </c>
      <c r="G28" s="42">
        <v>1.0451999999999999</v>
      </c>
      <c r="H28" s="42">
        <v>1.0451999999999999</v>
      </c>
      <c r="I28" s="42">
        <v>1.0451999999999999</v>
      </c>
      <c r="J28" s="42">
        <v>1.0451999999999999</v>
      </c>
      <c r="K28" s="42">
        <v>1.0451999999999999</v>
      </c>
      <c r="L28" s="42">
        <v>1.0451999999999999</v>
      </c>
      <c r="M28" s="42">
        <v>1.0451999999999999</v>
      </c>
      <c r="N28" s="42">
        <v>1.0451999999999999</v>
      </c>
      <c r="O28" s="42">
        <v>1.0451999999999999</v>
      </c>
    </row>
    <row r="29" spans="1:15" x14ac:dyDescent="0.25">
      <c r="A29" s="13" t="s">
        <v>8</v>
      </c>
      <c r="B29" s="1">
        <v>111207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1" spans="1:15" x14ac:dyDescent="0.25">
      <c r="A31" s="16" t="s">
        <v>9</v>
      </c>
      <c r="D31" s="17"/>
      <c r="E31" s="17"/>
      <c r="F31" s="17"/>
      <c r="G31" s="83"/>
      <c r="H31" s="83"/>
      <c r="I31" s="83"/>
      <c r="J31" s="83"/>
    </row>
    <row r="32" spans="1:15" x14ac:dyDescent="0.25">
      <c r="A32" s="4" t="s">
        <v>64</v>
      </c>
      <c r="B32" s="18">
        <f>B16/B27</f>
        <v>7588632572.9624214</v>
      </c>
      <c r="C32" s="18">
        <f>C16/C27</f>
        <v>3408063354.8072233</v>
      </c>
      <c r="D32" s="18"/>
      <c r="E32" s="18"/>
      <c r="F32" s="18">
        <f>F16/F27</f>
        <v>3159544665.6905808</v>
      </c>
      <c r="G32" s="18"/>
      <c r="H32" s="18"/>
      <c r="I32" s="18"/>
      <c r="J32" s="18"/>
      <c r="K32" s="18"/>
      <c r="L32" s="18">
        <f>L16/L27</f>
        <v>1021024552.4646169</v>
      </c>
      <c r="M32" s="37"/>
      <c r="N32" s="37"/>
      <c r="O32" s="37">
        <f>O16/O27</f>
        <v>0</v>
      </c>
    </row>
    <row r="33" spans="1:15" x14ac:dyDescent="0.25">
      <c r="A33" s="4" t="s">
        <v>119</v>
      </c>
      <c r="B33" s="18">
        <f>B18/B28</f>
        <v>7224584808.6490631</v>
      </c>
      <c r="C33" s="18">
        <f>C18/C28</f>
        <v>4443119645.0440111</v>
      </c>
      <c r="D33" s="18"/>
      <c r="E33" s="18"/>
      <c r="F33" s="18">
        <f>F18/F28</f>
        <v>2261961803.4825873</v>
      </c>
      <c r="G33" s="18"/>
      <c r="H33" s="18"/>
      <c r="I33" s="18"/>
      <c r="J33" s="18"/>
      <c r="K33" s="18"/>
      <c r="L33" s="18">
        <f>L18/L28</f>
        <v>519503360.12246466</v>
      </c>
      <c r="M33" s="37"/>
      <c r="N33" s="37"/>
      <c r="O33" s="37">
        <f>O18/O28</f>
        <v>0</v>
      </c>
    </row>
    <row r="34" spans="1:15" x14ac:dyDescent="0.25">
      <c r="A34" s="4" t="s">
        <v>65</v>
      </c>
      <c r="B34" s="18">
        <f>B32/B10</f>
        <v>61390.743398395149</v>
      </c>
      <c r="C34" s="18">
        <f>C32/C10</f>
        <v>90635.161821371817</v>
      </c>
      <c r="D34" s="18"/>
      <c r="E34" s="18"/>
      <c r="F34" s="18">
        <f>F32/F10</f>
        <v>25784.202987567784</v>
      </c>
      <c r="G34" s="18"/>
      <c r="H34" s="18"/>
      <c r="I34" s="18"/>
      <c r="J34" s="18"/>
      <c r="K34" s="18"/>
      <c r="L34" s="18">
        <f>L32/L10</f>
        <v>105022.06875793221</v>
      </c>
      <c r="M34" s="37"/>
      <c r="N34" s="37"/>
      <c r="O34" s="37" t="s">
        <v>142</v>
      </c>
    </row>
    <row r="35" spans="1:15" x14ac:dyDescent="0.25">
      <c r="A35" s="4" t="s">
        <v>120</v>
      </c>
      <c r="B35" s="18">
        <f>B33/B12</f>
        <v>55333.242512534467</v>
      </c>
      <c r="C35" s="18">
        <f>C33/C12</f>
        <v>104239.85653725627</v>
      </c>
      <c r="D35" s="18"/>
      <c r="E35" s="18"/>
      <c r="F35" s="18">
        <f>F33/F12</f>
        <v>17555.817915328516</v>
      </c>
      <c r="G35" s="18"/>
      <c r="H35" s="18"/>
      <c r="I35" s="18"/>
      <c r="J35" s="18"/>
      <c r="K35" s="18"/>
      <c r="L35" s="18">
        <f>L33/L12</f>
        <v>51026.751804583502</v>
      </c>
      <c r="M35" s="37"/>
      <c r="N35" s="37"/>
      <c r="O35" s="37" t="s">
        <v>142</v>
      </c>
    </row>
    <row r="37" spans="1:15" x14ac:dyDescent="0.25">
      <c r="A37" s="16" t="s">
        <v>10</v>
      </c>
    </row>
    <row r="39" spans="1:15" x14ac:dyDescent="0.25">
      <c r="A39" s="4" t="s">
        <v>11</v>
      </c>
    </row>
    <row r="40" spans="1:15" x14ac:dyDescent="0.25">
      <c r="A40" s="4" t="s">
        <v>12</v>
      </c>
      <c r="B40" s="3">
        <f t="shared" ref="B40" si="5">(B11/B29)*100</f>
        <v>130.11770841763558</v>
      </c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5" x14ac:dyDescent="0.25">
      <c r="A41" s="4" t="s">
        <v>13</v>
      </c>
      <c r="B41" s="3">
        <f t="shared" ref="B41" si="6">(B12/B29)*100</f>
        <v>117.40717760572625</v>
      </c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5" x14ac:dyDescent="0.25">
      <c r="A43" s="4" t="s">
        <v>14</v>
      </c>
    </row>
    <row r="44" spans="1:15" x14ac:dyDescent="0.25">
      <c r="A44" s="4" t="s">
        <v>15</v>
      </c>
      <c r="B44" s="62">
        <f t="shared" ref="B44:N44" si="7">B12/B11*100</f>
        <v>90.231513476157559</v>
      </c>
      <c r="C44" s="62">
        <f t="shared" si="7"/>
        <v>66.615613034304914</v>
      </c>
      <c r="D44" s="62">
        <f t="shared" si="7"/>
        <v>59.849596051314293</v>
      </c>
      <c r="E44" s="62">
        <f t="shared" si="7"/>
        <v>80.431682038604166</v>
      </c>
      <c r="F44" s="62">
        <f t="shared" si="7"/>
        <v>99.896880839219392</v>
      </c>
      <c r="G44" s="62">
        <f t="shared" si="7"/>
        <v>64.327802235015241</v>
      </c>
      <c r="H44" s="62">
        <f t="shared" si="7"/>
        <v>82.385583524027467</v>
      </c>
      <c r="I44" s="62">
        <f t="shared" si="7"/>
        <v>98.317603610997125</v>
      </c>
      <c r="J44" s="62">
        <f t="shared" si="7"/>
        <v>76.796958536295591</v>
      </c>
      <c r="K44" s="62">
        <f t="shared" si="7"/>
        <v>103.05654109622699</v>
      </c>
      <c r="L44" s="62">
        <f t="shared" si="7"/>
        <v>94.042120820247561</v>
      </c>
      <c r="M44" s="76">
        <f t="shared" si="7"/>
        <v>94.754486294616441</v>
      </c>
      <c r="N44" s="63">
        <f t="shared" si="7"/>
        <v>83.479532163742689</v>
      </c>
      <c r="O44" s="37" t="s">
        <v>142</v>
      </c>
    </row>
    <row r="45" spans="1:15" x14ac:dyDescent="0.25">
      <c r="A45" s="4" t="s">
        <v>16</v>
      </c>
      <c r="B45" s="62">
        <f>B18/B17*100</f>
        <v>89.723498586666253</v>
      </c>
      <c r="C45" s="62">
        <f>C18/C17*100</f>
        <v>76.284431966232191</v>
      </c>
      <c r="D45" s="62"/>
      <c r="E45" s="62"/>
      <c r="F45" s="62">
        <f>F18/F17*100</f>
        <v>137.49771362470031</v>
      </c>
      <c r="G45" s="62"/>
      <c r="H45" s="62"/>
      <c r="I45" s="62"/>
      <c r="J45" s="62"/>
      <c r="K45" s="62"/>
      <c r="L45" s="62">
        <f>L18/L17*100</f>
        <v>89.177203679224874</v>
      </c>
      <c r="M45" s="76"/>
      <c r="N45" s="63"/>
      <c r="O45" s="37" t="s">
        <v>142</v>
      </c>
    </row>
    <row r="46" spans="1:15" x14ac:dyDescent="0.25">
      <c r="A46" s="4" t="s">
        <v>17</v>
      </c>
      <c r="B46" s="62">
        <f>AVERAGE(B44:B45)</f>
        <v>89.977506031411906</v>
      </c>
      <c r="C46" s="62">
        <f t="shared" ref="C46" si="8">AVERAGE(C44:C45)</f>
        <v>71.450022500268545</v>
      </c>
      <c r="D46" s="62"/>
      <c r="E46" s="62"/>
      <c r="F46" s="62">
        <f t="shared" ref="F46" si="9">AVERAGE(F44:F45)</f>
        <v>118.69729723195985</v>
      </c>
      <c r="G46" s="62"/>
      <c r="H46" s="62"/>
      <c r="I46" s="62"/>
      <c r="J46" s="62"/>
      <c r="K46" s="62"/>
      <c r="L46" s="62">
        <f t="shared" ref="L46" si="10">AVERAGE(L44:L45)</f>
        <v>91.609662249736218</v>
      </c>
      <c r="M46" s="76"/>
      <c r="N46" s="63"/>
      <c r="O46" s="37" t="s">
        <v>142</v>
      </c>
    </row>
    <row r="47" spans="1:15" x14ac:dyDescent="0.25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3"/>
      <c r="M47" s="76"/>
      <c r="N47" s="63"/>
      <c r="O47" s="63"/>
    </row>
    <row r="48" spans="1:15" x14ac:dyDescent="0.25">
      <c r="A48" s="4" t="s">
        <v>18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76"/>
      <c r="N48" s="63"/>
      <c r="O48" s="63"/>
    </row>
    <row r="49" spans="1:15" x14ac:dyDescent="0.25">
      <c r="A49" s="4" t="s">
        <v>19</v>
      </c>
      <c r="B49" s="62">
        <f t="shared" ref="B49:N49" si="11">((B12/B13)*100)</f>
        <v>94.24212258008248</v>
      </c>
      <c r="C49" s="62">
        <f t="shared" si="11"/>
        <v>69.612934835864763</v>
      </c>
      <c r="D49" s="62">
        <f t="shared" si="11"/>
        <v>62.587650954421505</v>
      </c>
      <c r="E49" s="62">
        <f t="shared" si="11"/>
        <v>83.926976882627244</v>
      </c>
      <c r="F49" s="62">
        <f t="shared" si="11"/>
        <v>104.33409519259385</v>
      </c>
      <c r="G49" s="62">
        <f t="shared" si="11"/>
        <v>67.181439871738945</v>
      </c>
      <c r="H49" s="62">
        <f t="shared" si="11"/>
        <v>86.065181879756153</v>
      </c>
      <c r="I49" s="62">
        <f t="shared" si="11"/>
        <v>103.17579933254386</v>
      </c>
      <c r="J49" s="62">
        <f t="shared" si="11"/>
        <v>80.304953422547257</v>
      </c>
      <c r="K49" s="62">
        <f t="shared" si="11"/>
        <v>107.58070211287054</v>
      </c>
      <c r="L49" s="62">
        <f t="shared" si="11"/>
        <v>98.177434908389586</v>
      </c>
      <c r="M49" s="76">
        <f t="shared" si="11"/>
        <v>98.929380275890466</v>
      </c>
      <c r="N49" s="63">
        <f t="shared" si="11"/>
        <v>87.042682926829272</v>
      </c>
      <c r="O49" s="37" t="s">
        <v>142</v>
      </c>
    </row>
    <row r="50" spans="1:15" x14ac:dyDescent="0.25">
      <c r="A50" s="4" t="s">
        <v>20</v>
      </c>
      <c r="B50" s="62">
        <f>B18/B19*100</f>
        <v>22.561279850397678</v>
      </c>
      <c r="C50" s="62">
        <f>C18/C19*100</f>
        <v>19.301912889259007</v>
      </c>
      <c r="D50" s="62"/>
      <c r="E50" s="62"/>
      <c r="F50" s="62">
        <f>F18/F19*100</f>
        <v>33.915243077394358</v>
      </c>
      <c r="G50" s="62"/>
      <c r="H50" s="62"/>
      <c r="I50" s="62"/>
      <c r="J50" s="62"/>
      <c r="K50" s="62"/>
      <c r="L50" s="62">
        <f>L18/L19*100</f>
        <v>22.348834710574021</v>
      </c>
      <c r="M50" s="76"/>
      <c r="N50" s="63"/>
      <c r="O50" s="63">
        <f>O18/O19*100</f>
        <v>0</v>
      </c>
    </row>
    <row r="51" spans="1:15" x14ac:dyDescent="0.25">
      <c r="A51" s="4" t="s">
        <v>21</v>
      </c>
      <c r="B51" s="62">
        <f>(B49+B50)/2</f>
        <v>58.401701215240081</v>
      </c>
      <c r="C51" s="62">
        <f>(C49+C50)/2</f>
        <v>44.457423862561882</v>
      </c>
      <c r="D51" s="62"/>
      <c r="E51" s="62"/>
      <c r="F51" s="62">
        <f>(F49+F50)/2</f>
        <v>69.124669134994107</v>
      </c>
      <c r="G51" s="62"/>
      <c r="H51" s="62"/>
      <c r="I51" s="62"/>
      <c r="J51" s="62"/>
      <c r="K51" s="62"/>
      <c r="L51" s="62">
        <f>(L49+L50)/2</f>
        <v>60.263134809481805</v>
      </c>
      <c r="M51" s="76"/>
      <c r="N51" s="63"/>
      <c r="O51" s="37" t="s">
        <v>142</v>
      </c>
    </row>
    <row r="52" spans="1:1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M52" s="77"/>
    </row>
    <row r="53" spans="1:15" x14ac:dyDescent="0.25">
      <c r="A53" s="4" t="s">
        <v>36</v>
      </c>
      <c r="M53" s="77"/>
    </row>
    <row r="54" spans="1:15" x14ac:dyDescent="0.25">
      <c r="A54" s="4" t="s">
        <v>22</v>
      </c>
      <c r="B54" s="3">
        <f>B20/B18*100</f>
        <v>100</v>
      </c>
      <c r="C54" s="2"/>
      <c r="D54" s="2"/>
      <c r="E54" s="2"/>
      <c r="F54" s="2"/>
      <c r="G54" s="2"/>
      <c r="H54" s="2"/>
      <c r="I54" s="2"/>
      <c r="J54" s="2"/>
      <c r="K54" s="2"/>
      <c r="M54" s="77"/>
    </row>
    <row r="55" spans="1:15" x14ac:dyDescent="0.25">
      <c r="M55" s="77"/>
    </row>
    <row r="56" spans="1:15" x14ac:dyDescent="0.25">
      <c r="A56" s="4" t="s">
        <v>23</v>
      </c>
      <c r="M56" s="77"/>
    </row>
    <row r="57" spans="1:15" x14ac:dyDescent="0.25">
      <c r="A57" s="4" t="s">
        <v>24</v>
      </c>
      <c r="B57" s="47">
        <f t="shared" ref="B57:M57" si="12">((B12/B10)-1)*100</f>
        <v>5.6248584279843472</v>
      </c>
      <c r="C57" s="47">
        <f t="shared" si="12"/>
        <v>13.355672570607947</v>
      </c>
      <c r="D57" s="47">
        <f t="shared" si="12"/>
        <v>3.8836128510810308</v>
      </c>
      <c r="E57" s="47">
        <f t="shared" si="12"/>
        <v>31.585906510072338</v>
      </c>
      <c r="F57" s="47">
        <f t="shared" si="12"/>
        <v>5.1461587425941424</v>
      </c>
      <c r="G57" s="37" t="s">
        <v>142</v>
      </c>
      <c r="H57" s="47">
        <f t="shared" si="12"/>
        <v>-25.533895237602767</v>
      </c>
      <c r="I57" s="47">
        <f t="shared" si="12"/>
        <v>121.23730378578026</v>
      </c>
      <c r="J57" s="47">
        <f t="shared" si="12"/>
        <v>18.232367573895235</v>
      </c>
      <c r="K57" s="47">
        <f t="shared" si="12"/>
        <v>6.060667361202432</v>
      </c>
      <c r="L57" s="47">
        <f t="shared" si="12"/>
        <v>4.721250771446206</v>
      </c>
      <c r="M57" s="78">
        <f t="shared" si="12"/>
        <v>-1.1520263320304425</v>
      </c>
      <c r="N57" s="37" t="s">
        <v>142</v>
      </c>
      <c r="O57" s="37" t="s">
        <v>142</v>
      </c>
    </row>
    <row r="58" spans="1:15" x14ac:dyDescent="0.25">
      <c r="A58" s="4" t="s">
        <v>25</v>
      </c>
      <c r="B58" s="47">
        <f>((B33/B32)-1)*100</f>
        <v>-4.7972775175652345</v>
      </c>
      <c r="C58" s="47">
        <f>((C33/C32)-1)*100</f>
        <v>30.370805424634952</v>
      </c>
      <c r="D58" s="47"/>
      <c r="E58" s="47"/>
      <c r="F58" s="47">
        <f>((F33/F32)-1)*100</f>
        <v>-28.408614442290503</v>
      </c>
      <c r="G58" s="47"/>
      <c r="H58" s="47"/>
      <c r="I58" s="47"/>
      <c r="J58" s="47"/>
      <c r="K58" s="47"/>
      <c r="L58" s="47">
        <f>((L33/L32)-1)*100</f>
        <v>-49.119405711796752</v>
      </c>
      <c r="M58" s="37"/>
      <c r="N58" s="37"/>
      <c r="O58" s="37" t="s">
        <v>142</v>
      </c>
    </row>
    <row r="59" spans="1:15" x14ac:dyDescent="0.25">
      <c r="A59" s="4" t="s">
        <v>26</v>
      </c>
      <c r="B59" s="47">
        <f>((B35/B34)-1)*100</f>
        <v>-9.8671241795371891</v>
      </c>
      <c r="C59" s="47">
        <f>((C35/C34)-1)*100</f>
        <v>15.010393805769606</v>
      </c>
      <c r="D59" s="47"/>
      <c r="E59" s="47"/>
      <c r="F59" s="47">
        <f>((F35/F34)-1)*100</f>
        <v>-31.912505017923955</v>
      </c>
      <c r="G59" s="47"/>
      <c r="H59" s="47"/>
      <c r="I59" s="47"/>
      <c r="J59" s="47"/>
      <c r="K59" s="47"/>
      <c r="L59" s="47">
        <f>((L35/L34)-1)*100</f>
        <v>-51.413305405175137</v>
      </c>
      <c r="M59" s="37"/>
      <c r="N59" s="37"/>
      <c r="O59" s="37" t="s">
        <v>142</v>
      </c>
    </row>
    <row r="60" spans="1:15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5" x14ac:dyDescent="0.25">
      <c r="A61" s="4" t="s">
        <v>27</v>
      </c>
    </row>
    <row r="62" spans="1:15" x14ac:dyDescent="0.25">
      <c r="A62" s="4" t="s">
        <v>42</v>
      </c>
      <c r="B62" s="18">
        <f>B17/(B11*3)</f>
        <v>19387.254397788529</v>
      </c>
      <c r="C62" s="18">
        <f>C17/(C11*3)</f>
        <v>31714.076064702665</v>
      </c>
      <c r="D62" s="18"/>
      <c r="E62" s="18"/>
      <c r="F62" s="18">
        <f>F17/(F11*3)</f>
        <v>4443.811880102654</v>
      </c>
      <c r="G62" s="18"/>
      <c r="H62" s="18"/>
      <c r="I62" s="18"/>
      <c r="J62" s="18"/>
      <c r="K62" s="18"/>
      <c r="L62" s="18">
        <f>L17/(L11*3)</f>
        <v>18747.554914095697</v>
      </c>
      <c r="M62" s="18"/>
      <c r="N62" s="18"/>
      <c r="O62" s="37" t="s">
        <v>142</v>
      </c>
    </row>
    <row r="63" spans="1:15" x14ac:dyDescent="0.25">
      <c r="A63" s="4" t="s">
        <v>43</v>
      </c>
      <c r="B63" s="18">
        <f>B18/(B12*3)</f>
        <v>19278.101691367006</v>
      </c>
      <c r="C63" s="18">
        <f>C18/(C12*3)</f>
        <v>36317.166017580079</v>
      </c>
      <c r="D63" s="18"/>
      <c r="E63" s="18"/>
      <c r="F63" s="18">
        <f>F18/(F12*3)</f>
        <v>6116.4469617004543</v>
      </c>
      <c r="G63" s="18"/>
      <c r="H63" s="18"/>
      <c r="I63" s="18"/>
      <c r="J63" s="18"/>
      <c r="K63" s="18"/>
      <c r="L63" s="18">
        <f>L18/(L12*3)</f>
        <v>17777.720328716892</v>
      </c>
      <c r="M63" s="18"/>
      <c r="N63" s="18"/>
      <c r="O63" s="37" t="s">
        <v>142</v>
      </c>
    </row>
    <row r="64" spans="1:15" x14ac:dyDescent="0.25">
      <c r="A64" s="4" t="s">
        <v>30</v>
      </c>
      <c r="B64" s="18">
        <f>(B63/B62)*B46</f>
        <v>89.470921236119395</v>
      </c>
      <c r="C64" s="18">
        <f>(C63/C62)*C46</f>
        <v>81.820524230568111</v>
      </c>
      <c r="D64" s="18"/>
      <c r="E64" s="18"/>
      <c r="F64" s="18">
        <f>(F63/F62)*F46</f>
        <v>163.3745402831286</v>
      </c>
      <c r="G64" s="18"/>
      <c r="H64" s="18"/>
      <c r="I64" s="18"/>
      <c r="J64" s="18"/>
      <c r="K64" s="18"/>
      <c r="L64" s="18">
        <f>(L63/L62)*L46</f>
        <v>86.87057924868499</v>
      </c>
      <c r="M64" s="18"/>
      <c r="N64" s="18"/>
      <c r="O64" s="37" t="s">
        <v>142</v>
      </c>
    </row>
    <row r="65" spans="1:15" x14ac:dyDescent="0.25">
      <c r="A65" s="4" t="s">
        <v>35</v>
      </c>
      <c r="B65" s="18">
        <f>B17/B11</f>
        <v>58161.763193365587</v>
      </c>
      <c r="C65" s="18">
        <f>C17/C11</f>
        <v>95142.228194108</v>
      </c>
      <c r="D65" s="18"/>
      <c r="E65" s="18"/>
      <c r="F65" s="18">
        <f>F17/F11</f>
        <v>13331.435640307962</v>
      </c>
      <c r="G65" s="18"/>
      <c r="H65" s="18"/>
      <c r="I65" s="18"/>
      <c r="J65" s="18"/>
      <c r="K65" s="18"/>
      <c r="L65" s="18">
        <f>L17/L11</f>
        <v>56242.664742287088</v>
      </c>
      <c r="M65" s="18"/>
      <c r="N65" s="18"/>
      <c r="O65" s="37" t="s">
        <v>142</v>
      </c>
    </row>
    <row r="66" spans="1:15" x14ac:dyDescent="0.25">
      <c r="A66" s="4" t="s">
        <v>34</v>
      </c>
      <c r="B66" s="18">
        <f>B18/B12</f>
        <v>57834.305074101023</v>
      </c>
      <c r="C66" s="18">
        <f>C18/C12</f>
        <v>108951.49805274024</v>
      </c>
      <c r="D66" s="18"/>
      <c r="E66" s="18"/>
      <c r="F66" s="18">
        <f>F18/F12</f>
        <v>18349.340885101363</v>
      </c>
      <c r="G66" s="18"/>
      <c r="H66" s="18"/>
      <c r="I66" s="18"/>
      <c r="J66" s="18"/>
      <c r="K66" s="18"/>
      <c r="L66" s="18">
        <f>L18/L12</f>
        <v>53333.160986150673</v>
      </c>
      <c r="M66" s="18"/>
      <c r="N66" s="18"/>
      <c r="O66" s="37" t="s">
        <v>142</v>
      </c>
    </row>
    <row r="67" spans="1:15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5" x14ac:dyDescent="0.25">
      <c r="A68" s="4" t="s">
        <v>31</v>
      </c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5" x14ac:dyDescent="0.25">
      <c r="A69" s="4" t="s">
        <v>32</v>
      </c>
      <c r="B69" s="3">
        <f>(B24/B23)*100</f>
        <v>53.784566004824541</v>
      </c>
      <c r="C69" s="2"/>
      <c r="D69" s="2"/>
      <c r="E69" s="2"/>
      <c r="F69" s="2"/>
      <c r="G69" s="2"/>
      <c r="H69" s="2"/>
      <c r="I69" s="2"/>
      <c r="J69" s="2"/>
      <c r="K69" s="2"/>
    </row>
    <row r="70" spans="1:15" ht="15.75" thickBot="1" x14ac:dyDescent="0.3">
      <c r="A70" s="11" t="s">
        <v>33</v>
      </c>
      <c r="B70" s="61">
        <f>(B18/B24)*100</f>
        <v>166.82015911147809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5.75" thickTop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5" x14ac:dyDescent="0.25">
      <c r="A73" s="4" t="s">
        <v>97</v>
      </c>
    </row>
    <row r="74" spans="1:15" x14ac:dyDescent="0.25">
      <c r="A74" s="4" t="s">
        <v>98</v>
      </c>
    </row>
    <row r="75" spans="1:15" x14ac:dyDescent="0.25">
      <c r="A75" s="4" t="s">
        <v>99</v>
      </c>
      <c r="B75" s="20"/>
      <c r="C75" s="20"/>
      <c r="D75" s="20"/>
      <c r="E75" s="20"/>
      <c r="F75" s="20"/>
      <c r="G75" s="20"/>
      <c r="H75" s="20"/>
      <c r="I75" s="20"/>
      <c r="J75" s="20"/>
    </row>
    <row r="76" spans="1:15" x14ac:dyDescent="0.25">
      <c r="A76" s="4" t="s">
        <v>47</v>
      </c>
    </row>
    <row r="78" spans="1:15" x14ac:dyDescent="0.25">
      <c r="A78" s="4" t="s">
        <v>39</v>
      </c>
    </row>
    <row r="79" spans="1:15" x14ac:dyDescent="0.25">
      <c r="A79" s="4" t="s">
        <v>45</v>
      </c>
    </row>
    <row r="80" spans="1:15" x14ac:dyDescent="0.25">
      <c r="A80" s="4" t="s">
        <v>51</v>
      </c>
    </row>
    <row r="81" spans="1:1" x14ac:dyDescent="0.25">
      <c r="A81" s="4" t="s">
        <v>44</v>
      </c>
    </row>
    <row r="82" spans="1:1" x14ac:dyDescent="0.25">
      <c r="A82" s="4" t="s">
        <v>46</v>
      </c>
    </row>
    <row r="84" spans="1:1" x14ac:dyDescent="0.25">
      <c r="A84" s="4" t="s">
        <v>141</v>
      </c>
    </row>
    <row r="85" spans="1:1" x14ac:dyDescent="0.25">
      <c r="A85" s="30"/>
    </row>
  </sheetData>
  <mergeCells count="17">
    <mergeCell ref="G31:J31"/>
    <mergeCell ref="A4:A5"/>
    <mergeCell ref="D5:E5"/>
    <mergeCell ref="D18:E18"/>
    <mergeCell ref="G5:K5"/>
    <mergeCell ref="D16:E16"/>
    <mergeCell ref="G16:K16"/>
    <mergeCell ref="G18:K18"/>
    <mergeCell ref="G17:K17"/>
    <mergeCell ref="M17:N17"/>
    <mergeCell ref="C4:O4"/>
    <mergeCell ref="M19:N19"/>
    <mergeCell ref="G19:K19"/>
    <mergeCell ref="A2:M2"/>
    <mergeCell ref="M5:N5"/>
    <mergeCell ref="M16:N16"/>
    <mergeCell ref="M18:N18"/>
  </mergeCells>
  <pageMargins left="0.7" right="0.7" top="0.75" bottom="0.75" header="0.3" footer="0.3"/>
  <pageSetup orientation="portrait" r:id="rId1"/>
  <ignoredErrors>
    <ignoredError sqref="L10:L13" formulaRange="1"/>
    <ignoredError sqref="C17:C18 B19" formula="1"/>
    <ignoredError sqref="L35 O47:O48 L59 N58:N59 L63:L66 O5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" style="4" customWidth="1"/>
    <col min="2" max="15" width="15.7109375" style="4" customWidth="1"/>
    <col min="16" max="16384" width="11.42578125" style="4"/>
  </cols>
  <sheetData>
    <row r="1" spans="1:15" x14ac:dyDescent="0.25">
      <c r="G1" s="7"/>
      <c r="H1" s="7"/>
    </row>
    <row r="2" spans="1:15" ht="15.75" x14ac:dyDescent="0.25">
      <c r="A2" s="81" t="s">
        <v>121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4" spans="1:15" x14ac:dyDescent="0.25">
      <c r="A4" s="84" t="s">
        <v>0</v>
      </c>
      <c r="B4" s="26"/>
      <c r="C4" s="82" t="s">
        <v>2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ht="30.75" thickBot="1" x14ac:dyDescent="0.3">
      <c r="A5" s="85"/>
      <c r="B5" s="68" t="s">
        <v>75</v>
      </c>
      <c r="C5" s="68" t="s">
        <v>74</v>
      </c>
      <c r="D5" s="86" t="s">
        <v>83</v>
      </c>
      <c r="E5" s="86"/>
      <c r="F5" s="68" t="s">
        <v>48</v>
      </c>
      <c r="G5" s="86" t="s">
        <v>82</v>
      </c>
      <c r="H5" s="86"/>
      <c r="I5" s="86"/>
      <c r="J5" s="86"/>
      <c r="K5" s="86"/>
      <c r="L5" s="68" t="s">
        <v>140</v>
      </c>
      <c r="M5" s="86" t="s">
        <v>137</v>
      </c>
      <c r="N5" s="86"/>
      <c r="O5" s="75" t="s">
        <v>52</v>
      </c>
    </row>
    <row r="6" spans="1:15" ht="45.75" thickTop="1" x14ac:dyDescent="0.25">
      <c r="B6" s="33" t="s">
        <v>1</v>
      </c>
      <c r="C6" s="33" t="s">
        <v>86</v>
      </c>
      <c r="D6" s="28" t="s">
        <v>84</v>
      </c>
      <c r="E6" s="28" t="s">
        <v>85</v>
      </c>
      <c r="F6" s="33" t="s">
        <v>50</v>
      </c>
      <c r="G6" s="33" t="s">
        <v>77</v>
      </c>
      <c r="H6" s="33" t="s">
        <v>78</v>
      </c>
      <c r="I6" s="33" t="s">
        <v>79</v>
      </c>
      <c r="J6" s="33" t="s">
        <v>80</v>
      </c>
      <c r="K6" s="33" t="s">
        <v>81</v>
      </c>
      <c r="L6" s="33" t="s">
        <v>1</v>
      </c>
      <c r="M6" s="33" t="s">
        <v>138</v>
      </c>
      <c r="N6" s="33" t="s">
        <v>139</v>
      </c>
      <c r="O6" s="69"/>
    </row>
    <row r="7" spans="1:15" x14ac:dyDescent="0.25">
      <c r="A7" s="16" t="s">
        <v>3</v>
      </c>
    </row>
    <row r="9" spans="1:15" x14ac:dyDescent="0.25">
      <c r="A9" s="4" t="s">
        <v>4</v>
      </c>
    </row>
    <row r="10" spans="1:15" x14ac:dyDescent="0.25">
      <c r="A10" s="13" t="s">
        <v>66</v>
      </c>
      <c r="B10" s="38">
        <f>+D10+K10</f>
        <v>109696</v>
      </c>
      <c r="C10" s="54">
        <f>D10+E10</f>
        <v>27298</v>
      </c>
      <c r="D10" s="38">
        <f>(+'I Trimestre'!D10+'II Trimestre'!D10)/2</f>
        <v>20319.5</v>
      </c>
      <c r="E10" s="38">
        <f>(+'I Trimestre'!E10+'II Trimestre'!E10)/2</f>
        <v>6978.5</v>
      </c>
      <c r="F10" s="38">
        <f>K10+I10+H10</f>
        <v>113334</v>
      </c>
      <c r="G10" s="43">
        <f>(+'I Trimestre'!G10+'II Trimestre'!G10)/2</f>
        <v>0</v>
      </c>
      <c r="H10" s="46">
        <f>(+'I Trimestre'!H10+'II Trimestre'!H10)/2</f>
        <v>20608.5</v>
      </c>
      <c r="I10" s="46">
        <f>(+'I Trimestre'!I10+'II Trimestre'!I10)/2</f>
        <v>3349</v>
      </c>
      <c r="J10" s="38">
        <f>(+'I Trimestre'!J10+'II Trimestre'!J10)/2</f>
        <v>23743</v>
      </c>
      <c r="K10" s="38">
        <f>(+'I Trimestre'!K10+'II Trimestre'!K10)/2</f>
        <v>89376.5</v>
      </c>
      <c r="L10" s="43">
        <f>M10+N10</f>
        <v>8318</v>
      </c>
      <c r="M10" s="43">
        <f>(+'I Trimestre'!M10+'II Trimestre'!M10)/2</f>
        <v>8318</v>
      </c>
      <c r="N10" s="43">
        <f>(+'I Trimestre'!N10+'II Trimestre'!N10)/2</f>
        <v>0</v>
      </c>
      <c r="O10" s="43">
        <f>(+'I Trimestre'!O10+'II Trimestre'!O10)/2</f>
        <v>0</v>
      </c>
    </row>
    <row r="11" spans="1:15" x14ac:dyDescent="0.25">
      <c r="A11" s="13" t="s">
        <v>122</v>
      </c>
      <c r="B11" s="38">
        <f t="shared" ref="B11:B12" si="0">+D11+K11</f>
        <v>132384.5</v>
      </c>
      <c r="C11" s="54">
        <f t="shared" ref="C11:C13" si="1">D11+E11</f>
        <v>58474.5</v>
      </c>
      <c r="D11" s="38">
        <f>(+'I Trimestre'!D11+'II Trimestre'!D11)/2</f>
        <v>39193.5</v>
      </c>
      <c r="E11" s="38">
        <f>(+'I Trimestre'!E11+'II Trimestre'!E11)/2</f>
        <v>19281</v>
      </c>
      <c r="F11" s="38">
        <f t="shared" ref="F11:F13" si="2">K11+I11+H11</f>
        <v>118006</v>
      </c>
      <c r="G11" s="38">
        <f>(+'I Trimestre'!G11+'II Trimestre'!G11)/2</f>
        <v>13510.5</v>
      </c>
      <c r="H11" s="38">
        <f>(+'I Trimestre'!H11+'II Trimestre'!H11)/2</f>
        <v>15985</v>
      </c>
      <c r="I11" s="38">
        <f>(+'I Trimestre'!I11+'II Trimestre'!I11)/2</f>
        <v>8830</v>
      </c>
      <c r="J11" s="38">
        <f>(+'I Trimestre'!J11+'II Trimestre'!J11)/2</f>
        <v>38408</v>
      </c>
      <c r="K11" s="38">
        <f>(+'I Trimestre'!K11+'II Trimestre'!K11)/2</f>
        <v>93191</v>
      </c>
      <c r="L11" s="43">
        <f t="shared" ref="L11:L13" si="3">M11+N11</f>
        <v>9912</v>
      </c>
      <c r="M11" s="43">
        <f>(+'I Trimestre'!M11+'II Trimestre'!M11)/2</f>
        <v>9285</v>
      </c>
      <c r="N11" s="43">
        <f>(+'I Trimestre'!N11+'II Trimestre'!N11)/2</f>
        <v>627</v>
      </c>
      <c r="O11" s="43">
        <f>(+'I Trimestre'!O11+'II Trimestre'!O11)/2</f>
        <v>0</v>
      </c>
    </row>
    <row r="12" spans="1:15" x14ac:dyDescent="0.25">
      <c r="A12" s="13" t="s">
        <v>123</v>
      </c>
      <c r="B12" s="38">
        <f t="shared" si="0"/>
        <v>112401</v>
      </c>
      <c r="C12" s="54">
        <f t="shared" si="1"/>
        <v>30901.5</v>
      </c>
      <c r="D12" s="38">
        <f>(+'I Trimestre'!D12+'II Trimestre'!D12)/2</f>
        <v>19825</v>
      </c>
      <c r="E12" s="38">
        <f>(+'I Trimestre'!E12+'II Trimestre'!E12)/2</f>
        <v>11076.5</v>
      </c>
      <c r="F12" s="38">
        <f t="shared" si="2"/>
        <v>110486</v>
      </c>
      <c r="G12" s="38">
        <f>(+'I Trimestre'!G12+'II Trimestre'!G12)/2</f>
        <v>9371.65</v>
      </c>
      <c r="H12" s="38">
        <f>(+'I Trimestre'!H12+'II Trimestre'!H12)/2</f>
        <v>12809.5</v>
      </c>
      <c r="I12" s="38">
        <f>(+'I Trimestre'!I12+'II Trimestre'!I12)/2</f>
        <v>5100.5</v>
      </c>
      <c r="J12" s="38">
        <f>(+'I Trimestre'!J12+'II Trimestre'!J12)/2</f>
        <v>24760.5</v>
      </c>
      <c r="K12" s="38">
        <f>(+'I Trimestre'!K12+'II Trimestre'!K12)/2</f>
        <v>92576</v>
      </c>
      <c r="L12" s="43">
        <f t="shared" si="3"/>
        <v>8802.5</v>
      </c>
      <c r="M12" s="43">
        <f>(+'I Trimestre'!M12+'II Trimestre'!M12)/2</f>
        <v>8246.5</v>
      </c>
      <c r="N12" s="43">
        <f>(+'I Trimestre'!N12+'II Trimestre'!N12)/2</f>
        <v>556</v>
      </c>
      <c r="O12" s="43">
        <f>(+'I Trimestre'!O12+'II Trimestre'!O12)/2</f>
        <v>0</v>
      </c>
    </row>
    <row r="13" spans="1:15" x14ac:dyDescent="0.25">
      <c r="A13" s="13" t="s">
        <v>89</v>
      </c>
      <c r="B13" s="38">
        <f>+D13+K13</f>
        <v>138542.08333333331</v>
      </c>
      <c r="C13" s="54">
        <f t="shared" si="1"/>
        <v>61230</v>
      </c>
      <c r="D13" s="18">
        <f>+'II Trimestre'!D13</f>
        <v>41072</v>
      </c>
      <c r="E13" s="18">
        <f>+'II Trimestre'!E13</f>
        <v>20158</v>
      </c>
      <c r="F13" s="38">
        <f t="shared" si="2"/>
        <v>123491.75</v>
      </c>
      <c r="G13" s="18">
        <f>+'II Trimestre'!G13</f>
        <v>14137.833333333334</v>
      </c>
      <c r="H13" s="18">
        <f>+'II Trimestre'!H13</f>
        <v>16732.666666666668</v>
      </c>
      <c r="I13" s="38">
        <f>'II Trimestre'!I13</f>
        <v>9289</v>
      </c>
      <c r="J13" s="38">
        <f>'II Trimestre'!J13</f>
        <v>40246.583333333336</v>
      </c>
      <c r="K13" s="18">
        <f>+'II Trimestre'!K13</f>
        <v>97470.083333333328</v>
      </c>
      <c r="L13" s="43">
        <f t="shared" si="3"/>
        <v>10370</v>
      </c>
      <c r="M13" s="67">
        <f>+'II Trimestre'!M13</f>
        <v>9714</v>
      </c>
      <c r="N13" s="67">
        <f>+'II Trimestre'!N13</f>
        <v>656</v>
      </c>
      <c r="O13" s="67">
        <f>+'II Trimestre'!O13</f>
        <v>0</v>
      </c>
    </row>
    <row r="14" spans="1:15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5" x14ac:dyDescent="0.25">
      <c r="A15" s="15" t="s">
        <v>5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5" x14ac:dyDescent="0.25">
      <c r="A16" s="13" t="s">
        <v>66</v>
      </c>
      <c r="B16" s="6">
        <f>C16+F16+L16+O16</f>
        <v>7489801128</v>
      </c>
      <c r="C16" s="38">
        <f>+'I Trimestre'!C16+'II Trimestre'!C16</f>
        <v>4075270360</v>
      </c>
      <c r="D16" s="8"/>
      <c r="E16" s="8"/>
      <c r="F16" s="18">
        <f>+'I Trimestre'!F16+'II Trimestre'!F16</f>
        <v>2503973520</v>
      </c>
      <c r="G16" s="8"/>
      <c r="H16" s="8"/>
      <c r="I16" s="8"/>
      <c r="J16" s="8"/>
      <c r="K16" s="6"/>
      <c r="L16" s="40">
        <f>+'I Trimestre'!L16+'II Trimestre'!L16</f>
        <v>910557248</v>
      </c>
      <c r="O16" s="40">
        <f>+'I Trimestre'!O16+'II Trimestre'!O16</f>
        <v>0</v>
      </c>
    </row>
    <row r="17" spans="1:15" x14ac:dyDescent="0.25">
      <c r="A17" s="13" t="s">
        <v>122</v>
      </c>
      <c r="B17" s="6">
        <f t="shared" ref="B17:B20" si="4">C17+F17+L17+O17</f>
        <v>16116098372.860001</v>
      </c>
      <c r="C17" s="38">
        <f>+'I Trimestre'!C17+'II Trimestre'!C17</f>
        <v>11388683811</v>
      </c>
      <c r="D17" s="8"/>
      <c r="E17" s="8"/>
      <c r="F17" s="18">
        <f>+'I Trimestre'!F17+'II Trimestre'!F17</f>
        <v>3532039171.8599997</v>
      </c>
      <c r="G17" s="8"/>
      <c r="H17" s="8"/>
      <c r="I17" s="8"/>
      <c r="J17" s="8"/>
      <c r="K17" s="6"/>
      <c r="L17" s="40">
        <f>+'I Trimestre'!L17+'II Trimestre'!L17</f>
        <v>1185955450</v>
      </c>
      <c r="O17" s="40">
        <f>+'I Trimestre'!O17+'II Trimestre'!O17</f>
        <v>9419940</v>
      </c>
    </row>
    <row r="18" spans="1:15" x14ac:dyDescent="0.25">
      <c r="A18" s="13" t="s">
        <v>123</v>
      </c>
      <c r="B18" s="6">
        <f t="shared" si="4"/>
        <v>8774471983.0300007</v>
      </c>
      <c r="C18" s="38">
        <f>+'I Trimestre'!C18+'II Trimestre'!C18</f>
        <v>5388681288.3400002</v>
      </c>
      <c r="D18" s="8"/>
      <c r="E18" s="8"/>
      <c r="F18" s="18">
        <f>+'I Trimestre'!F18+'II Trimestre'!F18</f>
        <v>2356797854.2399998</v>
      </c>
      <c r="G18" s="8"/>
      <c r="H18" s="8"/>
      <c r="I18" s="8"/>
      <c r="J18" s="8"/>
      <c r="K18" s="6"/>
      <c r="L18" s="40">
        <f>+'I Trimestre'!L18+'II Trimestre'!L18</f>
        <v>1028992840.45</v>
      </c>
      <c r="O18" s="40">
        <f>+'I Trimestre'!O18+'II Trimestre'!O18</f>
        <v>0</v>
      </c>
    </row>
    <row r="19" spans="1:15" x14ac:dyDescent="0.25">
      <c r="A19" s="13" t="s">
        <v>89</v>
      </c>
      <c r="B19" s="6">
        <f t="shared" si="4"/>
        <v>33469448950.02</v>
      </c>
      <c r="C19" s="38">
        <f>+'II Trimestre'!C19</f>
        <v>24059525497</v>
      </c>
      <c r="D19" s="8"/>
      <c r="E19" s="8"/>
      <c r="F19" s="18">
        <f>+'II Trimestre'!F19</f>
        <v>6970914145.0200005</v>
      </c>
      <c r="G19" s="8"/>
      <c r="H19" s="8"/>
      <c r="I19" s="8"/>
      <c r="J19" s="8"/>
      <c r="K19" s="6"/>
      <c r="L19" s="40">
        <f>+'II Trimestre'!L19</f>
        <v>2429589368</v>
      </c>
      <c r="O19" s="40">
        <f>+'II Trimestre'!O19</f>
        <v>9419940</v>
      </c>
    </row>
    <row r="20" spans="1:15" x14ac:dyDescent="0.25">
      <c r="A20" s="13" t="s">
        <v>124</v>
      </c>
      <c r="B20" s="6">
        <f t="shared" si="4"/>
        <v>8774471983.0300007</v>
      </c>
      <c r="C20" s="18">
        <f>C18</f>
        <v>5388681288.3400002</v>
      </c>
      <c r="D20" s="8"/>
      <c r="E20" s="8"/>
      <c r="F20" s="18">
        <f>F18</f>
        <v>2356797854.2399998</v>
      </c>
      <c r="G20" s="8"/>
      <c r="H20" s="8"/>
      <c r="I20" s="8"/>
      <c r="J20" s="8"/>
      <c r="K20" s="1"/>
      <c r="L20" s="41">
        <f>L18</f>
        <v>1028992840.45</v>
      </c>
      <c r="O20" s="1">
        <f>O18</f>
        <v>0</v>
      </c>
    </row>
    <row r="21" spans="1:15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5" x14ac:dyDescent="0.25">
      <c r="A22" s="15" t="s">
        <v>6</v>
      </c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5" x14ac:dyDescent="0.25">
      <c r="A23" s="13" t="s">
        <v>122</v>
      </c>
      <c r="B23" s="6">
        <f>+B17</f>
        <v>16116098372.860001</v>
      </c>
      <c r="C23" s="9"/>
      <c r="D23" s="9"/>
      <c r="E23" s="9"/>
      <c r="F23" s="9"/>
      <c r="G23" s="9"/>
      <c r="H23" s="9"/>
      <c r="I23" s="9"/>
      <c r="J23" s="9"/>
      <c r="K23" s="9"/>
    </row>
    <row r="24" spans="1:15" x14ac:dyDescent="0.25">
      <c r="A24" s="13" t="s">
        <v>123</v>
      </c>
      <c r="B24" s="6">
        <f>+'I Trimestre'!B24+'II Trimestre'!B24</f>
        <v>16965949424</v>
      </c>
      <c r="C24" s="9"/>
      <c r="D24" s="9"/>
      <c r="E24" s="9"/>
      <c r="F24" s="9"/>
      <c r="G24" s="9"/>
      <c r="H24" s="9"/>
      <c r="I24" s="9"/>
      <c r="J24" s="9"/>
      <c r="K24" s="9"/>
    </row>
    <row r="26" spans="1:15" x14ac:dyDescent="0.25">
      <c r="A26" s="4" t="s">
        <v>7</v>
      </c>
    </row>
    <row r="27" spans="1:15" x14ac:dyDescent="0.25">
      <c r="A27" s="13" t="s">
        <v>67</v>
      </c>
      <c r="B27" s="42">
        <v>1.0088033727000001</v>
      </c>
      <c r="C27" s="42">
        <v>1.0088033727000001</v>
      </c>
      <c r="D27" s="42">
        <v>1.0088033727000001</v>
      </c>
      <c r="E27" s="42">
        <v>1.0088033727000001</v>
      </c>
      <c r="F27" s="42">
        <v>1.0088033727000001</v>
      </c>
      <c r="G27" s="42">
        <v>1.0088033727000001</v>
      </c>
      <c r="H27" s="42">
        <v>1.0088033727000001</v>
      </c>
      <c r="I27" s="42">
        <v>1.0088033727000001</v>
      </c>
      <c r="J27" s="42">
        <v>1.0088033727000001</v>
      </c>
      <c r="K27" s="42">
        <v>1.0088033727000001</v>
      </c>
      <c r="L27" s="42">
        <v>1.0088033727000001</v>
      </c>
      <c r="M27" s="42">
        <v>1.0088033727000001</v>
      </c>
      <c r="N27" s="42">
        <v>1.0088033727000001</v>
      </c>
      <c r="O27" s="42">
        <v>1.0088033727000001</v>
      </c>
    </row>
    <row r="28" spans="1:15" x14ac:dyDescent="0.25">
      <c r="A28" s="13" t="s">
        <v>125</v>
      </c>
      <c r="B28" s="42">
        <v>1.0303325644000001</v>
      </c>
      <c r="C28" s="42">
        <v>1.0303325644000001</v>
      </c>
      <c r="D28" s="42">
        <v>1.0303325644000001</v>
      </c>
      <c r="E28" s="42">
        <v>1.0303325644000001</v>
      </c>
      <c r="F28" s="42">
        <v>1.0303325644000001</v>
      </c>
      <c r="G28" s="42">
        <v>1.0303325644000001</v>
      </c>
      <c r="H28" s="42">
        <v>1.0303325644000001</v>
      </c>
      <c r="I28" s="42">
        <v>1.0303325644000001</v>
      </c>
      <c r="J28" s="42">
        <v>1.0303325644000001</v>
      </c>
      <c r="K28" s="42">
        <v>1.0303325644000001</v>
      </c>
      <c r="L28" s="42">
        <v>1.0303325644000001</v>
      </c>
      <c r="M28" s="42">
        <v>1.0303325644000001</v>
      </c>
      <c r="N28" s="42">
        <v>1.0303325644000001</v>
      </c>
      <c r="O28" s="42">
        <v>1.0303325644000001</v>
      </c>
    </row>
    <row r="29" spans="1:15" x14ac:dyDescent="0.25">
      <c r="A29" s="13" t="s">
        <v>8</v>
      </c>
      <c r="B29" s="1">
        <v>111207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1" spans="1:15" x14ac:dyDescent="0.25">
      <c r="A31" s="16" t="s">
        <v>9</v>
      </c>
      <c r="D31" s="17"/>
      <c r="E31" s="17"/>
      <c r="F31" s="17"/>
      <c r="G31" s="83"/>
      <c r="H31" s="83"/>
      <c r="I31" s="83"/>
      <c r="J31" s="83"/>
    </row>
    <row r="32" spans="1:15" x14ac:dyDescent="0.25">
      <c r="A32" s="4" t="s">
        <v>68</v>
      </c>
      <c r="B32" s="18">
        <f>B16/B27</f>
        <v>7424441006.7286043</v>
      </c>
      <c r="C32" s="18">
        <f>C16/C27</f>
        <v>4039707310.9428549</v>
      </c>
      <c r="D32" s="18"/>
      <c r="E32" s="18"/>
      <c r="F32" s="18">
        <f>F16/F27</f>
        <v>2482122470.8024807</v>
      </c>
      <c r="G32" s="18"/>
      <c r="H32" s="18"/>
      <c r="I32" s="18"/>
      <c r="J32" s="18"/>
      <c r="K32" s="18"/>
      <c r="L32" s="18">
        <f>L16/L27</f>
        <v>902611224.98326862</v>
      </c>
      <c r="M32" s="37"/>
      <c r="N32" s="37"/>
      <c r="O32" s="18">
        <f>O16/O27</f>
        <v>0</v>
      </c>
    </row>
    <row r="33" spans="1:15" x14ac:dyDescent="0.25">
      <c r="A33" s="4" t="s">
        <v>126</v>
      </c>
      <c r="B33" s="18">
        <f>B18/B28</f>
        <v>8516155158.2519312</v>
      </c>
      <c r="C33" s="18">
        <f>C18/C28</f>
        <v>5230040740.7563829</v>
      </c>
      <c r="D33" s="18"/>
      <c r="E33" s="18"/>
      <c r="F33" s="18">
        <f>F18/F28</f>
        <v>2287414700.5267649</v>
      </c>
      <c r="G33" s="18"/>
      <c r="H33" s="18"/>
      <c r="I33" s="18"/>
      <c r="J33" s="18"/>
      <c r="K33" s="18"/>
      <c r="L33" s="18">
        <f>L18/L28</f>
        <v>998699716.96878254</v>
      </c>
      <c r="M33" s="37"/>
      <c r="N33" s="37"/>
      <c r="O33" s="18">
        <f>O18/O28</f>
        <v>0</v>
      </c>
    </row>
    <row r="34" spans="1:15" x14ac:dyDescent="0.25">
      <c r="A34" s="4" t="s">
        <v>69</v>
      </c>
      <c r="B34" s="18">
        <f>B32/B10</f>
        <v>67681.966587009592</v>
      </c>
      <c r="C34" s="18">
        <f>C32/C10</f>
        <v>147985.46820070536</v>
      </c>
      <c r="D34" s="18"/>
      <c r="E34" s="18"/>
      <c r="F34" s="18">
        <f>F32/F10</f>
        <v>21900.951795599562</v>
      </c>
      <c r="G34" s="18"/>
      <c r="H34" s="18"/>
      <c r="I34" s="18"/>
      <c r="J34" s="18"/>
      <c r="K34" s="18"/>
      <c r="L34" s="18">
        <f>L32/L10</f>
        <v>108513.01093811837</v>
      </c>
      <c r="M34" s="37"/>
      <c r="N34" s="37"/>
      <c r="O34" s="18" t="s">
        <v>142</v>
      </c>
    </row>
    <row r="35" spans="1:15" x14ac:dyDescent="0.25">
      <c r="A35" s="4" t="s">
        <v>127</v>
      </c>
      <c r="B35" s="18">
        <f>B33/B12</f>
        <v>75765.830893425606</v>
      </c>
      <c r="C35" s="18">
        <f>C33/C12</f>
        <v>169248.76594198932</v>
      </c>
      <c r="D35" s="18"/>
      <c r="E35" s="18"/>
      <c r="F35" s="18">
        <f>F33/F12</f>
        <v>20703.208556077374</v>
      </c>
      <c r="G35" s="18"/>
      <c r="H35" s="18"/>
      <c r="I35" s="18"/>
      <c r="J35" s="18"/>
      <c r="K35" s="18"/>
      <c r="L35" s="18">
        <f>L33/L12</f>
        <v>113456.37227705568</v>
      </c>
      <c r="M35" s="37"/>
      <c r="N35" s="37"/>
      <c r="O35" s="18" t="s">
        <v>142</v>
      </c>
    </row>
    <row r="37" spans="1:15" x14ac:dyDescent="0.25">
      <c r="A37" s="16" t="s">
        <v>10</v>
      </c>
    </row>
    <row r="39" spans="1:15" x14ac:dyDescent="0.25">
      <c r="A39" s="4" t="s">
        <v>11</v>
      </c>
    </row>
    <row r="40" spans="1:15" x14ac:dyDescent="0.25">
      <c r="A40" s="4" t="s">
        <v>12</v>
      </c>
      <c r="B40" s="3">
        <f t="shared" ref="B40" si="5">(B11/B29)*100</f>
        <v>119.04331561862114</v>
      </c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5" x14ac:dyDescent="0.25">
      <c r="A41" s="4" t="s">
        <v>13</v>
      </c>
      <c r="B41" s="3">
        <f t="shared" ref="B41" si="6">(B12/B29)*100</f>
        <v>101.07367341983868</v>
      </c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5" x14ac:dyDescent="0.25">
      <c r="A43" s="4" t="s">
        <v>14</v>
      </c>
    </row>
    <row r="44" spans="1:15" x14ac:dyDescent="0.25">
      <c r="A44" s="4" t="s">
        <v>15</v>
      </c>
      <c r="B44" s="47">
        <f t="shared" ref="B44:N44" si="7">B12/B11*100</f>
        <v>84.904954885201818</v>
      </c>
      <c r="C44" s="47">
        <f t="shared" si="7"/>
        <v>52.846112407972697</v>
      </c>
      <c r="D44" s="47">
        <f t="shared" si="7"/>
        <v>50.582366974115608</v>
      </c>
      <c r="E44" s="47">
        <f t="shared" si="7"/>
        <v>57.447746486178097</v>
      </c>
      <c r="F44" s="47">
        <f t="shared" si="7"/>
        <v>93.627442672406488</v>
      </c>
      <c r="G44" s="47">
        <f t="shared" si="7"/>
        <v>69.36567854631582</v>
      </c>
      <c r="H44" s="47">
        <f t="shared" si="7"/>
        <v>80.134501094776354</v>
      </c>
      <c r="I44" s="47">
        <f t="shared" si="7"/>
        <v>57.763306908267275</v>
      </c>
      <c r="J44" s="47">
        <f t="shared" si="7"/>
        <v>64.467038117058948</v>
      </c>
      <c r="K44" s="47">
        <f t="shared" si="7"/>
        <v>99.340065027738731</v>
      </c>
      <c r="L44" s="47">
        <f t="shared" si="7"/>
        <v>88.806497175141246</v>
      </c>
      <c r="M44" s="47">
        <f t="shared" si="7"/>
        <v>88.815293484114164</v>
      </c>
      <c r="N44" s="47">
        <f t="shared" si="7"/>
        <v>88.676236044657102</v>
      </c>
      <c r="O44" s="18" t="s">
        <v>142</v>
      </c>
    </row>
    <row r="45" spans="1:15" x14ac:dyDescent="0.25">
      <c r="A45" s="4" t="s">
        <v>16</v>
      </c>
      <c r="B45" s="47">
        <f>B18/B17*100</f>
        <v>54.445386097955804</v>
      </c>
      <c r="C45" s="47">
        <f>C18/C17*100</f>
        <v>47.316102350082183</v>
      </c>
      <c r="D45" s="47"/>
      <c r="E45" s="47"/>
      <c r="F45" s="47">
        <f>F18/F17*100</f>
        <v>66.72626603398885</v>
      </c>
      <c r="G45" s="47"/>
      <c r="H45" s="47"/>
      <c r="I45" s="47"/>
      <c r="J45" s="47"/>
      <c r="K45" s="47"/>
      <c r="L45" s="47">
        <f>L18/L17*100</f>
        <v>86.764881467512126</v>
      </c>
      <c r="M45" s="37"/>
      <c r="N45" s="37"/>
      <c r="O45" s="37">
        <f>O18/O17*100</f>
        <v>0</v>
      </c>
    </row>
    <row r="46" spans="1:15" x14ac:dyDescent="0.25">
      <c r="A46" s="4" t="s">
        <v>17</v>
      </c>
      <c r="B46" s="47">
        <f>AVERAGE(B44:B45)</f>
        <v>69.675170491578811</v>
      </c>
      <c r="C46" s="47">
        <f t="shared" ref="C46" si="8">AVERAGE(C44:C45)</f>
        <v>50.081107379027443</v>
      </c>
      <c r="D46" s="47"/>
      <c r="E46" s="47"/>
      <c r="F46" s="47">
        <f t="shared" ref="F46" si="9">AVERAGE(F44:F45)</f>
        <v>80.176854353197669</v>
      </c>
      <c r="G46" s="47"/>
      <c r="H46" s="47"/>
      <c r="I46" s="47"/>
      <c r="J46" s="47"/>
      <c r="K46" s="47"/>
      <c r="L46" s="47">
        <f t="shared" ref="L46" si="10">AVERAGE(L44:L45)</f>
        <v>87.785689321326686</v>
      </c>
      <c r="M46" s="37"/>
      <c r="N46" s="37"/>
      <c r="O46" s="18" t="s">
        <v>142</v>
      </c>
    </row>
    <row r="47" spans="1:1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5" x14ac:dyDescent="0.25">
      <c r="A48" s="4" t="s">
        <v>18</v>
      </c>
    </row>
    <row r="49" spans="1:15" x14ac:dyDescent="0.25">
      <c r="A49" s="4" t="s">
        <v>19</v>
      </c>
      <c r="B49" s="19">
        <f t="shared" ref="B49:N49" si="11">((B12/B13)*100)</f>
        <v>81.131304868256052</v>
      </c>
      <c r="C49" s="19">
        <f t="shared" si="11"/>
        <v>50.467907888290057</v>
      </c>
      <c r="D49" s="19">
        <f t="shared" si="11"/>
        <v>48.268893650175301</v>
      </c>
      <c r="E49" s="19">
        <f t="shared" si="11"/>
        <v>54.948407580117077</v>
      </c>
      <c r="F49" s="19">
        <f t="shared" si="11"/>
        <v>89.468324807122741</v>
      </c>
      <c r="G49" s="19">
        <f t="shared" si="11"/>
        <v>66.287738573803139</v>
      </c>
      <c r="H49" s="19">
        <f t="shared" si="11"/>
        <v>76.55384676680346</v>
      </c>
      <c r="I49" s="19">
        <f t="shared" si="11"/>
        <v>54.909032188610183</v>
      </c>
      <c r="J49" s="19">
        <f t="shared" si="11"/>
        <v>61.521992550092243</v>
      </c>
      <c r="K49" s="19">
        <f t="shared" si="11"/>
        <v>94.978886684033824</v>
      </c>
      <c r="L49" s="19">
        <f t="shared" si="11"/>
        <v>84.884281581485055</v>
      </c>
      <c r="M49" s="19">
        <f t="shared" si="11"/>
        <v>84.892938027589054</v>
      </c>
      <c r="N49" s="19">
        <f t="shared" si="11"/>
        <v>84.756097560975604</v>
      </c>
      <c r="O49" s="18" t="s">
        <v>142</v>
      </c>
    </row>
    <row r="50" spans="1:15" x14ac:dyDescent="0.25">
      <c r="A50" s="4" t="s">
        <v>20</v>
      </c>
      <c r="B50" s="19">
        <f>B18/B19*100</f>
        <v>26.216362259602594</v>
      </c>
      <c r="C50" s="19">
        <f>C18/C19*100</f>
        <v>22.397288296529037</v>
      </c>
      <c r="D50" s="19"/>
      <c r="E50" s="19"/>
      <c r="F50" s="19">
        <f>F18/F19*100</f>
        <v>33.809021388158811</v>
      </c>
      <c r="G50" s="19"/>
      <c r="H50" s="19"/>
      <c r="I50" s="19"/>
      <c r="J50" s="19"/>
      <c r="K50" s="19"/>
      <c r="L50" s="19">
        <f>L18/L19*100</f>
        <v>42.352541297834655</v>
      </c>
      <c r="M50" s="17"/>
      <c r="N50" s="17"/>
      <c r="O50" s="17">
        <f>O18/O19*100</f>
        <v>0</v>
      </c>
    </row>
    <row r="51" spans="1:15" x14ac:dyDescent="0.25">
      <c r="A51" s="4" t="s">
        <v>21</v>
      </c>
      <c r="B51" s="19">
        <f>(B49+B50)/2</f>
        <v>53.673833563929321</v>
      </c>
      <c r="C51" s="19">
        <f>(C49+C50)/2</f>
        <v>36.432598092409549</v>
      </c>
      <c r="D51" s="19"/>
      <c r="E51" s="19"/>
      <c r="F51" s="19">
        <f>(F49+F50)/2</f>
        <v>61.638673097640776</v>
      </c>
      <c r="G51" s="19"/>
      <c r="H51" s="19"/>
      <c r="I51" s="19"/>
      <c r="J51" s="19"/>
      <c r="K51" s="19"/>
      <c r="L51" s="19">
        <f>(L49+L50)/2</f>
        <v>63.618411439659852</v>
      </c>
      <c r="M51" s="17"/>
      <c r="N51" s="17"/>
      <c r="O51" s="18" t="s">
        <v>142</v>
      </c>
    </row>
    <row r="52" spans="1:1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5" x14ac:dyDescent="0.25">
      <c r="A53" s="4" t="s">
        <v>36</v>
      </c>
    </row>
    <row r="54" spans="1:15" x14ac:dyDescent="0.25">
      <c r="A54" s="4" t="s">
        <v>22</v>
      </c>
      <c r="B54" s="3">
        <f>B20/B18*100</f>
        <v>100</v>
      </c>
      <c r="C54" s="2"/>
      <c r="D54" s="2"/>
      <c r="E54" s="2"/>
      <c r="F54" s="2"/>
      <c r="G54" s="2"/>
      <c r="H54" s="2"/>
      <c r="I54" s="2"/>
      <c r="J54" s="2"/>
      <c r="K54" s="2"/>
    </row>
    <row r="56" spans="1:15" x14ac:dyDescent="0.25">
      <c r="A56" s="4" t="s">
        <v>23</v>
      </c>
    </row>
    <row r="57" spans="1:15" x14ac:dyDescent="0.25">
      <c r="A57" s="4" t="s">
        <v>24</v>
      </c>
      <c r="B57" s="47">
        <f t="shared" ref="B57:M57" si="12">((B12/B10)-1)*100</f>
        <v>2.4659057759626624</v>
      </c>
      <c r="C57" s="47">
        <f t="shared" si="12"/>
        <v>13.200600776613669</v>
      </c>
      <c r="D57" s="47">
        <f t="shared" si="12"/>
        <v>-2.4336228745786115</v>
      </c>
      <c r="E57" s="47">
        <f t="shared" si="12"/>
        <v>58.723221322633812</v>
      </c>
      <c r="F57" s="47">
        <f t="shared" si="12"/>
        <v>-2.5129263945506186</v>
      </c>
      <c r="G57" s="18" t="s">
        <v>142</v>
      </c>
      <c r="H57" s="47">
        <f t="shared" si="12"/>
        <v>-37.843608219909264</v>
      </c>
      <c r="I57" s="47">
        <f t="shared" si="12"/>
        <v>52.299193789190809</v>
      </c>
      <c r="J57" s="47">
        <f t="shared" si="12"/>
        <v>4.2854736132754923</v>
      </c>
      <c r="K57" s="47">
        <f t="shared" si="12"/>
        <v>3.5798000592996981</v>
      </c>
      <c r="L57" s="47">
        <f t="shared" si="12"/>
        <v>5.8247174801635104</v>
      </c>
      <c r="M57" s="47">
        <f t="shared" si="12"/>
        <v>-0.85958163019956846</v>
      </c>
      <c r="N57" s="18" t="s">
        <v>142</v>
      </c>
      <c r="O57" s="18" t="s">
        <v>142</v>
      </c>
    </row>
    <row r="58" spans="1:15" x14ac:dyDescent="0.25">
      <c r="A58" s="4" t="s">
        <v>25</v>
      </c>
      <c r="B58" s="47">
        <f>((B33/B32)-1)*100</f>
        <v>14.70432791551486</v>
      </c>
      <c r="C58" s="47">
        <f>((C33/C32)-1)*100</f>
        <v>29.465833492172177</v>
      </c>
      <c r="D58" s="47"/>
      <c r="E58" s="47"/>
      <c r="F58" s="47">
        <f>((F33/F32)-1)*100</f>
        <v>-7.8444062517497803</v>
      </c>
      <c r="G58" s="47"/>
      <c r="H58" s="47"/>
      <c r="I58" s="47"/>
      <c r="J58" s="47"/>
      <c r="K58" s="47"/>
      <c r="L58" s="47">
        <f>((L33/L32)-1)*100</f>
        <v>10.64561234404049</v>
      </c>
      <c r="M58" s="37"/>
      <c r="N58" s="37"/>
      <c r="O58" s="18" t="s">
        <v>142</v>
      </c>
    </row>
    <row r="59" spans="1:15" x14ac:dyDescent="0.25">
      <c r="A59" s="4" t="s">
        <v>26</v>
      </c>
      <c r="B59" s="47">
        <f>((B35/B34)-1)*100</f>
        <v>11.943896896115858</v>
      </c>
      <c r="C59" s="47">
        <f>((C35/C34)-1)*100</f>
        <v>14.368503880695638</v>
      </c>
      <c r="D59" s="47"/>
      <c r="E59" s="47"/>
      <c r="F59" s="47">
        <f>((F35/F34)-1)*100</f>
        <v>-5.4689095282281048</v>
      </c>
      <c r="G59" s="47"/>
      <c r="H59" s="47"/>
      <c r="I59" s="47"/>
      <c r="J59" s="47"/>
      <c r="K59" s="47"/>
      <c r="L59" s="47">
        <f>((L35/L34)-1)*100</f>
        <v>4.5555471147661342</v>
      </c>
      <c r="M59" s="37"/>
      <c r="N59" s="37"/>
      <c r="O59" s="18" t="s">
        <v>142</v>
      </c>
    </row>
    <row r="60" spans="1:15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5" x14ac:dyDescent="0.25">
      <c r="A61" s="4" t="s">
        <v>27</v>
      </c>
    </row>
    <row r="62" spans="1:15" x14ac:dyDescent="0.25">
      <c r="A62" s="4" t="s">
        <v>28</v>
      </c>
      <c r="B62" s="18">
        <f>B17/(B11*6)</f>
        <v>20289.508178651329</v>
      </c>
      <c r="C62" s="18">
        <f>C17/(C11*6)</f>
        <v>32460.542090996929</v>
      </c>
      <c r="D62" s="18"/>
      <c r="E62" s="18"/>
      <c r="F62" s="18">
        <f>F17/(F11*6)</f>
        <v>4988.5022398013652</v>
      </c>
      <c r="G62" s="18"/>
      <c r="H62" s="18"/>
      <c r="I62" s="18"/>
      <c r="J62" s="18"/>
      <c r="K62" s="18"/>
      <c r="L62" s="18">
        <f>L17/(L11*6)</f>
        <v>19941.408562012377</v>
      </c>
      <c r="M62" s="37"/>
      <c r="N62" s="37"/>
      <c r="O62" s="18" t="s">
        <v>142</v>
      </c>
    </row>
    <row r="63" spans="1:15" x14ac:dyDescent="0.25">
      <c r="A63" s="4" t="s">
        <v>29</v>
      </c>
      <c r="B63" s="18">
        <f>B18/(B12*6)</f>
        <v>13010.667139719992</v>
      </c>
      <c r="C63" s="18">
        <f>C18/(C12*6)</f>
        <v>29063.752505757544</v>
      </c>
      <c r="D63" s="18"/>
      <c r="E63" s="18"/>
      <c r="F63" s="18">
        <f>F18/(F12*6)</f>
        <v>3555.1983271485374</v>
      </c>
      <c r="G63" s="18"/>
      <c r="H63" s="18"/>
      <c r="I63" s="18"/>
      <c r="J63" s="18"/>
      <c r="K63" s="18"/>
      <c r="L63" s="18">
        <f>L18/(L12*6)</f>
        <v>19482.965832623308</v>
      </c>
      <c r="M63" s="37"/>
      <c r="N63" s="37"/>
      <c r="O63" s="18" t="s">
        <v>142</v>
      </c>
    </row>
    <row r="64" spans="1:15" x14ac:dyDescent="0.25">
      <c r="A64" s="4" t="s">
        <v>30</v>
      </c>
      <c r="B64" s="18">
        <f>(B63/B62)*B46</f>
        <v>44.6792718279399</v>
      </c>
      <c r="C64" s="18">
        <f>(C63/C62)*C46</f>
        <v>44.840437537918476</v>
      </c>
      <c r="D64" s="18"/>
      <c r="E64" s="18"/>
      <c r="F64" s="18">
        <f>(F63/F62)*F46</f>
        <v>57.140320835832746</v>
      </c>
      <c r="G64" s="18"/>
      <c r="H64" s="18"/>
      <c r="I64" s="18"/>
      <c r="J64" s="18"/>
      <c r="K64" s="18"/>
      <c r="L64" s="18">
        <f>(L63/L62)*L46</f>
        <v>85.767541461378897</v>
      </c>
      <c r="M64" s="37"/>
      <c r="N64" s="37"/>
      <c r="O64" s="18" t="s">
        <v>142</v>
      </c>
    </row>
    <row r="65" spans="1:15" x14ac:dyDescent="0.25">
      <c r="A65" s="4" t="s">
        <v>37</v>
      </c>
      <c r="B65" s="18">
        <f>B17/B11</f>
        <v>121737.04907190797</v>
      </c>
      <c r="C65" s="18">
        <f>C17/C11</f>
        <v>194763.25254598158</v>
      </c>
      <c r="D65" s="18"/>
      <c r="E65" s="18"/>
      <c r="F65" s="18">
        <f>F17/F11</f>
        <v>29931.013438808193</v>
      </c>
      <c r="G65" s="18"/>
      <c r="H65" s="18"/>
      <c r="I65" s="18"/>
      <c r="J65" s="18"/>
      <c r="K65" s="18"/>
      <c r="L65" s="18">
        <f>L17/L11</f>
        <v>119648.45137207425</v>
      </c>
      <c r="M65" s="37"/>
      <c r="N65" s="37"/>
      <c r="O65" s="18" t="s">
        <v>142</v>
      </c>
    </row>
    <row r="66" spans="1:15" x14ac:dyDescent="0.25">
      <c r="A66" s="4" t="s">
        <v>38</v>
      </c>
      <c r="B66" s="18">
        <f>B18/B12</f>
        <v>78064.002838319953</v>
      </c>
      <c r="C66" s="18">
        <f>C18/C12</f>
        <v>174382.51503454524</v>
      </c>
      <c r="D66" s="18"/>
      <c r="E66" s="18"/>
      <c r="F66" s="18">
        <f>F18/F12</f>
        <v>21331.189962891225</v>
      </c>
      <c r="G66" s="18"/>
      <c r="H66" s="18"/>
      <c r="I66" s="18"/>
      <c r="J66" s="18"/>
      <c r="K66" s="18"/>
      <c r="L66" s="18">
        <f>L18/L12</f>
        <v>116897.79499573985</v>
      </c>
      <c r="M66" s="37"/>
      <c r="N66" s="37"/>
      <c r="O66" s="18" t="s">
        <v>142</v>
      </c>
    </row>
    <row r="67" spans="1:15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5" x14ac:dyDescent="0.25">
      <c r="A68" s="4" t="s">
        <v>31</v>
      </c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5" x14ac:dyDescent="0.25">
      <c r="A69" s="4" t="s">
        <v>32</v>
      </c>
      <c r="B69" s="3">
        <f>(B24/B23)*100</f>
        <v>105.2733051851506</v>
      </c>
      <c r="C69" s="2"/>
      <c r="D69" s="2"/>
      <c r="E69" s="2"/>
      <c r="F69" s="2"/>
      <c r="G69" s="2"/>
      <c r="H69" s="2"/>
      <c r="I69" s="2"/>
      <c r="J69" s="2"/>
      <c r="K69" s="2"/>
    </row>
    <row r="70" spans="1:15" ht="15.75" thickBot="1" x14ac:dyDescent="0.3">
      <c r="A70" s="11" t="s">
        <v>33</v>
      </c>
      <c r="B70" s="61">
        <f>(B18/B24)*100</f>
        <v>51.718131203536707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5.75" thickTop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5" x14ac:dyDescent="0.25">
      <c r="A73" s="4" t="s">
        <v>97</v>
      </c>
    </row>
    <row r="74" spans="1:15" x14ac:dyDescent="0.25">
      <c r="A74" s="4" t="s">
        <v>98</v>
      </c>
    </row>
    <row r="75" spans="1:15" x14ac:dyDescent="0.25">
      <c r="A75" s="4" t="s">
        <v>99</v>
      </c>
      <c r="B75" s="20"/>
      <c r="C75" s="20"/>
      <c r="D75" s="20"/>
      <c r="E75" s="20"/>
      <c r="F75" s="20"/>
      <c r="G75" s="20"/>
      <c r="H75" s="20"/>
      <c r="I75" s="20"/>
      <c r="J75" s="20"/>
    </row>
    <row r="76" spans="1:15" x14ac:dyDescent="0.25">
      <c r="A76" s="4" t="s">
        <v>47</v>
      </c>
    </row>
    <row r="78" spans="1:15" x14ac:dyDescent="0.25">
      <c r="A78" s="4" t="s">
        <v>39</v>
      </c>
    </row>
    <row r="79" spans="1:15" x14ac:dyDescent="0.25">
      <c r="A79" s="4" t="s">
        <v>45</v>
      </c>
    </row>
    <row r="80" spans="1:15" x14ac:dyDescent="0.25">
      <c r="A80" s="4" t="s">
        <v>51</v>
      </c>
    </row>
    <row r="81" spans="1:1" x14ac:dyDescent="0.25">
      <c r="A81" s="4" t="s">
        <v>44</v>
      </c>
    </row>
    <row r="82" spans="1:1" x14ac:dyDescent="0.25">
      <c r="A82" s="4" t="s">
        <v>46</v>
      </c>
    </row>
    <row r="84" spans="1:1" x14ac:dyDescent="0.25">
      <c r="A84" s="4" t="s">
        <v>141</v>
      </c>
    </row>
  </sheetData>
  <mergeCells count="7">
    <mergeCell ref="A2:L2"/>
    <mergeCell ref="G5:K5"/>
    <mergeCell ref="M5:N5"/>
    <mergeCell ref="C4:O4"/>
    <mergeCell ref="G31:J31"/>
    <mergeCell ref="A4:A5"/>
    <mergeCell ref="D5:E5"/>
  </mergeCells>
  <pageMargins left="0.7" right="0.7" top="0.75" bottom="0.75" header="0.3" footer="0.3"/>
  <ignoredErrors>
    <ignoredError sqref="O45 O50 N60:O61 N58:N59 N62:N66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4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28515625" style="4" customWidth="1"/>
    <col min="2" max="15" width="15.7109375" style="4" customWidth="1"/>
    <col min="16" max="16384" width="11.42578125" style="4"/>
  </cols>
  <sheetData>
    <row r="2" spans="1:15" ht="15.75" x14ac:dyDescent="0.25">
      <c r="A2" s="81" t="s">
        <v>128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4" spans="1:15" x14ac:dyDescent="0.25">
      <c r="A4" s="84" t="s">
        <v>0</v>
      </c>
      <c r="B4" s="26"/>
      <c r="C4" s="82" t="s">
        <v>2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ht="30.75" thickBot="1" x14ac:dyDescent="0.3">
      <c r="A5" s="85"/>
      <c r="B5" s="68" t="s">
        <v>75</v>
      </c>
      <c r="C5" s="68" t="s">
        <v>74</v>
      </c>
      <c r="D5" s="86" t="s">
        <v>83</v>
      </c>
      <c r="E5" s="86"/>
      <c r="F5" s="68" t="s">
        <v>48</v>
      </c>
      <c r="G5" s="86" t="s">
        <v>82</v>
      </c>
      <c r="H5" s="86"/>
      <c r="I5" s="86"/>
      <c r="J5" s="86"/>
      <c r="K5" s="86"/>
      <c r="L5" s="68" t="s">
        <v>140</v>
      </c>
      <c r="M5" s="86" t="s">
        <v>137</v>
      </c>
      <c r="N5" s="86"/>
      <c r="O5" s="75" t="s">
        <v>52</v>
      </c>
    </row>
    <row r="6" spans="1:15" ht="45.75" thickTop="1" x14ac:dyDescent="0.25">
      <c r="B6" s="33" t="s">
        <v>1</v>
      </c>
      <c r="C6" s="33" t="s">
        <v>86</v>
      </c>
      <c r="D6" s="28" t="s">
        <v>84</v>
      </c>
      <c r="E6" s="28" t="s">
        <v>85</v>
      </c>
      <c r="F6" s="33" t="s">
        <v>50</v>
      </c>
      <c r="G6" s="33" t="s">
        <v>77</v>
      </c>
      <c r="H6" s="33" t="s">
        <v>78</v>
      </c>
      <c r="I6" s="33" t="s">
        <v>79</v>
      </c>
      <c r="J6" s="33" t="s">
        <v>80</v>
      </c>
      <c r="K6" s="33" t="s">
        <v>81</v>
      </c>
      <c r="L6" s="33" t="s">
        <v>1</v>
      </c>
      <c r="M6" s="33" t="s">
        <v>138</v>
      </c>
      <c r="N6" s="33" t="s">
        <v>139</v>
      </c>
      <c r="O6" s="69"/>
    </row>
    <row r="7" spans="1:15" x14ac:dyDescent="0.25">
      <c r="A7" s="16" t="s">
        <v>3</v>
      </c>
    </row>
    <row r="9" spans="1:15" x14ac:dyDescent="0.25">
      <c r="A9" s="4" t="s">
        <v>4</v>
      </c>
      <c r="L9" s="14"/>
    </row>
    <row r="10" spans="1:15" x14ac:dyDescent="0.25">
      <c r="A10" s="13" t="s">
        <v>58</v>
      </c>
      <c r="B10" s="22">
        <f>+D10+K10</f>
        <v>88155.333333333328</v>
      </c>
      <c r="C10" s="22">
        <f>+D10+E10</f>
        <v>30483.333333333332</v>
      </c>
      <c r="D10" s="22">
        <f>(+'I Trimestre'!D10+'II Trimestre'!D10+'III Trimestre'!D10)/3</f>
        <v>21663.333333333332</v>
      </c>
      <c r="E10" s="22">
        <f>(+'I Trimestre'!E10+'II Trimestre'!E10+'III Trimestre'!E10)/3</f>
        <v>8820</v>
      </c>
      <c r="F10" s="22">
        <f>K10+I10+H10</f>
        <v>90357.666666666672</v>
      </c>
      <c r="G10" s="70">
        <f>(+'I Trimestre'!G10+'II Trimestre'!G10+'III Trimestre'!G10)/3</f>
        <v>0</v>
      </c>
      <c r="H10" s="71">
        <f>(+'I Trimestre'!H10+'II Trimestre'!H10+'III Trimestre'!H10)/3</f>
        <v>20293.666666666668</v>
      </c>
      <c r="I10" s="71">
        <f>(+'I Trimestre'!I10+'II Trimestre'!I10+'III Trimestre'!I10)/3</f>
        <v>3572</v>
      </c>
      <c r="J10" s="22">
        <f>(+'I Trimestre'!J10+'II Trimestre'!J10+'III Trimestre'!J10)/3</f>
        <v>24828.666666666668</v>
      </c>
      <c r="K10" s="22">
        <f>(+'I Trimestre'!M10+'II Trimestre'!K10+'III Trimestre'!K10)/3</f>
        <v>66492</v>
      </c>
      <c r="L10" s="70">
        <f>M10+N10</f>
        <v>8707</v>
      </c>
      <c r="M10" s="70">
        <f>(+'I Trimestre'!M10+'II Trimestre'!M10+'III Trimestre'!M10)/3</f>
        <v>8707</v>
      </c>
      <c r="N10" s="70">
        <f>(+'I Trimestre'!N10+'II Trimestre'!N10+'III Trimestre'!N10)/3</f>
        <v>0</v>
      </c>
      <c r="O10" s="70">
        <f>(+'I Trimestre'!O10+'II Trimestre'!O10+'III Trimestre'!O10)/3</f>
        <v>0</v>
      </c>
    </row>
    <row r="11" spans="1:15" x14ac:dyDescent="0.25">
      <c r="A11" s="13" t="s">
        <v>108</v>
      </c>
      <c r="B11" s="22">
        <f>+D11+K11</f>
        <v>111075.33333333333</v>
      </c>
      <c r="C11" s="22">
        <f t="shared" ref="C11:C13" si="0">+D11+E11</f>
        <v>60311.333333333328</v>
      </c>
      <c r="D11" s="22">
        <f>(+'I Trimestre'!D11+'II Trimestre'!D11+'III Trimestre'!D11)/3</f>
        <v>40446</v>
      </c>
      <c r="E11" s="22">
        <f>(+'I Trimestre'!E11+'II Trimestre'!E11+'III Trimestre'!E11)/3</f>
        <v>19865.333333333332</v>
      </c>
      <c r="F11" s="22">
        <f t="shared" ref="F11:F13" si="1">K11+I11+H11</f>
        <v>96248.666666666657</v>
      </c>
      <c r="G11" s="22">
        <f>(+'I Trimestre'!G11+'II Trimestre'!G11+'III Trimestre'!G11)/3</f>
        <v>13928.666666666666</v>
      </c>
      <c r="H11" s="22">
        <f>(+'I Trimestre'!H11+'II Trimestre'!H11+'III Trimestre'!H11)/3</f>
        <v>16483.333333333332</v>
      </c>
      <c r="I11" s="22">
        <f>(+'I Trimestre'!I11+'II Trimestre'!I11+'III Trimestre'!I11)/3</f>
        <v>9136</v>
      </c>
      <c r="J11" s="22">
        <f>(+'I Trimestre'!J11+'II Trimestre'!J11+'III Trimestre'!J11)/3</f>
        <v>39633.666666666664</v>
      </c>
      <c r="K11" s="22">
        <f>(+'I Trimestre'!M11+'II Trimestre'!K11+'III Trimestre'!K11)/3</f>
        <v>70629.333333333328</v>
      </c>
      <c r="L11" s="70">
        <f t="shared" ref="L11:L13" si="2">M11+N11</f>
        <v>10216.666666666666</v>
      </c>
      <c r="M11" s="70">
        <f>(+'I Trimestre'!M11+'II Trimestre'!M11+'III Trimestre'!M11)/3</f>
        <v>9570.6666666666661</v>
      </c>
      <c r="N11" s="70">
        <f>(+'I Trimestre'!N11+'II Trimestre'!N11+'III Trimestre'!N11)/3</f>
        <v>646</v>
      </c>
      <c r="O11" s="70">
        <f>(+'I Trimestre'!O11+'II Trimestre'!O11+'III Trimestre'!O11)/3</f>
        <v>0</v>
      </c>
    </row>
    <row r="12" spans="1:15" x14ac:dyDescent="0.25">
      <c r="A12" s="13" t="s">
        <v>109</v>
      </c>
      <c r="B12" s="22">
        <f>+D12+K12</f>
        <v>89352</v>
      </c>
      <c r="C12" s="22">
        <f t="shared" si="0"/>
        <v>34868.333333333336</v>
      </c>
      <c r="D12" s="22">
        <f>(+'I Trimestre'!D12+'II Trimestre'!D12+'III Trimestre'!D12)/3</f>
        <v>21566.666666666668</v>
      </c>
      <c r="E12" s="22">
        <f>(+'I Trimestre'!E12+'II Trimestre'!E12+'III Trimestre'!E12)/3</f>
        <v>13301.666666666666</v>
      </c>
      <c r="F12" s="22">
        <f t="shared" si="1"/>
        <v>87567.333333333328</v>
      </c>
      <c r="G12" s="22">
        <f>(+'I Trimestre'!G12+'II Trimestre'!G12+'III Trimestre'!G12)/3</f>
        <v>9895.9666666666672</v>
      </c>
      <c r="H12" s="22">
        <f>(+'I Trimestre'!H12+'II Trimestre'!H12+'III Trimestre'!H12)/3</f>
        <v>13377.333333333334</v>
      </c>
      <c r="I12" s="22">
        <f>(+'I Trimestre'!I12+'II Trimestre'!I12+'III Trimestre'!I12)/3</f>
        <v>6404.666666666667</v>
      </c>
      <c r="J12" s="22">
        <f>(+'I Trimestre'!J12+'II Trimestre'!J12+'III Trimestre'!J12)/3</f>
        <v>27073.666666666668</v>
      </c>
      <c r="K12" s="22">
        <f>(+'I Trimestre'!N12+'II Trimestre'!K12+'III Trimestre'!K12)/3</f>
        <v>67785.333333333328</v>
      </c>
      <c r="L12" s="70">
        <f t="shared" si="2"/>
        <v>9231.3333333333339</v>
      </c>
      <c r="M12" s="70">
        <f>(+'I Trimestre'!M12+'II Trimestre'!M12+'III Trimestre'!M12)/3</f>
        <v>8583</v>
      </c>
      <c r="N12" s="70">
        <f>(+'I Trimestre'!N12+'II Trimestre'!N12+'III Trimestre'!N12)/3</f>
        <v>648.33333333333337</v>
      </c>
      <c r="O12" s="70">
        <f>(+'I Trimestre'!O12+'II Trimestre'!O12+'III Trimestre'!O12)/3</f>
        <v>0</v>
      </c>
    </row>
    <row r="13" spans="1:15" x14ac:dyDescent="0.25">
      <c r="A13" s="13" t="s">
        <v>89</v>
      </c>
      <c r="B13" s="22">
        <f>+D13+K13</f>
        <v>138542.08333333331</v>
      </c>
      <c r="C13" s="22">
        <f t="shared" si="0"/>
        <v>61230</v>
      </c>
      <c r="D13" s="8">
        <f>+'III Trimestre'!D13</f>
        <v>41072</v>
      </c>
      <c r="E13" s="8">
        <f>+'III Trimestre'!E13</f>
        <v>20158</v>
      </c>
      <c r="F13" s="22">
        <f t="shared" si="1"/>
        <v>123491.75</v>
      </c>
      <c r="G13" s="8">
        <f>+'III Trimestre'!G13</f>
        <v>14137.833333333334</v>
      </c>
      <c r="H13" s="8">
        <f>+'III Trimestre'!H13</f>
        <v>16732.666666666668</v>
      </c>
      <c r="I13" s="8">
        <f>'III Trimestre'!I13</f>
        <v>9289</v>
      </c>
      <c r="J13" s="8">
        <f>'III Trimestre'!J13</f>
        <v>40246.583333333336</v>
      </c>
      <c r="K13" s="8">
        <f>+'III Trimestre'!K13</f>
        <v>97470.083333333328</v>
      </c>
      <c r="L13" s="70">
        <f t="shared" si="2"/>
        <v>10370</v>
      </c>
      <c r="M13" s="8">
        <f>+'III Trimestre'!M13</f>
        <v>9714</v>
      </c>
      <c r="N13" s="8">
        <f>+'III Trimestre'!N13</f>
        <v>656</v>
      </c>
      <c r="O13" s="8">
        <f>+'III Trimestre'!O13</f>
        <v>0</v>
      </c>
    </row>
    <row r="14" spans="1:15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5" x14ac:dyDescent="0.25">
      <c r="A15" s="15" t="s">
        <v>5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5" x14ac:dyDescent="0.25">
      <c r="A16" s="13" t="s">
        <v>58</v>
      </c>
      <c r="B16" s="22">
        <f>C16+F16+L16+O16</f>
        <v>13135141253</v>
      </c>
      <c r="C16" s="22">
        <f>+'I Trimestre'!C16+'II Trimestre'!C16+'III Trimestre'!C16</f>
        <v>7202748657</v>
      </c>
      <c r="D16" s="8"/>
      <c r="E16" s="8"/>
      <c r="F16" s="8">
        <f>+'I Trimestre'!F16+'II Trimestre'!F16+'III Trimestre'!F16</f>
        <v>4648322580</v>
      </c>
      <c r="G16" s="8"/>
      <c r="H16" s="8"/>
      <c r="I16" s="8"/>
      <c r="J16" s="8"/>
      <c r="K16" s="22"/>
      <c r="L16" s="44">
        <f>+'I Trimestre'!L16+'II Trimestre'!L16+'III Trimestre'!L16</f>
        <v>1284070016</v>
      </c>
      <c r="M16" s="17"/>
      <c r="N16" s="17"/>
      <c r="O16" s="44">
        <f>+'I Trimestre'!O16+'II Trimestre'!O16+'III Trimestre'!O16</f>
        <v>0</v>
      </c>
    </row>
    <row r="17" spans="1:15" x14ac:dyDescent="0.25">
      <c r="A17" s="13" t="s">
        <v>108</v>
      </c>
      <c r="B17" s="22">
        <f t="shared" ref="B17:B20" si="3">C17+F17+L17+O17</f>
        <v>25053441815.939999</v>
      </c>
      <c r="C17" s="22">
        <f>+'I Trimestre'!C17+'II Trimestre'!C17+'III Trimestre'!C17</f>
        <v>17971850026</v>
      </c>
      <c r="D17" s="8"/>
      <c r="E17" s="8"/>
      <c r="F17" s="8">
        <f>+'I Trimestre'!F17+'II Trimestre'!F17+'III Trimestre'!F17</f>
        <v>5251465570.4399996</v>
      </c>
      <c r="G17" s="8"/>
      <c r="H17" s="8"/>
      <c r="I17" s="8"/>
      <c r="J17" s="8"/>
      <c r="K17" s="22"/>
      <c r="L17" s="44">
        <f>+'I Trimestre'!L17+'II Trimestre'!L17+'III Trimestre'!L17</f>
        <v>1820706279.5</v>
      </c>
      <c r="M17" s="17"/>
      <c r="N17" s="17"/>
      <c r="O17" s="44">
        <f>+'I Trimestre'!O17+'II Trimestre'!O17+'III Trimestre'!O17</f>
        <v>9419940</v>
      </c>
    </row>
    <row r="18" spans="1:15" x14ac:dyDescent="0.25">
      <c r="A18" s="13" t="s">
        <v>109</v>
      </c>
      <c r="B18" s="22">
        <f t="shared" si="3"/>
        <v>15429005506.549999</v>
      </c>
      <c r="C18" s="22">
        <f>+'I Trimestre'!C18+'II Trimestre'!C18+'III Trimestre'!C18</f>
        <v>9409303805.9300003</v>
      </c>
      <c r="D18" s="8"/>
      <c r="E18" s="8"/>
      <c r="F18" s="8">
        <f>+'I Trimestre'!F18+'II Trimestre'!F18+'III Trimestre'!F18</f>
        <v>4461968252.2399998</v>
      </c>
      <c r="G18" s="8"/>
      <c r="H18" s="8"/>
      <c r="I18" s="8"/>
      <c r="J18" s="8"/>
      <c r="K18" s="22"/>
      <c r="L18" s="44">
        <f>+'I Trimestre'!L18+'II Trimestre'!L18+'III Trimestre'!L18</f>
        <v>1557733448.3800001</v>
      </c>
      <c r="M18" s="17"/>
      <c r="N18" s="17"/>
      <c r="O18" s="44">
        <f>+'I Trimestre'!O18+'II Trimestre'!O18+'III Trimestre'!O18</f>
        <v>0</v>
      </c>
    </row>
    <row r="19" spans="1:15" x14ac:dyDescent="0.25">
      <c r="A19" s="13" t="s">
        <v>89</v>
      </c>
      <c r="B19" s="22">
        <f t="shared" si="3"/>
        <v>33469448950.02</v>
      </c>
      <c r="C19" s="22">
        <f>+'III Trimestre'!C19</f>
        <v>24059525497</v>
      </c>
      <c r="D19" s="8"/>
      <c r="E19" s="8"/>
      <c r="F19" s="8">
        <f>+'III Trimestre'!F19</f>
        <v>6970914145.0200005</v>
      </c>
      <c r="G19" s="8"/>
      <c r="H19" s="8"/>
      <c r="I19" s="8"/>
      <c r="J19" s="8"/>
      <c r="K19" s="22"/>
      <c r="L19" s="44">
        <f>+'III Trimestre'!L19</f>
        <v>2429589368</v>
      </c>
      <c r="M19" s="17"/>
      <c r="N19" s="17"/>
      <c r="O19" s="44">
        <f>+'III Trimestre'!O19</f>
        <v>9419940</v>
      </c>
    </row>
    <row r="20" spans="1:15" x14ac:dyDescent="0.25">
      <c r="A20" s="13" t="s">
        <v>110</v>
      </c>
      <c r="B20" s="22">
        <f t="shared" si="3"/>
        <v>15429005506.549999</v>
      </c>
      <c r="C20" s="8">
        <f>C18</f>
        <v>9409303805.9300003</v>
      </c>
      <c r="D20" s="8"/>
      <c r="E20" s="8"/>
      <c r="F20" s="8">
        <f>F18</f>
        <v>4461968252.2399998</v>
      </c>
      <c r="G20" s="8"/>
      <c r="H20" s="8"/>
      <c r="I20" s="8"/>
      <c r="J20" s="8"/>
      <c r="K20" s="8"/>
      <c r="L20" s="72">
        <f>L18</f>
        <v>1557733448.3800001</v>
      </c>
      <c r="M20" s="17"/>
      <c r="N20" s="17"/>
      <c r="O20" s="72">
        <f>O18</f>
        <v>0</v>
      </c>
    </row>
    <row r="21" spans="1:15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5" x14ac:dyDescent="0.25">
      <c r="A22" s="15" t="s">
        <v>6</v>
      </c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5" x14ac:dyDescent="0.25">
      <c r="A23" s="13" t="s">
        <v>108</v>
      </c>
      <c r="B23" s="38">
        <f>+B17</f>
        <v>25053441815.939999</v>
      </c>
      <c r="C23" s="6"/>
      <c r="D23" s="9"/>
      <c r="E23" s="9"/>
      <c r="F23" s="9"/>
      <c r="G23" s="9"/>
      <c r="H23" s="9"/>
      <c r="I23" s="9"/>
      <c r="J23" s="9"/>
      <c r="K23" s="9"/>
    </row>
    <row r="24" spans="1:15" x14ac:dyDescent="0.25">
      <c r="A24" s="13" t="s">
        <v>109</v>
      </c>
      <c r="B24" s="38">
        <f>+'I Trimestre'!B24+'II Trimestre'!B24+'III Trimestre'!B24</f>
        <v>19935321284</v>
      </c>
      <c r="C24" s="6"/>
      <c r="D24" s="9"/>
      <c r="E24" s="9"/>
      <c r="F24" s="9"/>
      <c r="G24" s="9"/>
      <c r="H24" s="9"/>
      <c r="I24" s="9"/>
      <c r="J24" s="9"/>
      <c r="K24" s="9"/>
    </row>
    <row r="26" spans="1:15" x14ac:dyDescent="0.25">
      <c r="A26" s="4" t="s">
        <v>7</v>
      </c>
    </row>
    <row r="27" spans="1:15" x14ac:dyDescent="0.25">
      <c r="A27" s="13" t="s">
        <v>59</v>
      </c>
      <c r="B27" s="42">
        <v>1.0123857379999999</v>
      </c>
      <c r="C27" s="42">
        <v>1.0123857379999999</v>
      </c>
      <c r="D27" s="42">
        <v>1.0123857379999999</v>
      </c>
      <c r="E27" s="42">
        <v>1.0123857379999999</v>
      </c>
      <c r="F27" s="42">
        <v>1.0123857379999999</v>
      </c>
      <c r="G27" s="42">
        <v>1.0123857379999999</v>
      </c>
      <c r="H27" s="42">
        <v>1.0123857379999999</v>
      </c>
      <c r="I27" s="42">
        <v>1.0123857379999999</v>
      </c>
      <c r="J27" s="42">
        <v>1.0123857379999999</v>
      </c>
      <c r="K27" s="42">
        <v>1.0123857379999999</v>
      </c>
      <c r="L27" s="42">
        <v>1.0123857379999999</v>
      </c>
      <c r="M27" s="42">
        <v>1.0123857379999999</v>
      </c>
      <c r="N27" s="42">
        <v>1.0123857379999999</v>
      </c>
      <c r="O27" s="42">
        <v>1.0123857379999999</v>
      </c>
    </row>
    <row r="28" spans="1:15" x14ac:dyDescent="0.25">
      <c r="A28" s="13" t="s">
        <v>111</v>
      </c>
      <c r="B28" s="42">
        <v>1.0303325644000001</v>
      </c>
      <c r="C28" s="42">
        <v>1.0303325644000001</v>
      </c>
      <c r="D28" s="42">
        <v>1.0303325644000001</v>
      </c>
      <c r="E28" s="42">
        <v>1.0303325644000001</v>
      </c>
      <c r="F28" s="42">
        <v>1.0303325644000001</v>
      </c>
      <c r="G28" s="42">
        <v>1.0303325644000001</v>
      </c>
      <c r="H28" s="42">
        <v>1.0303325644000001</v>
      </c>
      <c r="I28" s="42">
        <v>1.0303325644000001</v>
      </c>
      <c r="J28" s="42">
        <v>1.0303325644000001</v>
      </c>
      <c r="K28" s="42">
        <v>1.0303325644000001</v>
      </c>
      <c r="L28" s="42">
        <v>1.0303325644000001</v>
      </c>
      <c r="M28" s="42">
        <v>1.0303325644000001</v>
      </c>
      <c r="N28" s="42">
        <v>1.0303325644000001</v>
      </c>
      <c r="O28" s="42">
        <v>1.0303325644000001</v>
      </c>
    </row>
    <row r="29" spans="1:15" x14ac:dyDescent="0.25">
      <c r="A29" s="13" t="s">
        <v>8</v>
      </c>
      <c r="B29" s="1">
        <v>111207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1" spans="1:15" x14ac:dyDescent="0.25">
      <c r="A31" s="16" t="s">
        <v>9</v>
      </c>
      <c r="D31" s="17"/>
      <c r="G31" s="83"/>
      <c r="H31" s="83"/>
      <c r="I31" s="83"/>
      <c r="J31" s="83"/>
    </row>
    <row r="32" spans="1:15" x14ac:dyDescent="0.25">
      <c r="A32" s="4" t="s">
        <v>60</v>
      </c>
      <c r="B32" s="18">
        <f>B16/B27</f>
        <v>12974443198.843246</v>
      </c>
      <c r="C32" s="18">
        <f>C16/C27</f>
        <v>7114628729.5880508</v>
      </c>
      <c r="D32" s="18"/>
      <c r="E32" s="18"/>
      <c r="F32" s="18">
        <f>F16/F27</f>
        <v>4591454033.3044481</v>
      </c>
      <c r="G32" s="18"/>
      <c r="H32" s="18"/>
      <c r="I32" s="18"/>
      <c r="J32" s="18"/>
      <c r="K32" s="18"/>
      <c r="L32" s="18">
        <f>L16/L27</f>
        <v>1268360435.9507484</v>
      </c>
      <c r="M32" s="37"/>
      <c r="N32" s="37"/>
      <c r="O32" s="37">
        <f>O16/O27</f>
        <v>0</v>
      </c>
    </row>
    <row r="33" spans="1:15" x14ac:dyDescent="0.25">
      <c r="A33" s="4" t="s">
        <v>112</v>
      </c>
      <c r="B33" s="18">
        <f>B18/B28</f>
        <v>14974781968.125862</v>
      </c>
      <c r="C33" s="18">
        <f>C18/C28</f>
        <v>9132297794.9448566</v>
      </c>
      <c r="D33" s="18"/>
      <c r="E33" s="18"/>
      <c r="F33" s="18">
        <f>F18/F28</f>
        <v>4330609753.0153923</v>
      </c>
      <c r="G33" s="18"/>
      <c r="H33" s="18"/>
      <c r="I33" s="18"/>
      <c r="J33" s="18"/>
      <c r="K33" s="18"/>
      <c r="L33" s="18">
        <f>L18/L28</f>
        <v>1511874420.1656139</v>
      </c>
      <c r="M33" s="37"/>
      <c r="N33" s="37"/>
      <c r="O33" s="37">
        <f>O18/O28</f>
        <v>0</v>
      </c>
    </row>
    <row r="34" spans="1:15" x14ac:dyDescent="0.25">
      <c r="A34" s="4" t="s">
        <v>61</v>
      </c>
      <c r="B34" s="18">
        <f>B32/B10</f>
        <v>147177.06471353499</v>
      </c>
      <c r="C34" s="18">
        <f>C32/C10</f>
        <v>233394.05345832862</v>
      </c>
      <c r="D34" s="18"/>
      <c r="E34" s="18"/>
      <c r="F34" s="18">
        <f>F32/F10</f>
        <v>50814.216465355617</v>
      </c>
      <c r="G34" s="18"/>
      <c r="H34" s="18"/>
      <c r="I34" s="18"/>
      <c r="J34" s="18"/>
      <c r="K34" s="18"/>
      <c r="L34" s="18">
        <f>L32/L10</f>
        <v>145671.34902385995</v>
      </c>
      <c r="M34" s="37"/>
      <c r="N34" s="37"/>
      <c r="O34" s="37" t="s">
        <v>142</v>
      </c>
    </row>
    <row r="35" spans="1:15" x14ac:dyDescent="0.25">
      <c r="A35" s="4" t="s">
        <v>113</v>
      </c>
      <c r="B35" s="18">
        <f>B33/B12</f>
        <v>167593.13689817645</v>
      </c>
      <c r="C35" s="18">
        <f>C33/C12</f>
        <v>261908.0673470156</v>
      </c>
      <c r="D35" s="18"/>
      <c r="E35" s="18"/>
      <c r="F35" s="18">
        <f>F33/F12</f>
        <v>49454.626379114656</v>
      </c>
      <c r="G35" s="18"/>
      <c r="H35" s="18"/>
      <c r="I35" s="18"/>
      <c r="J35" s="18"/>
      <c r="K35" s="18"/>
      <c r="L35" s="18">
        <f>L33/L12</f>
        <v>163776.38696096055</v>
      </c>
      <c r="M35" s="37"/>
      <c r="N35" s="37"/>
      <c r="O35" s="37" t="s">
        <v>142</v>
      </c>
    </row>
    <row r="37" spans="1:15" x14ac:dyDescent="0.25">
      <c r="A37" s="16" t="s">
        <v>10</v>
      </c>
    </row>
    <row r="39" spans="1:15" x14ac:dyDescent="0.25">
      <c r="A39" s="4" t="s">
        <v>11</v>
      </c>
    </row>
    <row r="40" spans="1:15" x14ac:dyDescent="0.25">
      <c r="A40" s="4" t="s">
        <v>12</v>
      </c>
      <c r="B40" s="3">
        <f t="shared" ref="B40" si="4">(B11/B29)*100</f>
        <v>99.881602177320971</v>
      </c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5" x14ac:dyDescent="0.25">
      <c r="A41" s="4" t="s">
        <v>13</v>
      </c>
      <c r="B41" s="3">
        <f t="shared" ref="B41" si="5">(B12/B29)*100</f>
        <v>80.347460141897542</v>
      </c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5" x14ac:dyDescent="0.25">
      <c r="A43" s="4" t="s">
        <v>14</v>
      </c>
    </row>
    <row r="44" spans="1:15" x14ac:dyDescent="0.25">
      <c r="A44" s="4" t="s">
        <v>15</v>
      </c>
      <c r="B44" s="47">
        <f t="shared" ref="B44:N44" si="6">B12/B11*100</f>
        <v>80.442702550221185</v>
      </c>
      <c r="C44" s="47">
        <f t="shared" si="6"/>
        <v>57.813898990792232</v>
      </c>
      <c r="D44" s="47">
        <f t="shared" si="6"/>
        <v>53.322124973215324</v>
      </c>
      <c r="E44" s="47">
        <f t="shared" si="6"/>
        <v>66.959191892073306</v>
      </c>
      <c r="F44" s="47">
        <f t="shared" si="6"/>
        <v>90.980307952317958</v>
      </c>
      <c r="G44" s="47">
        <f t="shared" si="6"/>
        <v>71.047480017230654</v>
      </c>
      <c r="H44" s="47">
        <f t="shared" si="6"/>
        <v>81.156723963599603</v>
      </c>
      <c r="I44" s="47">
        <f t="shared" si="6"/>
        <v>70.103619381202577</v>
      </c>
      <c r="J44" s="47">
        <f t="shared" si="6"/>
        <v>68.309770313117639</v>
      </c>
      <c r="K44" s="47">
        <f t="shared" si="6"/>
        <v>95.973344408366685</v>
      </c>
      <c r="L44" s="47">
        <f t="shared" si="6"/>
        <v>90.355628058727575</v>
      </c>
      <c r="M44" s="47">
        <f t="shared" si="6"/>
        <v>89.680273056561717</v>
      </c>
      <c r="N44" s="47">
        <f t="shared" si="6"/>
        <v>100.36119711042313</v>
      </c>
      <c r="O44" s="37" t="s">
        <v>142</v>
      </c>
    </row>
    <row r="45" spans="1:15" x14ac:dyDescent="0.25">
      <c r="A45" s="4" t="s">
        <v>16</v>
      </c>
      <c r="B45" s="47">
        <f>B18/B17*100</f>
        <v>61.584374793300654</v>
      </c>
      <c r="C45" s="47">
        <f>C18/C17*100</f>
        <v>52.355788593369603</v>
      </c>
      <c r="D45" s="47"/>
      <c r="E45" s="47"/>
      <c r="F45" s="47">
        <f>F18/F17*100</f>
        <v>84.966152636627669</v>
      </c>
      <c r="G45" s="47"/>
      <c r="H45" s="47"/>
      <c r="I45" s="47"/>
      <c r="J45" s="47"/>
      <c r="K45" s="47"/>
      <c r="L45" s="47">
        <f>L18/L17*100</f>
        <v>85.556548352641641</v>
      </c>
      <c r="M45" s="37"/>
      <c r="N45" s="37"/>
      <c r="O45" s="37">
        <f>O18/O17*100</f>
        <v>0</v>
      </c>
    </row>
    <row r="46" spans="1:15" x14ac:dyDescent="0.25">
      <c r="A46" s="4" t="s">
        <v>17</v>
      </c>
      <c r="B46" s="47">
        <f>AVERAGE(B44:B45)</f>
        <v>71.013538671760926</v>
      </c>
      <c r="C46" s="47">
        <f t="shared" ref="C46" si="7">AVERAGE(C44:C45)</f>
        <v>55.084843792080918</v>
      </c>
      <c r="D46" s="47"/>
      <c r="E46" s="47"/>
      <c r="F46" s="47">
        <f t="shared" ref="F46" si="8">AVERAGE(F44:F45)</f>
        <v>87.973230294472813</v>
      </c>
      <c r="G46" s="47"/>
      <c r="H46" s="47"/>
      <c r="I46" s="47"/>
      <c r="J46" s="47"/>
      <c r="K46" s="47"/>
      <c r="L46" s="47">
        <f t="shared" ref="L46" si="9">AVERAGE(L44:L45)</f>
        <v>87.956088205684608</v>
      </c>
      <c r="M46" s="37"/>
      <c r="N46" s="37"/>
      <c r="O46" s="37" t="s">
        <v>142</v>
      </c>
    </row>
    <row r="47" spans="1:1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5" x14ac:dyDescent="0.25">
      <c r="A48" s="4" t="s">
        <v>18</v>
      </c>
    </row>
    <row r="49" spans="1:15" x14ac:dyDescent="0.25">
      <c r="A49" s="4" t="s">
        <v>19</v>
      </c>
      <c r="B49" s="19">
        <f t="shared" ref="B49:N49" si="10">((B12/B13)*100)</f>
        <v>64.494482723360235</v>
      </c>
      <c r="C49" s="19">
        <f t="shared" si="10"/>
        <v>56.946485927377651</v>
      </c>
      <c r="D49" s="19">
        <f t="shared" si="10"/>
        <v>52.509414361771199</v>
      </c>
      <c r="E49" s="19">
        <f t="shared" si="10"/>
        <v>65.987035750901214</v>
      </c>
      <c r="F49" s="19">
        <f t="shared" si="10"/>
        <v>70.909460213604021</v>
      </c>
      <c r="G49" s="19">
        <f t="shared" si="10"/>
        <v>69.996345503200629</v>
      </c>
      <c r="H49" s="19">
        <f t="shared" si="10"/>
        <v>79.947408263277424</v>
      </c>
      <c r="I49" s="19">
        <f t="shared" si="10"/>
        <v>68.948936017511755</v>
      </c>
      <c r="J49" s="19">
        <f t="shared" si="10"/>
        <v>67.26947836151723</v>
      </c>
      <c r="K49" s="19">
        <f t="shared" si="10"/>
        <v>69.544757750455062</v>
      </c>
      <c r="L49" s="19">
        <f t="shared" si="10"/>
        <v>89.019607843137265</v>
      </c>
      <c r="M49" s="19">
        <f t="shared" si="10"/>
        <v>88.357010500308832</v>
      </c>
      <c r="N49" s="19">
        <f t="shared" si="10"/>
        <v>98.831300813008141</v>
      </c>
      <c r="O49" s="37" t="s">
        <v>142</v>
      </c>
    </row>
    <row r="50" spans="1:15" x14ac:dyDescent="0.25">
      <c r="A50" s="4" t="s">
        <v>20</v>
      </c>
      <c r="B50" s="19">
        <f>B18/B19*100</f>
        <v>46.09877362961717</v>
      </c>
      <c r="C50" s="19">
        <f>C18/C19*100</f>
        <v>39.108434649316976</v>
      </c>
      <c r="D50" s="19"/>
      <c r="E50" s="19"/>
      <c r="F50" s="19">
        <f>F18/F19*100</f>
        <v>64.00836618290036</v>
      </c>
      <c r="G50" s="19"/>
      <c r="H50" s="19"/>
      <c r="I50" s="19"/>
      <c r="J50" s="19"/>
      <c r="K50" s="19"/>
      <c r="L50" s="19">
        <f>L18/L19*100</f>
        <v>64.115091582834097</v>
      </c>
      <c r="M50" s="17"/>
      <c r="N50" s="17"/>
      <c r="O50" s="17">
        <f>O18/O19*100</f>
        <v>0</v>
      </c>
    </row>
    <row r="51" spans="1:15" x14ac:dyDescent="0.25">
      <c r="A51" s="4" t="s">
        <v>21</v>
      </c>
      <c r="B51" s="19">
        <f>(B49+B50)/2</f>
        <v>55.296628176488703</v>
      </c>
      <c r="C51" s="19">
        <f>(C49+C50)/2</f>
        <v>48.027460288347314</v>
      </c>
      <c r="D51" s="19"/>
      <c r="E51" s="19"/>
      <c r="F51" s="19">
        <f>(F49+F50)/2</f>
        <v>67.458913198252191</v>
      </c>
      <c r="G51" s="19"/>
      <c r="H51" s="19"/>
      <c r="I51" s="19"/>
      <c r="J51" s="19"/>
      <c r="K51" s="19"/>
      <c r="L51" s="19">
        <f>(L49+L50)/2</f>
        <v>76.567349712985674</v>
      </c>
      <c r="M51" s="17"/>
      <c r="N51" s="17"/>
      <c r="O51" s="37" t="s">
        <v>142</v>
      </c>
    </row>
    <row r="52" spans="1:1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5" x14ac:dyDescent="0.25">
      <c r="A53" s="4" t="s">
        <v>36</v>
      </c>
    </row>
    <row r="54" spans="1:15" x14ac:dyDescent="0.25">
      <c r="A54" s="4" t="s">
        <v>22</v>
      </c>
      <c r="B54" s="3">
        <f>B20/B18*100</f>
        <v>100</v>
      </c>
      <c r="C54" s="2"/>
      <c r="D54" s="2"/>
      <c r="E54" s="2"/>
      <c r="F54" s="2"/>
      <c r="G54" s="2"/>
      <c r="H54" s="2"/>
      <c r="I54" s="2"/>
      <c r="J54" s="2"/>
      <c r="K54" s="2"/>
    </row>
    <row r="56" spans="1:15" x14ac:dyDescent="0.25">
      <c r="A56" s="4" t="s">
        <v>23</v>
      </c>
    </row>
    <row r="57" spans="1:15" x14ac:dyDescent="0.25">
      <c r="A57" s="4" t="s">
        <v>24</v>
      </c>
      <c r="B57" s="47">
        <f t="shared" ref="B57:M57" si="11">((B12/B10)-1)*100</f>
        <v>1.3574523757307277</v>
      </c>
      <c r="C57" s="47">
        <f t="shared" si="11"/>
        <v>14.384909786768741</v>
      </c>
      <c r="D57" s="47">
        <f t="shared" si="11"/>
        <v>-0.44622249576856676</v>
      </c>
      <c r="E57" s="47">
        <f t="shared" si="11"/>
        <v>50.812547241118658</v>
      </c>
      <c r="F57" s="47">
        <f t="shared" si="11"/>
        <v>-3.0880980400113778</v>
      </c>
      <c r="G57" s="37" t="s">
        <v>142</v>
      </c>
      <c r="H57" s="47">
        <f t="shared" si="11"/>
        <v>-34.081240452686387</v>
      </c>
      <c r="I57" s="47">
        <f t="shared" si="11"/>
        <v>79.301978350130668</v>
      </c>
      <c r="J57" s="47">
        <f t="shared" si="11"/>
        <v>9.0419676180758746</v>
      </c>
      <c r="K57" s="47">
        <f t="shared" si="11"/>
        <v>1.9450961519180243</v>
      </c>
      <c r="L57" s="47">
        <f t="shared" si="11"/>
        <v>6.0219746564067256</v>
      </c>
      <c r="M57" s="47">
        <f t="shared" si="11"/>
        <v>-1.4241414953485743</v>
      </c>
      <c r="N57" s="37" t="s">
        <v>142</v>
      </c>
      <c r="O57" s="37" t="s">
        <v>142</v>
      </c>
    </row>
    <row r="58" spans="1:15" x14ac:dyDescent="0.25">
      <c r="A58" s="4" t="s">
        <v>25</v>
      </c>
      <c r="B58" s="47">
        <f>((B33/B32)-1)*100</f>
        <v>15.417530745835473</v>
      </c>
      <c r="C58" s="47">
        <f>((C33/C32)-1)*100</f>
        <v>28.359442805016656</v>
      </c>
      <c r="D58" s="47"/>
      <c r="E58" s="47"/>
      <c r="F58" s="47">
        <f>((F33/F32)-1)*100</f>
        <v>-5.6810822540529156</v>
      </c>
      <c r="G58" s="47"/>
      <c r="H58" s="47"/>
      <c r="I58" s="47"/>
      <c r="J58" s="47"/>
      <c r="K58" s="47"/>
      <c r="L58" s="47">
        <f>((L33/L32)-1)*100</f>
        <v>19.19911543380255</v>
      </c>
      <c r="M58" s="37"/>
      <c r="N58" s="37"/>
      <c r="O58" s="37" t="s">
        <v>142</v>
      </c>
    </row>
    <row r="59" spans="1:15" x14ac:dyDescent="0.25">
      <c r="A59" s="4" t="s">
        <v>26</v>
      </c>
      <c r="B59" s="47">
        <f>((B35/B34)-1)*100</f>
        <v>13.871775622362925</v>
      </c>
      <c r="C59" s="47">
        <f>((C35/C34)-1)*100</f>
        <v>12.217112418323905</v>
      </c>
      <c r="D59" s="47"/>
      <c r="E59" s="47"/>
      <c r="F59" s="47">
        <f>((F35/F34)-1)*100</f>
        <v>-2.6756096636222026</v>
      </c>
      <c r="G59" s="47"/>
      <c r="H59" s="47"/>
      <c r="I59" s="47"/>
      <c r="J59" s="47"/>
      <c r="K59" s="47"/>
      <c r="L59" s="47">
        <f>((L35/L34)-1)*100</f>
        <v>12.428688316832371</v>
      </c>
      <c r="M59" s="37"/>
      <c r="N59" s="37"/>
      <c r="O59" s="37" t="s">
        <v>142</v>
      </c>
    </row>
    <row r="60" spans="1:15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5" x14ac:dyDescent="0.25">
      <c r="A61" s="4" t="s">
        <v>27</v>
      </c>
    </row>
    <row r="62" spans="1:15" x14ac:dyDescent="0.25">
      <c r="A62" s="4" t="s">
        <v>28</v>
      </c>
      <c r="B62" s="18">
        <f>B17/(B11*9)</f>
        <v>25061.511622682501</v>
      </c>
      <c r="C62" s="18">
        <f>C17/(C11*9)</f>
        <v>33109.402739857258</v>
      </c>
      <c r="D62" s="18"/>
      <c r="E62" s="18"/>
      <c r="F62" s="18">
        <f>F17/(F11*9)</f>
        <v>6062.3818978617892</v>
      </c>
      <c r="G62" s="18"/>
      <c r="H62" s="18"/>
      <c r="I62" s="18"/>
      <c r="J62" s="18"/>
      <c r="K62" s="18"/>
      <c r="L62" s="18">
        <f>L17/(L11*9)</f>
        <v>19801.047085372484</v>
      </c>
      <c r="M62" s="18"/>
      <c r="N62" s="18"/>
      <c r="O62" s="37" t="s">
        <v>142</v>
      </c>
    </row>
    <row r="63" spans="1:15" x14ac:dyDescent="0.25">
      <c r="A63" s="4" t="s">
        <v>29</v>
      </c>
      <c r="B63" s="18">
        <f>B18/(B12*9)</f>
        <v>19186.296279570935</v>
      </c>
      <c r="C63" s="18">
        <f>C18/(C12*9)</f>
        <v>29983.601185188727</v>
      </c>
      <c r="D63" s="18"/>
      <c r="E63" s="18"/>
      <c r="F63" s="18">
        <f>F18/(F12*9)</f>
        <v>5661.6346687374535</v>
      </c>
      <c r="G63" s="18"/>
      <c r="H63" s="18"/>
      <c r="I63" s="18"/>
      <c r="J63" s="18"/>
      <c r="K63" s="18"/>
      <c r="L63" s="18">
        <f>L18/(L12*9)</f>
        <v>18749.349418405913</v>
      </c>
      <c r="M63" s="18"/>
      <c r="N63" s="18"/>
      <c r="O63" s="37" t="s">
        <v>142</v>
      </c>
    </row>
    <row r="64" spans="1:15" x14ac:dyDescent="0.25">
      <c r="A64" s="4" t="s">
        <v>30</v>
      </c>
      <c r="B64" s="18">
        <f>(B63/B62)*B46</f>
        <v>54.365706798947564</v>
      </c>
      <c r="C64" s="18">
        <f>(C63/C62)*C46</f>
        <v>49.884378784698484</v>
      </c>
      <c r="D64" s="18"/>
      <c r="E64" s="18"/>
      <c r="F64" s="18">
        <f>(F63/F62)*F46</f>
        <v>82.157854610195727</v>
      </c>
      <c r="G64" s="18"/>
      <c r="H64" s="18"/>
      <c r="I64" s="18"/>
      <c r="J64" s="18"/>
      <c r="K64" s="18"/>
      <c r="L64" s="18">
        <f>(L63/L62)*L46</f>
        <v>83.284455823690081</v>
      </c>
      <c r="M64" s="18"/>
      <c r="N64" s="18"/>
      <c r="O64" s="37" t="s">
        <v>142</v>
      </c>
    </row>
    <row r="65" spans="1:15" x14ac:dyDescent="0.25">
      <c r="A65" s="4" t="s">
        <v>37</v>
      </c>
      <c r="B65" s="18">
        <f>B17/B11</f>
        <v>225553.60460414254</v>
      </c>
      <c r="C65" s="18">
        <f>C17/C11</f>
        <v>297984.62465871533</v>
      </c>
      <c r="D65" s="18"/>
      <c r="E65" s="18"/>
      <c r="F65" s="18">
        <f>F17/F11</f>
        <v>54561.437080756099</v>
      </c>
      <c r="G65" s="18"/>
      <c r="H65" s="18"/>
      <c r="I65" s="18"/>
      <c r="J65" s="18"/>
      <c r="K65" s="18"/>
      <c r="L65" s="18">
        <f>L17/L11</f>
        <v>178209.42376835237</v>
      </c>
      <c r="M65" s="18"/>
      <c r="N65" s="18"/>
      <c r="O65" s="37" t="s">
        <v>142</v>
      </c>
    </row>
    <row r="66" spans="1:15" x14ac:dyDescent="0.25">
      <c r="A66" s="4" t="s">
        <v>38</v>
      </c>
      <c r="B66" s="18">
        <f>B18/B12</f>
        <v>172676.66651613842</v>
      </c>
      <c r="C66" s="18">
        <f>C18/C12</f>
        <v>269852.41066669853</v>
      </c>
      <c r="D66" s="18"/>
      <c r="E66" s="18"/>
      <c r="F66" s="18">
        <f>F18/F12</f>
        <v>50954.712018637088</v>
      </c>
      <c r="G66" s="18"/>
      <c r="H66" s="18"/>
      <c r="I66" s="18"/>
      <c r="J66" s="18"/>
      <c r="K66" s="18"/>
      <c r="L66" s="18">
        <f>L18/L12</f>
        <v>168744.14476565321</v>
      </c>
      <c r="M66" s="18"/>
      <c r="N66" s="18"/>
      <c r="O66" s="37" t="s">
        <v>142</v>
      </c>
    </row>
    <row r="67" spans="1:15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5" x14ac:dyDescent="0.25">
      <c r="A68" s="4" t="s">
        <v>31</v>
      </c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5" x14ac:dyDescent="0.25">
      <c r="A69" s="4" t="s">
        <v>32</v>
      </c>
      <c r="B69" s="3">
        <f>(B24/B23)*100</f>
        <v>79.571187984703769</v>
      </c>
      <c r="C69" s="2"/>
      <c r="D69" s="2"/>
      <c r="E69" s="2"/>
      <c r="F69" s="2"/>
      <c r="G69" s="2"/>
      <c r="H69" s="2"/>
      <c r="I69" s="2"/>
      <c r="J69" s="2"/>
      <c r="K69" s="2"/>
    </row>
    <row r="70" spans="1:15" ht="15.75" thickBot="1" x14ac:dyDescent="0.3">
      <c r="A70" s="11" t="s">
        <v>33</v>
      </c>
      <c r="B70" s="61">
        <f>(B18/B24)*100</f>
        <v>77.395319025699621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5.75" thickTop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5" x14ac:dyDescent="0.25">
      <c r="A73" s="4" t="s">
        <v>97</v>
      </c>
    </row>
    <row r="74" spans="1:15" x14ac:dyDescent="0.25">
      <c r="A74" s="4" t="s">
        <v>98</v>
      </c>
    </row>
    <row r="75" spans="1:15" x14ac:dyDescent="0.25">
      <c r="A75" s="4" t="s">
        <v>99</v>
      </c>
      <c r="B75" s="20"/>
      <c r="C75" s="20"/>
      <c r="D75" s="20"/>
      <c r="E75" s="20"/>
      <c r="F75" s="20"/>
      <c r="G75" s="20"/>
      <c r="H75" s="20"/>
      <c r="I75" s="20"/>
      <c r="J75" s="20"/>
    </row>
    <row r="76" spans="1:15" x14ac:dyDescent="0.25">
      <c r="A76" s="4" t="s">
        <v>47</v>
      </c>
    </row>
    <row r="78" spans="1:15" x14ac:dyDescent="0.25">
      <c r="A78" s="4" t="s">
        <v>39</v>
      </c>
    </row>
    <row r="79" spans="1:15" x14ac:dyDescent="0.25">
      <c r="A79" s="4" t="s">
        <v>45</v>
      </c>
    </row>
    <row r="80" spans="1:15" x14ac:dyDescent="0.25">
      <c r="A80" s="4" t="s">
        <v>51</v>
      </c>
    </row>
    <row r="81" spans="1:1" x14ac:dyDescent="0.25">
      <c r="A81" s="4" t="s">
        <v>44</v>
      </c>
    </row>
    <row r="82" spans="1:1" x14ac:dyDescent="0.25">
      <c r="A82" s="4" t="s">
        <v>46</v>
      </c>
    </row>
    <row r="84" spans="1:1" x14ac:dyDescent="0.25">
      <c r="A84" s="4" t="s">
        <v>141</v>
      </c>
    </row>
  </sheetData>
  <mergeCells count="7">
    <mergeCell ref="A2:M2"/>
    <mergeCell ref="G31:J31"/>
    <mergeCell ref="A4:A5"/>
    <mergeCell ref="D5:E5"/>
    <mergeCell ref="G5:K5"/>
    <mergeCell ref="M5:N5"/>
    <mergeCell ref="C4:O4"/>
  </mergeCells>
  <pageMargins left="0.7" right="0.7" top="0.75" bottom="0.75" header="0.3" footer="0.3"/>
  <ignoredErrors>
    <ignoredError sqref="O45 O50 O52:O56 O60:O61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2" style="4" customWidth="1"/>
    <col min="2" max="6" width="15.7109375" style="4" customWidth="1"/>
    <col min="7" max="7" width="12.7109375" style="4" bestFit="1" customWidth="1"/>
    <col min="8" max="15" width="15.7109375" style="4" customWidth="1"/>
    <col min="16" max="16384" width="11.42578125" style="4"/>
  </cols>
  <sheetData>
    <row r="1" spans="1:15" x14ac:dyDescent="0.25">
      <c r="G1" s="7"/>
      <c r="H1" s="7"/>
    </row>
    <row r="2" spans="1:15" ht="15.75" x14ac:dyDescent="0.25">
      <c r="A2" s="81" t="s">
        <v>129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4" spans="1:15" x14ac:dyDescent="0.25">
      <c r="A4" s="84" t="s">
        <v>0</v>
      </c>
      <c r="B4" s="26"/>
      <c r="C4" s="82" t="s">
        <v>2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ht="30.75" thickBot="1" x14ac:dyDescent="0.3">
      <c r="A5" s="85"/>
      <c r="B5" s="68" t="s">
        <v>75</v>
      </c>
      <c r="C5" s="68" t="s">
        <v>74</v>
      </c>
      <c r="D5" s="86" t="s">
        <v>83</v>
      </c>
      <c r="E5" s="86"/>
      <c r="F5" s="68" t="s">
        <v>48</v>
      </c>
      <c r="G5" s="86" t="s">
        <v>82</v>
      </c>
      <c r="H5" s="86"/>
      <c r="I5" s="86"/>
      <c r="J5" s="86"/>
      <c r="K5" s="86"/>
      <c r="L5" s="68" t="s">
        <v>140</v>
      </c>
      <c r="M5" s="86" t="s">
        <v>137</v>
      </c>
      <c r="N5" s="86"/>
      <c r="O5" s="75" t="s">
        <v>52</v>
      </c>
    </row>
    <row r="6" spans="1:15" ht="45.75" thickTop="1" x14ac:dyDescent="0.25">
      <c r="B6" s="33" t="s">
        <v>1</v>
      </c>
      <c r="C6" s="33" t="s">
        <v>86</v>
      </c>
      <c r="D6" s="28" t="s">
        <v>84</v>
      </c>
      <c r="E6" s="28" t="s">
        <v>85</v>
      </c>
      <c r="F6" s="33" t="s">
        <v>50</v>
      </c>
      <c r="G6" s="33" t="s">
        <v>77</v>
      </c>
      <c r="H6" s="33" t="s">
        <v>78</v>
      </c>
      <c r="I6" s="33" t="s">
        <v>79</v>
      </c>
      <c r="J6" s="33" t="s">
        <v>80</v>
      </c>
      <c r="K6" s="33" t="s">
        <v>81</v>
      </c>
      <c r="L6" s="33" t="s">
        <v>1</v>
      </c>
      <c r="M6" s="33" t="s">
        <v>138</v>
      </c>
      <c r="N6" s="33" t="s">
        <v>139</v>
      </c>
      <c r="O6" s="69"/>
    </row>
    <row r="7" spans="1:15" x14ac:dyDescent="0.25">
      <c r="A7" s="16" t="s">
        <v>3</v>
      </c>
    </row>
    <row r="9" spans="1:15" x14ac:dyDescent="0.25">
      <c r="A9" s="4" t="s">
        <v>4</v>
      </c>
    </row>
    <row r="10" spans="1:15" x14ac:dyDescent="0.25">
      <c r="A10" s="13" t="s">
        <v>70</v>
      </c>
      <c r="B10" s="22">
        <f>+D10+K10</f>
        <v>116240.25</v>
      </c>
      <c r="C10" s="22">
        <f>+D10+E10</f>
        <v>32263</v>
      </c>
      <c r="D10" s="22">
        <f>(+'I Trimestre'!D10+'II Trimestre'!D10+'III Trimestre'!D10+'IV Trimestre'!D10)/4</f>
        <v>22433.75</v>
      </c>
      <c r="E10" s="22">
        <f>(+'I Trimestre'!E10+'II Trimestre'!E10+'III Trimestre'!E10+'IV Trimestre'!E10)/4</f>
        <v>9829.25</v>
      </c>
      <c r="F10" s="22">
        <f>K10+I10+H10</f>
        <v>117623.5</v>
      </c>
      <c r="G10" s="70">
        <f>(+'I Trimestre'!G10+'II Trimestre'!G10+'III Trimestre'!G10+'IV Trimestre'!G10)/4</f>
        <v>0</v>
      </c>
      <c r="H10" s="71">
        <f>(+'I Trimestre'!H10+'II Trimestre'!H10+'III Trimestre'!H10+'IV Trimestre'!H10)/4</f>
        <v>20055</v>
      </c>
      <c r="I10" s="71">
        <f>(+'I Trimestre'!I10+'II Trimestre'!I10+'III Trimestre'!I10+'IV Trimestre'!I10)/4</f>
        <v>3762</v>
      </c>
      <c r="J10" s="22">
        <f>(+'I Trimestre'!J10+'II Trimestre'!J10+'III Trimestre'!J10+'IV Trimestre'!J10)/4</f>
        <v>25455.5</v>
      </c>
      <c r="K10" s="22">
        <f>(+'I Trimestre'!K10+'II Trimestre'!K10+'III Trimestre'!K10+'IV Trimestre'!K10)/4</f>
        <v>93806.5</v>
      </c>
      <c r="L10" s="70">
        <f>M10+N10</f>
        <v>8960.75</v>
      </c>
      <c r="M10" s="70">
        <f>(+'I Trimestre'!M10+'II Trimestre'!M10+'III Trimestre'!M10+'IV Trimestre'!M10)/4</f>
        <v>8960.75</v>
      </c>
      <c r="N10" s="70">
        <f>(+'I Trimestre'!N10+'II Trimestre'!N10+'III Trimestre'!N10+'IV Trimestre'!N10)/4</f>
        <v>0</v>
      </c>
      <c r="O10" s="70">
        <f>(+'I Trimestre'!O10+'II Trimestre'!O10+'III Trimestre'!O10+'IV Trimestre'!O10)/4</f>
        <v>0</v>
      </c>
    </row>
    <row r="11" spans="1:15" x14ac:dyDescent="0.25">
      <c r="A11" s="13" t="s">
        <v>130</v>
      </c>
      <c r="B11" s="22">
        <f t="shared" ref="B11:B13" si="0">+D11+K11</f>
        <v>138542.25</v>
      </c>
      <c r="C11" s="22">
        <f t="shared" ref="C11:C13" si="1">+D11+E11</f>
        <v>61229.75</v>
      </c>
      <c r="D11" s="22">
        <f>(+'I Trimestre'!D11+'II Trimestre'!D11+'III Trimestre'!D11+'IV Trimestre'!D11)/4</f>
        <v>41072.25</v>
      </c>
      <c r="E11" s="22">
        <f>(+'I Trimestre'!E11+'II Trimestre'!E11+'III Trimestre'!E11+'IV Trimestre'!E11)/4</f>
        <v>20157.5</v>
      </c>
      <c r="F11" s="22">
        <f t="shared" ref="F11:F13" si="2">K11+I11+H11</f>
        <v>123491.5</v>
      </c>
      <c r="G11" s="22">
        <f>(+'I Trimestre'!G11+'II Trimestre'!G11+'III Trimestre'!G11+'IV Trimestre'!G11)/4</f>
        <v>14137.75</v>
      </c>
      <c r="H11" s="22">
        <f>(+'I Trimestre'!H11+'II Trimestre'!H11+'III Trimestre'!H11+'IV Trimestre'!H11)/4</f>
        <v>16732.5</v>
      </c>
      <c r="I11" s="22">
        <f>(+'I Trimestre'!I11+'II Trimestre'!I11+'III Trimestre'!I11+'IV Trimestre'!I11)/4</f>
        <v>9289</v>
      </c>
      <c r="J11" s="22">
        <f>(+'I Trimestre'!J11+'II Trimestre'!J11+'III Trimestre'!J11+'IV Trimestre'!J11)/4</f>
        <v>40246.5</v>
      </c>
      <c r="K11" s="22">
        <f>(+'I Trimestre'!K11+'II Trimestre'!K11+'III Trimestre'!K11+'IV Trimestre'!K11)/4</f>
        <v>97470</v>
      </c>
      <c r="L11" s="70">
        <f t="shared" ref="L11:L13" si="3">M11+N11</f>
        <v>10369</v>
      </c>
      <c r="M11" s="70">
        <f>(+'I Trimestre'!M11+'II Trimestre'!M11+'III Trimestre'!M11+'IV Trimestre'!M11)/4</f>
        <v>9713.5</v>
      </c>
      <c r="N11" s="70">
        <f>(+'I Trimestre'!N11+'II Trimestre'!N11+'III Trimestre'!N11+'IV Trimestre'!N11)/4</f>
        <v>655.5</v>
      </c>
      <c r="O11" s="70">
        <f>(+'I Trimestre'!O11+'II Trimestre'!O11+'III Trimestre'!O11+'IV Trimestre'!O11)/4</f>
        <v>0</v>
      </c>
    </row>
    <row r="12" spans="1:15" x14ac:dyDescent="0.25">
      <c r="A12" s="13" t="s">
        <v>132</v>
      </c>
      <c r="B12" s="22">
        <f t="shared" si="0"/>
        <v>120986</v>
      </c>
      <c r="C12" s="22">
        <f t="shared" si="1"/>
        <v>36807.25</v>
      </c>
      <c r="D12" s="22">
        <f>(+'I Trimestre'!D12+'II Trimestre'!D12+'III Trimestre'!D12+'IV Trimestre'!D12)/4</f>
        <v>22601.5</v>
      </c>
      <c r="E12" s="22">
        <f>(+'I Trimestre'!E12+'II Trimestre'!E12+'III Trimestre'!E12+'IV Trimestre'!E12)/4</f>
        <v>14205.75</v>
      </c>
      <c r="F12" s="22">
        <f t="shared" si="2"/>
        <v>119217.25</v>
      </c>
      <c r="G12" s="22">
        <f>(+'I Trimestre'!G12+'II Trimestre'!G12+'III Trimestre'!G12+'IV Trimestre'!G12)/4</f>
        <v>9796.4750000000004</v>
      </c>
      <c r="H12" s="22">
        <f>(+'I Trimestre'!H12+'II Trimestre'!H12+'III Trimestre'!H12+'IV Trimestre'!H12)/4</f>
        <v>13633.25</v>
      </c>
      <c r="I12" s="22">
        <f>(+'I Trimestre'!I12+'II Trimestre'!I12+'III Trimestre'!I12+'IV Trimestre'!I12)/4</f>
        <v>7199.5</v>
      </c>
      <c r="J12" s="22">
        <f>(+'I Trimestre'!J12+'II Trimestre'!J12+'III Trimestre'!J12+'IV Trimestre'!J12)/4</f>
        <v>28385.25</v>
      </c>
      <c r="K12" s="22">
        <f>(+'I Trimestre'!K12+'II Trimestre'!K12+'III Trimestre'!K12+'IV Trimestre'!K12)/4</f>
        <v>98384.5</v>
      </c>
      <c r="L12" s="70">
        <f t="shared" si="3"/>
        <v>9468.75</v>
      </c>
      <c r="M12" s="70">
        <f>(+'I Trimestre'!M12+'II Trimestre'!M12+'III Trimestre'!M12+'IV Trimestre'!M12)/4</f>
        <v>8839.75</v>
      </c>
      <c r="N12" s="70">
        <f>(+'I Trimestre'!N12+'II Trimestre'!N12+'III Trimestre'!N12+'IV Trimestre'!N12)/4</f>
        <v>629</v>
      </c>
      <c r="O12" s="70">
        <f>(+'I Trimestre'!O12+'II Trimestre'!O12+'III Trimestre'!O12+'IV Trimestre'!O12)/4</f>
        <v>0</v>
      </c>
    </row>
    <row r="13" spans="1:15" x14ac:dyDescent="0.25">
      <c r="A13" s="13" t="s">
        <v>89</v>
      </c>
      <c r="B13" s="22">
        <f t="shared" si="0"/>
        <v>138542.08333333331</v>
      </c>
      <c r="C13" s="22">
        <f t="shared" si="1"/>
        <v>61230</v>
      </c>
      <c r="D13" s="8">
        <f>+'IV Trimestre'!D13</f>
        <v>41072</v>
      </c>
      <c r="E13" s="8">
        <f>+'IV Trimestre'!E13</f>
        <v>20158</v>
      </c>
      <c r="F13" s="22">
        <f t="shared" si="2"/>
        <v>123491.75</v>
      </c>
      <c r="G13" s="8">
        <f>+'IV Trimestre'!G13</f>
        <v>14137.833333333334</v>
      </c>
      <c r="H13" s="8">
        <f>+'IV Trimestre'!H13</f>
        <v>16732.666666666668</v>
      </c>
      <c r="I13" s="8">
        <f>'IV Trimestre'!I13</f>
        <v>9289</v>
      </c>
      <c r="J13" s="8">
        <f>'IV Trimestre'!J13</f>
        <v>40246.583333333336</v>
      </c>
      <c r="K13" s="8">
        <f>+'IV Trimestre'!K13</f>
        <v>97470.083333333328</v>
      </c>
      <c r="L13" s="70">
        <f t="shared" si="3"/>
        <v>10370</v>
      </c>
      <c r="M13" s="8">
        <f>+'IV Trimestre'!M13</f>
        <v>9714</v>
      </c>
      <c r="N13" s="8">
        <f>+'IV Trimestre'!N13</f>
        <v>656</v>
      </c>
      <c r="O13" s="8">
        <f>+'IV Trimestre'!O13</f>
        <v>0</v>
      </c>
    </row>
    <row r="14" spans="1:15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5" x14ac:dyDescent="0.25">
      <c r="A15" s="15" t="s">
        <v>5</v>
      </c>
      <c r="B15" s="6"/>
      <c r="C15" s="6"/>
      <c r="D15" s="9"/>
      <c r="E15" s="6"/>
      <c r="F15" s="6"/>
      <c r="G15" s="6"/>
      <c r="H15" s="6"/>
      <c r="I15" s="6"/>
      <c r="J15" s="6"/>
      <c r="K15" s="6"/>
      <c r="M15" s="89"/>
      <c r="N15" s="89"/>
    </row>
    <row r="16" spans="1:15" x14ac:dyDescent="0.25">
      <c r="A16" s="13" t="s">
        <v>70</v>
      </c>
      <c r="B16" s="38">
        <f>C16+F16+L16+O16</f>
        <v>20909695324</v>
      </c>
      <c r="C16" s="38">
        <f>+'I Trimestre'!C16+'II Trimestre'!C16+'III Trimestre'!C16+'IV Trimestre'!C16</f>
        <v>10694309564</v>
      </c>
      <c r="D16" s="18"/>
      <c r="E16" s="18"/>
      <c r="F16" s="18">
        <f>+'I Trimestre'!F16+'II Trimestre'!F16+'III Trimestre'!F16+'IV Trimestre'!F16</f>
        <v>7885276090</v>
      </c>
      <c r="G16" s="18"/>
      <c r="H16" s="18"/>
      <c r="I16" s="18"/>
      <c r="J16" s="18"/>
      <c r="K16" s="54"/>
      <c r="L16" s="54">
        <f>+'I Trimestre'!L16+'II Trimestre'!L16+'III Trimestre'!L16+'IV Trimestre'!L16</f>
        <v>2330109670</v>
      </c>
      <c r="M16" s="38"/>
      <c r="N16" s="38"/>
      <c r="O16" s="18">
        <f>+'I Trimestre'!O16+'II Trimestre'!O16+'III Trimestre'!O16+'IV Trimestre'!O16</f>
        <v>0</v>
      </c>
    </row>
    <row r="17" spans="1:15" x14ac:dyDescent="0.25">
      <c r="A17" s="13" t="s">
        <v>131</v>
      </c>
      <c r="B17" s="38">
        <f t="shared" ref="B17:B20" si="4">C17+F17+L17+O17</f>
        <v>33469448950.02</v>
      </c>
      <c r="C17" s="38">
        <f>'IV Trimestre'!C19</f>
        <v>24059525497</v>
      </c>
      <c r="D17" s="18"/>
      <c r="E17" s="18"/>
      <c r="F17" s="38">
        <f>'IV Trimestre'!F19</f>
        <v>6970914145.0200005</v>
      </c>
      <c r="G17" s="18"/>
      <c r="H17" s="18"/>
      <c r="I17" s="18"/>
      <c r="J17" s="18"/>
      <c r="K17" s="54"/>
      <c r="L17" s="38">
        <f>+'IV Trimestre'!L19</f>
        <v>2429589368</v>
      </c>
      <c r="M17" s="38"/>
      <c r="N17" s="38"/>
      <c r="O17" s="38">
        <f>+'IV Trimestre'!O19</f>
        <v>9419940</v>
      </c>
    </row>
    <row r="18" spans="1:15" x14ac:dyDescent="0.25">
      <c r="A18" s="13" t="s">
        <v>132</v>
      </c>
      <c r="B18" s="38">
        <f t="shared" si="4"/>
        <v>22980141548.549999</v>
      </c>
      <c r="C18" s="38">
        <f>+'I Trimestre'!C18+'II Trimestre'!C18+'III Trimestre'!C18+'IV Trimestre'!C18</f>
        <v>14053252458.93</v>
      </c>
      <c r="D18" s="18"/>
      <c r="E18" s="18"/>
      <c r="F18" s="18">
        <f>+'I Trimestre'!F18+'II Trimestre'!F18+'III Trimestre'!F18+'IV Trimestre'!F18</f>
        <v>6826170729.2399998</v>
      </c>
      <c r="G18" s="18"/>
      <c r="H18" s="18"/>
      <c r="I18" s="18"/>
      <c r="J18" s="18"/>
      <c r="K18" s="54"/>
      <c r="L18" s="54">
        <f>+'I Trimestre'!L18+'II Trimestre'!L18+'III Trimestre'!L18+'IV Trimestre'!L18</f>
        <v>2100718360.3800001</v>
      </c>
      <c r="M18" s="38"/>
      <c r="N18" s="38"/>
      <c r="O18" s="18">
        <f>+'I Trimestre'!O18+'II Trimestre'!O18+'III Trimestre'!O18+'IV Trimestre'!O18</f>
        <v>0</v>
      </c>
    </row>
    <row r="19" spans="1:15" x14ac:dyDescent="0.25">
      <c r="A19" s="13" t="s">
        <v>89</v>
      </c>
      <c r="B19" s="38">
        <f t="shared" si="4"/>
        <v>33469448950.02</v>
      </c>
      <c r="C19" s="38">
        <f>+'IV Trimestre'!C19</f>
        <v>24059525497</v>
      </c>
      <c r="D19" s="18"/>
      <c r="E19" s="18"/>
      <c r="F19" s="18">
        <f>+'IV Trimestre'!F19</f>
        <v>6970914145.0200005</v>
      </c>
      <c r="G19" s="18"/>
      <c r="H19" s="18"/>
      <c r="I19" s="18"/>
      <c r="J19" s="18"/>
      <c r="K19" s="38"/>
      <c r="L19" s="38">
        <f>+'IV Trimestre'!L19</f>
        <v>2429589368</v>
      </c>
      <c r="M19" s="38"/>
      <c r="N19" s="38"/>
      <c r="O19" s="38">
        <f>+'IV Trimestre'!O19</f>
        <v>9419940</v>
      </c>
    </row>
    <row r="20" spans="1:15" x14ac:dyDescent="0.25">
      <c r="A20" s="13" t="s">
        <v>133</v>
      </c>
      <c r="B20" s="38">
        <f t="shared" si="4"/>
        <v>22980141548.549999</v>
      </c>
      <c r="C20" s="18">
        <f>C18</f>
        <v>14053252458.93</v>
      </c>
      <c r="D20" s="18"/>
      <c r="E20" s="18"/>
      <c r="F20" s="18">
        <f>F18</f>
        <v>6826170729.2399998</v>
      </c>
      <c r="G20" s="18"/>
      <c r="H20" s="18"/>
      <c r="I20" s="18"/>
      <c r="J20" s="18"/>
      <c r="K20" s="18"/>
      <c r="L20" s="45">
        <f t="shared" ref="L20" si="5">L18</f>
        <v>2100718360.3800001</v>
      </c>
      <c r="M20" s="73"/>
      <c r="N20" s="37"/>
      <c r="O20" s="45">
        <f t="shared" ref="O20" si="6">O18</f>
        <v>0</v>
      </c>
    </row>
    <row r="21" spans="1:15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5" x14ac:dyDescent="0.25">
      <c r="A22" s="15" t="s">
        <v>6</v>
      </c>
      <c r="B22" s="9"/>
      <c r="C22" s="9" t="s">
        <v>49</v>
      </c>
      <c r="D22" s="23"/>
      <c r="E22" s="23"/>
      <c r="F22" s="23"/>
      <c r="G22" s="9"/>
      <c r="H22" s="9"/>
      <c r="I22" s="9"/>
      <c r="J22" s="9"/>
      <c r="K22" s="9"/>
    </row>
    <row r="23" spans="1:15" x14ac:dyDescent="0.25">
      <c r="A23" s="13" t="s">
        <v>130</v>
      </c>
      <c r="B23" s="38">
        <f>+B17</f>
        <v>33469448950.02</v>
      </c>
      <c r="C23" s="23"/>
      <c r="D23" s="23"/>
      <c r="E23" s="23"/>
      <c r="F23" s="23"/>
      <c r="G23" s="9"/>
      <c r="H23" s="9"/>
      <c r="I23" s="9"/>
      <c r="J23" s="9"/>
      <c r="K23" s="9"/>
      <c r="L23" s="7"/>
    </row>
    <row r="24" spans="1:15" x14ac:dyDescent="0.25">
      <c r="A24" s="13" t="s">
        <v>132</v>
      </c>
      <c r="B24" s="38">
        <f>+'I Trimestre'!B24+'II Trimestre'!B24+'III Trimestre'!B24+'IV Trimestre'!B24</f>
        <v>24461834196</v>
      </c>
      <c r="C24" s="23"/>
      <c r="D24" s="23"/>
      <c r="E24" s="23"/>
      <c r="F24" s="23"/>
      <c r="G24" s="9"/>
      <c r="H24" s="9"/>
      <c r="I24" s="9"/>
      <c r="J24" s="9"/>
      <c r="K24" s="9"/>
    </row>
    <row r="26" spans="1:15" x14ac:dyDescent="0.25">
      <c r="A26" s="4" t="s">
        <v>7</v>
      </c>
    </row>
    <row r="27" spans="1:15" x14ac:dyDescent="0.25">
      <c r="A27" s="13" t="s">
        <v>71</v>
      </c>
      <c r="B27" s="42">
        <v>1.0245</v>
      </c>
      <c r="C27" s="42">
        <v>1.0245</v>
      </c>
      <c r="D27" s="42">
        <v>1.0245</v>
      </c>
      <c r="E27" s="42">
        <v>1.0245</v>
      </c>
      <c r="F27" s="42">
        <v>1.0245</v>
      </c>
      <c r="G27" s="42">
        <v>1.0245</v>
      </c>
      <c r="H27" s="42">
        <v>1.0245</v>
      </c>
      <c r="I27" s="42">
        <v>1.0245</v>
      </c>
      <c r="J27" s="42">
        <v>1.0245</v>
      </c>
      <c r="K27" s="42">
        <v>1.0245</v>
      </c>
      <c r="L27" s="42">
        <v>1.0245</v>
      </c>
      <c r="M27" s="42">
        <v>1.0245</v>
      </c>
      <c r="N27" s="42">
        <v>1.0245</v>
      </c>
      <c r="O27" s="42">
        <v>1.0245</v>
      </c>
    </row>
    <row r="28" spans="1:15" x14ac:dyDescent="0.25">
      <c r="A28" s="13" t="s">
        <v>134</v>
      </c>
      <c r="B28" s="42">
        <v>1.0451999999999999</v>
      </c>
      <c r="C28" s="42">
        <v>1.0451999999999999</v>
      </c>
      <c r="D28" s="42">
        <v>1.0451999999999999</v>
      </c>
      <c r="E28" s="42">
        <v>1.0451999999999999</v>
      </c>
      <c r="F28" s="42">
        <v>1.0451999999999999</v>
      </c>
      <c r="G28" s="42">
        <v>1.0451999999999999</v>
      </c>
      <c r="H28" s="42">
        <v>1.0451999999999999</v>
      </c>
      <c r="I28" s="42">
        <v>1.0451999999999999</v>
      </c>
      <c r="J28" s="42">
        <v>1.0451999999999999</v>
      </c>
      <c r="K28" s="42">
        <v>1.0451999999999999</v>
      </c>
      <c r="L28" s="42">
        <v>1.0451999999999999</v>
      </c>
      <c r="M28" s="42">
        <v>1.0451999999999999</v>
      </c>
      <c r="N28" s="42">
        <v>1.0451999999999999</v>
      </c>
      <c r="O28" s="42">
        <v>1.0451999999999999</v>
      </c>
    </row>
    <row r="29" spans="1:15" x14ac:dyDescent="0.25">
      <c r="A29" s="13" t="s">
        <v>8</v>
      </c>
      <c r="B29" s="1">
        <v>111207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1" spans="1:15" x14ac:dyDescent="0.25">
      <c r="A31" s="16" t="s">
        <v>9</v>
      </c>
      <c r="D31" s="17"/>
      <c r="E31" s="17"/>
      <c r="F31" s="17"/>
      <c r="G31" s="83"/>
      <c r="H31" s="83"/>
      <c r="I31" s="83"/>
      <c r="J31" s="83"/>
    </row>
    <row r="32" spans="1:15" x14ac:dyDescent="0.25">
      <c r="A32" s="4" t="s">
        <v>72</v>
      </c>
      <c r="B32" s="18">
        <f>B16/B27</f>
        <v>20409658686.188385</v>
      </c>
      <c r="C32" s="18">
        <f>C16/C27</f>
        <v>10438564728.160078</v>
      </c>
      <c r="D32" s="18"/>
      <c r="E32" s="18"/>
      <c r="F32" s="18">
        <f>F16/F27</f>
        <v>7696706774.0361156</v>
      </c>
      <c r="G32" s="18"/>
      <c r="H32" s="18"/>
      <c r="I32" s="18"/>
      <c r="J32" s="18"/>
      <c r="K32" s="18"/>
      <c r="L32" s="18">
        <f>L16/L27</f>
        <v>2274387183.9921913</v>
      </c>
      <c r="M32" s="37"/>
      <c r="N32" s="37"/>
      <c r="O32" s="37">
        <f>O16/O27</f>
        <v>0</v>
      </c>
    </row>
    <row r="33" spans="1:15" x14ac:dyDescent="0.25">
      <c r="A33" s="4" t="s">
        <v>135</v>
      </c>
      <c r="B33" s="18">
        <f>B18/B28</f>
        <v>21986358159.730198</v>
      </c>
      <c r="C33" s="18">
        <f>C18/C28</f>
        <v>13445515173.105627</v>
      </c>
      <c r="D33" s="18"/>
      <c r="E33" s="18"/>
      <c r="F33" s="18">
        <f>F18/F28</f>
        <v>6530970846.9575205</v>
      </c>
      <c r="G33" s="18"/>
      <c r="H33" s="18"/>
      <c r="I33" s="18"/>
      <c r="J33" s="18"/>
      <c r="K33" s="18"/>
      <c r="L33" s="18">
        <f>L18/L28</f>
        <v>2009872139.6670496</v>
      </c>
      <c r="M33" s="37"/>
      <c r="N33" s="37"/>
      <c r="O33" s="37">
        <f>O18/O28</f>
        <v>0</v>
      </c>
    </row>
    <row r="34" spans="1:15" x14ac:dyDescent="0.25">
      <c r="A34" s="4" t="s">
        <v>73</v>
      </c>
      <c r="B34" s="18">
        <f>B32/B10</f>
        <v>175581.68264597148</v>
      </c>
      <c r="C34" s="18">
        <f>C32/C10</f>
        <v>323546.00403434515</v>
      </c>
      <c r="D34" s="18"/>
      <c r="E34" s="18"/>
      <c r="F34" s="18">
        <f>F32/F10</f>
        <v>65435.110960276776</v>
      </c>
      <c r="G34" s="18"/>
      <c r="H34" s="18"/>
      <c r="I34" s="18"/>
      <c r="J34" s="18"/>
      <c r="K34" s="18"/>
      <c r="L34" s="18">
        <f>L32/L10</f>
        <v>253816.60954632048</v>
      </c>
      <c r="M34" s="37"/>
      <c r="N34" s="37"/>
      <c r="O34" s="37" t="s">
        <v>142</v>
      </c>
    </row>
    <row r="35" spans="1:15" x14ac:dyDescent="0.25">
      <c r="A35" s="4" t="s">
        <v>136</v>
      </c>
      <c r="B35" s="1">
        <f>B33/B12</f>
        <v>181726.46553923757</v>
      </c>
      <c r="C35" s="8">
        <f>C33/C12</f>
        <v>365295.29299541877</v>
      </c>
      <c r="D35" s="8"/>
      <c r="E35" s="8"/>
      <c r="F35" s="8">
        <f>F33/F12</f>
        <v>54782.096105702156</v>
      </c>
      <c r="G35" s="8"/>
      <c r="H35" s="8"/>
      <c r="I35" s="8"/>
      <c r="J35" s="8"/>
      <c r="K35" s="18"/>
      <c r="L35" s="18">
        <f>L33/L12</f>
        <v>212263.72432127257</v>
      </c>
      <c r="O35" s="37" t="s">
        <v>142</v>
      </c>
    </row>
    <row r="37" spans="1:15" x14ac:dyDescent="0.25">
      <c r="A37" s="16" t="s">
        <v>10</v>
      </c>
    </row>
    <row r="39" spans="1:15" x14ac:dyDescent="0.25">
      <c r="A39" s="4" t="s">
        <v>11</v>
      </c>
    </row>
    <row r="40" spans="1:15" x14ac:dyDescent="0.25">
      <c r="A40" s="4" t="s">
        <v>12</v>
      </c>
      <c r="B40" s="3">
        <f t="shared" ref="B40" si="7">(B11/B29)*100</f>
        <v>124.58051201812836</v>
      </c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5" x14ac:dyDescent="0.25">
      <c r="A41" s="4" t="s">
        <v>13</v>
      </c>
      <c r="B41" s="3">
        <f t="shared" ref="B41" si="8">(B12/B29)*100</f>
        <v>108.79351119983454</v>
      </c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5" x14ac:dyDescent="0.25">
      <c r="B42" s="3"/>
    </row>
    <row r="43" spans="1:15" x14ac:dyDescent="0.25">
      <c r="A43" s="4" t="s">
        <v>14</v>
      </c>
    </row>
    <row r="44" spans="1:15" x14ac:dyDescent="0.25">
      <c r="A44" s="4" t="s">
        <v>15</v>
      </c>
      <c r="B44" s="47">
        <f t="shared" ref="B44:N44" si="9">B12/B11*100</f>
        <v>87.327872905196784</v>
      </c>
      <c r="C44" s="47">
        <f t="shared" si="9"/>
        <v>60.113343595229438</v>
      </c>
      <c r="D44" s="47">
        <f t="shared" si="9"/>
        <v>55.028638557663633</v>
      </c>
      <c r="E44" s="47">
        <f t="shared" si="9"/>
        <v>70.473769068584886</v>
      </c>
      <c r="F44" s="47">
        <f t="shared" si="9"/>
        <v>96.538830607774628</v>
      </c>
      <c r="G44" s="47">
        <f t="shared" si="9"/>
        <v>69.293027532669626</v>
      </c>
      <c r="H44" s="47">
        <f t="shared" si="9"/>
        <v>81.477663230240552</v>
      </c>
      <c r="I44" s="47">
        <f t="shared" si="9"/>
        <v>77.505651846269785</v>
      </c>
      <c r="J44" s="47">
        <f t="shared" si="9"/>
        <v>70.528493160895977</v>
      </c>
      <c r="K44" s="47">
        <f t="shared" si="9"/>
        <v>100.93823740638146</v>
      </c>
      <c r="L44" s="47">
        <f t="shared" si="9"/>
        <v>91.317870575754654</v>
      </c>
      <c r="M44" s="47">
        <f t="shared" si="9"/>
        <v>91.004787151901994</v>
      </c>
      <c r="N44" s="47">
        <f t="shared" si="9"/>
        <v>95.957284515636914</v>
      </c>
      <c r="O44" s="37" t="s">
        <v>142</v>
      </c>
    </row>
    <row r="45" spans="1:15" x14ac:dyDescent="0.25">
      <c r="A45" s="4" t="s">
        <v>16</v>
      </c>
      <c r="B45" s="47">
        <f>B18/B17*100</f>
        <v>68.660053480014852</v>
      </c>
      <c r="C45" s="47">
        <f>C18/C17*100</f>
        <v>58.410347538575977</v>
      </c>
      <c r="D45" s="47"/>
      <c r="E45" s="47"/>
      <c r="F45" s="47">
        <f>F18/F17*100</f>
        <v>97.923609260294725</v>
      </c>
      <c r="G45" s="47"/>
      <c r="H45" s="47"/>
      <c r="I45" s="47"/>
      <c r="J45" s="47"/>
      <c r="K45" s="47"/>
      <c r="L45" s="47">
        <f>L18/L17*100</f>
        <v>86.463926293408122</v>
      </c>
      <c r="M45" s="37"/>
      <c r="N45" s="37"/>
      <c r="O45" s="37">
        <f>O18/O17*100</f>
        <v>0</v>
      </c>
    </row>
    <row r="46" spans="1:15" x14ac:dyDescent="0.25">
      <c r="A46" s="4" t="s">
        <v>17</v>
      </c>
      <c r="B46" s="47">
        <f>AVERAGE(B44:B45)</f>
        <v>77.993963192605818</v>
      </c>
      <c r="C46" s="47">
        <f t="shared" ref="C46" si="10">AVERAGE(C44:C45)</f>
        <v>59.261845566902707</v>
      </c>
      <c r="D46" s="47"/>
      <c r="E46" s="47"/>
      <c r="F46" s="47">
        <f t="shared" ref="F46" si="11">AVERAGE(F44:F45)</f>
        <v>97.231219934034669</v>
      </c>
      <c r="G46" s="47"/>
      <c r="H46" s="47"/>
      <c r="I46" s="47"/>
      <c r="J46" s="47"/>
      <c r="K46" s="47"/>
      <c r="L46" s="47">
        <f t="shared" ref="L46" si="12">AVERAGE(L44:L45)</f>
        <v>88.890898434581388</v>
      </c>
      <c r="M46" s="37"/>
      <c r="N46" s="37"/>
      <c r="O46" s="37" t="s">
        <v>142</v>
      </c>
    </row>
    <row r="47" spans="1:1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5" x14ac:dyDescent="0.25">
      <c r="A48" s="4" t="s">
        <v>18</v>
      </c>
    </row>
    <row r="49" spans="1:15" x14ac:dyDescent="0.25">
      <c r="A49" s="4" t="s">
        <v>19</v>
      </c>
      <c r="B49" s="47">
        <f t="shared" ref="B49:N49" si="13">((B12/B13)*100)</f>
        <v>87.327977960968553</v>
      </c>
      <c r="C49" s="47">
        <f t="shared" si="13"/>
        <v>60.113098154499433</v>
      </c>
      <c r="D49" s="47">
        <f t="shared" si="13"/>
        <v>55.028973509933778</v>
      </c>
      <c r="E49" s="47">
        <f t="shared" si="13"/>
        <v>70.472021033832718</v>
      </c>
      <c r="F49" s="47">
        <f t="shared" si="13"/>
        <v>96.538635171985177</v>
      </c>
      <c r="G49" s="47">
        <f t="shared" si="13"/>
        <v>69.292619095335212</v>
      </c>
      <c r="H49" s="47">
        <f t="shared" si="13"/>
        <v>81.476851667397099</v>
      </c>
      <c r="I49" s="47">
        <f t="shared" si="13"/>
        <v>77.505651846269785</v>
      </c>
      <c r="J49" s="47">
        <f t="shared" si="13"/>
        <v>70.528347126774733</v>
      </c>
      <c r="K49" s="47">
        <f t="shared" si="13"/>
        <v>100.93815110790405</v>
      </c>
      <c r="L49" s="47">
        <f t="shared" si="13"/>
        <v>91.309064609450346</v>
      </c>
      <c r="M49" s="47">
        <f t="shared" si="13"/>
        <v>91.000102944204244</v>
      </c>
      <c r="N49" s="47">
        <f t="shared" si="13"/>
        <v>95.884146341463421</v>
      </c>
      <c r="O49" s="37" t="s">
        <v>142</v>
      </c>
    </row>
    <row r="50" spans="1:15" x14ac:dyDescent="0.25">
      <c r="A50" s="4" t="s">
        <v>20</v>
      </c>
      <c r="B50" s="47">
        <f>B18/B19*100</f>
        <v>68.660053480014852</v>
      </c>
      <c r="C50" s="47">
        <f>C18/C19*100</f>
        <v>58.410347538575977</v>
      </c>
      <c r="D50" s="47"/>
      <c r="E50" s="47"/>
      <c r="F50" s="47">
        <f>F18/F19*100</f>
        <v>97.923609260294725</v>
      </c>
      <c r="G50" s="47"/>
      <c r="H50" s="47"/>
      <c r="I50" s="47"/>
      <c r="J50" s="47"/>
      <c r="K50" s="47"/>
      <c r="L50" s="47">
        <f>L18/L19*100</f>
        <v>86.463926293408122</v>
      </c>
      <c r="M50" s="37"/>
      <c r="N50" s="37"/>
      <c r="O50" s="37">
        <f>O18/O19*100</f>
        <v>0</v>
      </c>
    </row>
    <row r="51" spans="1:15" x14ac:dyDescent="0.25">
      <c r="A51" s="4" t="s">
        <v>21</v>
      </c>
      <c r="B51" s="47">
        <f>(B49+B50)/2</f>
        <v>77.994015720491703</v>
      </c>
      <c r="C51" s="47">
        <f>(C49+C50)/2</f>
        <v>59.261722846537708</v>
      </c>
      <c r="D51" s="47"/>
      <c r="E51" s="47"/>
      <c r="F51" s="47">
        <f>(F49+F50)/2</f>
        <v>97.231122216139951</v>
      </c>
      <c r="G51" s="47"/>
      <c r="H51" s="47"/>
      <c r="I51" s="47"/>
      <c r="J51" s="47"/>
      <c r="K51" s="47"/>
      <c r="L51" s="47">
        <f>(L49+L50)/2</f>
        <v>88.886495451429226</v>
      </c>
      <c r="M51" s="37"/>
      <c r="N51" s="37"/>
      <c r="O51" s="37" t="s">
        <v>142</v>
      </c>
    </row>
    <row r="52" spans="1:1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5" x14ac:dyDescent="0.25">
      <c r="A53" s="4" t="s">
        <v>36</v>
      </c>
    </row>
    <row r="54" spans="1:15" x14ac:dyDescent="0.25">
      <c r="A54" s="4" t="s">
        <v>22</v>
      </c>
      <c r="B54" s="3">
        <f>B20/B18*100</f>
        <v>100</v>
      </c>
      <c r="C54" s="2"/>
      <c r="D54" s="2"/>
      <c r="E54" s="2"/>
      <c r="F54" s="2"/>
      <c r="G54" s="2"/>
      <c r="H54" s="2"/>
      <c r="I54" s="2"/>
      <c r="J54" s="2"/>
      <c r="K54" s="2"/>
    </row>
    <row r="56" spans="1:15" x14ac:dyDescent="0.25">
      <c r="A56" s="4" t="s">
        <v>23</v>
      </c>
    </row>
    <row r="57" spans="1:15" x14ac:dyDescent="0.25">
      <c r="A57" s="4" t="s">
        <v>24</v>
      </c>
      <c r="B57" s="47">
        <f t="shared" ref="B57:M57" si="14">((B12/B10)-1)*100</f>
        <v>4.0827080120698245</v>
      </c>
      <c r="C57" s="47">
        <f t="shared" si="14"/>
        <v>14.085019991941227</v>
      </c>
      <c r="D57" s="47">
        <f t="shared" si="14"/>
        <v>0.74775728534017816</v>
      </c>
      <c r="E57" s="47">
        <f t="shared" si="14"/>
        <v>44.525268967622146</v>
      </c>
      <c r="F57" s="47">
        <f t="shared" si="14"/>
        <v>1.3549588305058036</v>
      </c>
      <c r="G57" s="37" t="s">
        <v>142</v>
      </c>
      <c r="H57" s="47">
        <f t="shared" si="14"/>
        <v>-32.020693093991525</v>
      </c>
      <c r="I57" s="47">
        <f t="shared" si="14"/>
        <v>91.37426900584795</v>
      </c>
      <c r="J57" s="47">
        <f t="shared" si="14"/>
        <v>11.509300544086742</v>
      </c>
      <c r="K57" s="47">
        <f t="shared" si="14"/>
        <v>4.8802588306780414</v>
      </c>
      <c r="L57" s="47">
        <f t="shared" si="14"/>
        <v>5.6691683173841545</v>
      </c>
      <c r="M57" s="47">
        <f t="shared" si="14"/>
        <v>-1.3503333984320465</v>
      </c>
      <c r="N57" s="37" t="s">
        <v>142</v>
      </c>
      <c r="O57" s="37" t="s">
        <v>142</v>
      </c>
    </row>
    <row r="58" spans="1:15" x14ac:dyDescent="0.25">
      <c r="A58" s="4" t="s">
        <v>25</v>
      </c>
      <c r="B58" s="47">
        <f>((B33/B32)-1)*100</f>
        <v>7.7252613470150555</v>
      </c>
      <c r="C58" s="47">
        <f>((C33/C32)-1)*100</f>
        <v>28.806167545560267</v>
      </c>
      <c r="D58" s="47"/>
      <c r="E58" s="47"/>
      <c r="F58" s="47">
        <f>((F33/F32)-1)*100</f>
        <v>-15.145905402178773</v>
      </c>
      <c r="G58" s="47"/>
      <c r="H58" s="47"/>
      <c r="I58" s="47"/>
      <c r="J58" s="47"/>
      <c r="K58" s="47"/>
      <c r="L58" s="47">
        <f>((L33/L32)-1)*100</f>
        <v>-11.630167729878039</v>
      </c>
      <c r="M58" s="37"/>
      <c r="N58" s="37"/>
      <c r="O58" s="37" t="s">
        <v>142</v>
      </c>
    </row>
    <row r="59" spans="1:15" x14ac:dyDescent="0.25">
      <c r="A59" s="4" t="s">
        <v>26</v>
      </c>
      <c r="B59" s="47">
        <f>((B35/B34)-1)*100</f>
        <v>3.4996719479308824</v>
      </c>
      <c r="C59" s="47">
        <f>((C35/C34)-1)*100</f>
        <v>12.903663911930696</v>
      </c>
      <c r="D59" s="47"/>
      <c r="E59" s="47"/>
      <c r="F59" s="47">
        <f>((F35/F34)-1)*100</f>
        <v>-16.280273232885122</v>
      </c>
      <c r="G59" s="47"/>
      <c r="H59" s="47"/>
      <c r="I59" s="47"/>
      <c r="J59" s="47"/>
      <c r="K59" s="47"/>
      <c r="L59" s="47">
        <f>((L35/L34)-1)*100</f>
        <v>-16.371223813650648</v>
      </c>
      <c r="M59" s="37"/>
      <c r="N59" s="37"/>
      <c r="O59" s="37" t="s">
        <v>142</v>
      </c>
    </row>
    <row r="60" spans="1:15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5" x14ac:dyDescent="0.25">
      <c r="A61" s="4" t="s">
        <v>27</v>
      </c>
    </row>
    <row r="62" spans="1:15" x14ac:dyDescent="0.25">
      <c r="A62" s="4" t="s">
        <v>28</v>
      </c>
      <c r="B62" s="8">
        <f>B17/(B11*12)</f>
        <v>20131.914602476863</v>
      </c>
      <c r="C62" s="8">
        <f>C17/(C11*12)</f>
        <v>32744.874151590255</v>
      </c>
      <c r="D62" s="8"/>
      <c r="E62" s="8"/>
      <c r="F62" s="8">
        <f>F17/(F11*12)</f>
        <v>4704.0445057757015</v>
      </c>
      <c r="G62" s="8"/>
      <c r="H62" s="8"/>
      <c r="I62" s="8"/>
      <c r="J62" s="8"/>
      <c r="K62" s="8"/>
      <c r="L62" s="8">
        <f>L17/(L11*12)</f>
        <v>19526.066223036614</v>
      </c>
      <c r="M62" s="8"/>
      <c r="N62" s="8"/>
      <c r="O62" s="37" t="s">
        <v>142</v>
      </c>
    </row>
    <row r="63" spans="1:15" x14ac:dyDescent="0.25">
      <c r="A63" s="4" t="s">
        <v>29</v>
      </c>
      <c r="B63" s="8">
        <f>B18/(B12*12)</f>
        <v>15828.37514846759</v>
      </c>
      <c r="C63" s="8">
        <f>C18/(C12*12)</f>
        <v>31817.220019900971</v>
      </c>
      <c r="D63" s="8"/>
      <c r="E63" s="8"/>
      <c r="F63" s="8">
        <f>F18/(F12*12)</f>
        <v>4771.5205708066578</v>
      </c>
      <c r="G63" s="8"/>
      <c r="H63" s="8"/>
      <c r="I63" s="8"/>
      <c r="J63" s="8"/>
      <c r="K63" s="8"/>
      <c r="L63" s="8">
        <f>L18/(L12*12)</f>
        <v>18488.170388382838</v>
      </c>
      <c r="M63" s="8"/>
      <c r="N63" s="8"/>
      <c r="O63" s="37" t="s">
        <v>142</v>
      </c>
    </row>
    <row r="64" spans="1:15" x14ac:dyDescent="0.25">
      <c r="A64" s="4" t="s">
        <v>30</v>
      </c>
      <c r="B64" s="8">
        <f>(B63/B62)*B46</f>
        <v>61.32142586063091</v>
      </c>
      <c r="C64" s="8">
        <f>(C63/C62)*C46</f>
        <v>57.582972237380389</v>
      </c>
      <c r="D64" s="8"/>
      <c r="E64" s="8"/>
      <c r="F64" s="8">
        <f>(F63/F62)*F46</f>
        <v>98.625930403132642</v>
      </c>
      <c r="G64" s="8"/>
      <c r="H64" s="8"/>
      <c r="I64" s="8"/>
      <c r="J64" s="8"/>
      <c r="K64" s="8"/>
      <c r="L64" s="8">
        <f>(L63/L62)*L46</f>
        <v>84.165958338094512</v>
      </c>
      <c r="M64" s="8"/>
      <c r="N64" s="8"/>
      <c r="O64" s="37" t="s">
        <v>142</v>
      </c>
    </row>
    <row r="65" spans="1:15" x14ac:dyDescent="0.25">
      <c r="A65" s="4" t="s">
        <v>37</v>
      </c>
      <c r="B65" s="8">
        <f>B17/B11</f>
        <v>241582.97522972233</v>
      </c>
      <c r="C65" s="8">
        <f>C17/C11</f>
        <v>392938.48981908307</v>
      </c>
      <c r="D65" s="8"/>
      <c r="E65" s="8"/>
      <c r="F65" s="8">
        <f>F17/F11</f>
        <v>56448.534069308414</v>
      </c>
      <c r="G65" s="8"/>
      <c r="H65" s="8"/>
      <c r="I65" s="8"/>
      <c r="J65" s="8"/>
      <c r="K65" s="8"/>
      <c r="L65" s="8">
        <f>L17/L11</f>
        <v>234312.7946764394</v>
      </c>
      <c r="M65" s="8"/>
      <c r="N65" s="8"/>
      <c r="O65" s="37" t="s">
        <v>142</v>
      </c>
    </row>
    <row r="66" spans="1:15" x14ac:dyDescent="0.25">
      <c r="A66" s="4" t="s">
        <v>38</v>
      </c>
      <c r="B66" s="8">
        <f>B18/B12</f>
        <v>189940.50178161109</v>
      </c>
      <c r="C66" s="8">
        <f>C18/C12</f>
        <v>381806.64023881167</v>
      </c>
      <c r="D66" s="8"/>
      <c r="E66" s="8"/>
      <c r="F66" s="8">
        <f>F18/F12</f>
        <v>57258.24684967989</v>
      </c>
      <c r="G66" s="8"/>
      <c r="H66" s="8"/>
      <c r="I66" s="8"/>
      <c r="J66" s="8"/>
      <c r="K66" s="8"/>
      <c r="L66" s="8">
        <f>L18/L12</f>
        <v>221858.04466059408</v>
      </c>
      <c r="M66" s="8"/>
      <c r="N66" s="8"/>
      <c r="O66" s="37" t="s">
        <v>142</v>
      </c>
    </row>
    <row r="67" spans="1:15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5" x14ac:dyDescent="0.25">
      <c r="A68" s="4" t="s">
        <v>31</v>
      </c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5" x14ac:dyDescent="0.25">
      <c r="A69" s="4" t="s">
        <v>32</v>
      </c>
      <c r="B69" s="3">
        <f>(B24/B23)*100</f>
        <v>73.087053905574933</v>
      </c>
      <c r="C69" s="2"/>
      <c r="D69" s="2"/>
      <c r="E69" s="2"/>
      <c r="F69" s="2"/>
      <c r="G69" s="2"/>
      <c r="H69" s="2"/>
      <c r="I69" s="2"/>
      <c r="J69" s="2"/>
      <c r="K69" s="2"/>
      <c r="L69" s="7"/>
    </row>
    <row r="70" spans="1:15" ht="15.75" thickBot="1" x14ac:dyDescent="0.3">
      <c r="A70" s="11" t="s">
        <v>33</v>
      </c>
      <c r="B70" s="61">
        <f>(B18/B24)*100</f>
        <v>93.942839136354351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5.75" thickTop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5" x14ac:dyDescent="0.25">
      <c r="A73" s="4" t="s">
        <v>97</v>
      </c>
    </row>
    <row r="74" spans="1:15" x14ac:dyDescent="0.25">
      <c r="A74" s="4" t="s">
        <v>98</v>
      </c>
    </row>
    <row r="75" spans="1:15" x14ac:dyDescent="0.25">
      <c r="A75" s="4" t="s">
        <v>99</v>
      </c>
      <c r="B75" s="20"/>
      <c r="C75" s="20"/>
      <c r="D75" s="20"/>
      <c r="E75" s="20"/>
      <c r="F75" s="20"/>
      <c r="G75" s="20"/>
      <c r="H75" s="20"/>
      <c r="I75" s="20"/>
      <c r="J75" s="20"/>
    </row>
    <row r="76" spans="1:15" x14ac:dyDescent="0.25">
      <c r="A76" s="4" t="s">
        <v>47</v>
      </c>
    </row>
    <row r="78" spans="1:15" x14ac:dyDescent="0.25">
      <c r="A78" s="4" t="s">
        <v>39</v>
      </c>
    </row>
    <row r="79" spans="1:15" x14ac:dyDescent="0.25">
      <c r="A79" s="4" t="s">
        <v>45</v>
      </c>
    </row>
    <row r="80" spans="1:15" x14ac:dyDescent="0.25">
      <c r="A80" s="4" t="s">
        <v>51</v>
      </c>
    </row>
    <row r="81" spans="1:1" x14ac:dyDescent="0.25">
      <c r="A81" s="4" t="s">
        <v>44</v>
      </c>
    </row>
    <row r="82" spans="1:1" x14ac:dyDescent="0.25">
      <c r="A82" s="4" t="s">
        <v>46</v>
      </c>
    </row>
    <row r="84" spans="1:1" x14ac:dyDescent="0.25">
      <c r="A84" s="4" t="s">
        <v>141</v>
      </c>
    </row>
  </sheetData>
  <mergeCells count="8">
    <mergeCell ref="M15:N15"/>
    <mergeCell ref="G31:J31"/>
    <mergeCell ref="A4:A5"/>
    <mergeCell ref="D5:E5"/>
    <mergeCell ref="A2:L2"/>
    <mergeCell ref="G5:K5"/>
    <mergeCell ref="M5:N5"/>
    <mergeCell ref="C4:O4"/>
  </mergeCells>
  <pageMargins left="0.7" right="0.7" top="0.75" bottom="0.75" header="0.3" footer="0.3"/>
  <pageSetup paperSize="9" orientation="portrait" r:id="rId1"/>
  <ignoredErrors>
    <ignoredError sqref="L18 O18" formula="1"/>
    <ignoredError sqref="O45 O50 N60:O60 N58:N5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Hoja2 (2)</vt:lpstr>
      <vt:lpstr>II Trimestre</vt:lpstr>
      <vt:lpstr>III Trimestre</vt:lpstr>
      <vt:lpstr>IV Trimestre</vt:lpstr>
      <vt:lpstr>I Semestre</vt:lpstr>
      <vt:lpstr>III T Acumulado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Stephanie Tatiana Salas Soto</cp:lastModifiedBy>
  <dcterms:created xsi:type="dcterms:W3CDTF">2012-02-08T21:16:28Z</dcterms:created>
  <dcterms:modified xsi:type="dcterms:W3CDTF">2019-06-14T15:56:55Z</dcterms:modified>
</cp:coreProperties>
</file>