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do\2017\Indicadores 2017\CDN\Indicadores\"/>
    </mc:Choice>
  </mc:AlternateContent>
  <bookViews>
    <workbookView xWindow="0" yWindow="0" windowWidth="15600" windowHeight="9240" tabRatio="721" activeTab="6"/>
  </bookViews>
  <sheets>
    <sheet name="I Trimestre" sheetId="8" r:id="rId1"/>
    <sheet name="II Trimestre" sheetId="2" r:id="rId2"/>
    <sheet name="III Trimestre" sheetId="3" r:id="rId3"/>
    <sheet name="IV Trimestre" sheetId="4" r:id="rId4"/>
    <sheet name="I Semestre" sheetId="5" r:id="rId5"/>
    <sheet name="III Trimestre acumulado" sheetId="6" r:id="rId6"/>
    <sheet name="Anual" sheetId="7" r:id="rId7"/>
    <sheet name="Hoja1" sheetId="9" r:id="rId8"/>
  </sheets>
  <calcPr calcId="152511"/>
</workbook>
</file>

<file path=xl/calcChain.xml><?xml version="1.0" encoding="utf-8"?>
<calcChain xmlns="http://schemas.openxmlformats.org/spreadsheetml/2006/main">
  <c r="C10" i="7" l="1"/>
  <c r="C34" i="7" s="1"/>
  <c r="B10" i="7"/>
  <c r="D16" i="7"/>
  <c r="D32" i="7" s="1"/>
  <c r="E20" i="4"/>
  <c r="E54" i="4" s="1"/>
  <c r="F20" i="4"/>
  <c r="E20" i="3"/>
  <c r="F20" i="3"/>
  <c r="E20" i="2"/>
  <c r="E54" i="2" s="1"/>
  <c r="F20" i="2"/>
  <c r="F54" i="2" s="1"/>
  <c r="F20" i="8"/>
  <c r="E20" i="8"/>
  <c r="E54" i="8" s="1"/>
  <c r="D17" i="7"/>
  <c r="D62" i="7" s="1"/>
  <c r="B12" i="4"/>
  <c r="B49" i="4" s="1"/>
  <c r="B12" i="3"/>
  <c r="B12" i="2"/>
  <c r="B12" i="8"/>
  <c r="F17" i="7"/>
  <c r="F45" i="7" s="1"/>
  <c r="F46" i="7" s="1"/>
  <c r="F16" i="5"/>
  <c r="F32" i="5" s="1"/>
  <c r="E16" i="5"/>
  <c r="E32" i="5" s="1"/>
  <c r="D16" i="5"/>
  <c r="F66" i="4"/>
  <c r="E66" i="4"/>
  <c r="D66" i="4"/>
  <c r="F65" i="4"/>
  <c r="E65" i="4"/>
  <c r="D65" i="4"/>
  <c r="F63" i="4"/>
  <c r="E63" i="4"/>
  <c r="D63" i="4"/>
  <c r="F62" i="4"/>
  <c r="E62" i="4"/>
  <c r="D62" i="4"/>
  <c r="F66" i="3"/>
  <c r="E66" i="3"/>
  <c r="D66" i="3"/>
  <c r="F65" i="3"/>
  <c r="E65" i="3"/>
  <c r="D65" i="3"/>
  <c r="F63" i="3"/>
  <c r="E63" i="3"/>
  <c r="D63" i="3"/>
  <c r="F62" i="3"/>
  <c r="E62" i="3"/>
  <c r="D62" i="3"/>
  <c r="F66" i="2"/>
  <c r="E66" i="2"/>
  <c r="D66" i="2"/>
  <c r="F65" i="2"/>
  <c r="E65" i="2"/>
  <c r="D65" i="2"/>
  <c r="F63" i="2"/>
  <c r="E63" i="2"/>
  <c r="D63" i="2"/>
  <c r="F62" i="2"/>
  <c r="E62" i="2"/>
  <c r="D62" i="2"/>
  <c r="F66" i="8"/>
  <c r="E66" i="8"/>
  <c r="F65" i="8"/>
  <c r="E65" i="8"/>
  <c r="D65" i="8"/>
  <c r="F63" i="8"/>
  <c r="E63" i="8"/>
  <c r="F62" i="8"/>
  <c r="E62" i="8"/>
  <c r="D62" i="8"/>
  <c r="F50" i="4"/>
  <c r="F51" i="4" s="1"/>
  <c r="E50" i="4"/>
  <c r="E51" i="4" s="1"/>
  <c r="D50" i="4"/>
  <c r="D51" i="4" s="1"/>
  <c r="C49" i="4"/>
  <c r="C51" i="4"/>
  <c r="F50" i="3"/>
  <c r="F51" i="3" s="1"/>
  <c r="E50" i="3"/>
  <c r="E51" i="3" s="1"/>
  <c r="D50" i="3"/>
  <c r="D51" i="3" s="1"/>
  <c r="C49" i="3"/>
  <c r="C51" i="3" s="1"/>
  <c r="B49" i="3"/>
  <c r="F50" i="2"/>
  <c r="F51" i="2" s="1"/>
  <c r="E50" i="2"/>
  <c r="E51" i="2" s="1"/>
  <c r="D50" i="2"/>
  <c r="D51" i="2" s="1"/>
  <c r="C49" i="2"/>
  <c r="C51" i="2"/>
  <c r="B49" i="2"/>
  <c r="F50" i="8"/>
  <c r="F51" i="8"/>
  <c r="E50" i="8"/>
  <c r="E51" i="8" s="1"/>
  <c r="C49" i="8"/>
  <c r="C51" i="8"/>
  <c r="D57" i="7"/>
  <c r="E57" i="7"/>
  <c r="F57" i="7"/>
  <c r="C54" i="7"/>
  <c r="C33" i="7"/>
  <c r="C58" i="7" s="1"/>
  <c r="C32" i="7"/>
  <c r="B24" i="6"/>
  <c r="D57" i="6"/>
  <c r="E57" i="6"/>
  <c r="F57" i="6"/>
  <c r="C54" i="6"/>
  <c r="C33" i="6"/>
  <c r="C32" i="6"/>
  <c r="E16" i="6"/>
  <c r="E32" i="6" s="1"/>
  <c r="F16" i="6"/>
  <c r="F32" i="6" s="1"/>
  <c r="F34" i="6" s="1"/>
  <c r="D16" i="6"/>
  <c r="D32" i="6" s="1"/>
  <c r="C57" i="4"/>
  <c r="D57" i="4"/>
  <c r="E57" i="4"/>
  <c r="F57" i="4"/>
  <c r="C54" i="4"/>
  <c r="F54" i="4"/>
  <c r="D45" i="4"/>
  <c r="D46" i="4" s="1"/>
  <c r="E45" i="4"/>
  <c r="E46" i="4"/>
  <c r="F45" i="4"/>
  <c r="F46" i="4" s="1"/>
  <c r="C44" i="4"/>
  <c r="C46" i="4"/>
  <c r="C33" i="4"/>
  <c r="C58" i="4" s="1"/>
  <c r="D33" i="4"/>
  <c r="D58" i="4" s="1"/>
  <c r="E33" i="4"/>
  <c r="F33" i="4"/>
  <c r="C32" i="4"/>
  <c r="C34" i="4" s="1"/>
  <c r="D32" i="4"/>
  <c r="D34" i="4"/>
  <c r="E32" i="4"/>
  <c r="F32" i="4"/>
  <c r="F34" i="4"/>
  <c r="E35" i="4"/>
  <c r="D35" i="4"/>
  <c r="D59" i="4" s="1"/>
  <c r="C57" i="3"/>
  <c r="D57" i="3"/>
  <c r="E57" i="3"/>
  <c r="F57" i="3"/>
  <c r="C54" i="3"/>
  <c r="E54" i="3"/>
  <c r="F54" i="3"/>
  <c r="C44" i="3"/>
  <c r="C46" i="3" s="1"/>
  <c r="D45" i="3"/>
  <c r="D46" i="3"/>
  <c r="E45" i="3"/>
  <c r="E46" i="3" s="1"/>
  <c r="F45" i="3"/>
  <c r="F46" i="3" s="1"/>
  <c r="C33" i="3"/>
  <c r="C35" i="3" s="1"/>
  <c r="D33" i="3"/>
  <c r="D35" i="3" s="1"/>
  <c r="E33" i="3"/>
  <c r="F33" i="3"/>
  <c r="F35" i="3" s="1"/>
  <c r="C32" i="3"/>
  <c r="C34" i="3"/>
  <c r="D32" i="3"/>
  <c r="D34" i="3" s="1"/>
  <c r="E32" i="3"/>
  <c r="E34" i="3"/>
  <c r="F32" i="3"/>
  <c r="F34" i="3" s="1"/>
  <c r="C58" i="3"/>
  <c r="D57" i="5"/>
  <c r="E57" i="5"/>
  <c r="F57" i="5"/>
  <c r="C54" i="5"/>
  <c r="C33" i="5"/>
  <c r="D32" i="5"/>
  <c r="C32" i="5"/>
  <c r="E18" i="5"/>
  <c r="F18" i="5"/>
  <c r="F20" i="5"/>
  <c r="F54" i="5" s="1"/>
  <c r="E17" i="5"/>
  <c r="F17" i="5"/>
  <c r="D17" i="5"/>
  <c r="F33" i="5"/>
  <c r="F58" i="5" s="1"/>
  <c r="C57" i="2"/>
  <c r="D57" i="2"/>
  <c r="E57" i="2"/>
  <c r="F57" i="2"/>
  <c r="C54" i="2"/>
  <c r="D45" i="2"/>
  <c r="D46" i="2" s="1"/>
  <c r="E45" i="2"/>
  <c r="E46" i="2" s="1"/>
  <c r="F45" i="2"/>
  <c r="F46" i="2" s="1"/>
  <c r="C33" i="2"/>
  <c r="C35" i="2" s="1"/>
  <c r="C32" i="2"/>
  <c r="C34" i="2" s="1"/>
  <c r="D57" i="8"/>
  <c r="E57" i="8"/>
  <c r="F57" i="8"/>
  <c r="C54" i="8"/>
  <c r="F54" i="8"/>
  <c r="C33" i="8"/>
  <c r="C32" i="8"/>
  <c r="F32" i="2"/>
  <c r="F34" i="2" s="1"/>
  <c r="E32" i="2"/>
  <c r="E34" i="2" s="1"/>
  <c r="D32" i="2"/>
  <c r="D34" i="2" s="1"/>
  <c r="E32" i="8"/>
  <c r="E34" i="8" s="1"/>
  <c r="F32" i="8"/>
  <c r="F34" i="8"/>
  <c r="D32" i="8"/>
  <c r="D34" i="8" s="1"/>
  <c r="F33" i="2"/>
  <c r="F58" i="2" s="1"/>
  <c r="E33" i="2"/>
  <c r="E35" i="2" s="1"/>
  <c r="D33" i="2"/>
  <c r="D35" i="2" s="1"/>
  <c r="C13" i="7"/>
  <c r="C11" i="7"/>
  <c r="C12" i="7"/>
  <c r="C13" i="6"/>
  <c r="C10" i="6"/>
  <c r="C11" i="6"/>
  <c r="C12" i="6"/>
  <c r="D63" i="6" s="1"/>
  <c r="C13" i="5"/>
  <c r="C11" i="5"/>
  <c r="C12" i="5"/>
  <c r="F63" i="5" s="1"/>
  <c r="C10" i="5"/>
  <c r="C57" i="5" s="1"/>
  <c r="C44" i="2"/>
  <c r="C46" i="2" s="1"/>
  <c r="C57" i="8"/>
  <c r="C49" i="5"/>
  <c r="C51" i="5" s="1"/>
  <c r="F66" i="5"/>
  <c r="D65" i="5"/>
  <c r="E62" i="5"/>
  <c r="D62" i="5"/>
  <c r="E58" i="2"/>
  <c r="D58" i="2"/>
  <c r="C44" i="5"/>
  <c r="C34" i="6"/>
  <c r="C44" i="8"/>
  <c r="C46" i="8" s="1"/>
  <c r="D20" i="3"/>
  <c r="D20" i="2"/>
  <c r="B16" i="8"/>
  <c r="D20" i="4"/>
  <c r="B17" i="4"/>
  <c r="B62" i="4" s="1"/>
  <c r="B18" i="4"/>
  <c r="C63" i="4" s="1"/>
  <c r="B19" i="4"/>
  <c r="D54" i="3"/>
  <c r="B20" i="3"/>
  <c r="C66" i="4"/>
  <c r="D54" i="2"/>
  <c r="C34" i="8"/>
  <c r="E16" i="7"/>
  <c r="F16" i="7"/>
  <c r="F32" i="7" s="1"/>
  <c r="F34" i="7" s="1"/>
  <c r="E32" i="7"/>
  <c r="E34" i="7" s="1"/>
  <c r="B16" i="4"/>
  <c r="B32" i="4" s="1"/>
  <c r="B34" i="4" s="1"/>
  <c r="B16" i="3"/>
  <c r="B16" i="6" s="1"/>
  <c r="B32" i="6" s="1"/>
  <c r="B16" i="2"/>
  <c r="C34" i="5"/>
  <c r="E19" i="5"/>
  <c r="B19" i="5" s="1"/>
  <c r="F19" i="5"/>
  <c r="F50" i="5" s="1"/>
  <c r="F51" i="5" s="1"/>
  <c r="D19" i="5"/>
  <c r="D50" i="5" s="1"/>
  <c r="D51" i="5" s="1"/>
  <c r="E19" i="6"/>
  <c r="F19" i="6"/>
  <c r="D19" i="6"/>
  <c r="E18" i="6"/>
  <c r="E20" i="6" s="1"/>
  <c r="E54" i="6" s="1"/>
  <c r="F18" i="6"/>
  <c r="E17" i="6"/>
  <c r="E65" i="6" s="1"/>
  <c r="F17" i="6"/>
  <c r="D17" i="6"/>
  <c r="D65" i="6" s="1"/>
  <c r="B13" i="5"/>
  <c r="B11" i="5"/>
  <c r="B10" i="5"/>
  <c r="B13" i="6"/>
  <c r="B11" i="6"/>
  <c r="B10" i="6"/>
  <c r="E19" i="7"/>
  <c r="F19" i="7"/>
  <c r="D19" i="7"/>
  <c r="E62" i="6"/>
  <c r="D62" i="6"/>
  <c r="F65" i="6"/>
  <c r="E33" i="6"/>
  <c r="B19" i="3"/>
  <c r="B18" i="3"/>
  <c r="B17" i="3"/>
  <c r="C65" i="3" s="1"/>
  <c r="B19" i="2"/>
  <c r="B18" i="2"/>
  <c r="B17" i="2"/>
  <c r="C65" i="2" s="1"/>
  <c r="B19" i="8"/>
  <c r="B17" i="8"/>
  <c r="C65" i="8" s="1"/>
  <c r="B63" i="3"/>
  <c r="B70" i="2"/>
  <c r="B62" i="8"/>
  <c r="C62" i="8"/>
  <c r="C62" i="3"/>
  <c r="B50" i="2"/>
  <c r="B51" i="2" s="1"/>
  <c r="B65" i="8"/>
  <c r="C58" i="2"/>
  <c r="C46" i="5"/>
  <c r="C58" i="8"/>
  <c r="C35" i="8"/>
  <c r="C59" i="8" s="1"/>
  <c r="B11" i="7"/>
  <c r="B13" i="7"/>
  <c r="B57" i="4"/>
  <c r="B44" i="4"/>
  <c r="B44" i="3"/>
  <c r="B57" i="3"/>
  <c r="B44" i="2"/>
  <c r="B57" i="2"/>
  <c r="C35" i="5"/>
  <c r="B24" i="7"/>
  <c r="E18" i="7"/>
  <c r="E20" i="7" s="1"/>
  <c r="E54" i="7" s="1"/>
  <c r="F18" i="7"/>
  <c r="B24" i="5"/>
  <c r="F33" i="8"/>
  <c r="F58" i="8" s="1"/>
  <c r="E33" i="8"/>
  <c r="E35" i="8"/>
  <c r="F45" i="8"/>
  <c r="F46" i="8" s="1"/>
  <c r="E45" i="8"/>
  <c r="E46" i="8"/>
  <c r="B32" i="8"/>
  <c r="B34" i="8" s="1"/>
  <c r="B32" i="3"/>
  <c r="E58" i="8"/>
  <c r="E59" i="8"/>
  <c r="E17" i="7"/>
  <c r="E45" i="7" s="1"/>
  <c r="E46" i="7" s="1"/>
  <c r="B23" i="8"/>
  <c r="B69" i="8" s="1"/>
  <c r="B34" i="3"/>
  <c r="B45" i="3"/>
  <c r="B46" i="3" s="1"/>
  <c r="B23" i="3"/>
  <c r="B69" i="3"/>
  <c r="B32" i="2"/>
  <c r="B34" i="2" s="1"/>
  <c r="F45" i="5"/>
  <c r="F46" i="5" s="1"/>
  <c r="D66" i="8"/>
  <c r="D63" i="8"/>
  <c r="D50" i="8"/>
  <c r="D51" i="8"/>
  <c r="D45" i="8"/>
  <c r="D46" i="8" s="1"/>
  <c r="D18" i="5"/>
  <c r="D20" i="5"/>
  <c r="D54" i="5" s="1"/>
  <c r="D20" i="8"/>
  <c r="D54" i="8" s="1"/>
  <c r="D33" i="8"/>
  <c r="D58" i="8"/>
  <c r="D35" i="8"/>
  <c r="D59" i="8" s="1"/>
  <c r="D18" i="6"/>
  <c r="D18" i="7"/>
  <c r="D50" i="7" s="1"/>
  <c r="D51" i="7" s="1"/>
  <c r="B18" i="8"/>
  <c r="C66" i="8" s="1"/>
  <c r="D20" i="6"/>
  <c r="B33" i="8"/>
  <c r="B58" i="8" s="1"/>
  <c r="B20" i="8"/>
  <c r="B54" i="8" s="1"/>
  <c r="D33" i="6"/>
  <c r="D35" i="6" s="1"/>
  <c r="D33" i="5"/>
  <c r="D35" i="5" s="1"/>
  <c r="D63" i="5"/>
  <c r="B70" i="8"/>
  <c r="D45" i="6"/>
  <c r="D46" i="6" s="1"/>
  <c r="B50" i="8"/>
  <c r="C63" i="8"/>
  <c r="D50" i="6"/>
  <c r="D51" i="6" s="1"/>
  <c r="D45" i="5"/>
  <c r="D46" i="5" s="1"/>
  <c r="B45" i="8"/>
  <c r="D54" i="6"/>
  <c r="D58" i="5"/>
  <c r="F50" i="7" l="1"/>
  <c r="F51" i="7" s="1"/>
  <c r="F63" i="7"/>
  <c r="E50" i="7"/>
  <c r="E51" i="7" s="1"/>
  <c r="B20" i="4"/>
  <c r="B54" i="4" s="1"/>
  <c r="B70" i="4"/>
  <c r="B33" i="4"/>
  <c r="B50" i="4"/>
  <c r="B51" i="4" s="1"/>
  <c r="B19" i="7"/>
  <c r="F62" i="7"/>
  <c r="F65" i="7"/>
  <c r="C65" i="4"/>
  <c r="B65" i="4"/>
  <c r="E65" i="7"/>
  <c r="B45" i="4"/>
  <c r="B46" i="4" s="1"/>
  <c r="C62" i="4"/>
  <c r="C64" i="4"/>
  <c r="C35" i="7"/>
  <c r="C35" i="4"/>
  <c r="C59" i="4" s="1"/>
  <c r="B70" i="3"/>
  <c r="B33" i="3"/>
  <c r="B58" i="3" s="1"/>
  <c r="C66" i="3"/>
  <c r="B19" i="6"/>
  <c r="E50" i="6"/>
  <c r="E51" i="6" s="1"/>
  <c r="E20" i="5"/>
  <c r="E54" i="5" s="1"/>
  <c r="E33" i="5"/>
  <c r="E58" i="5" s="1"/>
  <c r="E34" i="5"/>
  <c r="B12" i="6"/>
  <c r="B44" i="8"/>
  <c r="B46" i="8" s="1"/>
  <c r="B66" i="8"/>
  <c r="F66" i="7"/>
  <c r="B66" i="3"/>
  <c r="B66" i="2"/>
  <c r="C66" i="2"/>
  <c r="C63" i="2"/>
  <c r="B16" i="7"/>
  <c r="B32" i="7" s="1"/>
  <c r="B34" i="7" s="1"/>
  <c r="C59" i="2"/>
  <c r="C58" i="5"/>
  <c r="F59" i="3"/>
  <c r="F20" i="6"/>
  <c r="F54" i="6" s="1"/>
  <c r="F63" i="6"/>
  <c r="B35" i="8"/>
  <c r="B59" i="8" s="1"/>
  <c r="C64" i="8"/>
  <c r="B17" i="7"/>
  <c r="D65" i="7"/>
  <c r="B57" i="8"/>
  <c r="F20" i="7"/>
  <c r="F54" i="7" s="1"/>
  <c r="F33" i="7"/>
  <c r="B54" i="3"/>
  <c r="B62" i="2"/>
  <c r="B64" i="2" s="1"/>
  <c r="E35" i="6"/>
  <c r="E63" i="6"/>
  <c r="B34" i="6"/>
  <c r="D54" i="4"/>
  <c r="B66" i="4"/>
  <c r="B63" i="4"/>
  <c r="D34" i="5"/>
  <c r="E35" i="3"/>
  <c r="E59" i="3" s="1"/>
  <c r="E58" i="3"/>
  <c r="D66" i="7"/>
  <c r="D63" i="7"/>
  <c r="B18" i="7"/>
  <c r="B70" i="7" s="1"/>
  <c r="C57" i="7"/>
  <c r="C49" i="7"/>
  <c r="C51" i="7" s="1"/>
  <c r="D45" i="7"/>
  <c r="D46" i="7" s="1"/>
  <c r="B63" i="8"/>
  <c r="B64" i="8" s="1"/>
  <c r="B23" i="2"/>
  <c r="B69" i="2" s="1"/>
  <c r="F35" i="8"/>
  <c r="F59" i="8" s="1"/>
  <c r="B17" i="5"/>
  <c r="C63" i="3"/>
  <c r="C64" i="3" s="1"/>
  <c r="E34" i="4"/>
  <c r="E59" i="4" s="1"/>
  <c r="E58" i="4"/>
  <c r="F58" i="4"/>
  <c r="F35" i="4"/>
  <c r="F59" i="4" s="1"/>
  <c r="C58" i="6"/>
  <c r="C35" i="6"/>
  <c r="C59" i="6" s="1"/>
  <c r="B49" i="8"/>
  <c r="B51" i="8" s="1"/>
  <c r="B12" i="5"/>
  <c r="C59" i="7"/>
  <c r="D34" i="7"/>
  <c r="B20" i="2"/>
  <c r="B54" i="2" s="1"/>
  <c r="C44" i="6"/>
  <c r="C46" i="6" s="1"/>
  <c r="B12" i="7"/>
  <c r="B57" i="7" s="1"/>
  <c r="D66" i="6"/>
  <c r="D66" i="5"/>
  <c r="B23" i="4"/>
  <c r="B69" i="4" s="1"/>
  <c r="E62" i="7"/>
  <c r="B17" i="6"/>
  <c r="F62" i="6"/>
  <c r="B16" i="5"/>
  <c r="B32" i="5" s="1"/>
  <c r="F62" i="5"/>
  <c r="F33" i="6"/>
  <c r="F35" i="6" s="1"/>
  <c r="F59" i="6" s="1"/>
  <c r="F66" i="6"/>
  <c r="F50" i="6"/>
  <c r="F51" i="6" s="1"/>
  <c r="B20" i="6"/>
  <c r="E66" i="6"/>
  <c r="B35" i="3"/>
  <c r="B59" i="3" s="1"/>
  <c r="B50" i="3"/>
  <c r="B51" i="3" s="1"/>
  <c r="C49" i="6"/>
  <c r="C51" i="6" s="1"/>
  <c r="C44" i="7"/>
  <c r="C46" i="7" s="1"/>
  <c r="D58" i="3"/>
  <c r="F58" i="3"/>
  <c r="D59" i="3"/>
  <c r="C59" i="3"/>
  <c r="B65" i="3"/>
  <c r="F45" i="6"/>
  <c r="F46" i="6" s="1"/>
  <c r="B65" i="6"/>
  <c r="C65" i="6"/>
  <c r="B62" i="3"/>
  <c r="E45" i="6"/>
  <c r="E46" i="6" s="1"/>
  <c r="B64" i="3"/>
  <c r="D58" i="6"/>
  <c r="D34" i="6"/>
  <c r="E34" i="6"/>
  <c r="E59" i="6" s="1"/>
  <c r="E58" i="6"/>
  <c r="D59" i="6"/>
  <c r="F58" i="6"/>
  <c r="C59" i="5"/>
  <c r="D59" i="5"/>
  <c r="B18" i="6"/>
  <c r="B18" i="5"/>
  <c r="B33" i="2"/>
  <c r="B35" i="2" s="1"/>
  <c r="B45" i="2"/>
  <c r="B46" i="2" s="1"/>
  <c r="B63" i="2"/>
  <c r="F35" i="5"/>
  <c r="E66" i="7"/>
  <c r="B20" i="5"/>
  <c r="B54" i="5" s="1"/>
  <c r="E45" i="5"/>
  <c r="E46" i="5" s="1"/>
  <c r="E33" i="7"/>
  <c r="E63" i="7"/>
  <c r="E35" i="5"/>
  <c r="E50" i="5"/>
  <c r="E51" i="5" s="1"/>
  <c r="E66" i="5"/>
  <c r="E63" i="5"/>
  <c r="D33" i="7"/>
  <c r="D20" i="7"/>
  <c r="B44" i="7"/>
  <c r="C57" i="6"/>
  <c r="B65" i="2"/>
  <c r="C62" i="2"/>
  <c r="C64" i="2" s="1"/>
  <c r="E65" i="5"/>
  <c r="F65" i="5"/>
  <c r="F35" i="2"/>
  <c r="F59" i="2" s="1"/>
  <c r="D59" i="2"/>
  <c r="E59" i="2"/>
  <c r="B58" i="2"/>
  <c r="B59" i="2"/>
  <c r="B34" i="5"/>
  <c r="F34" i="5"/>
  <c r="C63" i="7" l="1"/>
  <c r="B35" i="4"/>
  <c r="B59" i="4" s="1"/>
  <c r="B58" i="4"/>
  <c r="C66" i="7"/>
  <c r="B33" i="7"/>
  <c r="B58" i="7" s="1"/>
  <c r="B45" i="7"/>
  <c r="B46" i="7" s="1"/>
  <c r="B50" i="7"/>
  <c r="B49" i="7"/>
  <c r="B51" i="7" s="1"/>
  <c r="B35" i="7"/>
  <c r="B59" i="7" s="1"/>
  <c r="B63" i="7"/>
  <c r="B66" i="7"/>
  <c r="B62" i="7"/>
  <c r="B64" i="4"/>
  <c r="B65" i="5"/>
  <c r="B23" i="5"/>
  <c r="B69" i="5" s="1"/>
  <c r="B62" i="5"/>
  <c r="F59" i="5"/>
  <c r="C62" i="5"/>
  <c r="C62" i="6"/>
  <c r="B62" i="6"/>
  <c r="B23" i="6"/>
  <c r="B69" i="6" s="1"/>
  <c r="E59" i="5"/>
  <c r="C65" i="5"/>
  <c r="B49" i="5"/>
  <c r="B44" i="5"/>
  <c r="B57" i="5"/>
  <c r="F58" i="7"/>
  <c r="F35" i="7"/>
  <c r="F59" i="7" s="1"/>
  <c r="C62" i="7"/>
  <c r="C64" i="7" s="1"/>
  <c r="B65" i="7"/>
  <c r="B23" i="7"/>
  <c r="B69" i="7" s="1"/>
  <c r="C65" i="7"/>
  <c r="B44" i="6"/>
  <c r="B49" i="6"/>
  <c r="B57" i="6"/>
  <c r="C66" i="6"/>
  <c r="C63" i="6"/>
  <c r="C64" i="6" s="1"/>
  <c r="B63" i="6"/>
  <c r="B45" i="6"/>
  <c r="B46" i="6" s="1"/>
  <c r="B70" i="6"/>
  <c r="B50" i="6"/>
  <c r="B66" i="6"/>
  <c r="B33" i="6"/>
  <c r="B54" i="6"/>
  <c r="B50" i="5"/>
  <c r="B51" i="5" s="1"/>
  <c r="B63" i="5"/>
  <c r="B45" i="5"/>
  <c r="B46" i="5" s="1"/>
  <c r="B70" i="5"/>
  <c r="B66" i="5"/>
  <c r="C63" i="5"/>
  <c r="C64" i="5" s="1"/>
  <c r="B33" i="5"/>
  <c r="C66" i="5"/>
  <c r="E35" i="7"/>
  <c r="E59" i="7" s="1"/>
  <c r="E58" i="7"/>
  <c r="D35" i="7"/>
  <c r="D59" i="7" s="1"/>
  <c r="D58" i="7"/>
  <c r="B20" i="7"/>
  <c r="B54" i="7" s="1"/>
  <c r="D54" i="7"/>
  <c r="B64" i="7" l="1"/>
  <c r="B51" i="6"/>
  <c r="B64" i="6"/>
  <c r="B35" i="5"/>
  <c r="B59" i="5" s="1"/>
  <c r="B58" i="5"/>
  <c r="B64" i="5"/>
  <c r="B35" i="6"/>
  <c r="B59" i="6" s="1"/>
  <c r="B58" i="6"/>
</calcChain>
</file>

<file path=xl/sharedStrings.xml><?xml version="1.0" encoding="utf-8"?>
<sst xmlns="http://schemas.openxmlformats.org/spreadsheetml/2006/main" count="582" uniqueCount="138">
  <si>
    <t>Indicador</t>
  </si>
  <si>
    <t>Total programa</t>
  </si>
  <si>
    <t>Producto</t>
  </si>
  <si>
    <t>Subs. Atención Directa</t>
  </si>
  <si>
    <t>Equipamiento</t>
  </si>
  <si>
    <t>Construcción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</si>
  <si>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</si>
  <si>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</si>
  <si>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</si>
  <si>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</si>
  <si>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</si>
  <si>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</si>
  <si>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</si>
  <si>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</si>
  <si>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</si>
  <si>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</si>
  <si>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</si>
  <si>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</si>
  <si>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</si>
  <si>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</si>
  <si>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</si>
  <si>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</si>
  <si>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</si>
  <si>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</si>
  <si>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</si>
  <si>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</si>
  <si>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</si>
  <si>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</si>
  <si>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</si>
  <si>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</si>
  <si>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</si>
  <si>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</si>
  <si>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</si>
  <si>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</si>
  <si>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</si>
  <si>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</si>
  <si>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</si>
  <si>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</si>
  <si>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</si>
  <si>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</si>
  <si>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</si>
  <si>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</si>
  <si>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</si>
  <si>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</si>
  <si>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</si>
  <si>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El Total de beneficiarios del programa contabiliza los beneficiarios distintos atendidos en el período al menos una vez</t>
  </si>
  <si>
    <t>Los índices del gasto medio se calculan tomando los beneficiarios promedio del programa</t>
  </si>
  <si>
    <t>na</t>
  </si>
  <si>
    <t>n.d.</t>
  </si>
  <si>
    <t>IPC, BCCR</t>
  </si>
  <si>
    <t>Notas:</t>
  </si>
  <si>
    <t>Promedio Mensual</t>
  </si>
  <si>
    <t>,</t>
  </si>
  <si>
    <t>Efectivos 1T 2016</t>
  </si>
  <si>
    <t>IPC (1T 2016)</t>
  </si>
  <si>
    <t>Gasto efectivo real 1T 2016</t>
  </si>
  <si>
    <t>Gasto efectivo real por beneficiario 1T 2016</t>
  </si>
  <si>
    <t>Efectivos 2T 2016</t>
  </si>
  <si>
    <t>IPC (2T 2016)</t>
  </si>
  <si>
    <t>Gasto efectivo real 2T 2016</t>
  </si>
  <si>
    <t>Gasto efectivo real por beneficiario 2T 2016</t>
  </si>
  <si>
    <t>Efectivos 3T 2016</t>
  </si>
  <si>
    <t>IPC (3T 2016)</t>
  </si>
  <si>
    <t>Gasto efectivo real 3T 2016</t>
  </si>
  <si>
    <t>Gasto efectivo real por beneficiario 3T 2016</t>
  </si>
  <si>
    <t>Efectivos 4T 2016</t>
  </si>
  <si>
    <t>IPC (4T 2016)</t>
  </si>
  <si>
    <t>Gasto efectivo real 4T 2016</t>
  </si>
  <si>
    <t>Gasto efectivo real por beneficiario 4T 2016</t>
  </si>
  <si>
    <t>Efectivos 1S 2016</t>
  </si>
  <si>
    <t>IPC (1S 2016)</t>
  </si>
  <si>
    <t>Gasto efectivo real 1S 2016</t>
  </si>
  <si>
    <t>Gasto efectivo real por beneficiario 1S 2016</t>
  </si>
  <si>
    <t>Efectivos 3T. Ac. 2016</t>
  </si>
  <si>
    <t>IPC (3T. Ac. 2016)</t>
  </si>
  <si>
    <t>Gasto efectivo real 3T. Ac. 2016</t>
  </si>
  <si>
    <t>Gasto efectivo real por beneficiario 3T. Ac. 2016</t>
  </si>
  <si>
    <t>Efectivos  2016</t>
  </si>
  <si>
    <t>IPC ( 2016)</t>
  </si>
  <si>
    <t>Gasto efectivo real  2016</t>
  </si>
  <si>
    <t>Gasto efectivo real por beneficiario  2016</t>
  </si>
  <si>
    <t>Indicadores propuestos aplicado a Ciudad de los niños. Primer trimestre 2017</t>
  </si>
  <si>
    <t>Programados 1T 2017</t>
  </si>
  <si>
    <t>Efectivos 1T 2017</t>
  </si>
  <si>
    <t>Programados año 2017</t>
  </si>
  <si>
    <t>En transferencias 1T 2017</t>
  </si>
  <si>
    <t>IPC (1T 2017)</t>
  </si>
  <si>
    <t>Gasto efectivo real 1T 2017</t>
  </si>
  <si>
    <t>Gasto efectivo real por beneficiario 1T 2017</t>
  </si>
  <si>
    <t>Informes Trimestrales 2016 y 2017 de la Ciudad de los Niños</t>
  </si>
  <si>
    <t>Metas y Modificaciones CDN, DESAF 2017</t>
  </si>
  <si>
    <t>ENAHO 2016</t>
  </si>
  <si>
    <t>Indicadores propuestos aplicado a Ciudad de los niños. Segundo trimestre 2017</t>
  </si>
  <si>
    <t>Programados 2T 2017</t>
  </si>
  <si>
    <t>Efectivos 2T 2017</t>
  </si>
  <si>
    <t>En transferencias 2T 2017</t>
  </si>
  <si>
    <t>IPC (2T 2017)</t>
  </si>
  <si>
    <t>Gasto efectivo real 2T 2017</t>
  </si>
  <si>
    <t>Gasto efectivo real por beneficiario 2T 2017</t>
  </si>
  <si>
    <t>Indicadores propuestos aplicado a Ciudad de los niños. Tercer trimestre 2017</t>
  </si>
  <si>
    <t>Programados 3T 2017</t>
  </si>
  <si>
    <t>Efectivos 3T 2017</t>
  </si>
  <si>
    <t>En transferencias 3T 2017</t>
  </si>
  <si>
    <t>IPC (3T 2017)</t>
  </si>
  <si>
    <t>Gasto efectivo real 3T 2017</t>
  </si>
  <si>
    <t>Gasto efectivo real por beneficiario 3T 2017</t>
  </si>
  <si>
    <t>Indicadores propuestos aplicado a Ciudad de los niños. Cuarto trimestre 2017</t>
  </si>
  <si>
    <t>Programados 4T 2017</t>
  </si>
  <si>
    <t>Efectivos 4T 2017</t>
  </si>
  <si>
    <t>En transferencias 4T 2017</t>
  </si>
  <si>
    <t>IPC (4T 2017)</t>
  </si>
  <si>
    <t>Gasto efectivo real 4T 2017</t>
  </si>
  <si>
    <t>Gasto efectivo real por beneficiario 4T 2017</t>
  </si>
  <si>
    <t>Indicadores propuestos aplicado a Ciudad de los niños. Primer Semestre 2017</t>
  </si>
  <si>
    <t>Programados 1S 2017</t>
  </si>
  <si>
    <t>Efectivos 1S 2017</t>
  </si>
  <si>
    <t>En transferencias 1S 2017</t>
  </si>
  <si>
    <t>IPC (1S 2017)</t>
  </si>
  <si>
    <t>Gasto efectivo real 1S 2017</t>
  </si>
  <si>
    <t>Gasto efectivo real por beneficiario 1S 2017</t>
  </si>
  <si>
    <t>Indicadores propuestos aplicado a Ciudad de los niños. Tercer Trimestre Acumulado 2017</t>
  </si>
  <si>
    <t>Programados 3T. Ac. 2017</t>
  </si>
  <si>
    <t>Efectivos 3T. Ac. 2017</t>
  </si>
  <si>
    <t>En transferencias 3T. Ac. 2017</t>
  </si>
  <si>
    <t>IPC (3T. Ac. 2017)</t>
  </si>
  <si>
    <t>Gasto efectivo real 3T. Ac. 2017</t>
  </si>
  <si>
    <t>Gasto efectivo real por beneficiario 3T. Ac. 2017</t>
  </si>
  <si>
    <t>Indicadores propuestos aplicado a Ciudad de los niños.  Año 2017</t>
  </si>
  <si>
    <t>Programados  2017</t>
  </si>
  <si>
    <t>Efectivos  2017</t>
  </si>
  <si>
    <t>En transferencias  2017</t>
  </si>
  <si>
    <t>IPC ( 2017)</t>
  </si>
  <si>
    <t>Gasto efectivo real  2017</t>
  </si>
  <si>
    <t>Gasto efectivo real por beneficiario  2017</t>
  </si>
  <si>
    <t>Fecha de actualización: 25/05/2017</t>
  </si>
  <si>
    <t>Fecha de actualización: 01/09/2017</t>
  </si>
  <si>
    <t>Fecha de actualización: 07/11/2017</t>
  </si>
  <si>
    <t>Fecha de actualización: 26/01/2018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</si>
</sst>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"/>
    <numFmt numFmtId="166" formatCode="#,##0.0____"/>
    <numFmt numFmtId="167" formatCode="_(* #,##0_);_(* \(#,##0\);_(* &quot;-&quot;??_);_(@_)"/>
    <numFmt numFmtId="168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left" indent="1"/>
    </xf>
    <xf numFmtId="4" fontId="0" fillId="0" borderId="0" xfId="0" applyNumberFormat="1" applyFill="1"/>
    <xf numFmtId="0" fontId="0" fillId="0" borderId="0" xfId="0" applyAlignment="1">
      <alignment horizontal="left"/>
    </xf>
    <xf numFmtId="0" fontId="2" fillId="0" borderId="0" xfId="0" applyFont="1"/>
    <xf numFmtId="0" fontId="0" fillId="0" borderId="3" xfId="0" applyBorder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/>
    <xf numFmtId="3" fontId="0" fillId="0" borderId="0" xfId="0" applyNumberFormat="1" applyFill="1"/>
    <xf numFmtId="166" fontId="0" fillId="0" borderId="0" xfId="0" applyNumberFormat="1" applyFill="1"/>
    <xf numFmtId="0" fontId="0" fillId="0" borderId="0" xfId="0" applyAlignment="1"/>
    <xf numFmtId="0" fontId="0" fillId="0" borderId="0" xfId="0" applyFill="1"/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3" fillId="0" borderId="0" xfId="0" applyFon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2" fillId="0" borderId="0" xfId="0" applyFont="1" applyFill="1"/>
    <xf numFmtId="0" fontId="0" fillId="0" borderId="3" xfId="0" applyFill="1" applyBorder="1"/>
    <xf numFmtId="165" fontId="0" fillId="0" borderId="0" xfId="0" applyNumberFormat="1" applyFill="1"/>
    <xf numFmtId="167" fontId="0" fillId="0" borderId="0" xfId="1" applyNumberFormat="1" applyFont="1" applyFill="1"/>
    <xf numFmtId="167" fontId="0" fillId="0" borderId="0" xfId="1" applyNumberFormat="1" applyFont="1" applyFill="1" applyAlignment="1">
      <alignment horizontal="right"/>
    </xf>
    <xf numFmtId="167" fontId="0" fillId="0" borderId="0" xfId="1" applyNumberFormat="1" applyFont="1"/>
    <xf numFmtId="3" fontId="5" fillId="2" borderId="0" xfId="0" applyNumberFormat="1" applyFont="1" applyFill="1"/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0" xfId="1" applyNumberFormat="1" applyFont="1"/>
    <xf numFmtId="4" fontId="7" fillId="0" borderId="0" xfId="0" applyNumberFormat="1" applyFont="1" applyFill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167" fontId="2" fillId="0" borderId="0" xfId="1" applyNumberFormat="1" applyFont="1" applyFill="1"/>
    <xf numFmtId="4" fontId="2" fillId="0" borderId="0" xfId="0" applyNumberFormat="1" applyFont="1"/>
    <xf numFmtId="4" fontId="2" fillId="0" borderId="0" xfId="0" applyNumberFormat="1" applyFont="1" applyFill="1"/>
    <xf numFmtId="3" fontId="2" fillId="0" borderId="0" xfId="0" applyNumberFormat="1" applyFont="1" applyFill="1"/>
    <xf numFmtId="4" fontId="8" fillId="0" borderId="0" xfId="0" applyNumberFormat="1" applyFont="1" applyFill="1" applyAlignment="1">
      <alignment horizontal="center"/>
    </xf>
    <xf numFmtId="4" fontId="5" fillId="0" borderId="0" xfId="0" applyNumberFormat="1" applyFont="1" applyFill="1"/>
    <xf numFmtId="4" fontId="9" fillId="0" borderId="0" xfId="0" applyNumberFormat="1" applyFont="1" applyFill="1" applyAlignment="1">
      <alignment horizontal="center"/>
    </xf>
    <xf numFmtId="167" fontId="5" fillId="0" borderId="0" xfId="1" applyNumberFormat="1" applyFont="1" applyFill="1"/>
    <xf numFmtId="10" fontId="2" fillId="0" borderId="0" xfId="2" applyNumberFormat="1" applyFont="1" applyFill="1"/>
    <xf numFmtId="164" fontId="0" fillId="0" borderId="0" xfId="1" applyFont="1" applyFill="1"/>
    <xf numFmtId="3" fontId="5" fillId="0" borderId="0" xfId="0" applyNumberFormat="1" applyFont="1" applyFill="1"/>
    <xf numFmtId="167" fontId="5" fillId="0" borderId="0" xfId="1" applyNumberFormat="1" applyFont="1" applyFill="1" applyAlignment="1">
      <alignment horizontal="right"/>
    </xf>
    <xf numFmtId="167" fontId="5" fillId="0" borderId="0" xfId="0" applyNumberFormat="1" applyFont="1" applyFill="1"/>
    <xf numFmtId="3" fontId="5" fillId="0" borderId="0" xfId="1" applyNumberFormat="1" applyFont="1" applyFill="1"/>
    <xf numFmtId="0" fontId="10" fillId="0" borderId="0" xfId="0" applyFont="1"/>
    <xf numFmtId="37" fontId="1" fillId="0" borderId="0" xfId="1" applyNumberFormat="1" applyFont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resultado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Anual!$B$44:$F$44</c:f>
              <c:numCache>
                <c:formatCode>#,##0.00</c:formatCode>
                <c:ptCount val="5"/>
                <c:pt idx="0">
                  <c:v>89.444444444444443</c:v>
                </c:pt>
                <c:pt idx="1">
                  <c:v>89.444444444444443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Anual!$B$45:$F$45</c:f>
              <c:numCache>
                <c:formatCode>#,##0.00</c:formatCode>
                <c:ptCount val="5"/>
                <c:pt idx="0">
                  <c:v>37.079005358358188</c:v>
                </c:pt>
                <c:pt idx="2">
                  <c:v>99.998494740223592</c:v>
                </c:pt>
                <c:pt idx="3">
                  <c:v>44.927677252996283</c:v>
                </c:pt>
                <c:pt idx="4">
                  <c:v>21.950597212931886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Anual!$B$46:$F$46</c:f>
              <c:numCache>
                <c:formatCode>#,##0.00</c:formatCode>
                <c:ptCount val="5"/>
                <c:pt idx="0">
                  <c:v>63.261724901401315</c:v>
                </c:pt>
                <c:pt idx="1">
                  <c:v>89.444444444444443</c:v>
                </c:pt>
                <c:pt idx="2">
                  <c:v>99.998494740223592</c:v>
                </c:pt>
                <c:pt idx="3">
                  <c:v>44.927677252996283</c:v>
                </c:pt>
                <c:pt idx="4">
                  <c:v>21.950597212931886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80528872"/>
        <c:axId val="511596568"/>
      </c:barChart>
      <c:catAx>
        <c:axId val="58052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596568"/>
        <c:crosses val="autoZero"/>
        <c:auto val="1"/>
        <c:lblAlgn val="ctr"/>
        <c:lblOffset val="100"/>
        <c:noMultiLvlLbl val="0"/>
      </c:catAx>
      <c:valAx>
        <c:axId val="51159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0528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avance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89.444444444444443</c:v>
                </c:pt>
                <c:pt idx="1">
                  <c:v>89.444444444444443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37.079005358358188</c:v>
                </c:pt>
                <c:pt idx="2">
                  <c:v>99.998494740223592</c:v>
                </c:pt>
                <c:pt idx="3">
                  <c:v>44.927677252996283</c:v>
                </c:pt>
                <c:pt idx="4">
                  <c:v>21.950597212931886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63.261724901401315</c:v>
                </c:pt>
                <c:pt idx="1">
                  <c:v>89.444444444444443</c:v>
                </c:pt>
                <c:pt idx="2">
                  <c:v>99.998494740223592</c:v>
                </c:pt>
                <c:pt idx="3">
                  <c:v>44.927677252996283</c:v>
                </c:pt>
                <c:pt idx="4">
                  <c:v>21.950597212931886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11594608"/>
        <c:axId val="511596176"/>
      </c:barChart>
      <c:catAx>
        <c:axId val="51159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596176"/>
        <c:crosses val="autoZero"/>
        <c:auto val="1"/>
        <c:lblAlgn val="ctr"/>
        <c:lblOffset val="100"/>
        <c:noMultiLvlLbl val="0"/>
      </c:catAx>
      <c:valAx>
        <c:axId val="51159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59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Ciudad de los niños: Índice transferencia efectiva del gasto (ITG)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(Anual!$B$4,Anual!$D$5)</c:f>
              <c:strCache>
                <c:ptCount val="2"/>
                <c:pt idx="0">
                  <c:v>Total programa</c:v>
                </c:pt>
                <c:pt idx="1">
                  <c:v>Subs. Atención Directa</c:v>
                </c:pt>
              </c:strCache>
            </c:strRef>
          </c:cat>
          <c:val>
            <c:numRef>
              <c:f>(Anual!$B$54,Anual!$D$54)</c:f>
              <c:numCache>
                <c:formatCode>#,##0.00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1595392"/>
        <c:axId val="511595784"/>
      </c:barChart>
      <c:catAx>
        <c:axId val="51159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595784"/>
        <c:crosses val="autoZero"/>
        <c:auto val="1"/>
        <c:lblAlgn val="ctr"/>
        <c:lblOffset val="100"/>
        <c:noMultiLvlLbl val="0"/>
      </c:catAx>
      <c:valAx>
        <c:axId val="51159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59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expansión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Anual!$B$57:$F$57</c:f>
              <c:numCache>
                <c:formatCode>#,##0.00</c:formatCode>
                <c:ptCount val="5"/>
                <c:pt idx="0">
                  <c:v>31.697341513292422</c:v>
                </c:pt>
                <c:pt idx="1">
                  <c:v>1.858442071965194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Anual!$B$58:$F$58</c:f>
              <c:numCache>
                <c:formatCode>#,##0.00</c:formatCode>
                <c:ptCount val="5"/>
                <c:pt idx="0">
                  <c:v>-48.49692356948951</c:v>
                </c:pt>
                <c:pt idx="1">
                  <c:v>0</c:v>
                </c:pt>
                <c:pt idx="2">
                  <c:v>-15.130852606415745</c:v>
                </c:pt>
                <c:pt idx="3">
                  <c:v>-93.194923202998865</c:v>
                </c:pt>
                <c:pt idx="4">
                  <c:v>-55.294542205440919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Anual!$B$59:$F$59</c:f>
              <c:numCache>
                <c:formatCode>#,##0.00</c:formatCode>
                <c:ptCount val="5"/>
                <c:pt idx="0">
                  <c:v>-60.892850350124796</c:v>
                </c:pt>
                <c:pt idx="1">
                  <c:v>0</c:v>
                </c:pt>
                <c:pt idx="2">
                  <c:v>-16.679319193177555</c:v>
                </c:pt>
                <c:pt idx="3">
                  <c:v>-93.319084153875821</c:v>
                </c:pt>
                <c:pt idx="4">
                  <c:v>-56.110208554953445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09159184"/>
        <c:axId val="509156832"/>
      </c:barChart>
      <c:catAx>
        <c:axId val="50915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156832"/>
        <c:crosses val="autoZero"/>
        <c:auto val="1"/>
        <c:lblAlgn val="ctr"/>
        <c:lblOffset val="100"/>
        <c:noMultiLvlLbl val="0"/>
      </c:catAx>
      <c:valAx>
        <c:axId val="50915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15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gasto medio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Anual!$B$65:$F$65</c:f>
              <c:numCache>
                <c:formatCode>#,##0</c:formatCode>
                <c:ptCount val="5"/>
                <c:pt idx="0">
                  <c:v>2253522.8626666665</c:v>
                </c:pt>
                <c:pt idx="1">
                  <c:v>2253522.8626666665</c:v>
                </c:pt>
                <c:pt idx="2">
                  <c:v>426064.33124999999</c:v>
                </c:pt>
                <c:pt idx="3">
                  <c:v>36505.437791666671</c:v>
                </c:pt>
                <c:pt idx="4">
                  <c:v>1790953.0936250002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Anual!$B$66:$F$66</c:f>
              <c:numCache>
                <c:formatCode>#,##0</c:formatCode>
                <c:ptCount val="5"/>
                <c:pt idx="0">
                  <c:v>934193.13875776401</c:v>
                </c:pt>
                <c:pt idx="1">
                  <c:v>934193.13875776401</c:v>
                </c:pt>
                <c:pt idx="2">
                  <c:v>476338.04482919269</c:v>
                </c:pt>
                <c:pt idx="3">
                  <c:v>18336.572352484473</c:v>
                </c:pt>
                <c:pt idx="4">
                  <c:v>439518.52157608699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09953504"/>
        <c:axId val="509955072"/>
      </c:barChart>
      <c:catAx>
        <c:axId val="50995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955072"/>
        <c:crosses val="autoZero"/>
        <c:auto val="1"/>
        <c:lblAlgn val="ctr"/>
        <c:lblOffset val="100"/>
        <c:noMultiLvlLbl val="0"/>
      </c:catAx>
      <c:valAx>
        <c:axId val="50995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95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giro de recursos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Anual!$B$4:$C$5</c:f>
              <c:strCache>
                <c:ptCount val="2"/>
                <c:pt idx="0">
                  <c:v>Total programa</c:v>
                </c:pt>
                <c:pt idx="1">
                  <c:v>Promedio Mensual</c:v>
                </c:pt>
              </c:strCache>
            </c:strRef>
          </c:cat>
          <c:val>
            <c:numRef>
              <c:f>Anual!$B$69</c:f>
              <c:numCache>
                <c:formatCode>#,##0.00</c:formatCode>
                <c:ptCount val="1"/>
                <c:pt idx="0">
                  <c:v>70.492487898267882</c:v>
                </c:pt>
              </c:numCache>
            </c:numRef>
          </c:val>
        </c:ser>
        <c:ser>
          <c:idx val="2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Anual!$B$4:$C$5</c:f>
              <c:strCache>
                <c:ptCount val="2"/>
                <c:pt idx="0">
                  <c:v>Total programa</c:v>
                </c:pt>
                <c:pt idx="1">
                  <c:v>Promedio Mensual</c:v>
                </c:pt>
              </c:strCache>
            </c:strRef>
          </c:cat>
          <c:val>
            <c:numRef>
              <c:f>Anual!$B$70</c:f>
              <c:numCache>
                <c:formatCode>#,##0.00</c:formatCode>
                <c:ptCount val="1"/>
                <c:pt idx="0">
                  <c:v>52.59993860887591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09952720"/>
        <c:axId val="577961336"/>
      </c:barChart>
      <c:catAx>
        <c:axId val="50995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7961336"/>
        <c:crosses val="autoZero"/>
        <c:auto val="1"/>
        <c:lblAlgn val="ctr"/>
        <c:lblOffset val="100"/>
        <c:noMultiLvlLbl val="0"/>
      </c:catAx>
      <c:valAx>
        <c:axId val="577961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95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Ciudad de los niños: Índice de eficiencia (IE) 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Anual!$B$64</c:f>
              <c:numCache>
                <c:formatCode>#,##0.00</c:formatCode>
                <c:ptCount val="1"/>
                <c:pt idx="0">
                  <c:v>26.225014322214129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09158792"/>
        <c:axId val="509159576"/>
      </c:barChart>
      <c:catAx>
        <c:axId val="50915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159576"/>
        <c:crosses val="autoZero"/>
        <c:auto val="1"/>
        <c:lblAlgn val="ctr"/>
        <c:lblOffset val="100"/>
        <c:noMultiLvlLbl val="0"/>
      </c:catAx>
      <c:valAx>
        <c:axId val="50915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158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899582</xdr:colOff>
      <xdr:row>32</xdr:row>
      <xdr:rowOff>104773</xdr:rowOff>
    </xdr:from>
    <xdr:to>
      <xdr:col>12</xdr:col>
      <xdr:colOff>592666</xdr:colOff>
      <xdr:row>46</xdr:row>
      <xdr:rowOff>180973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10584</xdr:colOff>
      <xdr:row>48</xdr:row>
      <xdr:rowOff>20108</xdr:rowOff>
    </xdr:from>
    <xdr:to>
      <xdr:col>12</xdr:col>
      <xdr:colOff>613834</xdr:colOff>
      <xdr:row>62</xdr:row>
      <xdr:rowOff>96308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21167</xdr:colOff>
      <xdr:row>64</xdr:row>
      <xdr:rowOff>9523</xdr:rowOff>
    </xdr:from>
    <xdr:to>
      <xdr:col>12</xdr:col>
      <xdr:colOff>624417</xdr:colOff>
      <xdr:row>78</xdr:row>
      <xdr:rowOff>64556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21167</xdr:colOff>
      <xdr:row>85</xdr:row>
      <xdr:rowOff>189441</xdr:rowOff>
    </xdr:from>
    <xdr:to>
      <xdr:col>12</xdr:col>
      <xdr:colOff>624417</xdr:colOff>
      <xdr:row>100</xdr:row>
      <xdr:rowOff>75141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296333</xdr:colOff>
      <xdr:row>86</xdr:row>
      <xdr:rowOff>20107</xdr:rowOff>
    </xdr:from>
    <xdr:to>
      <xdr:col>2</xdr:col>
      <xdr:colOff>0</xdr:colOff>
      <xdr:row>100</xdr:row>
      <xdr:rowOff>96307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560918</xdr:colOff>
      <xdr:row>85</xdr:row>
      <xdr:rowOff>189440</xdr:rowOff>
    </xdr:from>
    <xdr:to>
      <xdr:col>6</xdr:col>
      <xdr:colOff>613834</xdr:colOff>
      <xdr:row>100</xdr:row>
      <xdr:rowOff>75140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26458</xdr:colOff>
      <xdr:row>102</xdr:row>
      <xdr:rowOff>9523</xdr:rowOff>
    </xdr:from>
    <xdr:to>
      <xdr:col>4</xdr:col>
      <xdr:colOff>1095375</xdr:colOff>
      <xdr:row>116</xdr:row>
      <xdr:rowOff>85723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7"/>
  <sheetViews>
    <sheetView zoomScale="80" zoomScaleNormal="80" workbookViewId="0">
      <selection activeCell="F19" sqref="F19"/>
    </sheetView>
  </sheetViews>
  <sheetFormatPr baseColWidth="10" defaultColWidth="11.42578125" defaultRowHeight="15" x14ac:dyDescent="0.25"/>
  <cols>
    <col min="1" max="1" width="55.140625" customWidth="1"/>
    <col min="2" max="2" width="15.140625" bestFit="1" customWidth="1"/>
    <col min="3" max="3" width="15.140625" customWidth="1"/>
    <col min="4" max="4" width="41.85546875" customWidth="1"/>
    <col min="5" max="5" width="18.42578125" customWidth="1"/>
    <col min="6" max="6" width="15.140625" bestFit="1" customWidth="1"/>
    <col min="7" max="7" width="13.7109375" bestFit="1" customWidth="1"/>
  </cols>
  <sheetData>
    <row r="2" spans="1:7" ht="15.75" x14ac:dyDescent="0.25">
      <c r="A2" s="53" t="s">
        <v>81</v>
      </c>
      <c r="B2" s="53"/>
      <c r="C2" s="53"/>
      <c r="D2" s="53"/>
      <c r="E2" s="53"/>
      <c r="F2" s="53"/>
    </row>
    <row r="4" spans="1:7" ht="15" customHeight="1" x14ac:dyDescent="0.25">
      <c r="A4" s="54" t="s">
        <v>0</v>
      </c>
      <c r="B4" s="56" t="s">
        <v>1</v>
      </c>
      <c r="C4" s="59" t="s">
        <v>51</v>
      </c>
      <c r="D4" s="58" t="s">
        <v>2</v>
      </c>
      <c r="E4" s="58"/>
      <c r="F4" s="58"/>
    </row>
    <row r="5" spans="1:7" ht="15.75" thickBot="1" x14ac:dyDescent="0.3">
      <c r="A5" s="55"/>
      <c r="B5" s="57"/>
      <c r="C5" s="60"/>
      <c r="D5" s="1" t="s">
        <v>3</v>
      </c>
      <c r="E5" s="2" t="s">
        <v>4</v>
      </c>
      <c r="F5" s="2" t="s">
        <v>5</v>
      </c>
    </row>
    <row r="6" spans="1:7" ht="15.75" thickTop="1" x14ac:dyDescent="0.25"/>
    <row r="7" spans="1:7" x14ac:dyDescent="0.25">
      <c r="A7" s="3" t="s">
        <v>6</v>
      </c>
    </row>
    <row r="8" spans="1:7" x14ac:dyDescent="0.25">
      <c r="B8" s="4"/>
      <c r="C8" s="4"/>
      <c r="D8" s="4"/>
      <c r="E8" s="4"/>
      <c r="F8" s="4"/>
      <c r="G8" s="4"/>
    </row>
    <row r="9" spans="1:7" x14ac:dyDescent="0.25">
      <c r="A9" t="s">
        <v>7</v>
      </c>
      <c r="B9" s="4"/>
      <c r="C9" s="4"/>
      <c r="D9" s="4"/>
      <c r="E9" s="4"/>
      <c r="F9" s="4"/>
      <c r="G9" s="4"/>
    </row>
    <row r="10" spans="1:7" x14ac:dyDescent="0.25">
      <c r="A10" s="5" t="s">
        <v>53</v>
      </c>
      <c r="B10" s="13">
        <v>326</v>
      </c>
      <c r="C10" s="13">
        <v>326</v>
      </c>
      <c r="D10" s="6"/>
      <c r="E10" s="6"/>
      <c r="F10" s="6"/>
      <c r="G10" s="4"/>
    </row>
    <row r="11" spans="1:7" x14ac:dyDescent="0.25">
      <c r="A11" s="5" t="s">
        <v>82</v>
      </c>
      <c r="B11" s="13">
        <v>480</v>
      </c>
      <c r="C11" s="13">
        <v>480</v>
      </c>
      <c r="D11" s="6"/>
      <c r="E11" s="6"/>
      <c r="F11" s="6"/>
      <c r="G11" s="4"/>
    </row>
    <row r="12" spans="1:7" x14ac:dyDescent="0.25">
      <c r="A12" s="5" t="s">
        <v>83</v>
      </c>
      <c r="B12" s="13">
        <f>C12</f>
        <v>458.66666666666669</v>
      </c>
      <c r="C12" s="13">
        <v>458.66666666666669</v>
      </c>
      <c r="D12" s="4"/>
    </row>
    <row r="13" spans="1:7" x14ac:dyDescent="0.25">
      <c r="A13" s="5" t="s">
        <v>84</v>
      </c>
      <c r="B13" s="13">
        <v>480</v>
      </c>
      <c r="C13" s="13">
        <v>480</v>
      </c>
      <c r="D13" s="6"/>
      <c r="E13" s="6"/>
      <c r="F13" s="6"/>
      <c r="G13" s="4"/>
    </row>
    <row r="14" spans="1:7" x14ac:dyDescent="0.25">
      <c r="B14" s="6"/>
      <c r="C14" s="6"/>
      <c r="D14" s="6"/>
      <c r="E14" s="6"/>
      <c r="F14" s="6"/>
      <c r="G14" s="4"/>
    </row>
    <row r="15" spans="1:7" x14ac:dyDescent="0.25">
      <c r="A15" s="7" t="s">
        <v>8</v>
      </c>
      <c r="B15" s="6"/>
      <c r="C15" s="6"/>
      <c r="D15" s="6"/>
      <c r="E15" s="6"/>
      <c r="F15" s="6"/>
      <c r="G15" s="4"/>
    </row>
    <row r="16" spans="1:7" x14ac:dyDescent="0.25">
      <c r="A16" s="5" t="s">
        <v>53</v>
      </c>
      <c r="B16" s="44">
        <f>SUM(D16:F16)</f>
        <v>35702089.990000002</v>
      </c>
      <c r="C16" s="37"/>
      <c r="D16" s="44">
        <v>35702089.990000002</v>
      </c>
      <c r="E16" s="48">
        <v>0</v>
      </c>
      <c r="F16" s="44">
        <v>0</v>
      </c>
      <c r="G16" s="38"/>
    </row>
    <row r="17" spans="1:8" x14ac:dyDescent="0.25">
      <c r="A17" s="5" t="s">
        <v>82</v>
      </c>
      <c r="B17" s="25">
        <f>SUM(D17:F17)</f>
        <v>497593372</v>
      </c>
      <c r="C17" s="25"/>
      <c r="D17" s="25">
        <v>46510879</v>
      </c>
      <c r="E17" s="25">
        <v>8000000</v>
      </c>
      <c r="F17" s="25">
        <v>443082493</v>
      </c>
      <c r="G17" s="4"/>
    </row>
    <row r="18" spans="1:8" x14ac:dyDescent="0.25">
      <c r="A18" s="5" t="s">
        <v>83</v>
      </c>
      <c r="B18" s="25">
        <f>SUM(D18:F18)</f>
        <v>49302176.659999996</v>
      </c>
      <c r="C18" s="25"/>
      <c r="D18" s="52">
        <v>38104238.93</v>
      </c>
      <c r="E18" s="26">
        <v>7216661.7300000004</v>
      </c>
      <c r="F18" s="25">
        <v>3981276</v>
      </c>
      <c r="G18" s="4"/>
    </row>
    <row r="19" spans="1:8" x14ac:dyDescent="0.25">
      <c r="A19" s="5" t="s">
        <v>84</v>
      </c>
      <c r="B19" s="25">
        <f>SUM(D19:F19)</f>
        <v>1055593372</v>
      </c>
      <c r="C19" s="25"/>
      <c r="D19" s="25">
        <v>204510879</v>
      </c>
      <c r="E19" s="25">
        <v>8000000</v>
      </c>
      <c r="F19" s="25">
        <v>843082493</v>
      </c>
      <c r="G19" s="4"/>
    </row>
    <row r="20" spans="1:8" x14ac:dyDescent="0.25">
      <c r="A20" s="5" t="s">
        <v>85</v>
      </c>
      <c r="B20" s="6">
        <f>D20+E20+F20</f>
        <v>49302176.659999996</v>
      </c>
      <c r="C20" s="6"/>
      <c r="D20" s="6">
        <f>D18</f>
        <v>38104238.93</v>
      </c>
      <c r="E20" s="6">
        <f>E18</f>
        <v>7216661.7300000004</v>
      </c>
      <c r="F20" s="6">
        <f>F18</f>
        <v>3981276</v>
      </c>
      <c r="G20" s="4"/>
    </row>
    <row r="21" spans="1:8" x14ac:dyDescent="0.25">
      <c r="B21" s="6"/>
      <c r="C21" s="6"/>
      <c r="D21" s="6"/>
      <c r="E21" s="6"/>
      <c r="F21" s="6"/>
      <c r="G21" s="4"/>
    </row>
    <row r="22" spans="1:8" x14ac:dyDescent="0.25">
      <c r="A22" s="5" t="s">
        <v>9</v>
      </c>
      <c r="B22" s="6"/>
      <c r="C22" s="6"/>
      <c r="D22" s="6"/>
      <c r="E22" s="6"/>
      <c r="F22" s="6"/>
      <c r="G22" s="4"/>
    </row>
    <row r="23" spans="1:8" x14ac:dyDescent="0.25">
      <c r="A23" s="5" t="s">
        <v>82</v>
      </c>
      <c r="B23" s="13">
        <f>B17</f>
        <v>497593372</v>
      </c>
      <c r="C23" s="13"/>
      <c r="D23" s="32"/>
      <c r="E23" s="6"/>
      <c r="F23" s="6"/>
      <c r="G23" s="4"/>
      <c r="H23" s="8"/>
    </row>
    <row r="24" spans="1:8" x14ac:dyDescent="0.25">
      <c r="A24" s="5" t="s">
        <v>83</v>
      </c>
      <c r="B24" s="13">
        <v>204510879</v>
      </c>
      <c r="C24" s="13"/>
      <c r="D24" s="47"/>
      <c r="E24" s="6"/>
      <c r="F24" s="6"/>
      <c r="G24" s="38"/>
      <c r="H24" s="8"/>
    </row>
    <row r="25" spans="1:8" x14ac:dyDescent="0.25">
      <c r="B25" s="6"/>
      <c r="C25" s="6"/>
      <c r="D25" s="6"/>
      <c r="E25" s="6"/>
      <c r="F25" s="6"/>
      <c r="G25" s="4"/>
    </row>
    <row r="26" spans="1:8" x14ac:dyDescent="0.25">
      <c r="A26" t="s">
        <v>10</v>
      </c>
      <c r="B26" s="6"/>
      <c r="C26" s="6"/>
      <c r="D26" s="6"/>
      <c r="E26" s="6"/>
      <c r="F26" s="6"/>
      <c r="G26" s="4"/>
    </row>
    <row r="27" spans="1:8" x14ac:dyDescent="0.25">
      <c r="A27" t="s">
        <v>54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4"/>
    </row>
    <row r="28" spans="1:8" x14ac:dyDescent="0.25">
      <c r="A28" t="s">
        <v>86</v>
      </c>
      <c r="B28" s="6">
        <v>1</v>
      </c>
      <c r="C28" s="6">
        <v>1</v>
      </c>
      <c r="D28" s="6">
        <v>1</v>
      </c>
      <c r="E28" s="6">
        <v>1</v>
      </c>
      <c r="F28" s="6">
        <v>1</v>
      </c>
      <c r="G28" s="4"/>
    </row>
    <row r="29" spans="1:8" x14ac:dyDescent="0.25">
      <c r="A29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4"/>
    </row>
    <row r="30" spans="1:8" x14ac:dyDescent="0.25">
      <c r="B30" s="6"/>
      <c r="C30" s="6"/>
      <c r="D30" s="6"/>
      <c r="E30" s="6"/>
      <c r="F30" s="6"/>
      <c r="G30" s="4"/>
    </row>
    <row r="31" spans="1:8" x14ac:dyDescent="0.25">
      <c r="A31" t="s">
        <v>12</v>
      </c>
      <c r="B31" s="6"/>
      <c r="C31" s="6"/>
      <c r="D31" s="6"/>
      <c r="E31" s="6"/>
      <c r="F31" s="6"/>
      <c r="G31" s="4"/>
    </row>
    <row r="32" spans="1:8" x14ac:dyDescent="0.25">
      <c r="A32" t="s">
        <v>55</v>
      </c>
      <c r="B32" s="25">
        <f>B16/B27</f>
        <v>36062717.161616161</v>
      </c>
      <c r="C32" s="25">
        <f>C16/C27</f>
        <v>0</v>
      </c>
      <c r="D32" s="25">
        <f>D16/D27</f>
        <v>36062717.161616161</v>
      </c>
      <c r="E32" s="25">
        <f t="shared" ref="E32:F32" si="0">E16/E27</f>
        <v>0</v>
      </c>
      <c r="F32" s="25">
        <f t="shared" si="0"/>
        <v>0</v>
      </c>
      <c r="G32" s="6"/>
    </row>
    <row r="33" spans="1:7" x14ac:dyDescent="0.25">
      <c r="A33" t="s">
        <v>87</v>
      </c>
      <c r="B33" s="25">
        <f>B18/B28</f>
        <v>49302176.659999996</v>
      </c>
      <c r="C33" s="25">
        <f>C18/C28</f>
        <v>0</v>
      </c>
      <c r="D33" s="25">
        <f>D18/D28</f>
        <v>38104238.93</v>
      </c>
      <c r="E33" s="25">
        <f>E18/E28</f>
        <v>7216661.7300000004</v>
      </c>
      <c r="F33" s="25">
        <f t="shared" ref="F33" si="1">F18/F28</f>
        <v>3981276</v>
      </c>
      <c r="G33" s="4"/>
    </row>
    <row r="34" spans="1:7" x14ac:dyDescent="0.25">
      <c r="A34" t="s">
        <v>56</v>
      </c>
      <c r="B34" s="25">
        <f>B32/$B$10</f>
        <v>110621.83178409866</v>
      </c>
      <c r="C34" s="25">
        <f>C32/C10</f>
        <v>0</v>
      </c>
      <c r="D34" s="44">
        <f>D32/$C$10</f>
        <v>110621.83178409866</v>
      </c>
      <c r="E34" s="44">
        <f t="shared" ref="E34:F34" si="2">E32/$C$10</f>
        <v>0</v>
      </c>
      <c r="F34" s="44">
        <f t="shared" si="2"/>
        <v>0</v>
      </c>
      <c r="G34" s="39"/>
    </row>
    <row r="35" spans="1:7" x14ac:dyDescent="0.25">
      <c r="A35" t="s">
        <v>88</v>
      </c>
      <c r="B35" s="25">
        <f>B33/$B$12</f>
        <v>107490.21074127906</v>
      </c>
      <c r="C35" s="25">
        <f>C33/C12</f>
        <v>0</v>
      </c>
      <c r="D35" s="44">
        <f>D33/$C$12</f>
        <v>83076.102318313948</v>
      </c>
      <c r="E35" s="44">
        <f t="shared" ref="E35:F35" si="3">E33/$C$12</f>
        <v>15734.000864825583</v>
      </c>
      <c r="F35" s="44">
        <f t="shared" si="3"/>
        <v>8680.1075581395344</v>
      </c>
    </row>
    <row r="36" spans="1:7" x14ac:dyDescent="0.25">
      <c r="B36" s="6"/>
      <c r="C36" s="6"/>
      <c r="D36" s="6"/>
      <c r="E36" s="6"/>
      <c r="F36" s="6"/>
      <c r="G36" s="4"/>
    </row>
    <row r="37" spans="1:7" x14ac:dyDescent="0.25">
      <c r="A37" s="3" t="s">
        <v>13</v>
      </c>
      <c r="B37" s="6"/>
      <c r="C37" s="6"/>
      <c r="D37" s="6"/>
      <c r="E37" s="6"/>
      <c r="F37" s="6"/>
      <c r="G37" s="4"/>
    </row>
    <row r="38" spans="1:7" x14ac:dyDescent="0.25">
      <c r="B38" s="6"/>
      <c r="C38" s="6"/>
      <c r="D38" s="6"/>
      <c r="E38" s="6"/>
      <c r="F38" s="6"/>
      <c r="G38" s="4"/>
    </row>
    <row r="39" spans="1:7" x14ac:dyDescent="0.25">
      <c r="A39" t="s">
        <v>14</v>
      </c>
      <c r="B39" s="6"/>
      <c r="C39" s="6"/>
      <c r="D39" s="6"/>
      <c r="E39" s="6"/>
      <c r="F39" s="6"/>
      <c r="G39" s="4"/>
    </row>
    <row r="40" spans="1:7" x14ac:dyDescent="0.25">
      <c r="A40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4"/>
    </row>
    <row r="41" spans="1:7" x14ac:dyDescent="0.25">
      <c r="A41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4"/>
    </row>
    <row r="42" spans="1:7" x14ac:dyDescent="0.25">
      <c r="B42" s="6"/>
      <c r="C42" s="6"/>
      <c r="D42" s="6"/>
      <c r="E42" s="6"/>
      <c r="F42" s="6"/>
      <c r="G42" s="4"/>
    </row>
    <row r="43" spans="1:7" x14ac:dyDescent="0.25">
      <c r="A43" t="s">
        <v>17</v>
      </c>
      <c r="B43" s="6"/>
      <c r="C43" s="6"/>
      <c r="D43" s="6"/>
      <c r="E43" s="6"/>
      <c r="F43" s="6"/>
      <c r="G43" s="4"/>
    </row>
    <row r="44" spans="1:7" x14ac:dyDescent="0.25">
      <c r="A44" t="s">
        <v>18</v>
      </c>
      <c r="B44" s="6">
        <f>B12/B11*100</f>
        <v>95.555555555555557</v>
      </c>
      <c r="C44" s="6">
        <f>C12/C11*100</f>
        <v>95.555555555555557</v>
      </c>
      <c r="D44" s="6"/>
      <c r="E44" s="6"/>
      <c r="F44" s="6"/>
      <c r="G44" s="38"/>
    </row>
    <row r="45" spans="1:7" x14ac:dyDescent="0.25">
      <c r="A45" t="s">
        <v>19</v>
      </c>
      <c r="B45" s="6">
        <f>B18/B17*100</f>
        <v>9.9081256773653319</v>
      </c>
      <c r="C45" s="6"/>
      <c r="D45" s="6">
        <f>D18/D17*100</f>
        <v>81.925432821856575</v>
      </c>
      <c r="E45" s="6">
        <f t="shared" ref="E45" si="4">E18/E17*100</f>
        <v>90.208271625000009</v>
      </c>
      <c r="F45" s="6">
        <f>F18/F17*100</f>
        <v>0.8985405794401361</v>
      </c>
      <c r="G45" s="4"/>
    </row>
    <row r="46" spans="1:7" x14ac:dyDescent="0.25">
      <c r="A46" t="s">
        <v>20</v>
      </c>
      <c r="B46" s="6">
        <f>AVERAGE(B44:B45)</f>
        <v>52.731840616460445</v>
      </c>
      <c r="C46" s="6">
        <f>AVERAGE(C44:C45)</f>
        <v>95.555555555555557</v>
      </c>
      <c r="D46" s="6">
        <f t="shared" ref="D46:F46" si="5">AVERAGE(D44:D45)</f>
        <v>81.925432821856575</v>
      </c>
      <c r="E46" s="6">
        <f t="shared" si="5"/>
        <v>90.208271625000009</v>
      </c>
      <c r="F46" s="6">
        <f t="shared" si="5"/>
        <v>0.8985405794401361</v>
      </c>
      <c r="G46" s="4"/>
    </row>
    <row r="47" spans="1:7" x14ac:dyDescent="0.25">
      <c r="B47" s="6"/>
      <c r="C47" s="6"/>
      <c r="D47" s="6"/>
      <c r="E47" s="6"/>
      <c r="F47" s="6"/>
      <c r="G47" s="4"/>
    </row>
    <row r="48" spans="1:7" x14ac:dyDescent="0.25">
      <c r="A48" t="s">
        <v>21</v>
      </c>
      <c r="B48" s="6"/>
      <c r="C48" s="6"/>
      <c r="D48" s="6"/>
      <c r="E48" s="6"/>
      <c r="F48" s="6"/>
      <c r="G48" s="4"/>
    </row>
    <row r="49" spans="1:7" x14ac:dyDescent="0.25">
      <c r="A49" t="s">
        <v>22</v>
      </c>
      <c r="B49" s="6">
        <f>(B12/B13)*100</f>
        <v>95.555555555555557</v>
      </c>
      <c r="C49" s="6">
        <f t="shared" ref="C49" si="6">(C12/C13)*100</f>
        <v>95.555555555555557</v>
      </c>
      <c r="D49" s="6"/>
      <c r="E49" s="6"/>
      <c r="F49" s="6"/>
      <c r="G49" s="4"/>
    </row>
    <row r="50" spans="1:7" x14ac:dyDescent="0.25">
      <c r="A50" t="s">
        <v>23</v>
      </c>
      <c r="B50" s="6">
        <f>B18/B19*100</f>
        <v>4.6705651975238052</v>
      </c>
      <c r="C50" s="6"/>
      <c r="D50" s="6">
        <f t="shared" ref="D50:F50" si="7">D18/D19*100</f>
        <v>18.631888492347638</v>
      </c>
      <c r="E50" s="6">
        <f t="shared" si="7"/>
        <v>90.208271625000009</v>
      </c>
      <c r="F50" s="6">
        <f t="shared" si="7"/>
        <v>0.47222852248220037</v>
      </c>
      <c r="G50" s="4"/>
    </row>
    <row r="51" spans="1:7" x14ac:dyDescent="0.25">
      <c r="A51" t="s">
        <v>24</v>
      </c>
      <c r="B51" s="6">
        <f>AVERAGE(B49:B50)</f>
        <v>50.113060376539678</v>
      </c>
      <c r="C51" s="6">
        <f t="shared" ref="C51:F51" si="8">AVERAGE(C49:C50)</f>
        <v>95.555555555555557</v>
      </c>
      <c r="D51" s="6">
        <f t="shared" si="8"/>
        <v>18.631888492347638</v>
      </c>
      <c r="E51" s="6">
        <f t="shared" si="8"/>
        <v>90.208271625000009</v>
      </c>
      <c r="F51" s="6">
        <f t="shared" si="8"/>
        <v>0.47222852248220037</v>
      </c>
      <c r="G51" s="4"/>
    </row>
    <row r="52" spans="1:7" x14ac:dyDescent="0.25">
      <c r="B52" s="6"/>
      <c r="C52" s="6"/>
      <c r="D52" s="6"/>
      <c r="E52" s="6"/>
      <c r="F52" s="6"/>
      <c r="G52" s="4"/>
    </row>
    <row r="53" spans="1:7" x14ac:dyDescent="0.25">
      <c r="A53" t="s">
        <v>36</v>
      </c>
      <c r="B53" s="6"/>
      <c r="C53" s="6"/>
      <c r="D53" s="6"/>
      <c r="E53" s="6"/>
      <c r="F53" s="6"/>
      <c r="G53" s="4"/>
    </row>
    <row r="54" spans="1:7" x14ac:dyDescent="0.25">
      <c r="A54" t="s">
        <v>25</v>
      </c>
      <c r="B54" s="6">
        <f>B20/B18*100</f>
        <v>100</v>
      </c>
      <c r="C54" s="6" t="e">
        <f t="shared" ref="C54:F54" si="9">C20/C18*100</f>
        <v>#DIV/0!</v>
      </c>
      <c r="D54" s="6">
        <f t="shared" si="9"/>
        <v>100</v>
      </c>
      <c r="E54" s="6">
        <f t="shared" si="9"/>
        <v>100</v>
      </c>
      <c r="F54" s="6">
        <f t="shared" si="9"/>
        <v>100</v>
      </c>
      <c r="G54" s="6"/>
    </row>
    <row r="55" spans="1:7" x14ac:dyDescent="0.25">
      <c r="B55" s="6"/>
      <c r="C55" s="6"/>
      <c r="D55" s="6"/>
      <c r="E55" s="6"/>
      <c r="F55" s="6"/>
      <c r="G55" s="4"/>
    </row>
    <row r="56" spans="1:7" x14ac:dyDescent="0.25">
      <c r="A56" t="s">
        <v>26</v>
      </c>
      <c r="B56" s="6"/>
      <c r="C56" s="6"/>
      <c r="D56" s="6"/>
      <c r="E56" s="6"/>
      <c r="F56" s="6"/>
      <c r="G56" s="4"/>
    </row>
    <row r="57" spans="1:7" x14ac:dyDescent="0.25">
      <c r="A57" t="s">
        <v>27</v>
      </c>
      <c r="B57" s="6">
        <f>((B12/B10)-1)*100</f>
        <v>40.695296523517399</v>
      </c>
      <c r="C57" s="6">
        <f>((C12/C10)-1)*100</f>
        <v>40.695296523517399</v>
      </c>
      <c r="D57" s="6" t="e">
        <f t="shared" ref="D57:F57" si="10">((D12/D10)-1)*100</f>
        <v>#DIV/0!</v>
      </c>
      <c r="E57" s="6" t="e">
        <f t="shared" si="10"/>
        <v>#DIV/0!</v>
      </c>
      <c r="F57" s="6" t="e">
        <f t="shared" si="10"/>
        <v>#DIV/0!</v>
      </c>
      <c r="G57" s="4"/>
    </row>
    <row r="58" spans="1:7" x14ac:dyDescent="0.25">
      <c r="A58" t="s">
        <v>28</v>
      </c>
      <c r="B58" s="6">
        <f>((B33/B32)-1)*100</f>
        <v>36.712318262239641</v>
      </c>
      <c r="C58" s="6" t="e">
        <f>((C33/C32)-1)*100</f>
        <v>#DIV/0!</v>
      </c>
      <c r="D58" s="6">
        <f t="shared" ref="D58:F58" si="11">((D33/D32)-1)*100</f>
        <v>5.6610314725723532</v>
      </c>
      <c r="E58" s="6" t="e">
        <f t="shared" si="11"/>
        <v>#DIV/0!</v>
      </c>
      <c r="F58" s="6" t="e">
        <f t="shared" si="11"/>
        <v>#DIV/0!</v>
      </c>
      <c r="G58" s="4"/>
    </row>
    <row r="59" spans="1:7" x14ac:dyDescent="0.25">
      <c r="A59" t="s">
        <v>29</v>
      </c>
      <c r="B59" s="6">
        <f>((B35/B34)-1)*100</f>
        <v>-2.8309249560535155</v>
      </c>
      <c r="C59" s="6" t="e">
        <f>((C35/C34)-1)*100</f>
        <v>#DIV/0!</v>
      </c>
      <c r="D59" s="6">
        <f t="shared" ref="D59:F59" si="12">((D35/D34)-1)*100</f>
        <v>-24.9008075725467</v>
      </c>
      <c r="E59" s="6" t="e">
        <f t="shared" si="12"/>
        <v>#DIV/0!</v>
      </c>
      <c r="F59" s="6" t="e">
        <f t="shared" si="12"/>
        <v>#DIV/0!</v>
      </c>
      <c r="G59" s="4"/>
    </row>
    <row r="60" spans="1:7" x14ac:dyDescent="0.25">
      <c r="B60" s="6"/>
      <c r="C60" s="6"/>
      <c r="D60" s="6"/>
      <c r="E60" s="6"/>
      <c r="F60" s="6"/>
      <c r="G60" s="4"/>
    </row>
    <row r="61" spans="1:7" x14ac:dyDescent="0.25">
      <c r="A61" t="s">
        <v>30</v>
      </c>
      <c r="B61" s="6"/>
      <c r="C61" s="6"/>
      <c r="D61" s="6"/>
      <c r="E61" s="6"/>
      <c r="F61" s="6"/>
      <c r="G61" s="4"/>
    </row>
    <row r="62" spans="1:7" x14ac:dyDescent="0.25">
      <c r="A62" t="s">
        <v>37</v>
      </c>
      <c r="B62" s="47">
        <f>B17/($B$11*2)</f>
        <v>518326.42916666664</v>
      </c>
      <c r="C62" s="47">
        <f>B17/(C11*2)</f>
        <v>518326.42916666664</v>
      </c>
      <c r="D62" s="49">
        <f>D17/($C$11*2)</f>
        <v>48448.832291666666</v>
      </c>
      <c r="E62" s="49">
        <f>E17/($C$11*2)</f>
        <v>8333.3333333333339</v>
      </c>
      <c r="F62" s="49">
        <f>F17/($C$11*2)</f>
        <v>461544.26354166667</v>
      </c>
      <c r="G62" s="39"/>
    </row>
    <row r="63" spans="1:7" x14ac:dyDescent="0.25">
      <c r="A63" t="s">
        <v>38</v>
      </c>
      <c r="B63" s="47">
        <f>B18/($B$12*2)</f>
        <v>53745.105370639532</v>
      </c>
      <c r="C63" s="47">
        <f>B18/(C12*2)</f>
        <v>53745.105370639532</v>
      </c>
      <c r="D63" s="49">
        <f>D18/($C$12*2)</f>
        <v>41538.051159156974</v>
      </c>
      <c r="E63" s="49">
        <f>E18/($C$12*2)</f>
        <v>7867.0004324127913</v>
      </c>
      <c r="F63" s="49">
        <f>F18/($C$12*2)</f>
        <v>4340.0537790697672</v>
      </c>
      <c r="G63" s="8"/>
    </row>
    <row r="64" spans="1:7" x14ac:dyDescent="0.25">
      <c r="A64" s="16" t="s">
        <v>31</v>
      </c>
      <c r="B64" s="42">
        <f>(B63/B62)*B46</f>
        <v>5.467748065395571</v>
      </c>
      <c r="C64" s="42">
        <f>(C63/C62)*C46</f>
        <v>9.9081256773653337</v>
      </c>
      <c r="D64" s="42"/>
      <c r="E64" s="42"/>
      <c r="F64" s="42"/>
      <c r="G64" s="4"/>
    </row>
    <row r="65" spans="1:12" x14ac:dyDescent="0.25">
      <c r="A65" s="14" t="s">
        <v>39</v>
      </c>
      <c r="B65" s="47">
        <f>B17/($B$11)</f>
        <v>1036652.8583333333</v>
      </c>
      <c r="C65" s="47">
        <f>B17/(C11)</f>
        <v>1036652.8583333333</v>
      </c>
      <c r="D65" s="47">
        <f>D17/($C$11)</f>
        <v>96897.664583333331</v>
      </c>
      <c r="E65" s="47">
        <f t="shared" ref="E65:F65" si="13">E17/($C$11)</f>
        <v>16666.666666666668</v>
      </c>
      <c r="F65" s="47">
        <f t="shared" si="13"/>
        <v>923088.52708333335</v>
      </c>
      <c r="G65" s="4"/>
    </row>
    <row r="66" spans="1:12" x14ac:dyDescent="0.25">
      <c r="A66" s="14" t="s">
        <v>40</v>
      </c>
      <c r="B66" s="47">
        <f>B18/($B$12)</f>
        <v>107490.21074127906</v>
      </c>
      <c r="C66" s="47">
        <f>B18/(C12)</f>
        <v>107490.21074127906</v>
      </c>
      <c r="D66" s="47">
        <f>D18/($C$12)</f>
        <v>83076.102318313948</v>
      </c>
      <c r="E66" s="47">
        <f t="shared" ref="E66:F66" si="14">E18/($C$12)</f>
        <v>15734.000864825583</v>
      </c>
      <c r="F66" s="47">
        <f t="shared" si="14"/>
        <v>8680.1075581395344</v>
      </c>
      <c r="G66" s="4"/>
    </row>
    <row r="67" spans="1:12" x14ac:dyDescent="0.25">
      <c r="B67" s="6"/>
      <c r="C67" s="6"/>
      <c r="D67" s="6"/>
      <c r="E67" s="6"/>
      <c r="F67" s="6"/>
      <c r="G67" s="4"/>
    </row>
    <row r="68" spans="1:12" x14ac:dyDescent="0.25">
      <c r="A68" t="s">
        <v>32</v>
      </c>
      <c r="B68" s="6"/>
      <c r="C68" s="6"/>
      <c r="D68" s="6"/>
      <c r="E68" s="6"/>
      <c r="F68" s="6"/>
      <c r="G68" s="4"/>
    </row>
    <row r="69" spans="1:12" x14ac:dyDescent="0.25">
      <c r="A69" t="s">
        <v>33</v>
      </c>
      <c r="B69" s="42">
        <f>((B24+D24)/B23)*100</f>
        <v>41.100000624606395</v>
      </c>
      <c r="C69" s="6"/>
      <c r="D69" s="6"/>
      <c r="E69" s="6"/>
      <c r="F69" s="6"/>
      <c r="G69" s="39"/>
      <c r="H69" s="8"/>
    </row>
    <row r="70" spans="1:12" x14ac:dyDescent="0.25">
      <c r="A70" t="s">
        <v>34</v>
      </c>
      <c r="B70" s="42">
        <f>(B18/(B24+D24))*100</f>
        <v>24.107361379049177</v>
      </c>
      <c r="C70" s="6"/>
      <c r="D70" s="6"/>
      <c r="E70" s="6"/>
      <c r="F70" s="6"/>
      <c r="G70" s="4"/>
      <c r="H70" s="8"/>
    </row>
    <row r="71" spans="1:12" ht="15.75" thickBot="1" x14ac:dyDescent="0.3">
      <c r="A71" s="9"/>
      <c r="B71" s="9"/>
      <c r="C71" s="9"/>
      <c r="D71" s="9"/>
      <c r="E71" s="9"/>
      <c r="F71" s="9"/>
    </row>
    <row r="72" spans="1:12" ht="15.75" thickTop="1" x14ac:dyDescent="0.25"/>
    <row r="73" spans="1:12" x14ac:dyDescent="0.25">
      <c r="A73" s="10" t="s">
        <v>35</v>
      </c>
    </row>
    <row r="74" spans="1:12" x14ac:dyDescent="0.25">
      <c r="A74" s="11" t="s">
        <v>89</v>
      </c>
    </row>
    <row r="75" spans="1:12" x14ac:dyDescent="0.25">
      <c r="A75" s="11" t="s">
        <v>90</v>
      </c>
      <c r="B75" s="12"/>
      <c r="C75" s="12"/>
      <c r="D75" s="12"/>
      <c r="E75" s="12"/>
    </row>
    <row r="76" spans="1:12" x14ac:dyDescent="0.25">
      <c r="A76" s="34" t="s">
        <v>91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</row>
    <row r="77" spans="1:12" x14ac:dyDescent="0.25">
      <c r="A77" s="11" t="s">
        <v>49</v>
      </c>
      <c r="B77" s="12"/>
      <c r="C77" s="12"/>
      <c r="D77" s="12"/>
      <c r="E77" s="12"/>
    </row>
    <row r="78" spans="1:12" x14ac:dyDescent="0.25">
      <c r="A78" s="33" t="s">
        <v>50</v>
      </c>
    </row>
    <row r="79" spans="1:12" x14ac:dyDescent="0.25">
      <c r="A79" s="15" t="s">
        <v>45</v>
      </c>
    </row>
    <row r="80" spans="1:12" x14ac:dyDescent="0.25">
      <c r="A80" s="15" t="s">
        <v>46</v>
      </c>
    </row>
    <row r="81" spans="1:1" x14ac:dyDescent="0.25">
      <c r="A81" s="51"/>
    </row>
    <row r="82" spans="1:1" x14ac:dyDescent="0.25">
      <c r="A82" s="25" t="s">
        <v>134</v>
      </c>
    </row>
    <row r="165" spans="1:5" x14ac:dyDescent="0.25">
      <c r="A165" s="27"/>
      <c r="B165" s="27"/>
      <c r="C165" s="27"/>
      <c r="D165" s="27"/>
      <c r="E165" s="27"/>
    </row>
    <row r="166" spans="1:5" x14ac:dyDescent="0.25">
      <c r="A166" s="27"/>
      <c r="B166" s="31"/>
      <c r="C166" s="31"/>
      <c r="D166" s="31"/>
      <c r="E166" s="31"/>
    </row>
    <row r="167" spans="1:5" x14ac:dyDescent="0.25">
      <c r="A167" s="27"/>
      <c r="B167" s="31"/>
      <c r="C167" s="31"/>
      <c r="D167" s="31"/>
      <c r="E167" s="31"/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zoomScale="70" zoomScaleNormal="70" workbookViewId="0">
      <selection activeCell="D19" sqref="D19:F19"/>
    </sheetView>
  </sheetViews>
  <sheetFormatPr baseColWidth="10" defaultColWidth="11.42578125" defaultRowHeight="15" x14ac:dyDescent="0.25"/>
  <cols>
    <col min="1" max="1" width="55.140625" customWidth="1"/>
    <col min="2" max="2" width="18.28515625" customWidth="1"/>
    <col min="3" max="3" width="13.85546875" customWidth="1"/>
    <col min="4" max="4" width="20.7109375" customWidth="1"/>
    <col min="5" max="5" width="13.7109375" customWidth="1"/>
    <col min="6" max="6" width="19.42578125" customWidth="1"/>
    <col min="7" max="7" width="13.7109375" bestFit="1" customWidth="1"/>
  </cols>
  <sheetData>
    <row r="2" spans="1:7" ht="15.75" x14ac:dyDescent="0.25">
      <c r="A2" s="53" t="s">
        <v>92</v>
      </c>
      <c r="B2" s="53"/>
      <c r="C2" s="53"/>
      <c r="D2" s="53"/>
      <c r="E2" s="53"/>
      <c r="F2" s="53"/>
    </row>
    <row r="4" spans="1:7" ht="15" customHeight="1" x14ac:dyDescent="0.25">
      <c r="A4" s="54" t="s">
        <v>0</v>
      </c>
      <c r="B4" s="59" t="s">
        <v>1</v>
      </c>
      <c r="C4" s="59" t="s">
        <v>51</v>
      </c>
      <c r="D4" s="58" t="s">
        <v>2</v>
      </c>
      <c r="E4" s="58"/>
      <c r="F4" s="58"/>
    </row>
    <row r="5" spans="1:7" ht="15.75" thickBot="1" x14ac:dyDescent="0.3">
      <c r="A5" s="55"/>
      <c r="B5" s="60"/>
      <c r="C5" s="60"/>
      <c r="D5" s="1" t="s">
        <v>3</v>
      </c>
      <c r="E5" s="2" t="s">
        <v>4</v>
      </c>
      <c r="F5" s="2" t="s">
        <v>5</v>
      </c>
    </row>
    <row r="6" spans="1:7" ht="15.75" thickTop="1" x14ac:dyDescent="0.25"/>
    <row r="7" spans="1:7" x14ac:dyDescent="0.25">
      <c r="A7" s="3" t="s">
        <v>6</v>
      </c>
    </row>
    <row r="8" spans="1:7" x14ac:dyDescent="0.25">
      <c r="B8" s="4"/>
      <c r="C8" s="4"/>
      <c r="D8" s="4"/>
      <c r="E8" s="4"/>
      <c r="F8" s="4"/>
      <c r="G8" s="4"/>
    </row>
    <row r="9" spans="1:7" x14ac:dyDescent="0.25">
      <c r="A9" t="s">
        <v>7</v>
      </c>
      <c r="B9" s="4"/>
      <c r="C9" s="4"/>
      <c r="D9" s="4"/>
      <c r="E9" s="4"/>
      <c r="F9" s="4"/>
      <c r="G9" s="4"/>
    </row>
    <row r="10" spans="1:7" x14ac:dyDescent="0.25">
      <c r="A10" s="5" t="s">
        <v>57</v>
      </c>
      <c r="B10" s="13">
        <v>473</v>
      </c>
      <c r="C10" s="13">
        <v>473</v>
      </c>
      <c r="D10" s="6"/>
      <c r="E10" s="6"/>
      <c r="F10" s="6"/>
      <c r="G10" s="4"/>
    </row>
    <row r="11" spans="1:7" x14ac:dyDescent="0.25">
      <c r="A11" s="5" t="s">
        <v>93</v>
      </c>
      <c r="B11" s="13">
        <v>480</v>
      </c>
      <c r="C11" s="13">
        <v>480</v>
      </c>
      <c r="D11" s="6"/>
      <c r="E11" s="6"/>
      <c r="F11" s="6"/>
      <c r="G11" s="4"/>
    </row>
    <row r="12" spans="1:7" x14ac:dyDescent="0.25">
      <c r="A12" s="5" t="s">
        <v>94</v>
      </c>
      <c r="B12" s="13">
        <f>C12</f>
        <v>433.33333333333331</v>
      </c>
      <c r="C12" s="13">
        <v>433.33333333333331</v>
      </c>
      <c r="D12" s="4"/>
    </row>
    <row r="13" spans="1:7" x14ac:dyDescent="0.25">
      <c r="A13" s="5" t="s">
        <v>84</v>
      </c>
      <c r="B13" s="13">
        <v>480</v>
      </c>
      <c r="C13" s="13">
        <v>480</v>
      </c>
      <c r="D13" s="6"/>
      <c r="E13" s="6"/>
      <c r="F13" s="6"/>
      <c r="G13" s="4"/>
    </row>
    <row r="14" spans="1:7" x14ac:dyDescent="0.25">
      <c r="B14" s="6"/>
      <c r="C14" s="6"/>
      <c r="D14" s="6"/>
      <c r="E14" s="6"/>
      <c r="F14" s="6"/>
      <c r="G14" s="4"/>
    </row>
    <row r="15" spans="1:7" x14ac:dyDescent="0.25">
      <c r="A15" s="7" t="s">
        <v>8</v>
      </c>
      <c r="B15" s="6"/>
      <c r="C15" s="6"/>
      <c r="D15" s="6"/>
      <c r="E15" s="6"/>
      <c r="F15" s="6"/>
      <c r="G15" s="4"/>
    </row>
    <row r="16" spans="1:7" x14ac:dyDescent="0.25">
      <c r="A16" s="5" t="s">
        <v>57</v>
      </c>
      <c r="B16" s="13">
        <f>SUM(D16:F16)</f>
        <v>226345975.27000001</v>
      </c>
      <c r="C16" s="13"/>
      <c r="D16" s="13">
        <v>78564120.780000016</v>
      </c>
      <c r="E16" s="29">
        <v>9916826.5399999991</v>
      </c>
      <c r="F16" s="30">
        <v>137865027.94999999</v>
      </c>
      <c r="G16" s="4"/>
    </row>
    <row r="17" spans="1:8" x14ac:dyDescent="0.25">
      <c r="A17" s="5" t="s">
        <v>93</v>
      </c>
      <c r="B17" s="13">
        <f>SUM(D17:F17)</f>
        <v>379574991.94</v>
      </c>
      <c r="C17" s="13"/>
      <c r="D17" s="13">
        <v>63000000</v>
      </c>
      <c r="E17" s="13">
        <v>0</v>
      </c>
      <c r="F17" s="13">
        <v>316574991.94</v>
      </c>
      <c r="G17" s="4"/>
    </row>
    <row r="18" spans="1:8" x14ac:dyDescent="0.25">
      <c r="A18" s="5" t="s">
        <v>94</v>
      </c>
      <c r="B18" s="13">
        <f>SUM(D18:F18)</f>
        <v>67749094.680000007</v>
      </c>
      <c r="C18" s="13"/>
      <c r="D18" s="13">
        <v>65103669.930000007</v>
      </c>
      <c r="E18" s="29">
        <v>510000</v>
      </c>
      <c r="F18" s="30">
        <v>2135424.75</v>
      </c>
      <c r="G18" s="4"/>
    </row>
    <row r="19" spans="1:8" x14ac:dyDescent="0.25">
      <c r="A19" s="5" t="s">
        <v>84</v>
      </c>
      <c r="B19" s="13">
        <f>SUM(D19:F19)</f>
        <v>1072168363.9400001</v>
      </c>
      <c r="C19" s="13"/>
      <c r="D19" s="13">
        <v>204510879</v>
      </c>
      <c r="E19" s="13">
        <v>8000000</v>
      </c>
      <c r="F19" s="13">
        <v>859657484.94000006</v>
      </c>
      <c r="G19" s="4"/>
    </row>
    <row r="20" spans="1:8" x14ac:dyDescent="0.25">
      <c r="A20" s="5" t="s">
        <v>95</v>
      </c>
      <c r="B20" s="13">
        <f>D20+E20+F20</f>
        <v>67749094.680000007</v>
      </c>
      <c r="C20" s="13"/>
      <c r="D20" s="13">
        <f>D18</f>
        <v>65103669.930000007</v>
      </c>
      <c r="E20" s="13">
        <f t="shared" ref="E20:F20" si="0">E18</f>
        <v>510000</v>
      </c>
      <c r="F20" s="13">
        <f t="shared" si="0"/>
        <v>2135424.75</v>
      </c>
      <c r="G20" s="4"/>
    </row>
    <row r="21" spans="1:8" x14ac:dyDescent="0.25">
      <c r="B21" s="6"/>
      <c r="C21" s="6"/>
      <c r="D21" s="6"/>
      <c r="E21" s="6"/>
      <c r="F21" s="6"/>
      <c r="G21" s="4"/>
    </row>
    <row r="22" spans="1:8" x14ac:dyDescent="0.25">
      <c r="A22" s="5" t="s">
        <v>9</v>
      </c>
      <c r="B22" s="6"/>
      <c r="C22" s="6"/>
      <c r="D22" s="6"/>
      <c r="E22" s="6"/>
      <c r="F22" s="6"/>
      <c r="G22" s="4"/>
    </row>
    <row r="23" spans="1:8" x14ac:dyDescent="0.25">
      <c r="A23" s="5" t="s">
        <v>93</v>
      </c>
      <c r="B23" s="13">
        <f>B17</f>
        <v>379574991.94</v>
      </c>
      <c r="C23" s="13"/>
      <c r="D23" s="41"/>
      <c r="E23" s="6"/>
      <c r="F23" s="6"/>
      <c r="G23" s="38"/>
      <c r="H23" s="8"/>
    </row>
    <row r="24" spans="1:8" x14ac:dyDescent="0.25">
      <c r="A24" s="5" t="s">
        <v>94</v>
      </c>
      <c r="B24" s="13">
        <v>363000000</v>
      </c>
      <c r="C24" s="13"/>
      <c r="D24" s="40"/>
      <c r="E24" s="6"/>
      <c r="F24" s="6"/>
      <c r="G24" s="4"/>
      <c r="H24" s="8"/>
    </row>
    <row r="25" spans="1:8" x14ac:dyDescent="0.25">
      <c r="B25" s="6"/>
      <c r="C25" s="6"/>
      <c r="D25" s="6"/>
      <c r="E25" s="6"/>
      <c r="F25" s="6"/>
      <c r="G25" s="4"/>
    </row>
    <row r="26" spans="1:8" x14ac:dyDescent="0.25">
      <c r="A26" t="s">
        <v>10</v>
      </c>
      <c r="B26" s="6"/>
      <c r="C26" s="6"/>
      <c r="D26" s="6"/>
      <c r="E26" s="6"/>
      <c r="F26" s="6"/>
      <c r="G26" s="4"/>
    </row>
    <row r="27" spans="1:8" x14ac:dyDescent="0.25">
      <c r="A27" t="s">
        <v>58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4"/>
    </row>
    <row r="28" spans="1:8" x14ac:dyDescent="0.25">
      <c r="A28" t="s">
        <v>96</v>
      </c>
      <c r="B28" s="6">
        <v>1.01</v>
      </c>
      <c r="C28" s="6">
        <v>1.01</v>
      </c>
      <c r="D28" s="6">
        <v>1.01</v>
      </c>
      <c r="E28" s="6">
        <v>1.01</v>
      </c>
      <c r="F28" s="6">
        <v>1.01</v>
      </c>
      <c r="G28" s="4"/>
    </row>
    <row r="29" spans="1:8" x14ac:dyDescent="0.25">
      <c r="A29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4"/>
    </row>
    <row r="30" spans="1:8" x14ac:dyDescent="0.25">
      <c r="B30" s="6"/>
      <c r="C30" s="6"/>
      <c r="D30" s="6"/>
      <c r="E30" s="6"/>
      <c r="F30" s="6"/>
      <c r="G30" s="4"/>
    </row>
    <row r="31" spans="1:8" x14ac:dyDescent="0.25">
      <c r="A31" t="s">
        <v>12</v>
      </c>
      <c r="B31" s="6"/>
      <c r="C31" s="6"/>
      <c r="D31" s="6"/>
      <c r="E31" s="6"/>
      <c r="F31" s="6"/>
      <c r="G31" s="4"/>
    </row>
    <row r="32" spans="1:8" x14ac:dyDescent="0.25">
      <c r="A32" t="s">
        <v>59</v>
      </c>
      <c r="B32" s="13">
        <f>B16/B27</f>
        <v>228632298.25252527</v>
      </c>
      <c r="C32" s="13">
        <f>C16/C27</f>
        <v>0</v>
      </c>
      <c r="D32" s="25">
        <f>D16/D27</f>
        <v>79357697.75757578</v>
      </c>
      <c r="E32" s="25">
        <f t="shared" ref="E32:F32" si="1">E16/E27</f>
        <v>10016996.505050505</v>
      </c>
      <c r="F32" s="25">
        <f t="shared" si="1"/>
        <v>139257603.98989898</v>
      </c>
      <c r="G32" s="6"/>
    </row>
    <row r="33" spans="1:7" x14ac:dyDescent="0.25">
      <c r="A33" t="s">
        <v>97</v>
      </c>
      <c r="B33" s="13">
        <f>B18/B28</f>
        <v>67078311.564356439</v>
      </c>
      <c r="C33" s="13">
        <f>C18/C28</f>
        <v>0</v>
      </c>
      <c r="D33" s="25">
        <f>D18/D28</f>
        <v>64459079.138613865</v>
      </c>
      <c r="E33" s="25">
        <f>E18/E28</f>
        <v>504950.49504950497</v>
      </c>
      <c r="F33" s="25">
        <f t="shared" ref="F33" si="2">F18/F28</f>
        <v>2114281.9306930695</v>
      </c>
      <c r="G33" s="4"/>
    </row>
    <row r="34" spans="1:7" x14ac:dyDescent="0.25">
      <c r="A34" t="s">
        <v>60</v>
      </c>
      <c r="B34" s="13">
        <f>B32/B10</f>
        <v>483366.38108356291</v>
      </c>
      <c r="C34" s="25">
        <f>C32/C10</f>
        <v>0</v>
      </c>
      <c r="D34" s="44">
        <f>D32/$C$10</f>
        <v>167775.25952975851</v>
      </c>
      <c r="E34" s="44">
        <f t="shared" ref="E34:F34" si="3">E32/$C$10</f>
        <v>21177.582463108891</v>
      </c>
      <c r="F34" s="44">
        <f t="shared" si="3"/>
        <v>294413.5390906955</v>
      </c>
      <c r="G34" s="39"/>
    </row>
    <row r="35" spans="1:7" x14ac:dyDescent="0.25">
      <c r="A35" t="s">
        <v>98</v>
      </c>
      <c r="B35" s="13">
        <f>B33/B12</f>
        <v>154796.10361005334</v>
      </c>
      <c r="C35" s="25">
        <f>C33/C12</f>
        <v>0</v>
      </c>
      <c r="D35" s="44">
        <f>D33/$C$12</f>
        <v>148751.72108910893</v>
      </c>
      <c r="E35" s="44">
        <f t="shared" ref="E35:F35" si="4">E33/$C$12</f>
        <v>1165.2703731911654</v>
      </c>
      <c r="F35" s="44">
        <f t="shared" si="4"/>
        <v>4879.1121477532379</v>
      </c>
    </row>
    <row r="36" spans="1:7" x14ac:dyDescent="0.25">
      <c r="B36" s="6"/>
      <c r="C36" s="6"/>
      <c r="D36" s="6"/>
      <c r="E36" s="6"/>
      <c r="F36" s="6"/>
      <c r="G36" s="4"/>
    </row>
    <row r="37" spans="1:7" x14ac:dyDescent="0.25">
      <c r="A37" s="3" t="s">
        <v>13</v>
      </c>
      <c r="B37" s="6"/>
      <c r="C37" s="6"/>
      <c r="D37" s="6"/>
      <c r="E37" s="6"/>
      <c r="F37" s="6"/>
      <c r="G37" s="4"/>
    </row>
    <row r="38" spans="1:7" x14ac:dyDescent="0.25">
      <c r="B38" s="6"/>
      <c r="C38" s="6"/>
      <c r="D38" s="6"/>
      <c r="E38" s="6"/>
      <c r="F38" s="6"/>
      <c r="G38" s="4"/>
    </row>
    <row r="39" spans="1:7" x14ac:dyDescent="0.25">
      <c r="A39" t="s">
        <v>14</v>
      </c>
      <c r="B39" s="6"/>
      <c r="C39" s="6"/>
      <c r="D39" s="6"/>
      <c r="E39" s="6"/>
      <c r="F39" s="6"/>
      <c r="G39" s="4"/>
    </row>
    <row r="40" spans="1:7" x14ac:dyDescent="0.25">
      <c r="A40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4"/>
    </row>
    <row r="41" spans="1:7" x14ac:dyDescent="0.25">
      <c r="A41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4"/>
    </row>
    <row r="42" spans="1:7" x14ac:dyDescent="0.25">
      <c r="B42" s="6"/>
      <c r="C42" s="6"/>
      <c r="D42" s="6"/>
      <c r="E42" s="6"/>
      <c r="F42" s="6"/>
      <c r="G42" s="4"/>
    </row>
    <row r="43" spans="1:7" x14ac:dyDescent="0.25">
      <c r="A43" t="s">
        <v>17</v>
      </c>
      <c r="B43" s="6"/>
      <c r="C43" s="6"/>
      <c r="D43" s="6"/>
      <c r="E43" s="6"/>
      <c r="F43" s="6"/>
      <c r="G43" s="4"/>
    </row>
    <row r="44" spans="1:7" x14ac:dyDescent="0.25">
      <c r="A44" s="16" t="s">
        <v>18</v>
      </c>
      <c r="B44" s="6">
        <f>B12/B11*100</f>
        <v>90.277777777777786</v>
      </c>
      <c r="C44" s="6">
        <f>C12/C11*100</f>
        <v>90.277777777777786</v>
      </c>
      <c r="D44" s="6"/>
      <c r="E44" s="6"/>
      <c r="F44" s="6"/>
      <c r="G44" s="38"/>
    </row>
    <row r="45" spans="1:7" x14ac:dyDescent="0.25">
      <c r="A45" s="16" t="s">
        <v>19</v>
      </c>
      <c r="B45" s="6">
        <f>B18/B17*100</f>
        <v>17.848671835237557</v>
      </c>
      <c r="C45" s="6"/>
      <c r="D45" s="6">
        <f t="shared" ref="D45:F45" si="5">D18/D17*100</f>
        <v>103.33915861904764</v>
      </c>
      <c r="E45" s="6" t="e">
        <f t="shared" si="5"/>
        <v>#DIV/0!</v>
      </c>
      <c r="F45" s="6">
        <f t="shared" si="5"/>
        <v>0.67453993662415512</v>
      </c>
      <c r="G45" s="4"/>
    </row>
    <row r="46" spans="1:7" x14ac:dyDescent="0.25">
      <c r="A46" s="16" t="s">
        <v>20</v>
      </c>
      <c r="B46" s="6">
        <f>AVERAGE(B44:B45)</f>
        <v>54.063224806507669</v>
      </c>
      <c r="C46" s="6">
        <f t="shared" ref="C46:F46" si="6">AVERAGE(C44:C45)</f>
        <v>90.277777777777786</v>
      </c>
      <c r="D46" s="6">
        <f t="shared" si="6"/>
        <v>103.33915861904764</v>
      </c>
      <c r="E46" s="6" t="e">
        <f t="shared" si="6"/>
        <v>#DIV/0!</v>
      </c>
      <c r="F46" s="6">
        <f t="shared" si="6"/>
        <v>0.67453993662415512</v>
      </c>
      <c r="G46" s="4"/>
    </row>
    <row r="47" spans="1:7" x14ac:dyDescent="0.25">
      <c r="A47" s="16"/>
      <c r="B47" s="6"/>
      <c r="C47" s="6"/>
      <c r="D47" s="6"/>
      <c r="E47" s="6"/>
      <c r="F47" s="6"/>
      <c r="G47" s="4"/>
    </row>
    <row r="48" spans="1:7" x14ac:dyDescent="0.25">
      <c r="A48" s="16" t="s">
        <v>21</v>
      </c>
      <c r="B48" s="6"/>
      <c r="C48" s="6"/>
      <c r="D48" s="6"/>
      <c r="E48" s="6"/>
      <c r="F48" s="6"/>
      <c r="G48" s="4"/>
    </row>
    <row r="49" spans="1:7" x14ac:dyDescent="0.25">
      <c r="A49" s="16" t="s">
        <v>22</v>
      </c>
      <c r="B49" s="6">
        <f>(B12/B13)*100</f>
        <v>90.277777777777786</v>
      </c>
      <c r="C49" s="6">
        <f t="shared" ref="C49" si="7">(C12/C13)*100</f>
        <v>90.277777777777786</v>
      </c>
      <c r="D49" s="6"/>
      <c r="E49" s="6"/>
      <c r="F49" s="6"/>
      <c r="G49" s="4"/>
    </row>
    <row r="50" spans="1:7" x14ac:dyDescent="0.25">
      <c r="A50" s="16" t="s">
        <v>23</v>
      </c>
      <c r="B50" s="6">
        <f>B18/B19*100</f>
        <v>6.3188858166860946</v>
      </c>
      <c r="C50" s="6"/>
      <c r="D50" s="6">
        <f t="shared" ref="D50:F50" si="8">D18/D19*100</f>
        <v>31.833841919969451</v>
      </c>
      <c r="E50" s="6">
        <f t="shared" si="8"/>
        <v>6.375</v>
      </c>
      <c r="F50" s="6">
        <f t="shared" si="8"/>
        <v>0.24840413622979649</v>
      </c>
      <c r="G50" s="4"/>
    </row>
    <row r="51" spans="1:7" x14ac:dyDescent="0.25">
      <c r="A51" s="16" t="s">
        <v>24</v>
      </c>
      <c r="B51" s="6">
        <f>AVERAGE(B49:B50)</f>
        <v>48.298331797231938</v>
      </c>
      <c r="C51" s="6">
        <f t="shared" ref="C51:F51" si="9">AVERAGE(C49:C50)</f>
        <v>90.277777777777786</v>
      </c>
      <c r="D51" s="6">
        <f t="shared" si="9"/>
        <v>31.833841919969451</v>
      </c>
      <c r="E51" s="6">
        <f t="shared" si="9"/>
        <v>6.375</v>
      </c>
      <c r="F51" s="6">
        <f t="shared" si="9"/>
        <v>0.24840413622979649</v>
      </c>
      <c r="G51" s="4"/>
    </row>
    <row r="52" spans="1:7" x14ac:dyDescent="0.25">
      <c r="A52" s="16"/>
      <c r="B52" s="6"/>
      <c r="C52" s="6"/>
      <c r="D52" s="6"/>
      <c r="E52" s="6"/>
      <c r="F52" s="6"/>
      <c r="G52" s="4"/>
    </row>
    <row r="53" spans="1:7" x14ac:dyDescent="0.25">
      <c r="A53" s="16" t="s">
        <v>36</v>
      </c>
      <c r="B53" s="6"/>
      <c r="C53" s="6"/>
      <c r="D53" s="6"/>
      <c r="E53" s="6"/>
      <c r="F53" s="6"/>
      <c r="G53" s="4"/>
    </row>
    <row r="54" spans="1:7" x14ac:dyDescent="0.25">
      <c r="A54" s="16" t="s">
        <v>25</v>
      </c>
      <c r="B54" s="6">
        <f>B20/B18*100</f>
        <v>100</v>
      </c>
      <c r="C54" s="6" t="e">
        <f t="shared" ref="C54:F54" si="10">C20/C18*100</f>
        <v>#DIV/0!</v>
      </c>
      <c r="D54" s="6">
        <f t="shared" si="10"/>
        <v>100</v>
      </c>
      <c r="E54" s="6">
        <f t="shared" si="10"/>
        <v>100</v>
      </c>
      <c r="F54" s="6">
        <f t="shared" si="10"/>
        <v>100</v>
      </c>
      <c r="G54" s="4"/>
    </row>
    <row r="55" spans="1:7" x14ac:dyDescent="0.25">
      <c r="A55" s="16"/>
      <c r="B55" s="6"/>
      <c r="C55" s="6"/>
      <c r="D55" s="6"/>
      <c r="E55" s="6"/>
      <c r="F55" s="6"/>
      <c r="G55" s="4"/>
    </row>
    <row r="56" spans="1:7" x14ac:dyDescent="0.25">
      <c r="A56" s="16" t="s">
        <v>26</v>
      </c>
      <c r="B56" s="6"/>
      <c r="C56" s="6"/>
      <c r="D56" s="6"/>
      <c r="E56" s="6"/>
      <c r="F56" s="6"/>
      <c r="G56" s="4"/>
    </row>
    <row r="57" spans="1:7" x14ac:dyDescent="0.25">
      <c r="A57" s="16" t="s">
        <v>27</v>
      </c>
      <c r="B57" s="6">
        <f>((B12/B10)-1)*100</f>
        <v>-8.3861874559548966</v>
      </c>
      <c r="C57" s="6">
        <f t="shared" ref="C57:F57" si="11">((C12/C10)-1)*100</f>
        <v>-8.3861874559548966</v>
      </c>
      <c r="D57" s="6" t="e">
        <f t="shared" si="11"/>
        <v>#DIV/0!</v>
      </c>
      <c r="E57" s="6" t="e">
        <f t="shared" si="11"/>
        <v>#DIV/0!</v>
      </c>
      <c r="F57" s="6" t="e">
        <f t="shared" si="11"/>
        <v>#DIV/0!</v>
      </c>
      <c r="G57" s="4"/>
    </row>
    <row r="58" spans="1:7" x14ac:dyDescent="0.25">
      <c r="A58" s="16" t="s">
        <v>28</v>
      </c>
      <c r="B58" s="6">
        <f>((B33/B32)-1)*100</f>
        <v>-70.66105179493573</v>
      </c>
      <c r="C58" s="6" t="e">
        <f>((C33/C32)-1)*100</f>
        <v>#DIV/0!</v>
      </c>
      <c r="D58" s="6">
        <f t="shared" ref="D58:F58" si="12">((D33/D32)-1)*100</f>
        <v>-18.774005597383447</v>
      </c>
      <c r="E58" s="6">
        <f t="shared" si="12"/>
        <v>-94.959062880825485</v>
      </c>
      <c r="F58" s="6">
        <f t="shared" si="12"/>
        <v>-98.481747588557937</v>
      </c>
      <c r="G58" s="4"/>
    </row>
    <row r="59" spans="1:7" x14ac:dyDescent="0.25">
      <c r="A59" s="16" t="s">
        <v>29</v>
      </c>
      <c r="B59" s="6">
        <f>((B35/B34)-1)*100</f>
        <v>-67.97540961308755</v>
      </c>
      <c r="C59" s="6" t="e">
        <f>((C35/C34)-1)*100</f>
        <v>#DIV/0!</v>
      </c>
      <c r="D59" s="6">
        <f t="shared" ref="D59:F59" si="13">((D35/D34)-1)*100</f>
        <v>-11.338703032836229</v>
      </c>
      <c r="E59" s="6">
        <f t="shared" si="13"/>
        <v>-94.49762325222413</v>
      </c>
      <c r="F59" s="6">
        <f t="shared" si="13"/>
        <v>-98.342769098587482</v>
      </c>
      <c r="G59" s="4"/>
    </row>
    <row r="60" spans="1:7" x14ac:dyDescent="0.25">
      <c r="A60" s="16"/>
      <c r="B60" s="6"/>
      <c r="C60" s="6"/>
      <c r="D60" s="6"/>
      <c r="E60" s="6"/>
      <c r="F60" s="6"/>
      <c r="G60" s="4"/>
    </row>
    <row r="61" spans="1:7" x14ac:dyDescent="0.25">
      <c r="A61" s="16" t="s">
        <v>30</v>
      </c>
      <c r="B61" s="6"/>
      <c r="C61" s="6"/>
      <c r="D61" s="6"/>
      <c r="E61" s="6"/>
      <c r="F61" s="6"/>
      <c r="G61" s="4"/>
    </row>
    <row r="62" spans="1:7" x14ac:dyDescent="0.25">
      <c r="A62" s="16" t="s">
        <v>37</v>
      </c>
      <c r="B62" s="44">
        <f>B17/($B$11*3)</f>
        <v>263593.74440277775</v>
      </c>
      <c r="C62" s="44">
        <f>B17/(C11*3)</f>
        <v>263593.74440277775</v>
      </c>
      <c r="D62" s="44">
        <f>D17/($C$11*3)</f>
        <v>43750</v>
      </c>
      <c r="E62" s="44">
        <f t="shared" ref="E62:F62" si="14">E17/($C$11*3)</f>
        <v>0</v>
      </c>
      <c r="F62" s="44">
        <f t="shared" si="14"/>
        <v>219843.74440277778</v>
      </c>
      <c r="G62" s="22"/>
    </row>
    <row r="63" spans="1:7" x14ac:dyDescent="0.25">
      <c r="A63" s="16" t="s">
        <v>38</v>
      </c>
      <c r="B63" s="44">
        <f>B18/($B$12*3)</f>
        <v>52114.688215384624</v>
      </c>
      <c r="C63" s="44">
        <f>B18/(C12*3)</f>
        <v>52114.688215384624</v>
      </c>
      <c r="D63" s="44">
        <f>D18/($C$12*3)</f>
        <v>50079.746100000004</v>
      </c>
      <c r="E63" s="44">
        <f t="shared" ref="E63:F63" si="15">E18/($C$12*3)</f>
        <v>392.30769230769232</v>
      </c>
      <c r="F63" s="44">
        <f t="shared" si="15"/>
        <v>1642.634423076923</v>
      </c>
      <c r="G63" s="38"/>
    </row>
    <row r="64" spans="1:7" x14ac:dyDescent="0.25">
      <c r="A64" s="16" t="s">
        <v>31</v>
      </c>
      <c r="B64" s="42">
        <f>(B63/B62)*B46</f>
        <v>10.688751780103717</v>
      </c>
      <c r="C64" s="42">
        <f>(C63/C62)*C46</f>
        <v>17.84867183523756</v>
      </c>
      <c r="D64" s="42"/>
      <c r="E64" s="42"/>
      <c r="F64" s="42"/>
      <c r="G64" s="4"/>
    </row>
    <row r="65" spans="1:12" x14ac:dyDescent="0.25">
      <c r="A65" s="14" t="s">
        <v>39</v>
      </c>
      <c r="B65" s="44">
        <f>B17/($B$11)</f>
        <v>790781.23320833337</v>
      </c>
      <c r="C65" s="44">
        <f>B17/C11</f>
        <v>790781.23320833337</v>
      </c>
      <c r="D65" s="47">
        <f>D17/($C$11)</f>
        <v>131250</v>
      </c>
      <c r="E65" s="47">
        <f t="shared" ref="E65:F65" si="16">E17/($C$11)</f>
        <v>0</v>
      </c>
      <c r="F65" s="47">
        <f t="shared" si="16"/>
        <v>659531.23320833337</v>
      </c>
      <c r="G65" s="4"/>
    </row>
    <row r="66" spans="1:12" x14ac:dyDescent="0.25">
      <c r="A66" s="14" t="s">
        <v>40</v>
      </c>
      <c r="B66" s="44">
        <f>B18/($B$12)</f>
        <v>156344.06464615386</v>
      </c>
      <c r="C66" s="44">
        <f>B18/C12</f>
        <v>156344.06464615386</v>
      </c>
      <c r="D66" s="47">
        <f>D18/($C$12)</f>
        <v>150239.23830000003</v>
      </c>
      <c r="E66" s="47">
        <f t="shared" ref="E66:F66" si="17">E18/($C$12)</f>
        <v>1176.9230769230769</v>
      </c>
      <c r="F66" s="47">
        <f t="shared" si="17"/>
        <v>4927.9032692307692</v>
      </c>
      <c r="G66" s="4"/>
    </row>
    <row r="67" spans="1:12" x14ac:dyDescent="0.25">
      <c r="B67" s="6"/>
      <c r="C67" s="6"/>
      <c r="D67" s="6"/>
      <c r="E67" s="6"/>
      <c r="F67" s="6"/>
      <c r="G67" s="4"/>
    </row>
    <row r="68" spans="1:12" x14ac:dyDescent="0.25">
      <c r="A68" t="s">
        <v>32</v>
      </c>
      <c r="B68" s="6"/>
      <c r="C68" s="6"/>
      <c r="D68" s="6"/>
      <c r="E68" s="6"/>
      <c r="F68" s="6"/>
      <c r="G68" s="4"/>
      <c r="H68" s="8"/>
    </row>
    <row r="69" spans="1:12" x14ac:dyDescent="0.25">
      <c r="A69" t="s">
        <v>33</v>
      </c>
      <c r="B69" s="42">
        <f>(B24/B23)*100</f>
        <v>95.633276087213872</v>
      </c>
      <c r="C69" s="6"/>
      <c r="D69" s="6"/>
      <c r="E69" s="6"/>
      <c r="F69" s="6"/>
      <c r="H69" s="8"/>
    </row>
    <row r="70" spans="1:12" x14ac:dyDescent="0.25">
      <c r="A70" t="s">
        <v>34</v>
      </c>
      <c r="B70" s="42">
        <f>(B18/B24)*100</f>
        <v>18.663662446280995</v>
      </c>
      <c r="C70" s="6"/>
      <c r="D70" s="6"/>
      <c r="E70" s="6"/>
      <c r="F70" s="6"/>
      <c r="G70" s="39"/>
    </row>
    <row r="71" spans="1:12" ht="15.75" thickBot="1" x14ac:dyDescent="0.3">
      <c r="A71" s="9"/>
      <c r="B71" s="9"/>
      <c r="C71" s="9"/>
      <c r="D71" s="9"/>
      <c r="E71" s="9"/>
      <c r="F71" s="9"/>
    </row>
    <row r="72" spans="1:12" ht="15.75" thickTop="1" x14ac:dyDescent="0.25"/>
    <row r="73" spans="1:12" x14ac:dyDescent="0.25">
      <c r="A73" s="10" t="s">
        <v>35</v>
      </c>
    </row>
    <row r="74" spans="1:12" x14ac:dyDescent="0.25">
      <c r="A74" s="11" t="s">
        <v>89</v>
      </c>
    </row>
    <row r="75" spans="1:12" x14ac:dyDescent="0.25">
      <c r="A75" s="11" t="s">
        <v>90</v>
      </c>
      <c r="B75" s="12"/>
      <c r="C75" s="12"/>
      <c r="D75" s="12"/>
      <c r="E75" s="12"/>
    </row>
    <row r="76" spans="1:12" ht="15" customHeight="1" x14ac:dyDescent="0.25">
      <c r="A76" s="34" t="s">
        <v>91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6"/>
    </row>
    <row r="77" spans="1:12" x14ac:dyDescent="0.25">
      <c r="A77" s="11" t="s">
        <v>49</v>
      </c>
      <c r="B77" s="12"/>
      <c r="C77" s="12"/>
      <c r="D77" s="12"/>
      <c r="E77" s="12"/>
    </row>
    <row r="78" spans="1:12" x14ac:dyDescent="0.25">
      <c r="A78" s="33" t="s">
        <v>50</v>
      </c>
    </row>
    <row r="79" spans="1:12" x14ac:dyDescent="0.25">
      <c r="A79" s="15" t="s">
        <v>45</v>
      </c>
    </row>
    <row r="80" spans="1:12" x14ac:dyDescent="0.25">
      <c r="A80" s="15" t="s">
        <v>46</v>
      </c>
    </row>
    <row r="81" spans="1:1" x14ac:dyDescent="0.25">
      <c r="A81" s="51"/>
    </row>
    <row r="82" spans="1:1" x14ac:dyDescent="0.25">
      <c r="A82" s="25" t="s">
        <v>135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zoomScale="80" zoomScaleNormal="80" workbookViewId="0">
      <selection activeCell="D19" sqref="D19:F19"/>
    </sheetView>
  </sheetViews>
  <sheetFormatPr baseColWidth="10" defaultColWidth="11.42578125" defaultRowHeight="15" x14ac:dyDescent="0.25"/>
  <cols>
    <col min="1" max="1" width="55.140625" customWidth="1"/>
    <col min="2" max="2" width="18.140625" customWidth="1"/>
    <col min="3" max="3" width="13.85546875" customWidth="1"/>
    <col min="4" max="4" width="20.7109375" customWidth="1"/>
    <col min="5" max="5" width="13.7109375" customWidth="1"/>
    <col min="6" max="6" width="17.7109375" customWidth="1"/>
    <col min="7" max="7" width="13.7109375" bestFit="1" customWidth="1"/>
  </cols>
  <sheetData>
    <row r="2" spans="1:7" ht="15.75" x14ac:dyDescent="0.25">
      <c r="A2" s="53" t="s">
        <v>99</v>
      </c>
      <c r="B2" s="53"/>
      <c r="C2" s="53"/>
      <c r="D2" s="53"/>
      <c r="E2" s="53"/>
      <c r="F2" s="53"/>
    </row>
    <row r="4" spans="1:7" ht="15" customHeight="1" x14ac:dyDescent="0.25">
      <c r="A4" s="54" t="s">
        <v>0</v>
      </c>
      <c r="B4" s="59" t="s">
        <v>1</v>
      </c>
      <c r="C4" s="59" t="s">
        <v>51</v>
      </c>
      <c r="D4" s="58" t="s">
        <v>2</v>
      </c>
      <c r="E4" s="58"/>
      <c r="F4" s="58"/>
    </row>
    <row r="5" spans="1:7" ht="15.75" thickBot="1" x14ac:dyDescent="0.3">
      <c r="A5" s="55"/>
      <c r="B5" s="60"/>
      <c r="C5" s="60"/>
      <c r="D5" s="1" t="s">
        <v>3</v>
      </c>
      <c r="E5" s="2" t="s">
        <v>4</v>
      </c>
      <c r="F5" s="2" t="s">
        <v>5</v>
      </c>
    </row>
    <row r="6" spans="1:7" ht="15.75" thickTop="1" x14ac:dyDescent="0.25"/>
    <row r="7" spans="1:7" x14ac:dyDescent="0.25">
      <c r="A7" s="3" t="s">
        <v>6</v>
      </c>
    </row>
    <row r="8" spans="1:7" x14ac:dyDescent="0.25">
      <c r="B8" s="4"/>
      <c r="C8" s="4"/>
      <c r="D8" s="4"/>
      <c r="E8" s="4"/>
      <c r="F8" s="4"/>
      <c r="G8" s="4"/>
    </row>
    <row r="9" spans="1:7" x14ac:dyDescent="0.25">
      <c r="A9" t="s">
        <v>7</v>
      </c>
      <c r="B9" s="4"/>
      <c r="C9" s="4"/>
      <c r="D9" s="4"/>
      <c r="E9" s="4"/>
      <c r="F9" s="4"/>
      <c r="G9" s="4"/>
    </row>
    <row r="10" spans="1:7" x14ac:dyDescent="0.25">
      <c r="A10" s="5" t="s">
        <v>61</v>
      </c>
      <c r="B10" s="13">
        <v>454</v>
      </c>
      <c r="C10" s="13">
        <v>454</v>
      </c>
      <c r="D10" s="6"/>
      <c r="E10" s="6"/>
      <c r="F10" s="6"/>
      <c r="G10" s="4"/>
    </row>
    <row r="11" spans="1:7" x14ac:dyDescent="0.25">
      <c r="A11" s="5" t="s">
        <v>100</v>
      </c>
      <c r="B11" s="13">
        <v>480</v>
      </c>
      <c r="C11" s="13">
        <v>480</v>
      </c>
      <c r="D11" s="6"/>
      <c r="E11" s="6"/>
      <c r="F11" s="6"/>
      <c r="G11" s="4"/>
    </row>
    <row r="12" spans="1:7" x14ac:dyDescent="0.25">
      <c r="A12" s="5" t="s">
        <v>101</v>
      </c>
      <c r="B12" s="13">
        <f>C12</f>
        <v>416.33333333333331</v>
      </c>
      <c r="C12" s="13">
        <v>416.33333333333331</v>
      </c>
      <c r="D12" s="4"/>
    </row>
    <row r="13" spans="1:7" x14ac:dyDescent="0.25">
      <c r="A13" s="5" t="s">
        <v>84</v>
      </c>
      <c r="B13" s="13">
        <v>480</v>
      </c>
      <c r="C13" s="13">
        <v>480</v>
      </c>
      <c r="D13" s="6"/>
      <c r="E13" s="6"/>
      <c r="F13" s="6"/>
      <c r="G13" s="4"/>
    </row>
    <row r="14" spans="1:7" x14ac:dyDescent="0.25">
      <c r="B14" s="6"/>
      <c r="C14" s="6"/>
      <c r="D14" s="6"/>
      <c r="E14" s="6"/>
      <c r="F14" s="6"/>
      <c r="G14" s="4"/>
    </row>
    <row r="15" spans="1:7" x14ac:dyDescent="0.25">
      <c r="A15" s="7" t="s">
        <v>8</v>
      </c>
      <c r="B15" s="6"/>
      <c r="C15" s="6"/>
      <c r="D15" s="6"/>
      <c r="E15" s="6"/>
      <c r="F15" s="6"/>
      <c r="G15" s="4"/>
    </row>
    <row r="16" spans="1:7" x14ac:dyDescent="0.25">
      <c r="A16" s="5" t="s">
        <v>61</v>
      </c>
      <c r="B16" s="13">
        <f>SUM(D16:F16)</f>
        <v>318689540.63</v>
      </c>
      <c r="C16" s="13"/>
      <c r="D16" s="13">
        <v>54615134.650000006</v>
      </c>
      <c r="E16" s="13">
        <v>61047894.160000004</v>
      </c>
      <c r="F16" s="13">
        <v>203026511.81999999</v>
      </c>
      <c r="G16" s="4"/>
    </row>
    <row r="17" spans="1:8" x14ac:dyDescent="0.25">
      <c r="A17" s="5" t="s">
        <v>100</v>
      </c>
      <c r="B17" s="13">
        <f>SUM(D17:F17)</f>
        <v>157000000</v>
      </c>
      <c r="C17" s="13"/>
      <c r="D17" s="13">
        <v>57000000</v>
      </c>
      <c r="E17" s="13">
        <v>0</v>
      </c>
      <c r="F17" s="13">
        <v>100000000</v>
      </c>
      <c r="G17" s="4"/>
    </row>
    <row r="18" spans="1:8" x14ac:dyDescent="0.25">
      <c r="A18" s="5" t="s">
        <v>101</v>
      </c>
      <c r="B18" s="13">
        <f>SUM(D18:F18)</f>
        <v>104348164.15000001</v>
      </c>
      <c r="C18" s="13"/>
      <c r="D18" s="13">
        <v>55033414.549999997</v>
      </c>
      <c r="E18" s="29">
        <v>145840</v>
      </c>
      <c r="F18" s="30">
        <v>49168909.600000001</v>
      </c>
      <c r="G18" s="4"/>
    </row>
    <row r="19" spans="1:8" x14ac:dyDescent="0.25">
      <c r="A19" s="5" t="s">
        <v>84</v>
      </c>
      <c r="B19" s="13">
        <f>SUM(D19:F19)</f>
        <v>1081690974.0799999</v>
      </c>
      <c r="C19" s="13"/>
      <c r="D19" s="13">
        <v>204510879</v>
      </c>
      <c r="E19" s="13">
        <v>17522610.140000001</v>
      </c>
      <c r="F19" s="13">
        <v>859657484.94000006</v>
      </c>
      <c r="G19" s="4"/>
    </row>
    <row r="20" spans="1:8" x14ac:dyDescent="0.25">
      <c r="A20" s="5" t="s">
        <v>102</v>
      </c>
      <c r="B20" s="13">
        <f>D20+E20+F20</f>
        <v>104348164.15000001</v>
      </c>
      <c r="C20" s="13"/>
      <c r="D20" s="13">
        <f>D18</f>
        <v>55033414.549999997</v>
      </c>
      <c r="E20" s="13">
        <f t="shared" ref="E20:F20" si="0">E18</f>
        <v>145840</v>
      </c>
      <c r="F20" s="13">
        <f t="shared" si="0"/>
        <v>49168909.600000001</v>
      </c>
      <c r="G20" s="4"/>
    </row>
    <row r="21" spans="1:8" x14ac:dyDescent="0.25">
      <c r="B21" s="6"/>
      <c r="C21" s="6"/>
      <c r="D21" s="6"/>
      <c r="E21" s="6"/>
      <c r="F21" s="6"/>
      <c r="G21" s="4"/>
    </row>
    <row r="22" spans="1:8" x14ac:dyDescent="0.25">
      <c r="A22" s="5" t="s">
        <v>9</v>
      </c>
      <c r="B22" s="6"/>
      <c r="C22" s="6"/>
      <c r="D22" s="6"/>
      <c r="E22" s="6"/>
      <c r="F22" s="6"/>
      <c r="G22" s="4"/>
    </row>
    <row r="23" spans="1:8" x14ac:dyDescent="0.25">
      <c r="A23" s="5" t="s">
        <v>100</v>
      </c>
      <c r="B23" s="13">
        <f>B17</f>
        <v>157000000</v>
      </c>
      <c r="C23" s="13"/>
      <c r="D23" s="41"/>
      <c r="E23" s="6"/>
      <c r="F23" s="6"/>
      <c r="G23" s="38"/>
      <c r="H23" s="8"/>
    </row>
    <row r="24" spans="1:8" x14ac:dyDescent="0.25">
      <c r="A24" s="5" t="s">
        <v>101</v>
      </c>
      <c r="B24" s="13">
        <v>157000000</v>
      </c>
      <c r="C24" s="13"/>
      <c r="D24" s="40"/>
      <c r="E24" s="6"/>
      <c r="F24" s="6"/>
      <c r="G24" s="4"/>
      <c r="H24" s="8"/>
    </row>
    <row r="25" spans="1:8" x14ac:dyDescent="0.25">
      <c r="B25" s="6"/>
      <c r="C25" s="6"/>
      <c r="D25" s="6"/>
      <c r="E25" s="6"/>
      <c r="F25" s="6"/>
      <c r="G25" s="4"/>
    </row>
    <row r="26" spans="1:8" x14ac:dyDescent="0.25">
      <c r="A26" t="s">
        <v>10</v>
      </c>
      <c r="B26" s="6"/>
      <c r="C26" s="6"/>
      <c r="D26" s="6"/>
      <c r="E26" s="6"/>
      <c r="F26" s="6"/>
      <c r="G26" s="4"/>
    </row>
    <row r="27" spans="1:8" x14ac:dyDescent="0.25">
      <c r="A27" t="s">
        <v>62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4"/>
    </row>
    <row r="28" spans="1:8" x14ac:dyDescent="0.25">
      <c r="A28" t="s">
        <v>103</v>
      </c>
      <c r="B28" s="6">
        <v>1.01</v>
      </c>
      <c r="C28" s="6">
        <v>1.01</v>
      </c>
      <c r="D28" s="6">
        <v>1.01</v>
      </c>
      <c r="E28" s="6">
        <v>1.01</v>
      </c>
      <c r="F28" s="6">
        <v>1.01</v>
      </c>
      <c r="G28" s="4"/>
    </row>
    <row r="29" spans="1:8" x14ac:dyDescent="0.25">
      <c r="A29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4"/>
    </row>
    <row r="30" spans="1:8" x14ac:dyDescent="0.25">
      <c r="B30" s="6"/>
      <c r="C30" s="6"/>
      <c r="D30" s="6"/>
      <c r="E30" s="6"/>
      <c r="F30" s="6"/>
      <c r="G30" s="4"/>
    </row>
    <row r="31" spans="1:8" x14ac:dyDescent="0.25">
      <c r="A31" t="s">
        <v>12</v>
      </c>
      <c r="B31" s="6"/>
      <c r="C31" s="6"/>
      <c r="D31" s="6"/>
      <c r="E31" s="6"/>
      <c r="F31" s="6"/>
      <c r="G31" s="4"/>
    </row>
    <row r="32" spans="1:8" x14ac:dyDescent="0.25">
      <c r="A32" t="s">
        <v>63</v>
      </c>
      <c r="B32" s="6">
        <f>B16/B27</f>
        <v>321908626.89898992</v>
      </c>
      <c r="C32" s="6">
        <f t="shared" ref="C32" si="1">C16/C27</f>
        <v>0</v>
      </c>
      <c r="D32" s="6">
        <f>D16/D27</f>
        <v>55166802.676767685</v>
      </c>
      <c r="E32" s="6">
        <f>E16/E27</f>
        <v>61664539.55555556</v>
      </c>
      <c r="F32" s="6">
        <f>F16/F27</f>
        <v>205077284.66666666</v>
      </c>
      <c r="G32" s="6"/>
    </row>
    <row r="33" spans="1:7" x14ac:dyDescent="0.25">
      <c r="A33" t="s">
        <v>104</v>
      </c>
      <c r="B33" s="6">
        <f>B18/B28</f>
        <v>103315014.009901</v>
      </c>
      <c r="C33" s="6">
        <f t="shared" ref="C33:F33" si="2">C18/C28</f>
        <v>0</v>
      </c>
      <c r="D33" s="6">
        <f t="shared" si="2"/>
        <v>54488529.25742574</v>
      </c>
      <c r="E33" s="6">
        <f t="shared" si="2"/>
        <v>144396.03960396041</v>
      </c>
      <c r="F33" s="6">
        <f t="shared" si="2"/>
        <v>48682088.712871291</v>
      </c>
      <c r="G33" s="4"/>
    </row>
    <row r="34" spans="1:7" x14ac:dyDescent="0.25">
      <c r="A34" t="s">
        <v>64</v>
      </c>
      <c r="B34" s="6">
        <f>B32/B10</f>
        <v>709049.83898455929</v>
      </c>
      <c r="C34" s="6">
        <f>C32/$C$10</f>
        <v>0</v>
      </c>
      <c r="D34" s="42">
        <f t="shared" ref="D34:F34" si="3">D32/$C$10</f>
        <v>121512.78122636054</v>
      </c>
      <c r="E34" s="42">
        <f t="shared" si="3"/>
        <v>135824.97699461578</v>
      </c>
      <c r="F34" s="42">
        <f t="shared" si="3"/>
        <v>451712.08076358296</v>
      </c>
      <c r="G34" s="39"/>
    </row>
    <row r="35" spans="1:7" x14ac:dyDescent="0.25">
      <c r="A35" t="s">
        <v>105</v>
      </c>
      <c r="B35" s="6">
        <f>B33/B12</f>
        <v>248154.55726957807</v>
      </c>
      <c r="C35" s="6">
        <f>C33/$C$12</f>
        <v>0</v>
      </c>
      <c r="D35" s="42">
        <f t="shared" ref="D35:F35" si="4">D33/$C$12</f>
        <v>130877.17195538609</v>
      </c>
      <c r="E35" s="42">
        <f t="shared" si="4"/>
        <v>346.82795741543737</v>
      </c>
      <c r="F35" s="42">
        <f t="shared" si="4"/>
        <v>116930.55735677652</v>
      </c>
    </row>
    <row r="36" spans="1:7" x14ac:dyDescent="0.25">
      <c r="B36" s="6"/>
      <c r="C36" s="6"/>
      <c r="D36" s="6"/>
      <c r="E36" s="6"/>
      <c r="F36" s="6"/>
      <c r="G36" s="4"/>
    </row>
    <row r="37" spans="1:7" x14ac:dyDescent="0.25">
      <c r="A37" s="3" t="s">
        <v>13</v>
      </c>
      <c r="B37" s="6"/>
      <c r="C37" s="6"/>
      <c r="D37" s="6"/>
      <c r="E37" s="6"/>
      <c r="F37" s="6"/>
      <c r="G37" s="4"/>
    </row>
    <row r="38" spans="1:7" x14ac:dyDescent="0.25">
      <c r="B38" s="6"/>
      <c r="C38" s="6"/>
      <c r="D38" s="6"/>
      <c r="E38" s="6"/>
      <c r="F38" s="6"/>
      <c r="G38" s="4"/>
    </row>
    <row r="39" spans="1:7" x14ac:dyDescent="0.25">
      <c r="A39" t="s">
        <v>14</v>
      </c>
      <c r="B39" s="6"/>
      <c r="C39" s="6"/>
      <c r="D39" s="6"/>
      <c r="E39" s="6"/>
      <c r="F39" s="6"/>
      <c r="G39" s="4"/>
    </row>
    <row r="40" spans="1:7" x14ac:dyDescent="0.25">
      <c r="A40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4"/>
    </row>
    <row r="41" spans="1:7" x14ac:dyDescent="0.25">
      <c r="A41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4"/>
    </row>
    <row r="42" spans="1:7" x14ac:dyDescent="0.25">
      <c r="B42" s="6"/>
      <c r="C42" s="6"/>
      <c r="D42" s="6"/>
      <c r="E42" s="6"/>
      <c r="F42" s="6"/>
      <c r="G42" s="4"/>
    </row>
    <row r="43" spans="1:7" x14ac:dyDescent="0.25">
      <c r="A43" t="s">
        <v>17</v>
      </c>
      <c r="B43" s="6"/>
      <c r="C43" s="6"/>
      <c r="D43" s="6"/>
      <c r="E43" s="6"/>
      <c r="F43" s="6"/>
      <c r="G43" s="4"/>
    </row>
    <row r="44" spans="1:7" x14ac:dyDescent="0.25">
      <c r="A44" s="16" t="s">
        <v>18</v>
      </c>
      <c r="B44" s="6">
        <f>B12/B11*100</f>
        <v>86.7361111111111</v>
      </c>
      <c r="C44" s="6">
        <f t="shared" ref="C44" si="5">C12/C11*100</f>
        <v>86.7361111111111</v>
      </c>
      <c r="D44" s="6"/>
      <c r="E44" s="6"/>
      <c r="F44" s="6"/>
      <c r="G44" s="38"/>
    </row>
    <row r="45" spans="1:7" x14ac:dyDescent="0.25">
      <c r="A45" s="16" t="s">
        <v>19</v>
      </c>
      <c r="B45" s="6">
        <f>B18/B17*100</f>
        <v>66.463798821656056</v>
      </c>
      <c r="C45" s="6"/>
      <c r="D45" s="6">
        <f>D18/D17*100</f>
        <v>96.549850087719292</v>
      </c>
      <c r="E45" s="6" t="e">
        <f>E18/E17*100</f>
        <v>#DIV/0!</v>
      </c>
      <c r="F45" s="6">
        <f>F18/F17*100</f>
        <v>49.168909599999999</v>
      </c>
      <c r="G45" s="4"/>
    </row>
    <row r="46" spans="1:7" x14ac:dyDescent="0.25">
      <c r="A46" s="16" t="s">
        <v>20</v>
      </c>
      <c r="B46" s="6">
        <f>AVERAGE(B44:B45)</f>
        <v>76.599954966383578</v>
      </c>
      <c r="C46" s="6">
        <f t="shared" ref="C46:F46" si="6">AVERAGE(C44:C45)</f>
        <v>86.7361111111111</v>
      </c>
      <c r="D46" s="6">
        <f t="shared" si="6"/>
        <v>96.549850087719292</v>
      </c>
      <c r="E46" s="6" t="e">
        <f t="shared" si="6"/>
        <v>#DIV/0!</v>
      </c>
      <c r="F46" s="6">
        <f t="shared" si="6"/>
        <v>49.168909599999999</v>
      </c>
      <c r="G46" s="4"/>
    </row>
    <row r="47" spans="1:7" x14ac:dyDescent="0.25">
      <c r="A47" s="16"/>
      <c r="B47" s="6"/>
      <c r="C47" s="6"/>
      <c r="D47" s="6"/>
      <c r="E47" s="6"/>
      <c r="F47" s="6"/>
      <c r="G47" s="4"/>
    </row>
    <row r="48" spans="1:7" x14ac:dyDescent="0.25">
      <c r="A48" s="16" t="s">
        <v>21</v>
      </c>
      <c r="B48" s="6"/>
      <c r="C48" s="6"/>
      <c r="D48" s="6"/>
      <c r="E48" s="6"/>
      <c r="F48" s="6"/>
      <c r="G48" s="4"/>
    </row>
    <row r="49" spans="1:7" x14ac:dyDescent="0.25">
      <c r="A49" s="16" t="s">
        <v>22</v>
      </c>
      <c r="B49" s="6">
        <f>(B12/B13)*100</f>
        <v>86.7361111111111</v>
      </c>
      <c r="C49" s="6">
        <f t="shared" ref="C49" si="7">(C12/C13)*100</f>
        <v>86.7361111111111</v>
      </c>
      <c r="D49" s="6"/>
      <c r="E49" s="6"/>
      <c r="F49" s="6"/>
      <c r="G49" s="4"/>
    </row>
    <row r="50" spans="1:7" x14ac:dyDescent="0.25">
      <c r="A50" s="16" t="s">
        <v>23</v>
      </c>
      <c r="B50" s="6">
        <f>B18/B19*100</f>
        <v>9.646762952676962</v>
      </c>
      <c r="C50" s="6"/>
      <c r="D50" s="6">
        <f t="shared" ref="D50:F50" si="8">D18/D19*100</f>
        <v>26.90977361160332</v>
      </c>
      <c r="E50" s="6">
        <f t="shared" si="8"/>
        <v>0.83229609535785742</v>
      </c>
      <c r="F50" s="6">
        <f t="shared" si="8"/>
        <v>5.7195930311049121</v>
      </c>
      <c r="G50" s="4"/>
    </row>
    <row r="51" spans="1:7" x14ac:dyDescent="0.25">
      <c r="A51" s="16" t="s">
        <v>24</v>
      </c>
      <c r="B51" s="6">
        <f>AVERAGE(B49:B50)</f>
        <v>48.191437031894033</v>
      </c>
      <c r="C51" s="6">
        <f t="shared" ref="C51:F51" si="9">AVERAGE(C49:C50)</f>
        <v>86.7361111111111</v>
      </c>
      <c r="D51" s="6">
        <f t="shared" si="9"/>
        <v>26.90977361160332</v>
      </c>
      <c r="E51" s="6">
        <f t="shared" si="9"/>
        <v>0.83229609535785742</v>
      </c>
      <c r="F51" s="6">
        <f t="shared" si="9"/>
        <v>5.7195930311049121</v>
      </c>
      <c r="G51" s="4"/>
    </row>
    <row r="52" spans="1:7" x14ac:dyDescent="0.25">
      <c r="A52" s="16"/>
      <c r="B52" s="6"/>
      <c r="C52" s="6"/>
      <c r="D52" s="6"/>
      <c r="E52" s="6"/>
      <c r="F52" s="6"/>
      <c r="G52" s="4"/>
    </row>
    <row r="53" spans="1:7" x14ac:dyDescent="0.25">
      <c r="A53" s="16" t="s">
        <v>36</v>
      </c>
      <c r="B53" s="6"/>
      <c r="C53" s="6"/>
      <c r="D53" s="6"/>
      <c r="E53" s="6"/>
      <c r="F53" s="6"/>
      <c r="G53" s="4"/>
    </row>
    <row r="54" spans="1:7" x14ac:dyDescent="0.25">
      <c r="A54" s="16" t="s">
        <v>25</v>
      </c>
      <c r="B54" s="6">
        <f>B20/B18*100</f>
        <v>100</v>
      </c>
      <c r="C54" s="6" t="e">
        <f t="shared" ref="C54:F54" si="10">C20/C18*100</f>
        <v>#DIV/0!</v>
      </c>
      <c r="D54" s="6">
        <f t="shared" si="10"/>
        <v>100</v>
      </c>
      <c r="E54" s="6">
        <f t="shared" si="10"/>
        <v>100</v>
      </c>
      <c r="F54" s="6">
        <f t="shared" si="10"/>
        <v>100</v>
      </c>
      <c r="G54" s="4"/>
    </row>
    <row r="55" spans="1:7" x14ac:dyDescent="0.25">
      <c r="A55" s="16"/>
      <c r="B55" s="6"/>
      <c r="C55" s="6"/>
      <c r="D55" s="6"/>
      <c r="E55" s="6"/>
      <c r="F55" s="6"/>
      <c r="G55" s="4"/>
    </row>
    <row r="56" spans="1:7" x14ac:dyDescent="0.25">
      <c r="A56" s="16" t="s">
        <v>26</v>
      </c>
      <c r="B56" s="6"/>
      <c r="C56" s="6"/>
      <c r="D56" s="6"/>
      <c r="E56" s="6"/>
      <c r="F56" s="6"/>
      <c r="G56" s="4"/>
    </row>
    <row r="57" spans="1:7" x14ac:dyDescent="0.25">
      <c r="A57" s="16" t="s">
        <v>27</v>
      </c>
      <c r="B57" s="6">
        <f>((B12/B10)-1)*100</f>
        <v>-8.2966226138032404</v>
      </c>
      <c r="C57" s="6">
        <f t="shared" ref="C57:F57" si="11">((C12/C10)-1)*100</f>
        <v>-8.2966226138032404</v>
      </c>
      <c r="D57" s="6" t="e">
        <f t="shared" si="11"/>
        <v>#DIV/0!</v>
      </c>
      <c r="E57" s="6" t="e">
        <f t="shared" si="11"/>
        <v>#DIV/0!</v>
      </c>
      <c r="F57" s="6" t="e">
        <f t="shared" si="11"/>
        <v>#DIV/0!</v>
      </c>
      <c r="G57" s="4"/>
    </row>
    <row r="58" spans="1:7" x14ac:dyDescent="0.25">
      <c r="A58" s="16" t="s">
        <v>28</v>
      </c>
      <c r="B58" s="6">
        <f>((B33/B32)-1)*100</f>
        <v>-67.905484545364587</v>
      </c>
      <c r="C58" s="6" t="e">
        <f t="shared" ref="C58:F58" si="12">((C33/C32)-1)*100</f>
        <v>#DIV/0!</v>
      </c>
      <c r="D58" s="6">
        <f t="shared" si="12"/>
        <v>-1.2294956140852853</v>
      </c>
      <c r="E58" s="6">
        <f t="shared" si="12"/>
        <v>-99.765836182926705</v>
      </c>
      <c r="F58" s="6">
        <f t="shared" si="12"/>
        <v>-76.261588994607905</v>
      </c>
      <c r="G58" s="4"/>
    </row>
    <row r="59" spans="1:7" x14ac:dyDescent="0.25">
      <c r="A59" s="16" t="s">
        <v>29</v>
      </c>
      <c r="B59" s="6">
        <f>((B35/B34)-1)*100</f>
        <v>-65.00181741456089</v>
      </c>
      <c r="C59" s="6" t="e">
        <f t="shared" ref="C59:F59" si="13">((C35/C34)-1)*100</f>
        <v>#DIV/0!</v>
      </c>
      <c r="D59" s="6">
        <f t="shared" si="13"/>
        <v>7.7065067843201218</v>
      </c>
      <c r="E59" s="6">
        <f t="shared" si="13"/>
        <v>-99.744650825577395</v>
      </c>
      <c r="F59" s="6">
        <f t="shared" si="13"/>
        <v>-74.113918503327426</v>
      </c>
      <c r="G59" s="4"/>
    </row>
    <row r="60" spans="1:7" x14ac:dyDescent="0.25">
      <c r="A60" s="16"/>
      <c r="B60" s="6"/>
      <c r="C60" s="6"/>
      <c r="D60" s="6"/>
      <c r="E60" s="6"/>
      <c r="F60" s="6"/>
      <c r="G60" s="4"/>
    </row>
    <row r="61" spans="1:7" x14ac:dyDescent="0.25">
      <c r="A61" s="16" t="s">
        <v>30</v>
      </c>
      <c r="B61" s="6"/>
      <c r="C61" s="6"/>
      <c r="D61" s="6"/>
      <c r="E61" s="6"/>
      <c r="F61" s="6"/>
      <c r="G61" s="4"/>
    </row>
    <row r="62" spans="1:7" x14ac:dyDescent="0.25">
      <c r="A62" s="16" t="s">
        <v>37</v>
      </c>
      <c r="B62" s="44">
        <f>B17/($B$11*3)</f>
        <v>109027.77777777778</v>
      </c>
      <c r="C62" s="44">
        <f>B17/(C11*3)</f>
        <v>109027.77777777778</v>
      </c>
      <c r="D62" s="44">
        <f>D17/($C$11*3)</f>
        <v>39583.333333333336</v>
      </c>
      <c r="E62" s="44">
        <f>E17/($C$11*3)</f>
        <v>0</v>
      </c>
      <c r="F62" s="44">
        <f>F17/($C$11*3)</f>
        <v>69444.444444444438</v>
      </c>
      <c r="G62" s="39"/>
    </row>
    <row r="63" spans="1:7" x14ac:dyDescent="0.25">
      <c r="A63" s="16" t="s">
        <v>38</v>
      </c>
      <c r="B63" s="44">
        <f>B18/($B$12*3)</f>
        <v>83545.367614091272</v>
      </c>
      <c r="C63" s="44">
        <f>B18/(C12*3)</f>
        <v>83545.367614091272</v>
      </c>
      <c r="D63" s="44">
        <f>D18/($C$12*3)</f>
        <v>44061.98122497998</v>
      </c>
      <c r="E63" s="44">
        <f t="shared" ref="E63:F63" si="14">E18/($C$12*3)</f>
        <v>116.76541232986389</v>
      </c>
      <c r="F63" s="44">
        <f t="shared" si="14"/>
        <v>39366.620976781429</v>
      </c>
      <c r="G63" s="8"/>
    </row>
    <row r="64" spans="1:7" x14ac:dyDescent="0.25">
      <c r="A64" s="16" t="s">
        <v>31</v>
      </c>
      <c r="B64" s="42">
        <f>(B63/B62)*B46</f>
        <v>58.69670580586412</v>
      </c>
      <c r="C64" s="42">
        <f>(C63/C62)*C46</f>
        <v>66.463798821656042</v>
      </c>
      <c r="D64" s="42"/>
      <c r="E64" s="42"/>
      <c r="F64" s="42"/>
      <c r="G64" s="4"/>
    </row>
    <row r="65" spans="1:8" x14ac:dyDescent="0.25">
      <c r="A65" s="14" t="s">
        <v>39</v>
      </c>
      <c r="B65" s="44">
        <f>B17/($B$11)</f>
        <v>327083.33333333331</v>
      </c>
      <c r="C65" s="44">
        <f>B17/C11</f>
        <v>327083.33333333331</v>
      </c>
      <c r="D65" s="50">
        <f>D17/($C$11)</f>
        <v>118750</v>
      </c>
      <c r="E65" s="50">
        <f>E17/($C$11)</f>
        <v>0</v>
      </c>
      <c r="F65" s="50">
        <f>F17/($C$11)</f>
        <v>208333.33333333334</v>
      </c>
      <c r="G65" s="4"/>
    </row>
    <row r="66" spans="1:8" x14ac:dyDescent="0.25">
      <c r="A66" s="14" t="s">
        <v>40</v>
      </c>
      <c r="B66" s="44">
        <f>B18/($B$12)</f>
        <v>250636.10284227383</v>
      </c>
      <c r="C66" s="44">
        <f>B18/C12</f>
        <v>250636.10284227383</v>
      </c>
      <c r="D66" s="50">
        <f>D18/($C$12)</f>
        <v>132185.94367493995</v>
      </c>
      <c r="E66" s="50">
        <f t="shared" ref="E66:F66" si="15">E18/($C$12)</f>
        <v>350.2962369895917</v>
      </c>
      <c r="F66" s="50">
        <f t="shared" si="15"/>
        <v>118099.86293034429</v>
      </c>
      <c r="G66" s="4"/>
    </row>
    <row r="67" spans="1:8" x14ac:dyDescent="0.25">
      <c r="B67" s="6"/>
      <c r="C67" s="6"/>
      <c r="D67" s="6"/>
      <c r="E67" s="6"/>
      <c r="F67" s="6"/>
      <c r="G67" s="4"/>
    </row>
    <row r="68" spans="1:8" x14ac:dyDescent="0.25">
      <c r="A68" t="s">
        <v>32</v>
      </c>
      <c r="B68" s="6"/>
      <c r="C68" s="6"/>
      <c r="D68" s="6"/>
      <c r="E68" s="6"/>
      <c r="F68" s="6"/>
      <c r="G68" s="4"/>
    </row>
    <row r="69" spans="1:8" x14ac:dyDescent="0.25">
      <c r="A69" t="s">
        <v>33</v>
      </c>
      <c r="B69" s="42">
        <f>(B24/B23)*100</f>
        <v>100</v>
      </c>
      <c r="C69" s="6"/>
      <c r="D69" s="6"/>
      <c r="E69" s="6"/>
      <c r="F69" s="6"/>
      <c r="G69" s="39"/>
      <c r="H69" s="8"/>
    </row>
    <row r="70" spans="1:8" x14ac:dyDescent="0.25">
      <c r="A70" t="s">
        <v>34</v>
      </c>
      <c r="B70" s="42">
        <f>(B18/B24)*100</f>
        <v>66.463798821656056</v>
      </c>
      <c r="C70" s="6"/>
      <c r="D70" s="6"/>
      <c r="E70" s="6"/>
      <c r="F70" s="6"/>
      <c r="G70" s="39"/>
      <c r="H70" s="8"/>
    </row>
    <row r="71" spans="1:8" ht="15.75" thickBot="1" x14ac:dyDescent="0.3">
      <c r="A71" s="9"/>
      <c r="B71" s="9"/>
      <c r="C71" s="9"/>
      <c r="D71" s="9"/>
      <c r="E71" s="9"/>
      <c r="F71" s="9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1" t="s">
        <v>89</v>
      </c>
    </row>
    <row r="75" spans="1:8" x14ac:dyDescent="0.25">
      <c r="A75" s="11" t="s">
        <v>90</v>
      </c>
      <c r="B75" s="12"/>
      <c r="C75" s="12"/>
      <c r="D75" s="12"/>
      <c r="E75" s="12"/>
    </row>
    <row r="76" spans="1:8" x14ac:dyDescent="0.25">
      <c r="A76" s="34" t="s">
        <v>91</v>
      </c>
      <c r="B76" s="12"/>
      <c r="C76" s="12"/>
      <c r="D76" s="12"/>
      <c r="E76" s="12"/>
    </row>
    <row r="77" spans="1:8" x14ac:dyDescent="0.25">
      <c r="A77" s="11" t="s">
        <v>49</v>
      </c>
      <c r="B77" s="12"/>
      <c r="C77" s="12"/>
      <c r="D77" s="12"/>
      <c r="E77" s="12"/>
    </row>
    <row r="78" spans="1:8" x14ac:dyDescent="0.25">
      <c r="A78" s="33" t="s">
        <v>50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1" spans="1:1" x14ac:dyDescent="0.25">
      <c r="A81" s="51"/>
    </row>
    <row r="82" spans="1:1" x14ac:dyDescent="0.25">
      <c r="A82" s="25" t="s">
        <v>136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zoomScale="90" zoomScaleNormal="90" workbookViewId="0">
      <selection activeCell="A82" sqref="A82"/>
    </sheetView>
  </sheetViews>
  <sheetFormatPr baseColWidth="10" defaultColWidth="11.42578125" defaultRowHeight="15" x14ac:dyDescent="0.25"/>
  <cols>
    <col min="1" max="1" width="55.140625" style="16" customWidth="1"/>
    <col min="2" max="2" width="14.7109375" style="16" bestFit="1" customWidth="1"/>
    <col min="3" max="3" width="14.7109375" style="16" customWidth="1"/>
    <col min="4" max="4" width="20.7109375" style="16" customWidth="1"/>
    <col min="5" max="5" width="15.5703125" style="16" customWidth="1"/>
    <col min="6" max="6" width="17.5703125" style="16" customWidth="1"/>
    <col min="7" max="7" width="13.7109375" style="16" bestFit="1" customWidth="1"/>
    <col min="8" max="16384" width="11.42578125" style="16"/>
  </cols>
  <sheetData>
    <row r="2" spans="1:7" ht="15.75" x14ac:dyDescent="0.25">
      <c r="A2" s="61" t="s">
        <v>106</v>
      </c>
      <c r="B2" s="61"/>
      <c r="C2" s="61"/>
      <c r="D2" s="61"/>
      <c r="E2" s="61"/>
      <c r="F2" s="61"/>
    </row>
    <row r="4" spans="1:7" ht="15" customHeight="1" x14ac:dyDescent="0.25">
      <c r="A4" s="62" t="s">
        <v>0</v>
      </c>
      <c r="B4" s="64" t="s">
        <v>1</v>
      </c>
      <c r="C4" s="59" t="s">
        <v>51</v>
      </c>
      <c r="D4" s="66" t="s">
        <v>2</v>
      </c>
      <c r="E4" s="66"/>
      <c r="F4" s="66"/>
    </row>
    <row r="5" spans="1:7" ht="15.75" thickBot="1" x14ac:dyDescent="0.3">
      <c r="A5" s="63"/>
      <c r="B5" s="65"/>
      <c r="C5" s="60"/>
      <c r="D5" s="17" t="s">
        <v>3</v>
      </c>
      <c r="E5" s="18" t="s">
        <v>4</v>
      </c>
      <c r="F5" s="18" t="s">
        <v>5</v>
      </c>
    </row>
    <row r="6" spans="1:7" ht="15.75" thickTop="1" x14ac:dyDescent="0.25"/>
    <row r="7" spans="1:7" x14ac:dyDescent="0.25">
      <c r="A7" s="19" t="s">
        <v>6</v>
      </c>
    </row>
    <row r="8" spans="1:7" x14ac:dyDescent="0.25">
      <c r="B8" s="6"/>
      <c r="C8" s="6"/>
      <c r="D8" s="6"/>
      <c r="E8" s="6"/>
      <c r="F8" s="6"/>
      <c r="G8" s="6"/>
    </row>
    <row r="9" spans="1:7" x14ac:dyDescent="0.25">
      <c r="A9" s="16" t="s">
        <v>7</v>
      </c>
      <c r="B9" s="6"/>
      <c r="C9" s="6"/>
      <c r="D9" s="6"/>
      <c r="E9" s="6"/>
      <c r="F9" s="6"/>
      <c r="G9" s="6"/>
    </row>
    <row r="10" spans="1:7" x14ac:dyDescent="0.25">
      <c r="A10" s="20" t="s">
        <v>65</v>
      </c>
      <c r="B10" s="13">
        <v>433</v>
      </c>
      <c r="C10" s="13">
        <v>433</v>
      </c>
      <c r="D10" s="6"/>
      <c r="E10" s="6"/>
      <c r="F10" s="6"/>
      <c r="G10" s="6"/>
    </row>
    <row r="11" spans="1:7" x14ac:dyDescent="0.25">
      <c r="A11" s="20" t="s">
        <v>107</v>
      </c>
      <c r="B11" s="13">
        <v>480</v>
      </c>
      <c r="C11" s="13">
        <v>480</v>
      </c>
      <c r="D11" s="6"/>
      <c r="E11" s="6"/>
      <c r="F11" s="6"/>
      <c r="G11" s="6"/>
    </row>
    <row r="12" spans="1:7" x14ac:dyDescent="0.25">
      <c r="A12" s="20" t="s">
        <v>108</v>
      </c>
      <c r="B12" s="13">
        <f>C12</f>
        <v>409</v>
      </c>
      <c r="C12" s="13">
        <v>409</v>
      </c>
      <c r="D12" s="6"/>
    </row>
    <row r="13" spans="1:7" x14ac:dyDescent="0.25">
      <c r="A13" s="20" t="s">
        <v>84</v>
      </c>
      <c r="B13" s="13">
        <v>480</v>
      </c>
      <c r="C13" s="13">
        <v>480</v>
      </c>
      <c r="D13" s="6"/>
      <c r="E13" s="6"/>
      <c r="F13" s="6"/>
      <c r="G13" s="6"/>
    </row>
    <row r="14" spans="1:7" x14ac:dyDescent="0.25">
      <c r="B14" s="6"/>
      <c r="C14" s="6"/>
      <c r="D14" s="6"/>
      <c r="E14" s="6"/>
      <c r="F14" s="6"/>
      <c r="G14" s="6"/>
    </row>
    <row r="15" spans="1:7" x14ac:dyDescent="0.25">
      <c r="A15" s="21" t="s">
        <v>8</v>
      </c>
      <c r="B15" s="6"/>
      <c r="C15" s="6"/>
      <c r="D15" s="6"/>
      <c r="E15" s="6"/>
      <c r="F15" s="6"/>
      <c r="G15" s="6"/>
    </row>
    <row r="16" spans="1:7" x14ac:dyDescent="0.25">
      <c r="A16" s="20" t="s">
        <v>65</v>
      </c>
      <c r="B16" s="13">
        <f>SUM(D16:F16)</f>
        <v>182591690.59999999</v>
      </c>
      <c r="C16" s="13"/>
      <c r="D16" s="13">
        <v>67315373.079999998</v>
      </c>
      <c r="E16" s="29">
        <v>42430187.789999999</v>
      </c>
      <c r="F16" s="30">
        <v>72846129.729999989</v>
      </c>
      <c r="G16" s="6"/>
    </row>
    <row r="17" spans="1:8" x14ac:dyDescent="0.25">
      <c r="A17" s="20" t="s">
        <v>107</v>
      </c>
      <c r="B17" s="13">
        <f t="shared" ref="B17:B19" si="0">SUM(D17:F17)</f>
        <v>47522610.140000001</v>
      </c>
      <c r="C17" s="13"/>
      <c r="D17" s="13">
        <v>38000000</v>
      </c>
      <c r="E17" s="13">
        <v>9522610.1400000006</v>
      </c>
      <c r="F17" s="13">
        <v>0</v>
      </c>
      <c r="G17" s="6"/>
    </row>
    <row r="18" spans="1:8" x14ac:dyDescent="0.25">
      <c r="A18" s="20" t="s">
        <v>108</v>
      </c>
      <c r="B18" s="13">
        <f t="shared" si="0"/>
        <v>179680818.75</v>
      </c>
      <c r="C18" s="13"/>
      <c r="D18" s="13">
        <v>46266477.170000002</v>
      </c>
      <c r="E18" s="29">
        <v>0</v>
      </c>
      <c r="F18" s="30">
        <v>133414341.58000001</v>
      </c>
      <c r="G18" s="6"/>
    </row>
    <row r="19" spans="1:8" x14ac:dyDescent="0.25">
      <c r="A19" s="20" t="s">
        <v>84</v>
      </c>
      <c r="B19" s="13">
        <f t="shared" si="0"/>
        <v>1081690974.0799999</v>
      </c>
      <c r="C19" s="13"/>
      <c r="D19" s="13">
        <v>204510879</v>
      </c>
      <c r="E19" s="13">
        <v>17522610.140000001</v>
      </c>
      <c r="F19" s="13">
        <v>859657484.94000006</v>
      </c>
      <c r="G19" s="6"/>
    </row>
    <row r="20" spans="1:8" x14ac:dyDescent="0.25">
      <c r="A20" s="20" t="s">
        <v>109</v>
      </c>
      <c r="B20" s="13">
        <f>D20+E20+F20</f>
        <v>179680818.75</v>
      </c>
      <c r="C20" s="13"/>
      <c r="D20" s="13">
        <f>D18</f>
        <v>46266477.170000002</v>
      </c>
      <c r="E20" s="13">
        <f t="shared" ref="E20:F20" si="1">E18</f>
        <v>0</v>
      </c>
      <c r="F20" s="13">
        <f t="shared" si="1"/>
        <v>133414341.58000001</v>
      </c>
      <c r="G20" s="6"/>
    </row>
    <row r="21" spans="1:8" x14ac:dyDescent="0.25">
      <c r="B21" s="6"/>
      <c r="C21" s="6"/>
      <c r="D21" s="6"/>
      <c r="E21" s="6"/>
      <c r="F21" s="6"/>
      <c r="G21" s="6"/>
    </row>
    <row r="22" spans="1:8" x14ac:dyDescent="0.25">
      <c r="A22" s="20" t="s">
        <v>9</v>
      </c>
      <c r="B22" s="6"/>
      <c r="C22" s="6"/>
      <c r="D22" s="6"/>
      <c r="E22" s="6"/>
      <c r="F22" s="6"/>
      <c r="G22" s="6"/>
    </row>
    <row r="23" spans="1:8" x14ac:dyDescent="0.25">
      <c r="A23" s="20" t="s">
        <v>107</v>
      </c>
      <c r="B23" s="6">
        <f>B17</f>
        <v>47522610.140000001</v>
      </c>
      <c r="C23" s="6"/>
      <c r="D23" s="32"/>
      <c r="E23" s="6"/>
      <c r="F23" s="6"/>
      <c r="G23" s="38"/>
      <c r="H23" s="22"/>
    </row>
    <row r="24" spans="1:8" x14ac:dyDescent="0.25">
      <c r="A24" s="20" t="s">
        <v>108</v>
      </c>
      <c r="B24" s="6">
        <v>38000000</v>
      </c>
      <c r="C24" s="6"/>
      <c r="D24" s="13"/>
      <c r="E24" s="13"/>
      <c r="F24" s="6"/>
      <c r="G24" s="6"/>
      <c r="H24" s="22"/>
    </row>
    <row r="25" spans="1:8" x14ac:dyDescent="0.25">
      <c r="B25" s="6"/>
      <c r="C25" s="6"/>
      <c r="D25" s="6"/>
      <c r="E25" s="6"/>
      <c r="F25" s="6"/>
      <c r="G25" s="6"/>
    </row>
    <row r="26" spans="1:8" x14ac:dyDescent="0.25">
      <c r="A26" s="16" t="s">
        <v>10</v>
      </c>
      <c r="B26" s="6"/>
      <c r="C26" s="6"/>
      <c r="D26" s="6"/>
      <c r="E26" s="6"/>
      <c r="F26" s="6"/>
      <c r="G26" s="6"/>
    </row>
    <row r="27" spans="1:8" x14ac:dyDescent="0.25">
      <c r="A27" s="16" t="s">
        <v>66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6"/>
    </row>
    <row r="28" spans="1:8" x14ac:dyDescent="0.25">
      <c r="A28" s="16" t="s">
        <v>110</v>
      </c>
      <c r="B28" s="6">
        <v>1.02</v>
      </c>
      <c r="C28" s="6">
        <v>1.02</v>
      </c>
      <c r="D28" s="6">
        <v>1.02</v>
      </c>
      <c r="E28" s="6">
        <v>1.02</v>
      </c>
      <c r="F28" s="6">
        <v>1.02</v>
      </c>
      <c r="G28" s="6"/>
    </row>
    <row r="29" spans="1:8" x14ac:dyDescent="0.25">
      <c r="A29" s="16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6"/>
    </row>
    <row r="30" spans="1:8" x14ac:dyDescent="0.25">
      <c r="B30" s="6"/>
      <c r="C30" s="6"/>
      <c r="D30" s="6"/>
      <c r="E30" s="6"/>
      <c r="F30" s="6"/>
      <c r="G30" s="6"/>
    </row>
    <row r="31" spans="1:8" x14ac:dyDescent="0.25">
      <c r="A31" s="16" t="s">
        <v>12</v>
      </c>
      <c r="B31" s="6"/>
      <c r="C31" s="6"/>
      <c r="D31" s="6"/>
      <c r="E31" s="6"/>
      <c r="F31" s="6"/>
      <c r="G31" s="6"/>
    </row>
    <row r="32" spans="1:8" x14ac:dyDescent="0.25">
      <c r="A32" s="16" t="s">
        <v>67</v>
      </c>
      <c r="B32" s="6">
        <f>B16/B27</f>
        <v>184436051.1111111</v>
      </c>
      <c r="C32" s="6">
        <f t="shared" ref="C32:F32" si="2">C16/C27</f>
        <v>0</v>
      </c>
      <c r="D32" s="6">
        <f t="shared" si="2"/>
        <v>67995326.343434349</v>
      </c>
      <c r="E32" s="6">
        <f t="shared" si="2"/>
        <v>42858775.545454547</v>
      </c>
      <c r="F32" s="6">
        <f t="shared" si="2"/>
        <v>73581949.222222209</v>
      </c>
      <c r="G32" s="6"/>
    </row>
    <row r="33" spans="1:7" x14ac:dyDescent="0.25">
      <c r="A33" s="16" t="s">
        <v>111</v>
      </c>
      <c r="B33" s="6">
        <f>B18/B28</f>
        <v>176157665.44117647</v>
      </c>
      <c r="C33" s="6">
        <f t="shared" ref="C33:F33" si="3">C18/C28</f>
        <v>0</v>
      </c>
      <c r="D33" s="6">
        <f t="shared" si="3"/>
        <v>45359291.343137257</v>
      </c>
      <c r="E33" s="6">
        <f t="shared" si="3"/>
        <v>0</v>
      </c>
      <c r="F33" s="6">
        <f t="shared" si="3"/>
        <v>130798374.09803922</v>
      </c>
      <c r="G33" s="6"/>
    </row>
    <row r="34" spans="1:7" x14ac:dyDescent="0.25">
      <c r="A34" s="16" t="s">
        <v>68</v>
      </c>
      <c r="B34" s="6">
        <f>B32/B10</f>
        <v>425949.3097254298</v>
      </c>
      <c r="C34" s="25">
        <f>C32/C10</f>
        <v>0</v>
      </c>
      <c r="D34" s="44">
        <f>D32/$C$10</f>
        <v>157033.08624349735</v>
      </c>
      <c r="E34" s="44">
        <f t="shared" ref="E34:F34" si="4">E32/$C$10</f>
        <v>98981.00587864792</v>
      </c>
      <c r="F34" s="44">
        <f t="shared" si="4"/>
        <v>169935.21760328455</v>
      </c>
      <c r="G34" s="39"/>
    </row>
    <row r="35" spans="1:7" x14ac:dyDescent="0.25">
      <c r="A35" s="16" t="s">
        <v>112</v>
      </c>
      <c r="B35" s="6">
        <f>B33/B12</f>
        <v>430703.33848698402</v>
      </c>
      <c r="C35" s="25">
        <f>C33/C12</f>
        <v>0</v>
      </c>
      <c r="D35" s="44">
        <f>D33/$C$12</f>
        <v>110902.9128194065</v>
      </c>
      <c r="E35" s="44">
        <f t="shared" ref="E35:F35" si="5">E33/$C$12</f>
        <v>0</v>
      </c>
      <c r="F35" s="44">
        <f t="shared" si="5"/>
        <v>319800.42566757754</v>
      </c>
    </row>
    <row r="36" spans="1:7" x14ac:dyDescent="0.25">
      <c r="B36" s="6"/>
      <c r="C36" s="6"/>
      <c r="D36" s="6"/>
      <c r="E36" s="6"/>
      <c r="F36" s="6"/>
      <c r="G36" s="6"/>
    </row>
    <row r="37" spans="1:7" x14ac:dyDescent="0.25">
      <c r="A37" s="19" t="s">
        <v>13</v>
      </c>
      <c r="B37" s="6"/>
      <c r="C37" s="6"/>
      <c r="D37" s="6"/>
      <c r="E37" s="6"/>
      <c r="F37" s="6"/>
      <c r="G37" s="6"/>
    </row>
    <row r="38" spans="1:7" x14ac:dyDescent="0.25">
      <c r="B38" s="6"/>
      <c r="C38" s="6"/>
      <c r="D38" s="6"/>
      <c r="E38" s="6"/>
      <c r="F38" s="6"/>
      <c r="G38" s="6"/>
    </row>
    <row r="39" spans="1:7" x14ac:dyDescent="0.25">
      <c r="A39" s="16" t="s">
        <v>14</v>
      </c>
      <c r="B39" s="6"/>
      <c r="C39" s="6"/>
      <c r="D39" s="6"/>
      <c r="E39" s="6"/>
      <c r="F39" s="6"/>
      <c r="G39" s="6"/>
    </row>
    <row r="40" spans="1:7" x14ac:dyDescent="0.25">
      <c r="A40" s="16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6"/>
    </row>
    <row r="41" spans="1:7" x14ac:dyDescent="0.25">
      <c r="A41" s="16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/>
    </row>
    <row r="42" spans="1:7" x14ac:dyDescent="0.25">
      <c r="B42" s="6"/>
      <c r="C42" s="6"/>
      <c r="D42" s="6"/>
      <c r="E42" s="6"/>
      <c r="F42" s="6"/>
      <c r="G42" s="6"/>
    </row>
    <row r="43" spans="1:7" x14ac:dyDescent="0.25">
      <c r="A43" s="16" t="s">
        <v>17</v>
      </c>
      <c r="B43" s="6"/>
      <c r="C43" s="6"/>
      <c r="D43" s="6"/>
      <c r="E43" s="6"/>
      <c r="F43" s="6"/>
      <c r="G43" s="6"/>
    </row>
    <row r="44" spans="1:7" x14ac:dyDescent="0.25">
      <c r="A44" s="16" t="s">
        <v>18</v>
      </c>
      <c r="B44" s="6">
        <f>B12/B11*100</f>
        <v>85.208333333333329</v>
      </c>
      <c r="C44" s="6">
        <f t="shared" ref="C44" si="6">C12/C11*100</f>
        <v>85.208333333333329</v>
      </c>
      <c r="D44" s="6"/>
      <c r="E44" s="6"/>
      <c r="F44" s="6"/>
      <c r="G44" s="39"/>
    </row>
    <row r="45" spans="1:7" x14ac:dyDescent="0.25">
      <c r="A45" s="16" t="s">
        <v>19</v>
      </c>
      <c r="B45" s="6">
        <f>B18/B17*100</f>
        <v>378.09543335407375</v>
      </c>
      <c r="C45" s="6"/>
      <c r="D45" s="6">
        <f t="shared" ref="D45:F45" si="7">D18/D17*100</f>
        <v>121.7538872894737</v>
      </c>
      <c r="E45" s="6">
        <f t="shared" si="7"/>
        <v>0</v>
      </c>
      <c r="F45" s="6" t="e">
        <f t="shared" si="7"/>
        <v>#DIV/0!</v>
      </c>
      <c r="G45" s="6"/>
    </row>
    <row r="46" spans="1:7" x14ac:dyDescent="0.25">
      <c r="A46" s="16" t="s">
        <v>20</v>
      </c>
      <c r="B46" s="6">
        <f>AVERAGE(B44:B45)</f>
        <v>231.65188334370353</v>
      </c>
      <c r="C46" s="6">
        <f t="shared" ref="C46:F46" si="8">AVERAGE(C44:C45)</f>
        <v>85.208333333333329</v>
      </c>
      <c r="D46" s="6">
        <f t="shared" si="8"/>
        <v>121.7538872894737</v>
      </c>
      <c r="E46" s="6">
        <f t="shared" si="8"/>
        <v>0</v>
      </c>
      <c r="F46" s="6" t="e">
        <f t="shared" si="8"/>
        <v>#DIV/0!</v>
      </c>
      <c r="G46" s="6"/>
    </row>
    <row r="47" spans="1:7" x14ac:dyDescent="0.25">
      <c r="B47" s="6"/>
      <c r="C47" s="6"/>
      <c r="D47" s="6"/>
      <c r="E47" s="6"/>
      <c r="F47" s="6"/>
      <c r="G47" s="6"/>
    </row>
    <row r="48" spans="1:7" x14ac:dyDescent="0.25">
      <c r="A48" s="16" t="s">
        <v>21</v>
      </c>
      <c r="B48" s="6"/>
      <c r="C48" s="6"/>
      <c r="D48" s="6"/>
      <c r="E48" s="6"/>
      <c r="F48" s="6"/>
      <c r="G48" s="6"/>
    </row>
    <row r="49" spans="1:7" x14ac:dyDescent="0.25">
      <c r="A49" s="16" t="s">
        <v>22</v>
      </c>
      <c r="B49" s="6">
        <f>(B12/B13)*100</f>
        <v>85.208333333333329</v>
      </c>
      <c r="C49" s="6">
        <f t="shared" ref="C49" si="9">(C12/C13)*100</f>
        <v>85.208333333333329</v>
      </c>
      <c r="D49" s="6"/>
      <c r="E49" s="6"/>
      <c r="F49" s="6"/>
      <c r="G49" s="6"/>
    </row>
    <row r="50" spans="1:7" x14ac:dyDescent="0.25">
      <c r="A50" s="16" t="s">
        <v>23</v>
      </c>
      <c r="B50" s="6">
        <f>B18/B19*100</f>
        <v>16.611104562726169</v>
      </c>
      <c r="C50" s="6"/>
      <c r="D50" s="6">
        <f t="shared" ref="D50:F50" si="10">D18/D19*100</f>
        <v>22.622990716303164</v>
      </c>
      <c r="E50" s="6">
        <f t="shared" si="10"/>
        <v>0</v>
      </c>
      <c r="F50" s="6">
        <f t="shared" si="10"/>
        <v>15.519476526085466</v>
      </c>
      <c r="G50" s="6"/>
    </row>
    <row r="51" spans="1:7" x14ac:dyDescent="0.25">
      <c r="A51" s="16" t="s">
        <v>24</v>
      </c>
      <c r="B51" s="6">
        <f>AVERAGE(B49:B50)</f>
        <v>50.909718948029749</v>
      </c>
      <c r="C51" s="6">
        <f t="shared" ref="C51:F51" si="11">AVERAGE(C49:C50)</f>
        <v>85.208333333333329</v>
      </c>
      <c r="D51" s="6">
        <f t="shared" si="11"/>
        <v>22.622990716303164</v>
      </c>
      <c r="E51" s="6">
        <f t="shared" si="11"/>
        <v>0</v>
      </c>
      <c r="F51" s="6">
        <f t="shared" si="11"/>
        <v>15.519476526085466</v>
      </c>
      <c r="G51" s="6"/>
    </row>
    <row r="52" spans="1:7" x14ac:dyDescent="0.25">
      <c r="B52" s="6"/>
      <c r="C52" s="6"/>
      <c r="D52" s="6"/>
      <c r="E52" s="6"/>
      <c r="F52" s="6"/>
      <c r="G52" s="6"/>
    </row>
    <row r="53" spans="1:7" x14ac:dyDescent="0.25">
      <c r="A53" s="16" t="s">
        <v>36</v>
      </c>
      <c r="B53" s="6"/>
      <c r="C53" s="6"/>
      <c r="D53" s="6"/>
      <c r="E53" s="6"/>
      <c r="F53" s="6"/>
      <c r="G53" s="6"/>
    </row>
    <row r="54" spans="1:7" x14ac:dyDescent="0.25">
      <c r="A54" s="16" t="s">
        <v>25</v>
      </c>
      <c r="B54" s="6">
        <f>B20/B18*100</f>
        <v>100</v>
      </c>
      <c r="C54" s="6" t="e">
        <f t="shared" ref="C54:F54" si="12">C20/C18*100</f>
        <v>#DIV/0!</v>
      </c>
      <c r="D54" s="6">
        <f t="shared" si="12"/>
        <v>100</v>
      </c>
      <c r="E54" s="6" t="e">
        <f t="shared" si="12"/>
        <v>#DIV/0!</v>
      </c>
      <c r="F54" s="6">
        <f t="shared" si="12"/>
        <v>100</v>
      </c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A56" s="16" t="s">
        <v>26</v>
      </c>
      <c r="B56" s="6"/>
      <c r="C56" s="6"/>
      <c r="D56" s="6"/>
      <c r="E56" s="6"/>
      <c r="F56" s="6"/>
      <c r="G56" s="6"/>
    </row>
    <row r="57" spans="1:7" x14ac:dyDescent="0.25">
      <c r="A57" s="16" t="s">
        <v>27</v>
      </c>
      <c r="B57" s="6">
        <f>((B12/B10)-1)*100</f>
        <v>-5.5427251732101617</v>
      </c>
      <c r="C57" s="6">
        <f t="shared" ref="C57:F57" si="13">((C12/C10)-1)*100</f>
        <v>-5.5427251732101617</v>
      </c>
      <c r="D57" s="6" t="e">
        <f t="shared" si="13"/>
        <v>#DIV/0!</v>
      </c>
      <c r="E57" s="6" t="e">
        <f t="shared" si="13"/>
        <v>#DIV/0!</v>
      </c>
      <c r="F57" s="6" t="e">
        <f t="shared" si="13"/>
        <v>#DIV/0!</v>
      </c>
      <c r="G57" s="6"/>
    </row>
    <row r="58" spans="1:7" x14ac:dyDescent="0.25">
      <c r="A58" s="16" t="s">
        <v>28</v>
      </c>
      <c r="B58" s="6">
        <f>((B33/B32)-1)*100</f>
        <v>-4.4884856404496691</v>
      </c>
      <c r="C58" s="6" t="e">
        <f t="shared" ref="C58:F58" si="14">((C33/C32)-1)*100</f>
        <v>#DIV/0!</v>
      </c>
      <c r="D58" s="6">
        <f t="shared" si="14"/>
        <v>-33.290574834461154</v>
      </c>
      <c r="E58" s="6">
        <f t="shared" si="14"/>
        <v>-100</v>
      </c>
      <c r="F58" s="6">
        <f t="shared" si="14"/>
        <v>77.758778451247252</v>
      </c>
      <c r="G58" s="6"/>
    </row>
    <row r="59" spans="1:7" x14ac:dyDescent="0.25">
      <c r="A59" s="16" t="s">
        <v>29</v>
      </c>
      <c r="B59" s="6">
        <f>((B35/B34)-1)*100</f>
        <v>1.1161019992305343</v>
      </c>
      <c r="C59" s="6" t="e">
        <f t="shared" ref="C59:F59" si="15">((C35/C34)-1)*100</f>
        <v>#DIV/0!</v>
      </c>
      <c r="D59" s="6">
        <f t="shared" si="15"/>
        <v>-29.376085338194823</v>
      </c>
      <c r="E59" s="6">
        <f t="shared" si="15"/>
        <v>-100</v>
      </c>
      <c r="F59" s="6">
        <f t="shared" si="15"/>
        <v>88.189611416601593</v>
      </c>
      <c r="G59" s="6"/>
    </row>
    <row r="60" spans="1:7" x14ac:dyDescent="0.25">
      <c r="B60" s="6"/>
      <c r="C60" s="6"/>
      <c r="D60" s="6"/>
      <c r="E60" s="6"/>
      <c r="F60" s="6"/>
      <c r="G60" s="6"/>
    </row>
    <row r="61" spans="1:7" x14ac:dyDescent="0.25">
      <c r="A61" s="16" t="s">
        <v>30</v>
      </c>
      <c r="B61" s="6"/>
      <c r="C61" s="6"/>
      <c r="D61" s="6"/>
      <c r="E61" s="6"/>
      <c r="F61" s="6"/>
      <c r="G61" s="6"/>
    </row>
    <row r="62" spans="1:7" x14ac:dyDescent="0.25">
      <c r="A62" s="16" t="s">
        <v>37</v>
      </c>
      <c r="B62" s="44">
        <f>B17/($B$11*3)</f>
        <v>33001.812597222226</v>
      </c>
      <c r="C62" s="44">
        <f>B17/(C11*3)</f>
        <v>33001.812597222226</v>
      </c>
      <c r="D62" s="44">
        <f>D17/($C$11*3)</f>
        <v>26388.888888888891</v>
      </c>
      <c r="E62" s="44">
        <f t="shared" ref="E62:F62" si="16">E17/($C$11*3)</f>
        <v>6612.9237083333337</v>
      </c>
      <c r="F62" s="44">
        <f t="shared" si="16"/>
        <v>0</v>
      </c>
      <c r="G62" s="39"/>
    </row>
    <row r="63" spans="1:7" x14ac:dyDescent="0.25">
      <c r="A63" s="16" t="s">
        <v>38</v>
      </c>
      <c r="B63" s="44">
        <f>B18/($B$12*3)</f>
        <v>146439.13508557458</v>
      </c>
      <c r="C63" s="44">
        <f>B18/(C12*3)</f>
        <v>146439.13508557458</v>
      </c>
      <c r="D63" s="44">
        <f>D18/($C$12*3)</f>
        <v>37706.99035859821</v>
      </c>
      <c r="E63" s="44">
        <f t="shared" ref="E63:F63" si="17">E18/($C$12*3)</f>
        <v>0</v>
      </c>
      <c r="F63" s="44">
        <f t="shared" si="17"/>
        <v>108732.14472697637</v>
      </c>
      <c r="G63" s="22"/>
    </row>
    <row r="64" spans="1:7" x14ac:dyDescent="0.25">
      <c r="A64" s="16" t="s">
        <v>31</v>
      </c>
      <c r="B64" s="42">
        <f>(B63/B62)*B46</f>
        <v>1027.9102500161359</v>
      </c>
      <c r="C64" s="42">
        <f>(C63/C62)*C46</f>
        <v>378.09543335407369</v>
      </c>
      <c r="D64" s="42"/>
      <c r="E64" s="42"/>
      <c r="F64" s="42"/>
      <c r="G64" s="6"/>
    </row>
    <row r="65" spans="1:8" x14ac:dyDescent="0.25">
      <c r="A65" s="14" t="s">
        <v>39</v>
      </c>
      <c r="B65" s="44">
        <f>B17/($B$11)</f>
        <v>99005.437791666671</v>
      </c>
      <c r="C65" s="44">
        <f>B17/C11</f>
        <v>99005.437791666671</v>
      </c>
      <c r="D65" s="50">
        <f>D17/($C$11)</f>
        <v>79166.666666666672</v>
      </c>
      <c r="E65" s="50">
        <f t="shared" ref="E65:F65" si="18">E17/($C$11)</f>
        <v>19838.771125000003</v>
      </c>
      <c r="F65" s="50">
        <f t="shared" si="18"/>
        <v>0</v>
      </c>
      <c r="G65" s="6"/>
    </row>
    <row r="66" spans="1:8" x14ac:dyDescent="0.25">
      <c r="A66" s="14" t="s">
        <v>40</v>
      </c>
      <c r="B66" s="44">
        <f>B18/($B$12)</f>
        <v>439317.40525672369</v>
      </c>
      <c r="C66" s="44">
        <f>B18/C12</f>
        <v>439317.40525672369</v>
      </c>
      <c r="D66" s="50">
        <f>D18/($C$12)</f>
        <v>113120.97107579463</v>
      </c>
      <c r="E66" s="50">
        <f t="shared" ref="E66:F66" si="19">E18/($C$12)</f>
        <v>0</v>
      </c>
      <c r="F66" s="50">
        <f t="shared" si="19"/>
        <v>326196.43418092915</v>
      </c>
      <c r="G66" s="6"/>
    </row>
    <row r="67" spans="1:8" x14ac:dyDescent="0.25">
      <c r="B67" s="6"/>
      <c r="C67" s="6"/>
      <c r="D67" s="6"/>
      <c r="E67" s="6"/>
      <c r="F67" s="6"/>
      <c r="G67" s="6"/>
    </row>
    <row r="68" spans="1:8" x14ac:dyDescent="0.25">
      <c r="A68" s="16" t="s">
        <v>32</v>
      </c>
      <c r="B68" s="6"/>
      <c r="C68" s="6"/>
      <c r="D68" s="6"/>
      <c r="E68" s="6"/>
      <c r="F68" s="6"/>
      <c r="G68" s="6"/>
    </row>
    <row r="69" spans="1:8" x14ac:dyDescent="0.25">
      <c r="A69" s="16" t="s">
        <v>33</v>
      </c>
      <c r="B69" s="42">
        <f>(B24/B23)*100</f>
        <v>79.961937881890933</v>
      </c>
      <c r="C69" s="6"/>
      <c r="D69" s="6"/>
      <c r="E69" s="6"/>
      <c r="F69" s="6"/>
      <c r="G69" s="39"/>
      <c r="H69" s="22"/>
    </row>
    <row r="70" spans="1:8" x14ac:dyDescent="0.25">
      <c r="A70" s="16" t="s">
        <v>34</v>
      </c>
      <c r="B70" s="42">
        <f>(B18/B24)*100</f>
        <v>472.84425986842109</v>
      </c>
      <c r="C70" s="6"/>
      <c r="D70" s="6"/>
      <c r="E70" s="6"/>
      <c r="F70" s="6"/>
      <c r="G70" s="39"/>
      <c r="H70" s="22"/>
    </row>
    <row r="71" spans="1:8" ht="15.75" thickBot="1" x14ac:dyDescent="0.3">
      <c r="A71" s="23"/>
      <c r="B71" s="23"/>
      <c r="C71" s="23"/>
      <c r="D71" s="23"/>
      <c r="E71" s="23"/>
      <c r="F71" s="23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1" t="s">
        <v>89</v>
      </c>
    </row>
    <row r="75" spans="1:8" x14ac:dyDescent="0.25">
      <c r="A75" s="11" t="s">
        <v>90</v>
      </c>
      <c r="B75" s="24"/>
      <c r="C75" s="24"/>
      <c r="D75" s="24"/>
      <c r="E75" s="24"/>
    </row>
    <row r="76" spans="1:8" x14ac:dyDescent="0.25">
      <c r="A76" s="34" t="s">
        <v>91</v>
      </c>
      <c r="B76" s="24"/>
      <c r="C76" s="24"/>
      <c r="D76" s="24"/>
      <c r="E76" s="24"/>
    </row>
    <row r="77" spans="1:8" x14ac:dyDescent="0.25">
      <c r="A77" s="11" t="s">
        <v>49</v>
      </c>
    </row>
    <row r="78" spans="1:8" x14ac:dyDescent="0.25">
      <c r="A78" s="33" t="s">
        <v>50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1" spans="1:1" x14ac:dyDescent="0.25">
      <c r="A81" s="51"/>
    </row>
    <row r="82" spans="1:1" x14ac:dyDescent="0.25">
      <c r="A82" s="25" t="s">
        <v>137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67" zoomScaleNormal="100" workbookViewId="0">
      <selection activeCell="D11" sqref="D11"/>
    </sheetView>
  </sheetViews>
  <sheetFormatPr baseColWidth="10" defaultColWidth="11.42578125" defaultRowHeight="15" x14ac:dyDescent="0.25"/>
  <cols>
    <col min="1" max="1" width="55.140625" style="16" customWidth="1"/>
    <col min="2" max="2" width="19.7109375" style="16" customWidth="1"/>
    <col min="3" max="3" width="13.85546875" style="16" customWidth="1"/>
    <col min="4" max="4" width="20.7109375" style="16" customWidth="1"/>
    <col min="5" max="5" width="16.85546875" style="16" customWidth="1"/>
    <col min="6" max="7" width="13.7109375" style="16" bestFit="1" customWidth="1"/>
    <col min="8" max="16384" width="11.42578125" style="16"/>
  </cols>
  <sheetData>
    <row r="2" spans="1:7" ht="15.75" x14ac:dyDescent="0.25">
      <c r="A2" s="61" t="s">
        <v>113</v>
      </c>
      <c r="B2" s="61"/>
      <c r="C2" s="61"/>
      <c r="D2" s="61"/>
      <c r="E2" s="61"/>
      <c r="F2" s="61"/>
    </row>
    <row r="4" spans="1:7" ht="15" customHeight="1" x14ac:dyDescent="0.25">
      <c r="A4" s="62" t="s">
        <v>0</v>
      </c>
      <c r="B4" s="64" t="s">
        <v>1</v>
      </c>
      <c r="C4" s="59" t="s">
        <v>51</v>
      </c>
      <c r="D4" s="66" t="s">
        <v>2</v>
      </c>
      <c r="E4" s="66"/>
      <c r="F4" s="66"/>
    </row>
    <row r="5" spans="1:7" ht="15.75" thickBot="1" x14ac:dyDescent="0.3">
      <c r="A5" s="63"/>
      <c r="B5" s="65"/>
      <c r="C5" s="60"/>
      <c r="D5" s="17" t="s">
        <v>3</v>
      </c>
      <c r="E5" s="18" t="s">
        <v>4</v>
      </c>
      <c r="F5" s="18" t="s">
        <v>5</v>
      </c>
    </row>
    <row r="6" spans="1:7" ht="15.75" thickTop="1" x14ac:dyDescent="0.25"/>
    <row r="7" spans="1:7" x14ac:dyDescent="0.25">
      <c r="A7" s="19" t="s">
        <v>6</v>
      </c>
    </row>
    <row r="8" spans="1:7" x14ac:dyDescent="0.25">
      <c r="B8" s="6"/>
      <c r="C8" s="6"/>
      <c r="D8" s="6"/>
      <c r="E8" s="6"/>
      <c r="F8" s="6"/>
      <c r="G8" s="6"/>
    </row>
    <row r="9" spans="1:7" x14ac:dyDescent="0.25">
      <c r="A9" s="16" t="s">
        <v>7</v>
      </c>
      <c r="B9" s="6"/>
      <c r="C9" s="6"/>
      <c r="D9" s="6"/>
      <c r="E9" s="6"/>
      <c r="F9" s="6"/>
      <c r="G9" s="6"/>
    </row>
    <row r="10" spans="1:7" x14ac:dyDescent="0.25">
      <c r="A10" s="20" t="s">
        <v>69</v>
      </c>
      <c r="B10" s="13">
        <f>'I Trimestre'!B10</f>
        <v>326</v>
      </c>
      <c r="C10" s="13">
        <f>('I Trimestre'!C10+'II Trimestre'!C10)/2</f>
        <v>399.5</v>
      </c>
      <c r="D10" s="6"/>
      <c r="E10" s="6"/>
      <c r="F10" s="6"/>
      <c r="G10" s="6"/>
    </row>
    <row r="11" spans="1:7" x14ac:dyDescent="0.25">
      <c r="A11" s="20" t="s">
        <v>114</v>
      </c>
      <c r="B11" s="13">
        <f>'I Trimestre'!B11</f>
        <v>480</v>
      </c>
      <c r="C11" s="13">
        <f>('I Trimestre'!C11+'II Trimestre'!C11)/2</f>
        <v>480</v>
      </c>
      <c r="D11" s="6"/>
      <c r="E11" s="6"/>
      <c r="F11" s="6"/>
      <c r="G11" s="6"/>
    </row>
    <row r="12" spans="1:7" x14ac:dyDescent="0.25">
      <c r="A12" s="20" t="s">
        <v>115</v>
      </c>
      <c r="B12" s="47">
        <f>('I Trimestre'!B12+'II Trimestre'!B12)/2</f>
        <v>446</v>
      </c>
      <c r="C12" s="47">
        <f>('I Trimestre'!C12+'II Trimestre'!C12)/2</f>
        <v>446</v>
      </c>
      <c r="D12" s="6"/>
      <c r="G12" s="22"/>
    </row>
    <row r="13" spans="1:7" x14ac:dyDescent="0.25">
      <c r="A13" s="20" t="s">
        <v>84</v>
      </c>
      <c r="B13" s="13">
        <f>'I Trimestre'!B13</f>
        <v>480</v>
      </c>
      <c r="C13" s="13">
        <f>'II Trimestre'!C13</f>
        <v>480</v>
      </c>
      <c r="D13" s="6"/>
      <c r="E13" s="6"/>
      <c r="F13" s="6"/>
      <c r="G13" s="6"/>
    </row>
    <row r="14" spans="1:7" x14ac:dyDescent="0.25">
      <c r="B14" s="6"/>
      <c r="C14" s="6"/>
      <c r="D14" s="6"/>
      <c r="E14" s="6"/>
      <c r="F14" s="6"/>
      <c r="G14" s="6"/>
    </row>
    <row r="15" spans="1:7" x14ac:dyDescent="0.25">
      <c r="A15" s="21" t="s">
        <v>8</v>
      </c>
      <c r="B15" s="6"/>
      <c r="C15" s="6"/>
      <c r="D15" s="6"/>
      <c r="E15" s="6"/>
      <c r="F15" s="6"/>
      <c r="G15" s="6"/>
    </row>
    <row r="16" spans="1:7" x14ac:dyDescent="0.25">
      <c r="A16" s="20" t="s">
        <v>69</v>
      </c>
      <c r="B16" s="42">
        <f>+'I Trimestre'!B16+'II Trimestre'!B16</f>
        <v>262048065.26000002</v>
      </c>
      <c r="C16" s="6"/>
      <c r="D16" s="6">
        <f>'I Trimestre'!D16+'II Trimestre'!D16</f>
        <v>114266210.77000001</v>
      </c>
      <c r="E16" s="6">
        <f>'I Trimestre'!E16+'II Trimestre'!E16</f>
        <v>9916826.5399999991</v>
      </c>
      <c r="F16" s="6">
        <f>'I Trimestre'!F16+'II Trimestre'!F16</f>
        <v>137865027.94999999</v>
      </c>
      <c r="G16" s="39"/>
    </row>
    <row r="17" spans="1:8" x14ac:dyDescent="0.25">
      <c r="A17" s="20" t="s">
        <v>114</v>
      </c>
      <c r="B17" s="6">
        <f>+'I Trimestre'!B17+'II Trimestre'!B17</f>
        <v>877168363.94000006</v>
      </c>
      <c r="C17" s="6"/>
      <c r="D17" s="6">
        <f>'I Trimestre'!D17+'II Trimestre'!D17</f>
        <v>109510879</v>
      </c>
      <c r="E17" s="6">
        <f>'I Trimestre'!E17+'II Trimestre'!E17</f>
        <v>8000000</v>
      </c>
      <c r="F17" s="6">
        <f>'I Trimestre'!F17+'II Trimestre'!F17</f>
        <v>759657484.94000006</v>
      </c>
      <c r="G17" s="6"/>
    </row>
    <row r="18" spans="1:8" x14ac:dyDescent="0.25">
      <c r="A18" s="20" t="s">
        <v>115</v>
      </c>
      <c r="B18" s="6">
        <f>+'I Trimestre'!B18+'II Trimestre'!B18</f>
        <v>117051271.34</v>
      </c>
      <c r="C18" s="6"/>
      <c r="D18" s="6">
        <f>'I Trimestre'!D18+'II Trimestre'!D18</f>
        <v>103207908.86000001</v>
      </c>
      <c r="E18" s="6">
        <f>'I Trimestre'!E18+'II Trimestre'!E18</f>
        <v>7726661.7300000004</v>
      </c>
      <c r="F18" s="6">
        <f>'I Trimestre'!F18+'II Trimestre'!F18</f>
        <v>6116700.75</v>
      </c>
      <c r="G18" s="6"/>
    </row>
    <row r="19" spans="1:8" x14ac:dyDescent="0.25">
      <c r="A19" s="20" t="s">
        <v>84</v>
      </c>
      <c r="B19" s="6">
        <f>SUM(D19:F19)</f>
        <v>1072168363.9400001</v>
      </c>
      <c r="C19" s="6"/>
      <c r="D19" s="6">
        <f>+'II Trimestre'!D19</f>
        <v>204510879</v>
      </c>
      <c r="E19" s="6">
        <f>+'II Trimestre'!E19</f>
        <v>8000000</v>
      </c>
      <c r="F19" s="6">
        <f>+'II Trimestre'!F19</f>
        <v>859657484.94000006</v>
      </c>
      <c r="G19" s="6"/>
    </row>
    <row r="20" spans="1:8" x14ac:dyDescent="0.25">
      <c r="A20" s="20" t="s">
        <v>116</v>
      </c>
      <c r="B20" s="6">
        <f>D20+E20+F20</f>
        <v>117051271.34000002</v>
      </c>
      <c r="C20" s="6"/>
      <c r="D20" s="6">
        <f>D18</f>
        <v>103207908.86000001</v>
      </c>
      <c r="E20" s="6">
        <f t="shared" ref="E20:F20" si="0">E18</f>
        <v>7726661.7300000004</v>
      </c>
      <c r="F20" s="6">
        <f t="shared" si="0"/>
        <v>6116700.75</v>
      </c>
      <c r="G20" s="6"/>
    </row>
    <row r="21" spans="1:8" x14ac:dyDescent="0.25">
      <c r="B21" s="6"/>
      <c r="C21" s="6"/>
      <c r="D21" s="6"/>
      <c r="E21" s="6"/>
      <c r="F21" s="6"/>
      <c r="G21" s="6"/>
    </row>
    <row r="22" spans="1:8" x14ac:dyDescent="0.25">
      <c r="A22" s="20" t="s">
        <v>9</v>
      </c>
      <c r="B22" s="6"/>
      <c r="C22" s="6"/>
      <c r="D22" s="6"/>
      <c r="E22" s="6"/>
      <c r="F22" s="6"/>
      <c r="G22" s="6"/>
    </row>
    <row r="23" spans="1:8" x14ac:dyDescent="0.25">
      <c r="A23" s="20" t="s">
        <v>114</v>
      </c>
      <c r="B23" s="6">
        <f>B17</f>
        <v>877168363.94000006</v>
      </c>
      <c r="C23" s="6"/>
      <c r="D23" s="43"/>
      <c r="E23" s="6"/>
      <c r="F23" s="6"/>
      <c r="G23" s="38"/>
      <c r="H23" s="22"/>
    </row>
    <row r="24" spans="1:8" x14ac:dyDescent="0.25">
      <c r="A24" s="20" t="s">
        <v>115</v>
      </c>
      <c r="B24" s="6">
        <f>'I Trimestre'!B24+'II Trimestre'!B24</f>
        <v>567510879</v>
      </c>
      <c r="C24" s="6"/>
      <c r="D24" s="42"/>
      <c r="E24" s="6"/>
      <c r="F24" s="6"/>
      <c r="G24" s="6"/>
      <c r="H24" s="22"/>
    </row>
    <row r="25" spans="1:8" x14ac:dyDescent="0.25">
      <c r="B25" s="6"/>
      <c r="C25" s="6"/>
      <c r="D25" s="6"/>
      <c r="E25" s="6"/>
      <c r="F25" s="6"/>
      <c r="G25" s="6"/>
    </row>
    <row r="26" spans="1:8" x14ac:dyDescent="0.25">
      <c r="A26" s="16" t="s">
        <v>10</v>
      </c>
      <c r="B26" s="6"/>
      <c r="C26" s="6"/>
      <c r="D26" s="6"/>
      <c r="E26" s="6"/>
      <c r="F26" s="6"/>
      <c r="G26" s="6"/>
    </row>
    <row r="27" spans="1:8" x14ac:dyDescent="0.25">
      <c r="A27" s="16" t="s">
        <v>70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6"/>
    </row>
    <row r="28" spans="1:8" x14ac:dyDescent="0.25">
      <c r="A28" s="16" t="s">
        <v>117</v>
      </c>
      <c r="B28" s="6">
        <v>1.01</v>
      </c>
      <c r="C28" s="6">
        <v>1.01</v>
      </c>
      <c r="D28" s="6">
        <v>1.01</v>
      </c>
      <c r="E28" s="6">
        <v>1.01</v>
      </c>
      <c r="F28" s="6">
        <v>1.01</v>
      </c>
      <c r="G28" s="6"/>
    </row>
    <row r="29" spans="1:8" x14ac:dyDescent="0.25">
      <c r="A29" s="16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6"/>
    </row>
    <row r="30" spans="1:8" x14ac:dyDescent="0.25">
      <c r="B30" s="6"/>
      <c r="C30" s="6"/>
      <c r="D30" s="6"/>
      <c r="E30" s="6"/>
      <c r="F30" s="6"/>
      <c r="G30" s="6"/>
    </row>
    <row r="31" spans="1:8" x14ac:dyDescent="0.25">
      <c r="A31" s="16" t="s">
        <v>12</v>
      </c>
      <c r="B31" s="6"/>
      <c r="C31" s="6"/>
      <c r="D31" s="6"/>
      <c r="E31" s="6"/>
      <c r="F31" s="6"/>
      <c r="G31" s="6"/>
    </row>
    <row r="32" spans="1:8" x14ac:dyDescent="0.25">
      <c r="A32" s="16" t="s">
        <v>71</v>
      </c>
      <c r="B32" s="6">
        <f>B16/B27</f>
        <v>264695015.41414145</v>
      </c>
      <c r="C32" s="6">
        <f>C16/C27</f>
        <v>0</v>
      </c>
      <c r="D32" s="6">
        <f t="shared" ref="D32:F32" si="1">D16/D27</f>
        <v>115420414.91919193</v>
      </c>
      <c r="E32" s="6">
        <f t="shared" si="1"/>
        <v>10016996.505050505</v>
      </c>
      <c r="F32" s="6">
        <f t="shared" si="1"/>
        <v>139257603.98989898</v>
      </c>
      <c r="G32" s="6"/>
    </row>
    <row r="33" spans="1:7" x14ac:dyDescent="0.25">
      <c r="A33" s="16" t="s">
        <v>118</v>
      </c>
      <c r="B33" s="6">
        <f>B18/B28</f>
        <v>115892347.86138614</v>
      </c>
      <c r="C33" s="6">
        <f t="shared" ref="C33:F33" si="2">C18/C28</f>
        <v>0</v>
      </c>
      <c r="D33" s="6">
        <f t="shared" si="2"/>
        <v>102186048.37623763</v>
      </c>
      <c r="E33" s="6">
        <f t="shared" si="2"/>
        <v>7650160.128712872</v>
      </c>
      <c r="F33" s="6">
        <f t="shared" si="2"/>
        <v>6056139.3564356435</v>
      </c>
      <c r="G33" s="6"/>
    </row>
    <row r="34" spans="1:7" x14ac:dyDescent="0.25">
      <c r="A34" s="16" t="s">
        <v>72</v>
      </c>
      <c r="B34" s="6">
        <f>B32/B10</f>
        <v>811947.9000433787</v>
      </c>
      <c r="C34" s="25">
        <f>C32/C10</f>
        <v>0</v>
      </c>
      <c r="D34" s="44">
        <f>D32/$C$10</f>
        <v>288912.17751987965</v>
      </c>
      <c r="E34" s="44">
        <f t="shared" ref="E34:F34" si="3">E32/$C$10</f>
        <v>25073.833554569472</v>
      </c>
      <c r="F34" s="44">
        <f t="shared" si="3"/>
        <v>348579.73464305128</v>
      </c>
      <c r="G34" s="39"/>
    </row>
    <row r="35" spans="1:7" x14ac:dyDescent="0.25">
      <c r="A35" s="16" t="s">
        <v>119</v>
      </c>
      <c r="B35" s="6">
        <f>B33/B12</f>
        <v>259848.31359055187</v>
      </c>
      <c r="C35" s="25">
        <f>C33/C12</f>
        <v>0</v>
      </c>
      <c r="D35" s="44">
        <f>D33/$C$12</f>
        <v>229116.70039515165</v>
      </c>
      <c r="E35" s="44">
        <f t="shared" ref="E35:F35" si="4">E33/$C$12</f>
        <v>17152.825400701506</v>
      </c>
      <c r="F35" s="44">
        <f t="shared" si="4"/>
        <v>13578.787794698752</v>
      </c>
    </row>
    <row r="36" spans="1:7" x14ac:dyDescent="0.25">
      <c r="B36" s="6"/>
      <c r="C36" s="6"/>
      <c r="D36" s="6"/>
      <c r="E36" s="6"/>
      <c r="F36" s="6"/>
      <c r="G36" s="6"/>
    </row>
    <row r="37" spans="1:7" x14ac:dyDescent="0.25">
      <c r="A37" s="19" t="s">
        <v>13</v>
      </c>
      <c r="B37" s="6"/>
      <c r="C37" s="6"/>
      <c r="D37" s="6"/>
      <c r="E37" s="6"/>
      <c r="F37" s="6"/>
      <c r="G37" s="6"/>
    </row>
    <row r="38" spans="1:7" x14ac:dyDescent="0.25">
      <c r="B38" s="6"/>
      <c r="C38" s="6"/>
      <c r="D38" s="6"/>
      <c r="E38" s="6"/>
      <c r="F38" s="6"/>
      <c r="G38" s="6"/>
    </row>
    <row r="39" spans="1:7" x14ac:dyDescent="0.25">
      <c r="A39" s="16" t="s">
        <v>14</v>
      </c>
      <c r="B39" s="6"/>
      <c r="C39" s="6"/>
      <c r="D39" s="6"/>
      <c r="E39" s="6"/>
      <c r="F39" s="6"/>
      <c r="G39" s="6"/>
    </row>
    <row r="40" spans="1:7" x14ac:dyDescent="0.25">
      <c r="A40" s="16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6"/>
    </row>
    <row r="41" spans="1:7" x14ac:dyDescent="0.25">
      <c r="A41" s="16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/>
    </row>
    <row r="42" spans="1:7" x14ac:dyDescent="0.25">
      <c r="B42" s="6"/>
      <c r="C42" s="6"/>
      <c r="D42" s="6"/>
      <c r="E42" s="6"/>
      <c r="F42" s="6"/>
      <c r="G42" s="6"/>
    </row>
    <row r="43" spans="1:7" x14ac:dyDescent="0.25">
      <c r="A43" s="16" t="s">
        <v>17</v>
      </c>
      <c r="B43" s="6"/>
      <c r="C43" s="6"/>
      <c r="D43" s="6"/>
      <c r="E43" s="6"/>
      <c r="F43" s="6"/>
      <c r="G43" s="6"/>
    </row>
    <row r="44" spans="1:7" x14ac:dyDescent="0.25">
      <c r="A44" s="16" t="s">
        <v>18</v>
      </c>
      <c r="B44" s="6">
        <f>B12/B11*100</f>
        <v>92.916666666666671</v>
      </c>
      <c r="C44" s="6">
        <f>C12/C11*100</f>
        <v>92.916666666666671</v>
      </c>
      <c r="D44" s="6"/>
      <c r="E44" s="6"/>
      <c r="F44" s="6"/>
      <c r="G44" s="39"/>
    </row>
    <row r="45" spans="1:7" x14ac:dyDescent="0.25">
      <c r="A45" s="16" t="s">
        <v>19</v>
      </c>
      <c r="B45" s="6">
        <f>B18/B17*100</f>
        <v>13.344219439725089</v>
      </c>
      <c r="C45" s="6"/>
      <c r="D45" s="6">
        <f>D18/D17*100</f>
        <v>94.244434710454669</v>
      </c>
      <c r="E45" s="6">
        <f t="shared" ref="E45" si="5">E18/E17*100</f>
        <v>96.583271624999995</v>
      </c>
      <c r="F45" s="6">
        <f>F18/F17*100</f>
        <v>0.80519192810732521</v>
      </c>
      <c r="G45" s="6"/>
    </row>
    <row r="46" spans="1:7" x14ac:dyDescent="0.25">
      <c r="A46" s="16" t="s">
        <v>20</v>
      </c>
      <c r="B46" s="6">
        <f>AVERAGE(B44:B45)</f>
        <v>53.130443053195883</v>
      </c>
      <c r="C46" s="6">
        <f>AVERAGE(C44:C45)</f>
        <v>92.916666666666671</v>
      </c>
      <c r="D46" s="6">
        <f t="shared" ref="D46:F46" si="6">AVERAGE(D44:D45)</f>
        <v>94.244434710454669</v>
      </c>
      <c r="E46" s="6">
        <f t="shared" si="6"/>
        <v>96.583271624999995</v>
      </c>
      <c r="F46" s="6">
        <f t="shared" si="6"/>
        <v>0.80519192810732521</v>
      </c>
      <c r="G46" s="6"/>
    </row>
    <row r="47" spans="1:7" x14ac:dyDescent="0.25">
      <c r="B47" s="6"/>
      <c r="C47" s="6"/>
      <c r="D47" s="6"/>
      <c r="E47" s="6"/>
      <c r="F47" s="6"/>
      <c r="G47" s="6"/>
    </row>
    <row r="48" spans="1:7" x14ac:dyDescent="0.25">
      <c r="A48" s="16" t="s">
        <v>21</v>
      </c>
      <c r="B48" s="6"/>
      <c r="C48" s="6"/>
      <c r="D48" s="6"/>
      <c r="E48" s="6"/>
      <c r="F48" s="6"/>
      <c r="G48" s="6"/>
    </row>
    <row r="49" spans="1:7" x14ac:dyDescent="0.25">
      <c r="A49" s="16" t="s">
        <v>22</v>
      </c>
      <c r="B49" s="6">
        <f>(B12/B13)*100</f>
        <v>92.916666666666671</v>
      </c>
      <c r="C49" s="6">
        <f t="shared" ref="C49" si="7">(C12/C13)*100</f>
        <v>92.916666666666671</v>
      </c>
      <c r="D49" s="6"/>
      <c r="E49" s="6"/>
      <c r="F49" s="6"/>
      <c r="G49" s="6"/>
    </row>
    <row r="50" spans="1:7" x14ac:dyDescent="0.25">
      <c r="A50" s="16" t="s">
        <v>23</v>
      </c>
      <c r="B50" s="6">
        <f>B18/B19*100</f>
        <v>10.917247260482528</v>
      </c>
      <c r="C50" s="6"/>
      <c r="D50" s="6">
        <f t="shared" ref="D50:F50" si="8">D18/D19*100</f>
        <v>50.465730412317086</v>
      </c>
      <c r="E50" s="6">
        <f t="shared" si="8"/>
        <v>96.583271624999995</v>
      </c>
      <c r="F50" s="6">
        <f t="shared" si="8"/>
        <v>0.71152765574150922</v>
      </c>
      <c r="G50" s="6"/>
    </row>
    <row r="51" spans="1:7" x14ac:dyDescent="0.25">
      <c r="A51" s="16" t="s">
        <v>24</v>
      </c>
      <c r="B51" s="6">
        <f>AVERAGE(B49:B50)</f>
        <v>51.916956963574599</v>
      </c>
      <c r="C51" s="6">
        <f t="shared" ref="C51:F51" si="9">AVERAGE(C49:C50)</f>
        <v>92.916666666666671</v>
      </c>
      <c r="D51" s="6">
        <f t="shared" si="9"/>
        <v>50.465730412317086</v>
      </c>
      <c r="E51" s="6">
        <f t="shared" si="9"/>
        <v>96.583271624999995</v>
      </c>
      <c r="F51" s="6">
        <f t="shared" si="9"/>
        <v>0.71152765574150922</v>
      </c>
      <c r="G51" s="6"/>
    </row>
    <row r="52" spans="1:7" x14ac:dyDescent="0.25">
      <c r="B52" s="6"/>
      <c r="C52" s="6"/>
      <c r="D52" s="6"/>
      <c r="E52" s="6"/>
      <c r="F52" s="6"/>
      <c r="G52" s="6"/>
    </row>
    <row r="53" spans="1:7" x14ac:dyDescent="0.25">
      <c r="A53" s="16" t="s">
        <v>36</v>
      </c>
      <c r="B53" s="6"/>
      <c r="C53" s="6"/>
      <c r="D53" s="6"/>
      <c r="E53" s="6"/>
      <c r="F53" s="6"/>
      <c r="G53" s="6"/>
    </row>
    <row r="54" spans="1:7" x14ac:dyDescent="0.25">
      <c r="A54" s="16" t="s">
        <v>25</v>
      </c>
      <c r="B54" s="6">
        <f>B20/B18*100</f>
        <v>100.00000000000003</v>
      </c>
      <c r="C54" s="6" t="e">
        <f t="shared" ref="C54:F54" si="10">C20/C18*100</f>
        <v>#DIV/0!</v>
      </c>
      <c r="D54" s="6">
        <f t="shared" si="10"/>
        <v>100</v>
      </c>
      <c r="E54" s="6">
        <f t="shared" si="10"/>
        <v>100</v>
      </c>
      <c r="F54" s="6">
        <f t="shared" si="10"/>
        <v>100</v>
      </c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A56" s="16" t="s">
        <v>26</v>
      </c>
      <c r="B56" s="6"/>
      <c r="C56" s="6"/>
      <c r="D56" s="6"/>
      <c r="E56" s="6"/>
      <c r="F56" s="6"/>
      <c r="G56" s="6"/>
    </row>
    <row r="57" spans="1:7" x14ac:dyDescent="0.25">
      <c r="A57" s="16" t="s">
        <v>27</v>
      </c>
      <c r="B57" s="6">
        <f>((B12/B10)-1)*100</f>
        <v>36.809815950920253</v>
      </c>
      <c r="C57" s="6">
        <f t="shared" ref="C57:F57" si="11">((C12/C10)-1)*100</f>
        <v>11.639549436795992</v>
      </c>
      <c r="D57" s="6" t="e">
        <f t="shared" si="11"/>
        <v>#DIV/0!</v>
      </c>
      <c r="E57" s="6" t="e">
        <f t="shared" si="11"/>
        <v>#DIV/0!</v>
      </c>
      <c r="F57" s="6" t="e">
        <f t="shared" si="11"/>
        <v>#DIV/0!</v>
      </c>
      <c r="G57" s="6"/>
    </row>
    <row r="58" spans="1:7" x14ac:dyDescent="0.25">
      <c r="A58" s="16" t="s">
        <v>28</v>
      </c>
      <c r="B58" s="6">
        <f>((B33/B32)-1)*100</f>
        <v>-56.216648930822842</v>
      </c>
      <c r="C58" s="6" t="e">
        <f t="shared" ref="C58:F58" si="12">((C33/C32)-1)*100</f>
        <v>#DIV/0!</v>
      </c>
      <c r="D58" s="6">
        <f t="shared" si="12"/>
        <v>-11.466226795510948</v>
      </c>
      <c r="E58" s="6">
        <f t="shared" si="12"/>
        <v>-23.62820407438786</v>
      </c>
      <c r="F58" s="6">
        <f t="shared" si="12"/>
        <v>-95.651124834177864</v>
      </c>
      <c r="G58" s="6"/>
    </row>
    <row r="59" spans="1:7" x14ac:dyDescent="0.25">
      <c r="A59" s="16" t="s">
        <v>29</v>
      </c>
      <c r="B59" s="6">
        <f>((B35/B34)-1)*100</f>
        <v>-67.996922761094723</v>
      </c>
      <c r="C59" s="6" t="e">
        <f t="shared" ref="C59:F59" si="13">((C35/C34)-1)*100</f>
        <v>#DIV/0!</v>
      </c>
      <c r="D59" s="6">
        <f t="shared" si="13"/>
        <v>-20.69676593005968</v>
      </c>
      <c r="E59" s="6">
        <f t="shared" si="13"/>
        <v>-31.590734367080596</v>
      </c>
      <c r="F59" s="6">
        <f t="shared" si="13"/>
        <v>-96.10453894900013</v>
      </c>
      <c r="G59" s="6"/>
    </row>
    <row r="60" spans="1:7" x14ac:dyDescent="0.25">
      <c r="B60" s="6"/>
      <c r="C60" s="6"/>
      <c r="D60" s="6"/>
      <c r="E60" s="6"/>
      <c r="F60" s="6"/>
      <c r="G60" s="6"/>
    </row>
    <row r="61" spans="1:7" x14ac:dyDescent="0.25">
      <c r="A61" s="16" t="s">
        <v>30</v>
      </c>
      <c r="B61" s="6"/>
      <c r="C61" s="6"/>
      <c r="D61" s="6"/>
      <c r="E61" s="6"/>
      <c r="F61" s="6"/>
      <c r="G61" s="6"/>
    </row>
    <row r="62" spans="1:7" x14ac:dyDescent="0.25">
      <c r="A62" s="16" t="s">
        <v>37</v>
      </c>
      <c r="B62" s="44">
        <f>B17/($B$11*5)</f>
        <v>365486.81830833334</v>
      </c>
      <c r="C62" s="44">
        <f>B17/(C11*5)</f>
        <v>365486.81830833334</v>
      </c>
      <c r="D62" s="44">
        <f>D17/($C$11*5)</f>
        <v>45629.532916666663</v>
      </c>
      <c r="E62" s="44">
        <f t="shared" ref="E62:F62" si="14">E17/($C$11*5)</f>
        <v>3333.3333333333335</v>
      </c>
      <c r="F62" s="44">
        <f t="shared" si="14"/>
        <v>316523.95205833338</v>
      </c>
      <c r="G62" s="39"/>
    </row>
    <row r="63" spans="1:7" x14ac:dyDescent="0.25">
      <c r="A63" s="16" t="s">
        <v>38</v>
      </c>
      <c r="B63" s="44">
        <f>B18/($B$12*5)</f>
        <v>52489.359345291479</v>
      </c>
      <c r="C63" s="44">
        <f>B18/(C12*5)</f>
        <v>52489.359345291479</v>
      </c>
      <c r="D63" s="44">
        <f>D18/($C$12*5)</f>
        <v>46281.573479820632</v>
      </c>
      <c r="E63" s="44">
        <f t="shared" ref="E63:F63" si="15">E18/($C$12*5)</f>
        <v>3464.8707309417041</v>
      </c>
      <c r="F63" s="44">
        <f t="shared" si="15"/>
        <v>2742.915134529148</v>
      </c>
      <c r="G63" s="22"/>
    </row>
    <row r="64" spans="1:7" x14ac:dyDescent="0.25">
      <c r="A64" s="16" t="s">
        <v>31</v>
      </c>
      <c r="B64" s="42">
        <f>(B63/B62)*B46</f>
        <v>7.6303242084125191</v>
      </c>
      <c r="C64" s="42">
        <f>(C63/C62)*C46</f>
        <v>13.344219439725089</v>
      </c>
      <c r="D64" s="42"/>
      <c r="E64" s="42"/>
      <c r="F64" s="42"/>
      <c r="G64" s="6"/>
    </row>
    <row r="65" spans="1:8" x14ac:dyDescent="0.25">
      <c r="A65" s="14" t="s">
        <v>41</v>
      </c>
      <c r="B65" s="44">
        <f>B17/($B$11)</f>
        <v>1827434.0915416668</v>
      </c>
      <c r="C65" s="44">
        <f>B17/C11</f>
        <v>1827434.0915416668</v>
      </c>
      <c r="D65" s="50">
        <f>D17/($C$11)</f>
        <v>228147.66458333333</v>
      </c>
      <c r="E65" s="50">
        <f t="shared" ref="E65:F65" si="16">E17/($C$11)</f>
        <v>16666.666666666668</v>
      </c>
      <c r="F65" s="50">
        <f t="shared" si="16"/>
        <v>1582619.7602916667</v>
      </c>
      <c r="G65" s="6"/>
    </row>
    <row r="66" spans="1:8" x14ac:dyDescent="0.25">
      <c r="A66" s="14" t="s">
        <v>42</v>
      </c>
      <c r="B66" s="44">
        <f>B18/($B$12)</f>
        <v>262446.79672645743</v>
      </c>
      <c r="C66" s="44">
        <f>B18/C12</f>
        <v>262446.79672645743</v>
      </c>
      <c r="D66" s="50">
        <f>D18/($C$12)</f>
        <v>231407.86739910318</v>
      </c>
      <c r="E66" s="50">
        <f t="shared" ref="E66:F66" si="17">E18/($C$12)</f>
        <v>17324.35365470852</v>
      </c>
      <c r="F66" s="50">
        <f t="shared" si="17"/>
        <v>13714.57567264574</v>
      </c>
      <c r="G66" s="6"/>
    </row>
    <row r="67" spans="1:8" x14ac:dyDescent="0.25">
      <c r="B67" s="6"/>
      <c r="C67" s="6"/>
      <c r="D67" s="6"/>
      <c r="E67" s="6"/>
      <c r="F67" s="6"/>
      <c r="G67" s="6"/>
    </row>
    <row r="68" spans="1:8" x14ac:dyDescent="0.25">
      <c r="A68" s="16" t="s">
        <v>32</v>
      </c>
      <c r="B68" s="6"/>
      <c r="C68" s="6"/>
      <c r="D68" s="6"/>
      <c r="E68" s="6"/>
      <c r="F68" s="6"/>
      <c r="G68" s="6"/>
    </row>
    <row r="69" spans="1:8" x14ac:dyDescent="0.25">
      <c r="A69" s="16" t="s">
        <v>33</v>
      </c>
      <c r="B69" s="42">
        <f>((B24+D24)/B23)*100</f>
        <v>64.698055963953891</v>
      </c>
      <c r="C69" s="6"/>
      <c r="D69" s="6"/>
      <c r="E69" s="6"/>
      <c r="F69" s="6"/>
      <c r="G69" s="39"/>
      <c r="H69" s="22"/>
    </row>
    <row r="70" spans="1:8" x14ac:dyDescent="0.25">
      <c r="A70" s="16" t="s">
        <v>34</v>
      </c>
      <c r="B70" s="42">
        <f>(B18/(B24+D24))*100</f>
        <v>20.625379296032843</v>
      </c>
      <c r="C70" s="6"/>
      <c r="D70" s="6"/>
      <c r="E70" s="6"/>
      <c r="F70" s="6"/>
      <c r="G70" s="6"/>
      <c r="H70" s="22"/>
    </row>
    <row r="71" spans="1:8" ht="15.75" thickBot="1" x14ac:dyDescent="0.3">
      <c r="A71" s="23"/>
      <c r="B71" s="23"/>
      <c r="C71" s="23"/>
      <c r="D71" s="23"/>
      <c r="E71" s="23"/>
      <c r="F71" s="23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1" t="s">
        <v>89</v>
      </c>
    </row>
    <row r="75" spans="1:8" x14ac:dyDescent="0.25">
      <c r="A75" s="11" t="s">
        <v>90</v>
      </c>
      <c r="B75" s="24"/>
      <c r="C75" s="24"/>
      <c r="D75" s="24"/>
      <c r="E75" s="24"/>
    </row>
    <row r="76" spans="1:8" x14ac:dyDescent="0.25">
      <c r="A76" s="34" t="s">
        <v>91</v>
      </c>
      <c r="B76" s="24"/>
      <c r="C76" s="24"/>
      <c r="D76" s="24"/>
      <c r="E76" s="24"/>
    </row>
    <row r="77" spans="1:8" x14ac:dyDescent="0.25">
      <c r="A77" s="11" t="s">
        <v>49</v>
      </c>
    </row>
    <row r="78" spans="1:8" x14ac:dyDescent="0.25">
      <c r="A78" s="33" t="s">
        <v>50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1" spans="1:1" x14ac:dyDescent="0.25">
      <c r="A81" s="51"/>
    </row>
    <row r="82" spans="1:1" x14ac:dyDescent="0.25">
      <c r="A82" s="25" t="s">
        <v>135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zoomScale="90" zoomScaleNormal="90" workbookViewId="0">
      <selection activeCell="B24" sqref="B24"/>
    </sheetView>
  </sheetViews>
  <sheetFormatPr baseColWidth="10" defaultColWidth="11.42578125" defaultRowHeight="15" x14ac:dyDescent="0.25"/>
  <cols>
    <col min="1" max="1" width="55.140625" style="16" customWidth="1"/>
    <col min="2" max="2" width="23.42578125" style="16" customWidth="1"/>
    <col min="3" max="3" width="13.85546875" style="16" customWidth="1"/>
    <col min="4" max="4" width="20.7109375" style="16" customWidth="1"/>
    <col min="5" max="5" width="16.28515625" style="16" customWidth="1"/>
    <col min="6" max="6" width="19.7109375" style="16" customWidth="1"/>
    <col min="7" max="7" width="13.7109375" style="16" bestFit="1" customWidth="1"/>
    <col min="8" max="16384" width="11.42578125" style="16"/>
  </cols>
  <sheetData>
    <row r="2" spans="1:7" ht="15.75" x14ac:dyDescent="0.25">
      <c r="A2" s="61" t="s">
        <v>120</v>
      </c>
      <c r="B2" s="61"/>
      <c r="C2" s="61"/>
      <c r="D2" s="61"/>
      <c r="E2" s="61"/>
      <c r="F2" s="61"/>
    </row>
    <row r="4" spans="1:7" ht="15" customHeight="1" x14ac:dyDescent="0.25">
      <c r="A4" s="62" t="s">
        <v>0</v>
      </c>
      <c r="B4" s="64" t="s">
        <v>1</v>
      </c>
      <c r="C4" s="59" t="s">
        <v>51</v>
      </c>
      <c r="D4" s="66" t="s">
        <v>2</v>
      </c>
      <c r="E4" s="66"/>
      <c r="F4" s="66"/>
    </row>
    <row r="5" spans="1:7" ht="15.75" thickBot="1" x14ac:dyDescent="0.3">
      <c r="A5" s="63"/>
      <c r="B5" s="65"/>
      <c r="C5" s="60"/>
      <c r="D5" s="17" t="s">
        <v>3</v>
      </c>
      <c r="E5" s="18" t="s">
        <v>4</v>
      </c>
      <c r="F5" s="18" t="s">
        <v>5</v>
      </c>
    </row>
    <row r="6" spans="1:7" ht="15.75" thickTop="1" x14ac:dyDescent="0.25"/>
    <row r="7" spans="1:7" x14ac:dyDescent="0.25">
      <c r="A7" s="19" t="s">
        <v>6</v>
      </c>
    </row>
    <row r="8" spans="1:7" x14ac:dyDescent="0.25">
      <c r="B8" s="6"/>
      <c r="C8" s="6"/>
      <c r="D8" s="6"/>
      <c r="E8" s="6"/>
      <c r="F8" s="6"/>
      <c r="G8" s="6"/>
    </row>
    <row r="9" spans="1:7" x14ac:dyDescent="0.25">
      <c r="A9" s="16" t="s">
        <v>7</v>
      </c>
      <c r="B9" s="6"/>
      <c r="C9" s="6"/>
      <c r="D9" s="6"/>
      <c r="E9" s="6"/>
      <c r="F9" s="6"/>
      <c r="G9" s="6"/>
    </row>
    <row r="10" spans="1:7" x14ac:dyDescent="0.25">
      <c r="A10" s="20" t="s">
        <v>73</v>
      </c>
      <c r="B10" s="13">
        <f>'I Trimestre'!B10</f>
        <v>326</v>
      </c>
      <c r="C10" s="13">
        <f>('I Trimestre'!C10+'II Trimestre'!C10+'III Trimestre'!C10)/3</f>
        <v>417.66666666666669</v>
      </c>
      <c r="D10" s="6"/>
      <c r="E10" s="6"/>
      <c r="F10" s="6"/>
      <c r="G10" s="6"/>
    </row>
    <row r="11" spans="1:7" x14ac:dyDescent="0.25">
      <c r="A11" s="20" t="s">
        <v>121</v>
      </c>
      <c r="B11" s="13">
        <f>'I Trimestre'!B11</f>
        <v>480</v>
      </c>
      <c r="C11" s="13">
        <f>('I Trimestre'!C11+'II Trimestre'!C11+'III Trimestre'!C11)/3</f>
        <v>480</v>
      </c>
      <c r="D11" s="6"/>
      <c r="E11" s="6"/>
      <c r="F11" s="6"/>
      <c r="G11" s="6"/>
    </row>
    <row r="12" spans="1:7" x14ac:dyDescent="0.25">
      <c r="A12" s="20" t="s">
        <v>122</v>
      </c>
      <c r="B12" s="47">
        <f>('I Trimestre'!B12+'II Trimestre'!B12+'III Trimestre'!B12)/3</f>
        <v>436.11111111111109</v>
      </c>
      <c r="C12" s="47">
        <f>('I Trimestre'!C12+'II Trimestre'!C12+'III Trimestre'!C12)/3</f>
        <v>436.11111111111109</v>
      </c>
      <c r="D12" s="6"/>
      <c r="G12" s="22"/>
    </row>
    <row r="13" spans="1:7" x14ac:dyDescent="0.25">
      <c r="A13" s="20" t="s">
        <v>84</v>
      </c>
      <c r="B13" s="13">
        <f>'I Trimestre'!B13</f>
        <v>480</v>
      </c>
      <c r="C13" s="13">
        <f>+'III Trimestre'!C13</f>
        <v>480</v>
      </c>
      <c r="D13" s="6"/>
      <c r="E13" s="6"/>
      <c r="F13" s="6"/>
      <c r="G13" s="6"/>
    </row>
    <row r="14" spans="1:7" x14ac:dyDescent="0.25">
      <c r="B14" s="6"/>
      <c r="C14" s="6"/>
      <c r="D14" s="6"/>
      <c r="E14" s="6"/>
      <c r="F14" s="6"/>
      <c r="G14" s="6"/>
    </row>
    <row r="15" spans="1:7" x14ac:dyDescent="0.25">
      <c r="A15" s="21" t="s">
        <v>8</v>
      </c>
      <c r="B15" s="6"/>
      <c r="C15" s="6"/>
      <c r="D15" s="6"/>
      <c r="E15" s="6"/>
      <c r="F15" s="6"/>
      <c r="G15" s="6"/>
    </row>
    <row r="16" spans="1:7" x14ac:dyDescent="0.25">
      <c r="A16" s="20" t="s">
        <v>73</v>
      </c>
      <c r="B16" s="42">
        <f>+'I Trimestre'!B16+'II Trimestre'!B16+'III Trimestre'!B16</f>
        <v>580737605.88999999</v>
      </c>
      <c r="C16" s="42"/>
      <c r="D16" s="42">
        <f>'I Trimestre'!D16+'II Trimestre'!D16+'III Trimestre'!D16</f>
        <v>168881345.42000002</v>
      </c>
      <c r="E16" s="42">
        <f>'I Trimestre'!E16+'II Trimestre'!E16+'III Trimestre'!E16</f>
        <v>70964720.700000003</v>
      </c>
      <c r="F16" s="42">
        <f>'I Trimestre'!F16+'II Trimestre'!F16+'III Trimestre'!F16</f>
        <v>340891539.76999998</v>
      </c>
      <c r="G16" s="39"/>
    </row>
    <row r="17" spans="1:8" x14ac:dyDescent="0.25">
      <c r="A17" s="20" t="s">
        <v>121</v>
      </c>
      <c r="B17" s="6">
        <f>+'I Trimestre'!B17+'II Trimestre'!B17+'III Trimestre'!B17</f>
        <v>1034168363.9400001</v>
      </c>
      <c r="C17" s="6"/>
      <c r="D17" s="6">
        <f>'I Trimestre'!D17+'II Trimestre'!D17+'III Trimestre'!D17</f>
        <v>166510879</v>
      </c>
      <c r="E17" s="6">
        <f>'I Trimestre'!E17+'II Trimestre'!E17+'III Trimestre'!E17</f>
        <v>8000000</v>
      </c>
      <c r="F17" s="6">
        <f>'I Trimestre'!F17+'II Trimestre'!F17+'III Trimestre'!F17</f>
        <v>859657484.94000006</v>
      </c>
      <c r="G17" s="6"/>
    </row>
    <row r="18" spans="1:8" x14ac:dyDescent="0.25">
      <c r="A18" s="20" t="s">
        <v>122</v>
      </c>
      <c r="B18" s="6">
        <f>+'I Trimestre'!B18+'II Trimestre'!B18+'III Trimestre'!B18</f>
        <v>221399435.49000001</v>
      </c>
      <c r="C18" s="6"/>
      <c r="D18" s="6">
        <f>'I Trimestre'!D18+'II Trimestre'!D18+'III Trimestre'!D18</f>
        <v>158241323.41000003</v>
      </c>
      <c r="E18" s="6">
        <f>'I Trimestre'!E18+'II Trimestre'!E18+'III Trimestre'!E18</f>
        <v>7872501.7300000004</v>
      </c>
      <c r="F18" s="6">
        <f>'I Trimestre'!F18+'II Trimestre'!F18+'III Trimestre'!F18</f>
        <v>55285610.350000001</v>
      </c>
      <c r="G18" s="6"/>
    </row>
    <row r="19" spans="1:8" x14ac:dyDescent="0.25">
      <c r="A19" s="20" t="s">
        <v>84</v>
      </c>
      <c r="B19" s="6">
        <f>+SUM(D19:F19)</f>
        <v>1081690974.0799999</v>
      </c>
      <c r="C19" s="6"/>
      <c r="D19" s="6">
        <f>+'III Trimestre'!D19</f>
        <v>204510879</v>
      </c>
      <c r="E19" s="6">
        <f>+'III Trimestre'!E19</f>
        <v>17522610.140000001</v>
      </c>
      <c r="F19" s="6">
        <f>+'III Trimestre'!F19</f>
        <v>859657484.94000006</v>
      </c>
      <c r="G19" s="6"/>
    </row>
    <row r="20" spans="1:8" x14ac:dyDescent="0.25">
      <c r="A20" s="20" t="s">
        <v>123</v>
      </c>
      <c r="B20" s="6">
        <f>D20+E20+F20</f>
        <v>221399435.49000001</v>
      </c>
      <c r="C20" s="6"/>
      <c r="D20" s="6">
        <f>D18</f>
        <v>158241323.41000003</v>
      </c>
      <c r="E20" s="6">
        <f t="shared" ref="E20:F20" si="0">E18</f>
        <v>7872501.7300000004</v>
      </c>
      <c r="F20" s="6">
        <f t="shared" si="0"/>
        <v>55285610.350000001</v>
      </c>
      <c r="G20" s="6"/>
    </row>
    <row r="21" spans="1:8" x14ac:dyDescent="0.25">
      <c r="B21" s="6"/>
      <c r="C21" s="6"/>
      <c r="D21" s="6"/>
      <c r="E21" s="6"/>
      <c r="F21" s="6"/>
      <c r="G21" s="6"/>
    </row>
    <row r="22" spans="1:8" x14ac:dyDescent="0.25">
      <c r="A22" s="20" t="s">
        <v>9</v>
      </c>
      <c r="B22" s="6"/>
      <c r="C22" s="6"/>
      <c r="D22" s="6"/>
      <c r="E22" s="6"/>
      <c r="F22" s="6"/>
      <c r="G22" s="6"/>
    </row>
    <row r="23" spans="1:8" x14ac:dyDescent="0.25">
      <c r="A23" s="20" t="s">
        <v>121</v>
      </c>
      <c r="B23" s="6">
        <f>B17</f>
        <v>1034168363.9400001</v>
      </c>
      <c r="C23" s="6"/>
      <c r="D23" s="43"/>
      <c r="E23" s="6"/>
      <c r="F23" s="6"/>
      <c r="G23" s="38"/>
      <c r="H23" s="22"/>
    </row>
    <row r="24" spans="1:8" x14ac:dyDescent="0.25">
      <c r="A24" s="20" t="s">
        <v>122</v>
      </c>
      <c r="B24" s="6">
        <f>'I Trimestre'!B24+'II Trimestre'!B24+'III Trimestre'!B24</f>
        <v>724510879</v>
      </c>
      <c r="C24" s="6"/>
      <c r="D24" s="42"/>
      <c r="E24" s="6"/>
      <c r="F24" s="6"/>
      <c r="G24" s="6"/>
      <c r="H24" s="22"/>
    </row>
    <row r="25" spans="1:8" x14ac:dyDescent="0.25">
      <c r="B25" s="6"/>
      <c r="C25" s="6"/>
      <c r="D25" s="6"/>
      <c r="E25" s="6"/>
      <c r="F25" s="6"/>
      <c r="G25" s="6"/>
    </row>
    <row r="26" spans="1:8" x14ac:dyDescent="0.25">
      <c r="A26" s="16" t="s">
        <v>10</v>
      </c>
      <c r="B26" s="6"/>
      <c r="C26" s="6"/>
      <c r="D26" s="6"/>
      <c r="E26" s="6"/>
      <c r="F26" s="6"/>
      <c r="G26" s="6"/>
    </row>
    <row r="27" spans="1:8" x14ac:dyDescent="0.25">
      <c r="A27" s="16" t="s">
        <v>74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6"/>
    </row>
    <row r="28" spans="1:8" x14ac:dyDescent="0.25">
      <c r="A28" s="16" t="s">
        <v>124</v>
      </c>
      <c r="B28" s="6">
        <v>1.01</v>
      </c>
      <c r="C28" s="6">
        <v>1.01</v>
      </c>
      <c r="D28" s="6">
        <v>1.01</v>
      </c>
      <c r="E28" s="6">
        <v>1.01</v>
      </c>
      <c r="F28" s="6">
        <v>1.01</v>
      </c>
      <c r="G28" s="6"/>
    </row>
    <row r="29" spans="1:8" x14ac:dyDescent="0.25">
      <c r="A29" s="16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6"/>
    </row>
    <row r="30" spans="1:8" x14ac:dyDescent="0.25">
      <c r="B30" s="6"/>
      <c r="C30" s="6"/>
      <c r="D30" s="6"/>
      <c r="E30" s="6"/>
      <c r="F30" s="6"/>
      <c r="G30" s="6"/>
    </row>
    <row r="31" spans="1:8" x14ac:dyDescent="0.25">
      <c r="A31" s="16" t="s">
        <v>12</v>
      </c>
      <c r="B31" s="6"/>
      <c r="C31" s="6"/>
      <c r="D31" s="6"/>
      <c r="E31" s="6"/>
      <c r="F31" s="6"/>
      <c r="G31" s="6"/>
    </row>
    <row r="32" spans="1:8" x14ac:dyDescent="0.25">
      <c r="A32" s="16" t="s">
        <v>75</v>
      </c>
      <c r="B32" s="6">
        <f>B16/B27</f>
        <v>586603642.31313133</v>
      </c>
      <c r="C32" s="6">
        <f t="shared" ref="C32:F32" si="1">C16/C27</f>
        <v>0</v>
      </c>
      <c r="D32" s="6">
        <f t="shared" si="1"/>
        <v>170587217.5959596</v>
      </c>
      <c r="E32" s="6">
        <f t="shared" si="1"/>
        <v>71681536.060606062</v>
      </c>
      <c r="F32" s="6">
        <f t="shared" si="1"/>
        <v>344334888.65656567</v>
      </c>
      <c r="G32" s="6"/>
    </row>
    <row r="33" spans="1:7" x14ac:dyDescent="0.25">
      <c r="A33" s="16" t="s">
        <v>125</v>
      </c>
      <c r="B33" s="6">
        <f>B18/B28</f>
        <v>219207361.87128714</v>
      </c>
      <c r="C33" s="6">
        <f t="shared" ref="C33:F33" si="2">C18/C28</f>
        <v>0</v>
      </c>
      <c r="D33" s="6">
        <f t="shared" si="2"/>
        <v>156674577.63366339</v>
      </c>
      <c r="E33" s="6">
        <f t="shared" si="2"/>
        <v>7794556.1683168318</v>
      </c>
      <c r="F33" s="6">
        <f t="shared" si="2"/>
        <v>54738228.069306932</v>
      </c>
      <c r="G33" s="6"/>
    </row>
    <row r="34" spans="1:7" x14ac:dyDescent="0.25">
      <c r="A34" s="16" t="s">
        <v>76</v>
      </c>
      <c r="B34" s="6">
        <f>B32/B10</f>
        <v>1799397.6758071512</v>
      </c>
      <c r="C34" s="25">
        <f>C32/C10</f>
        <v>0</v>
      </c>
      <c r="D34" s="44">
        <f>D32/$C$10</f>
        <v>408429.09240852256</v>
      </c>
      <c r="E34" s="44">
        <f t="shared" ref="E34:F34" si="3">E32/$C$10</f>
        <v>171623.78945077269</v>
      </c>
      <c r="F34" s="44">
        <f t="shared" si="3"/>
        <v>824425.11250574375</v>
      </c>
      <c r="G34" s="39"/>
    </row>
    <row r="35" spans="1:7" x14ac:dyDescent="0.25">
      <c r="A35" s="16" t="s">
        <v>126</v>
      </c>
      <c r="B35" s="6">
        <f>B33/B12</f>
        <v>502641.0845456266</v>
      </c>
      <c r="C35" s="25">
        <f>C33/C12</f>
        <v>0</v>
      </c>
      <c r="D35" s="44">
        <f>D33/$C$12</f>
        <v>359253.80858674407</v>
      </c>
      <c r="E35" s="44">
        <f t="shared" ref="E35:F35" si="4">E33/$C$12</f>
        <v>17872.867647095922</v>
      </c>
      <c r="F35" s="44">
        <f t="shared" si="4"/>
        <v>125514.40831178661</v>
      </c>
    </row>
    <row r="36" spans="1:7" x14ac:dyDescent="0.25">
      <c r="B36" s="6"/>
      <c r="C36" s="6"/>
      <c r="D36" s="6"/>
      <c r="E36" s="6"/>
      <c r="F36" s="6"/>
      <c r="G36" s="6"/>
    </row>
    <row r="37" spans="1:7" x14ac:dyDescent="0.25">
      <c r="A37" s="19" t="s">
        <v>13</v>
      </c>
      <c r="B37" s="6"/>
      <c r="C37" s="6"/>
      <c r="D37" s="6"/>
      <c r="E37" s="6"/>
      <c r="F37" s="6"/>
      <c r="G37" s="6"/>
    </row>
    <row r="38" spans="1:7" x14ac:dyDescent="0.25">
      <c r="B38" s="6"/>
      <c r="C38" s="6"/>
      <c r="D38" s="6"/>
      <c r="E38" s="6"/>
      <c r="F38" s="6"/>
      <c r="G38" s="6"/>
    </row>
    <row r="39" spans="1:7" x14ac:dyDescent="0.25">
      <c r="A39" s="16" t="s">
        <v>14</v>
      </c>
      <c r="B39" s="6"/>
      <c r="C39" s="6"/>
      <c r="D39" s="6"/>
      <c r="E39" s="6"/>
      <c r="F39" s="6"/>
      <c r="G39" s="6"/>
    </row>
    <row r="40" spans="1:7" x14ac:dyDescent="0.25">
      <c r="A40" s="16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6"/>
    </row>
    <row r="41" spans="1:7" x14ac:dyDescent="0.25">
      <c r="A41" s="16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/>
    </row>
    <row r="42" spans="1:7" x14ac:dyDescent="0.25">
      <c r="B42" s="6"/>
      <c r="C42" s="6"/>
      <c r="D42" s="6"/>
      <c r="E42" s="6"/>
      <c r="F42" s="6"/>
      <c r="G42" s="6"/>
    </row>
    <row r="43" spans="1:7" x14ac:dyDescent="0.25">
      <c r="A43" s="16" t="s">
        <v>17</v>
      </c>
      <c r="B43" s="6"/>
      <c r="C43" s="6"/>
      <c r="D43" s="6"/>
      <c r="E43" s="6"/>
      <c r="F43" s="6"/>
      <c r="G43" s="6"/>
    </row>
    <row r="44" spans="1:7" x14ac:dyDescent="0.25">
      <c r="A44" s="16" t="s">
        <v>18</v>
      </c>
      <c r="B44" s="6">
        <f>B12/B11*100</f>
        <v>90.856481481481481</v>
      </c>
      <c r="C44" s="6">
        <f t="shared" ref="C44" si="5">C12/C11*100</f>
        <v>90.856481481481481</v>
      </c>
      <c r="D44" s="6"/>
      <c r="E44" s="6"/>
      <c r="F44" s="6"/>
      <c r="G44" s="39"/>
    </row>
    <row r="45" spans="1:7" x14ac:dyDescent="0.25">
      <c r="A45" s="16" t="s">
        <v>19</v>
      </c>
      <c r="B45" s="6">
        <f>B18/B17*100</f>
        <v>21.408451777281893</v>
      </c>
      <c r="C45" s="6"/>
      <c r="D45" s="6">
        <f t="shared" ref="D45:F45" si="6">D18/D17*100</f>
        <v>95.033624445643596</v>
      </c>
      <c r="E45" s="6">
        <f t="shared" si="6"/>
        <v>98.406271625000002</v>
      </c>
      <c r="F45" s="6">
        <f t="shared" si="6"/>
        <v>6.4311206868464215</v>
      </c>
      <c r="G45" s="6"/>
    </row>
    <row r="46" spans="1:7" x14ac:dyDescent="0.25">
      <c r="A46" s="16" t="s">
        <v>20</v>
      </c>
      <c r="B46" s="6">
        <f>AVERAGE(B44:B45)</f>
        <v>56.132466629381689</v>
      </c>
      <c r="C46" s="6">
        <f t="shared" ref="C46:F46" si="7">AVERAGE(C44:C45)</f>
        <v>90.856481481481481</v>
      </c>
      <c r="D46" s="6">
        <f t="shared" si="7"/>
        <v>95.033624445643596</v>
      </c>
      <c r="E46" s="6">
        <f t="shared" si="7"/>
        <v>98.406271625000002</v>
      </c>
      <c r="F46" s="6">
        <f t="shared" si="7"/>
        <v>6.4311206868464215</v>
      </c>
      <c r="G46" s="6"/>
    </row>
    <row r="47" spans="1:7" x14ac:dyDescent="0.25">
      <c r="B47" s="6"/>
      <c r="C47" s="6"/>
      <c r="D47" s="6"/>
      <c r="E47" s="6"/>
      <c r="F47" s="6"/>
      <c r="G47" s="6"/>
    </row>
    <row r="48" spans="1:7" x14ac:dyDescent="0.25">
      <c r="A48" s="16" t="s">
        <v>21</v>
      </c>
      <c r="B48" s="6"/>
      <c r="C48" s="6"/>
      <c r="D48" s="6"/>
      <c r="E48" s="6"/>
      <c r="F48" s="6"/>
      <c r="G48" s="6"/>
    </row>
    <row r="49" spans="1:7" x14ac:dyDescent="0.25">
      <c r="A49" s="16" t="s">
        <v>22</v>
      </c>
      <c r="B49" s="6">
        <f>(B12/B13)*100</f>
        <v>90.856481481481481</v>
      </c>
      <c r="C49" s="6">
        <f t="shared" ref="C49" si="8">(C12/C13)*100</f>
        <v>90.856481481481481</v>
      </c>
      <c r="D49" s="6"/>
      <c r="E49" s="6"/>
      <c r="F49" s="6"/>
      <c r="G49" s="6"/>
    </row>
    <row r="50" spans="1:7" x14ac:dyDescent="0.25">
      <c r="A50" s="16" t="s">
        <v>23</v>
      </c>
      <c r="B50" s="6">
        <f>B18/B19*100</f>
        <v>20.467900795632016</v>
      </c>
      <c r="C50" s="6"/>
      <c r="D50" s="6">
        <f t="shared" ref="D50:F50" si="9">D18/D19*100</f>
        <v>77.375504023920428</v>
      </c>
      <c r="E50" s="6">
        <f t="shared" si="9"/>
        <v>44.927677252996283</v>
      </c>
      <c r="F50" s="6">
        <f t="shared" si="9"/>
        <v>6.4311206868464215</v>
      </c>
      <c r="G50" s="6"/>
    </row>
    <row r="51" spans="1:7" x14ac:dyDescent="0.25">
      <c r="A51" s="16" t="s">
        <v>24</v>
      </c>
      <c r="B51" s="6">
        <f>AVERAGE(B49:B50)</f>
        <v>55.66219113855675</v>
      </c>
      <c r="C51" s="6">
        <f t="shared" ref="C51:F51" si="10">AVERAGE(C49:C50)</f>
        <v>90.856481481481481</v>
      </c>
      <c r="D51" s="6">
        <f t="shared" si="10"/>
        <v>77.375504023920428</v>
      </c>
      <c r="E51" s="6">
        <f t="shared" si="10"/>
        <v>44.927677252996283</v>
      </c>
      <c r="F51" s="6">
        <f t="shared" si="10"/>
        <v>6.4311206868464215</v>
      </c>
      <c r="G51" s="6"/>
    </row>
    <row r="52" spans="1:7" x14ac:dyDescent="0.25">
      <c r="B52" s="6"/>
      <c r="C52" s="6"/>
      <c r="D52" s="6"/>
      <c r="E52" s="6"/>
      <c r="F52" s="6"/>
      <c r="G52" s="6"/>
    </row>
    <row r="53" spans="1:7" x14ac:dyDescent="0.25">
      <c r="A53" s="16" t="s">
        <v>36</v>
      </c>
      <c r="B53" s="6"/>
      <c r="C53" s="6"/>
      <c r="D53" s="6"/>
      <c r="E53" s="6"/>
      <c r="F53" s="6"/>
      <c r="G53" s="6"/>
    </row>
    <row r="54" spans="1:7" x14ac:dyDescent="0.25">
      <c r="A54" s="16" t="s">
        <v>25</v>
      </c>
      <c r="B54" s="6">
        <f>B20/B18*100</f>
        <v>100</v>
      </c>
      <c r="C54" s="6" t="e">
        <f t="shared" ref="C54:F54" si="11">C20/C18*100</f>
        <v>#DIV/0!</v>
      </c>
      <c r="D54" s="6">
        <f t="shared" si="11"/>
        <v>100</v>
      </c>
      <c r="E54" s="6">
        <f t="shared" si="11"/>
        <v>100</v>
      </c>
      <c r="F54" s="6">
        <f t="shared" si="11"/>
        <v>100</v>
      </c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A56" s="16" t="s">
        <v>26</v>
      </c>
      <c r="B56" s="6"/>
      <c r="C56" s="6"/>
      <c r="D56" s="6"/>
      <c r="E56" s="6"/>
      <c r="F56" s="6"/>
      <c r="G56" s="6"/>
    </row>
    <row r="57" spans="1:7" x14ac:dyDescent="0.25">
      <c r="A57" s="16" t="s">
        <v>27</v>
      </c>
      <c r="B57" s="6">
        <f>((B12/B10)-1)*100</f>
        <v>33.776414451261076</v>
      </c>
      <c r="C57" s="6">
        <f t="shared" ref="C57:F57" si="12">((C12/C10)-1)*100</f>
        <v>4.4160681032189286</v>
      </c>
      <c r="D57" s="6" t="e">
        <f t="shared" si="12"/>
        <v>#DIV/0!</v>
      </c>
      <c r="E57" s="6" t="e">
        <f t="shared" si="12"/>
        <v>#DIV/0!</v>
      </c>
      <c r="F57" s="6" t="e">
        <f t="shared" si="12"/>
        <v>#DIV/0!</v>
      </c>
      <c r="G57" s="6"/>
    </row>
    <row r="58" spans="1:7" x14ac:dyDescent="0.25">
      <c r="A58" s="16" t="s">
        <v>28</v>
      </c>
      <c r="B58" s="6">
        <f>((B33/B32)-1)*100</f>
        <v>-62.631094309797454</v>
      </c>
      <c r="C58" s="6" t="e">
        <f t="shared" ref="C58:F58" si="13">((C33/C32)-1)*100</f>
        <v>#DIV/0!</v>
      </c>
      <c r="D58" s="6">
        <f t="shared" si="13"/>
        <v>-8.1557341507548777</v>
      </c>
      <c r="E58" s="6">
        <f t="shared" si="13"/>
        <v>-89.126131223350725</v>
      </c>
      <c r="F58" s="6">
        <f t="shared" si="13"/>
        <v>-84.103200148300388</v>
      </c>
      <c r="G58" s="6"/>
    </row>
    <row r="59" spans="1:7" x14ac:dyDescent="0.25">
      <c r="A59" s="16" t="s">
        <v>29</v>
      </c>
      <c r="B59" s="6">
        <f>((B35/B34)-1)*100</f>
        <v>-72.066147950304639</v>
      </c>
      <c r="C59" s="6" t="e">
        <f t="shared" ref="C59:F59" si="14">((C35/C34)-1)*100</f>
        <v>#DIV/0!</v>
      </c>
      <c r="D59" s="6">
        <f t="shared" si="14"/>
        <v>-12.040103101321675</v>
      </c>
      <c r="E59" s="6">
        <f t="shared" si="14"/>
        <v>-89.586019686261238</v>
      </c>
      <c r="F59" s="6">
        <f t="shared" si="14"/>
        <v>-84.77552340317483</v>
      </c>
      <c r="G59" s="6"/>
    </row>
    <row r="60" spans="1:7" x14ac:dyDescent="0.25">
      <c r="B60" s="6"/>
      <c r="C60" s="6"/>
      <c r="D60" s="6"/>
      <c r="E60" s="6"/>
      <c r="F60" s="6"/>
      <c r="G60" s="6"/>
    </row>
    <row r="61" spans="1:7" x14ac:dyDescent="0.25">
      <c r="A61" s="16" t="s">
        <v>30</v>
      </c>
      <c r="B61" s="6"/>
      <c r="C61" s="6"/>
      <c r="D61" s="6"/>
      <c r="E61" s="6"/>
      <c r="F61" s="6"/>
      <c r="G61" s="6"/>
    </row>
    <row r="62" spans="1:7" x14ac:dyDescent="0.25">
      <c r="A62" s="16" t="s">
        <v>37</v>
      </c>
      <c r="B62" s="44">
        <f>B17/($B$11*8)</f>
        <v>269314.678109375</v>
      </c>
      <c r="C62" s="44">
        <f>B17/(C11*8)</f>
        <v>269314.678109375</v>
      </c>
      <c r="D62" s="44">
        <f>D17/($C$11*8)</f>
        <v>43362.20807291667</v>
      </c>
      <c r="E62" s="44">
        <f t="shared" ref="E62:F62" si="15">E17/($C$11*8)</f>
        <v>2083.3333333333335</v>
      </c>
      <c r="F62" s="44">
        <f t="shared" si="15"/>
        <v>223869.13670312503</v>
      </c>
      <c r="G62" s="39"/>
    </row>
    <row r="63" spans="1:7" x14ac:dyDescent="0.25">
      <c r="A63" s="16" t="s">
        <v>38</v>
      </c>
      <c r="B63" s="44">
        <f>B18/($B$12*8)</f>
        <v>63458.436923885354</v>
      </c>
      <c r="C63" s="44">
        <f>B18/(C12*8)</f>
        <v>63458.436923885354</v>
      </c>
      <c r="D63" s="44">
        <f>D18/($C$12*8)</f>
        <v>45355.793334076443</v>
      </c>
      <c r="E63" s="44">
        <f t="shared" ref="E63:F63" si="16">E18/($C$12*8)</f>
        <v>2256.4495404458603</v>
      </c>
      <c r="F63" s="44">
        <f t="shared" si="16"/>
        <v>15846.194049363059</v>
      </c>
      <c r="G63" s="22"/>
    </row>
    <row r="64" spans="1:7" x14ac:dyDescent="0.25">
      <c r="A64" s="16" t="s">
        <v>31</v>
      </c>
      <c r="B64" s="42">
        <f>(B63/B62)*B46</f>
        <v>13.226455453482835</v>
      </c>
      <c r="C64" s="42">
        <f>(C63/C62)*C46</f>
        <v>21.408451777281893</v>
      </c>
      <c r="D64" s="42"/>
      <c r="E64" s="42"/>
      <c r="F64" s="42"/>
      <c r="G64" s="6"/>
    </row>
    <row r="65" spans="1:8" x14ac:dyDescent="0.25">
      <c r="A65" s="14" t="s">
        <v>43</v>
      </c>
      <c r="B65" s="44">
        <f>B17/($B$11)</f>
        <v>2154517.424875</v>
      </c>
      <c r="C65" s="44">
        <f>B17/C11</f>
        <v>2154517.424875</v>
      </c>
      <c r="D65" s="50">
        <f>D17/($C$11)</f>
        <v>346897.66458333336</v>
      </c>
      <c r="E65" s="50">
        <f t="shared" ref="E65:F65" si="17">E17/($C$11)</f>
        <v>16666.666666666668</v>
      </c>
      <c r="F65" s="50">
        <f t="shared" si="17"/>
        <v>1790953.0936250002</v>
      </c>
      <c r="G65" s="6"/>
    </row>
    <row r="66" spans="1:8" x14ac:dyDescent="0.25">
      <c r="A66" s="14" t="s">
        <v>44</v>
      </c>
      <c r="B66" s="44">
        <f>B18/($B$12)</f>
        <v>507667.49539108283</v>
      </c>
      <c r="C66" s="44">
        <f>B18/C12</f>
        <v>507667.49539108283</v>
      </c>
      <c r="D66" s="50">
        <f>D18/($C$12)</f>
        <v>362846.34667261154</v>
      </c>
      <c r="E66" s="50">
        <f t="shared" ref="E66:F66" si="18">E18/($C$12)</f>
        <v>18051.596323566882</v>
      </c>
      <c r="F66" s="50">
        <f t="shared" si="18"/>
        <v>126769.55239490447</v>
      </c>
      <c r="G66" s="6"/>
    </row>
    <row r="67" spans="1:8" x14ac:dyDescent="0.25">
      <c r="B67" s="6"/>
      <c r="C67" s="6"/>
      <c r="D67" s="6"/>
      <c r="E67" s="6"/>
      <c r="F67" s="6"/>
      <c r="G67" s="6"/>
    </row>
    <row r="68" spans="1:8" x14ac:dyDescent="0.25">
      <c r="A68" s="16" t="s">
        <v>32</v>
      </c>
      <c r="B68" s="6"/>
      <c r="C68" s="6"/>
      <c r="D68" s="6"/>
      <c r="E68" s="6"/>
      <c r="F68" s="6"/>
      <c r="G68" s="6"/>
    </row>
    <row r="69" spans="1:8" x14ac:dyDescent="0.25">
      <c r="A69" s="16" t="s">
        <v>33</v>
      </c>
      <c r="B69" s="42">
        <f>((B24+D24)/B23)*100</f>
        <v>70.057343104148018</v>
      </c>
      <c r="C69" s="6"/>
      <c r="D69" s="6"/>
      <c r="E69" s="6"/>
      <c r="F69" s="6"/>
      <c r="G69" s="39"/>
      <c r="H69" s="22"/>
    </row>
    <row r="70" spans="1:8" x14ac:dyDescent="0.25">
      <c r="A70" s="16" t="s">
        <v>34</v>
      </c>
      <c r="B70" s="42">
        <f>(B18/(B24+D24))*100</f>
        <v>30.558469431899312</v>
      </c>
      <c r="C70" s="6"/>
      <c r="D70" s="6"/>
      <c r="E70" s="6"/>
      <c r="F70" s="6"/>
      <c r="G70" s="6"/>
      <c r="H70" s="22"/>
    </row>
    <row r="71" spans="1:8" ht="15.75" thickBot="1" x14ac:dyDescent="0.3">
      <c r="A71" s="23"/>
      <c r="B71" s="23"/>
      <c r="C71" s="23"/>
      <c r="D71" s="23"/>
      <c r="E71" s="23"/>
      <c r="F71" s="23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1" t="s">
        <v>89</v>
      </c>
    </row>
    <row r="75" spans="1:8" x14ac:dyDescent="0.25">
      <c r="A75" s="11" t="s">
        <v>90</v>
      </c>
      <c r="B75" s="24"/>
      <c r="C75" s="24"/>
      <c r="D75" s="24"/>
      <c r="E75" s="24"/>
    </row>
    <row r="76" spans="1:8" x14ac:dyDescent="0.25">
      <c r="A76" s="34" t="s">
        <v>91</v>
      </c>
      <c r="B76" s="24"/>
      <c r="C76" s="24"/>
      <c r="D76" s="24"/>
      <c r="E76" s="24"/>
    </row>
    <row r="77" spans="1:8" x14ac:dyDescent="0.25">
      <c r="A77" s="11" t="s">
        <v>49</v>
      </c>
    </row>
    <row r="78" spans="1:8" x14ac:dyDescent="0.25">
      <c r="A78" s="33" t="s">
        <v>50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1" spans="1:1" x14ac:dyDescent="0.25">
      <c r="A81" s="51"/>
    </row>
    <row r="82" spans="1:1" x14ac:dyDescent="0.25">
      <c r="A82" s="25" t="s">
        <v>136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2"/>
  <sheetViews>
    <sheetView tabSelected="1" zoomScale="90" zoomScaleNormal="90" workbookViewId="0">
      <selection activeCell="E69" sqref="E69"/>
    </sheetView>
  </sheetViews>
  <sheetFormatPr baseColWidth="10" defaultColWidth="11.42578125" defaultRowHeight="15" x14ac:dyDescent="0.25"/>
  <cols>
    <col min="1" max="1" width="55.140625" style="16" customWidth="1"/>
    <col min="2" max="2" width="18" style="16" customWidth="1"/>
    <col min="3" max="3" width="13.85546875" style="16" customWidth="1"/>
    <col min="4" max="4" width="20.7109375" style="16" customWidth="1"/>
    <col min="5" max="5" width="16.42578125" style="16" customWidth="1"/>
    <col min="6" max="6" width="16.7109375" style="16" customWidth="1"/>
    <col min="7" max="7" width="13.7109375" style="16" bestFit="1" customWidth="1"/>
    <col min="8" max="8" width="11.42578125" style="16"/>
    <col min="9" max="9" width="13.85546875" style="16" bestFit="1" customWidth="1"/>
    <col min="10" max="16384" width="11.42578125" style="16"/>
  </cols>
  <sheetData>
    <row r="2" spans="1:8" ht="15.75" x14ac:dyDescent="0.25">
      <c r="A2" s="61" t="s">
        <v>127</v>
      </c>
      <c r="B2" s="61"/>
      <c r="C2" s="61"/>
      <c r="D2" s="61"/>
      <c r="E2" s="61"/>
      <c r="F2" s="61"/>
    </row>
    <row r="4" spans="1:8" ht="15" customHeight="1" x14ac:dyDescent="0.25">
      <c r="A4" s="62" t="s">
        <v>0</v>
      </c>
      <c r="B4" s="64" t="s">
        <v>1</v>
      </c>
      <c r="C4" s="59" t="s">
        <v>51</v>
      </c>
      <c r="D4" s="66" t="s">
        <v>2</v>
      </c>
      <c r="E4" s="66"/>
      <c r="F4" s="66"/>
    </row>
    <row r="5" spans="1:8" ht="15.75" thickBot="1" x14ac:dyDescent="0.3">
      <c r="A5" s="63"/>
      <c r="B5" s="65"/>
      <c r="C5" s="60"/>
      <c r="D5" s="17" t="s">
        <v>3</v>
      </c>
      <c r="E5" s="18" t="s">
        <v>4</v>
      </c>
      <c r="F5" s="18" t="s">
        <v>5</v>
      </c>
    </row>
    <row r="6" spans="1:8" ht="15.75" thickTop="1" x14ac:dyDescent="0.25"/>
    <row r="7" spans="1:8" x14ac:dyDescent="0.25">
      <c r="A7" s="19" t="s">
        <v>6</v>
      </c>
    </row>
    <row r="8" spans="1:8" x14ac:dyDescent="0.25">
      <c r="B8" s="6"/>
      <c r="C8" s="6"/>
      <c r="D8" s="6"/>
      <c r="E8" s="6"/>
      <c r="F8" s="6"/>
      <c r="G8" s="6"/>
    </row>
    <row r="9" spans="1:8" x14ac:dyDescent="0.25">
      <c r="A9" s="16" t="s">
        <v>7</v>
      </c>
      <c r="B9" s="6"/>
      <c r="C9" s="6"/>
      <c r="D9" s="6"/>
      <c r="E9" s="6"/>
      <c r="F9" s="6"/>
      <c r="G9" s="6"/>
      <c r="H9" s="16" t="s">
        <v>52</v>
      </c>
    </row>
    <row r="10" spans="1:8" x14ac:dyDescent="0.25">
      <c r="A10" s="20" t="s">
        <v>77</v>
      </c>
      <c r="B10" s="13">
        <f>'I Trimestre'!B10</f>
        <v>326</v>
      </c>
      <c r="C10" s="13">
        <f>(+'I Trimestre'!C10+'II Trimestre'!C10+'III Trimestre'!C10+'IV Trimestre'!C10)/4</f>
        <v>421.5</v>
      </c>
      <c r="D10" s="6"/>
      <c r="E10" s="6"/>
      <c r="F10" s="6"/>
      <c r="G10" s="6"/>
    </row>
    <row r="11" spans="1:8" x14ac:dyDescent="0.25">
      <c r="A11" s="20" t="s">
        <v>128</v>
      </c>
      <c r="B11" s="13">
        <f>'I Trimestre'!B11</f>
        <v>480</v>
      </c>
      <c r="C11" s="13">
        <f>(+'I Trimestre'!C11+'II Trimestre'!C11+'III Trimestre'!C11+'IV Trimestre'!C11)/4</f>
        <v>480</v>
      </c>
      <c r="D11" s="6"/>
      <c r="E11" s="6"/>
      <c r="F11" s="6"/>
      <c r="G11" s="6"/>
    </row>
    <row r="12" spans="1:8" x14ac:dyDescent="0.25">
      <c r="A12" s="20" t="s">
        <v>129</v>
      </c>
      <c r="B12" s="47">
        <f>(+'I Trimestre'!B12+'II Trimestre'!B12+'III Trimestre'!B12+'IV Trimestre'!B12)/4</f>
        <v>429.33333333333331</v>
      </c>
      <c r="C12" s="47">
        <f>(+'I Trimestre'!C12+'II Trimestre'!C12+'III Trimestre'!C12+'IV Trimestre'!C12)/4</f>
        <v>429.33333333333331</v>
      </c>
      <c r="D12" s="6"/>
      <c r="G12" s="22"/>
    </row>
    <row r="13" spans="1:8" x14ac:dyDescent="0.25">
      <c r="A13" s="20" t="s">
        <v>84</v>
      </c>
      <c r="B13" s="13">
        <f>'I Trimestre'!B13</f>
        <v>480</v>
      </c>
      <c r="C13" s="13">
        <f>+'IV Trimestre'!C13</f>
        <v>480</v>
      </c>
      <c r="D13" s="6"/>
      <c r="E13" s="6"/>
      <c r="F13" s="6"/>
      <c r="G13" s="6"/>
    </row>
    <row r="14" spans="1:8" x14ac:dyDescent="0.25">
      <c r="B14" s="6"/>
      <c r="C14" s="6"/>
      <c r="D14" s="6"/>
      <c r="E14" s="6"/>
      <c r="F14" s="6"/>
      <c r="G14" s="6"/>
    </row>
    <row r="15" spans="1:8" x14ac:dyDescent="0.25">
      <c r="A15" s="21" t="s">
        <v>8</v>
      </c>
      <c r="B15" s="6"/>
      <c r="C15" s="6"/>
      <c r="D15" s="6"/>
      <c r="E15" s="6"/>
      <c r="F15" s="6"/>
      <c r="G15" s="6"/>
    </row>
    <row r="16" spans="1:8" x14ac:dyDescent="0.25">
      <c r="A16" s="20" t="s">
        <v>77</v>
      </c>
      <c r="B16" s="47">
        <f>'I Trimestre'!B16+'II Trimestre'!B16+'III Trimestre'!B16+'IV Trimestre'!B16</f>
        <v>763329296.49000001</v>
      </c>
      <c r="C16" s="47"/>
      <c r="D16" s="47">
        <f>'I Trimestre'!D16+'II Trimestre'!D16+'III Trimestre'!D16+'IV Trimestre'!D16</f>
        <v>236196718.5</v>
      </c>
      <c r="E16" s="47">
        <f>'I Trimestre'!E16+'II Trimestre'!E16+'III Trimestre'!E16+'IV Trimestre'!E16</f>
        <v>113394908.49000001</v>
      </c>
      <c r="F16" s="47">
        <f>'I Trimestre'!F16+'II Trimestre'!F16+'III Trimestre'!F16+'IV Trimestre'!F16</f>
        <v>413737669.5</v>
      </c>
      <c r="G16" s="39"/>
    </row>
    <row r="17" spans="1:8" x14ac:dyDescent="0.25">
      <c r="A17" s="20" t="s">
        <v>128</v>
      </c>
      <c r="B17" s="13">
        <f>SUM(D17:F17)</f>
        <v>1081690974.0799999</v>
      </c>
      <c r="C17" s="13"/>
      <c r="D17" s="13">
        <f>'IV Trimestre'!D19</f>
        <v>204510879</v>
      </c>
      <c r="E17" s="13">
        <f>'I Trimestre'!E17+'II Trimestre'!E17+'III Trimestre'!E17+'IV Trimestre'!E17</f>
        <v>17522610.140000001</v>
      </c>
      <c r="F17" s="13">
        <f>'IV Trimestre'!F19</f>
        <v>859657484.94000006</v>
      </c>
      <c r="G17" s="6"/>
    </row>
    <row r="18" spans="1:8" x14ac:dyDescent="0.25">
      <c r="A18" s="20" t="s">
        <v>129</v>
      </c>
      <c r="B18" s="13">
        <f>SUM(D18:F18)</f>
        <v>401080254.24000001</v>
      </c>
      <c r="C18" s="13"/>
      <c r="D18" s="13">
        <f>'I Trimestre'!D18+'II Trimestre'!D18+'III Trimestre'!D18+'IV Trimestre'!D18</f>
        <v>204507800.58000004</v>
      </c>
      <c r="E18" s="13">
        <f>'I Trimestre'!E18+'II Trimestre'!E18+'III Trimestre'!E18+'IV Trimestre'!E18</f>
        <v>7872501.7300000004</v>
      </c>
      <c r="F18" s="13">
        <f>'I Trimestre'!F18+'II Trimestre'!F18+'III Trimestre'!F18+'IV Trimestre'!F18</f>
        <v>188699951.93000001</v>
      </c>
      <c r="G18" s="6"/>
    </row>
    <row r="19" spans="1:8" x14ac:dyDescent="0.25">
      <c r="A19" s="20" t="s">
        <v>84</v>
      </c>
      <c r="B19" s="13">
        <f>SUM(D19:F19)</f>
        <v>1081690974.0799999</v>
      </c>
      <c r="C19" s="13"/>
      <c r="D19" s="13">
        <f>+'IV Trimestre'!D19</f>
        <v>204510879</v>
      </c>
      <c r="E19" s="13">
        <f>+'IV Trimestre'!E19</f>
        <v>17522610.140000001</v>
      </c>
      <c r="F19" s="13">
        <f>+'IV Trimestre'!F19</f>
        <v>859657484.94000006</v>
      </c>
      <c r="G19" s="6"/>
    </row>
    <row r="20" spans="1:8" x14ac:dyDescent="0.25">
      <c r="A20" s="20" t="s">
        <v>130</v>
      </c>
      <c r="B20" s="13">
        <f>D20+E20+F20</f>
        <v>401080254.24000001</v>
      </c>
      <c r="C20" s="13"/>
      <c r="D20" s="13">
        <f>D18</f>
        <v>204507800.58000004</v>
      </c>
      <c r="E20" s="13">
        <f t="shared" ref="E20:F20" si="0">E18</f>
        <v>7872501.7300000004</v>
      </c>
      <c r="F20" s="13">
        <f t="shared" si="0"/>
        <v>188699951.93000001</v>
      </c>
      <c r="G20" s="6"/>
    </row>
    <row r="21" spans="1:8" x14ac:dyDescent="0.25">
      <c r="B21" s="6"/>
      <c r="C21" s="6"/>
      <c r="D21" s="6"/>
      <c r="E21" s="6"/>
      <c r="F21" s="6"/>
      <c r="G21" s="6"/>
    </row>
    <row r="22" spans="1:8" x14ac:dyDescent="0.25">
      <c r="A22" s="21" t="s">
        <v>9</v>
      </c>
      <c r="B22" s="6"/>
      <c r="C22" s="6"/>
      <c r="D22" s="6"/>
      <c r="E22" s="6"/>
      <c r="F22" s="6"/>
      <c r="G22" s="6"/>
    </row>
    <row r="23" spans="1:8" x14ac:dyDescent="0.25">
      <c r="A23" s="20" t="s">
        <v>128</v>
      </c>
      <c r="B23" s="6">
        <f>B17</f>
        <v>1081690974.0799999</v>
      </c>
      <c r="C23" s="6"/>
      <c r="D23" s="43"/>
      <c r="E23" s="6"/>
      <c r="F23" s="6"/>
      <c r="G23" s="38"/>
      <c r="H23" s="22"/>
    </row>
    <row r="24" spans="1:8" x14ac:dyDescent="0.25">
      <c r="A24" s="20" t="s">
        <v>129</v>
      </c>
      <c r="B24" s="6">
        <f>'I Trimestre'!B24+'II Trimestre'!B24+'III Trimestre'!B24+'IV Trimestre'!B24</f>
        <v>762510879</v>
      </c>
      <c r="C24" s="6"/>
      <c r="D24" s="42"/>
      <c r="E24" s="6"/>
      <c r="F24" s="6"/>
      <c r="G24" s="6"/>
      <c r="H24" s="22"/>
    </row>
    <row r="25" spans="1:8" x14ac:dyDescent="0.25">
      <c r="B25" s="6"/>
      <c r="C25" s="6"/>
      <c r="D25" s="6"/>
      <c r="E25" s="6"/>
      <c r="F25" s="6"/>
      <c r="G25" s="6"/>
    </row>
    <row r="26" spans="1:8" x14ac:dyDescent="0.25">
      <c r="A26" s="16" t="s">
        <v>10</v>
      </c>
      <c r="B26" s="6"/>
      <c r="C26" s="6"/>
      <c r="D26" s="6"/>
      <c r="E26" s="6"/>
      <c r="F26" s="6"/>
      <c r="G26" s="6"/>
    </row>
    <row r="27" spans="1:8" x14ac:dyDescent="0.25">
      <c r="A27" s="16" t="s">
        <v>78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6"/>
    </row>
    <row r="28" spans="1:8" x14ac:dyDescent="0.25">
      <c r="A28" s="16" t="s">
        <v>131</v>
      </c>
      <c r="B28" s="6">
        <v>1.01</v>
      </c>
      <c r="C28" s="6">
        <v>1.01</v>
      </c>
      <c r="D28" s="6">
        <v>1.01</v>
      </c>
      <c r="E28" s="6">
        <v>1.01</v>
      </c>
      <c r="F28" s="6">
        <v>1.01</v>
      </c>
      <c r="G28" s="6"/>
    </row>
    <row r="29" spans="1:8" x14ac:dyDescent="0.25">
      <c r="A29" s="16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6"/>
    </row>
    <row r="30" spans="1:8" x14ac:dyDescent="0.25">
      <c r="B30" s="6"/>
      <c r="C30" s="6"/>
      <c r="D30" s="6"/>
      <c r="E30" s="6"/>
      <c r="F30" s="6"/>
      <c r="G30" s="6"/>
    </row>
    <row r="31" spans="1:8" x14ac:dyDescent="0.25">
      <c r="A31" s="16" t="s">
        <v>12</v>
      </c>
      <c r="B31" s="6"/>
      <c r="C31" s="6"/>
      <c r="D31" s="6"/>
      <c r="E31" s="6"/>
      <c r="F31" s="6"/>
      <c r="G31" s="6"/>
    </row>
    <row r="32" spans="1:8" x14ac:dyDescent="0.25">
      <c r="A32" s="16" t="s">
        <v>79</v>
      </c>
      <c r="B32" s="6">
        <f>B16/B27</f>
        <v>771039693.4242425</v>
      </c>
      <c r="C32" s="6">
        <f t="shared" ref="C32:F32" si="1">C16/C27</f>
        <v>0</v>
      </c>
      <c r="D32" s="6">
        <f t="shared" si="1"/>
        <v>238582543.93939394</v>
      </c>
      <c r="E32" s="6">
        <f t="shared" si="1"/>
        <v>114540311.60606062</v>
      </c>
      <c r="F32" s="6">
        <f t="shared" si="1"/>
        <v>417916837.87878788</v>
      </c>
      <c r="G32" s="6"/>
    </row>
    <row r="33" spans="1:9" x14ac:dyDescent="0.25">
      <c r="A33" s="16" t="s">
        <v>132</v>
      </c>
      <c r="B33" s="6">
        <f>B18/B28</f>
        <v>397109162.61386138</v>
      </c>
      <c r="C33" s="6">
        <f t="shared" ref="C33:F33" si="2">C18/C28</f>
        <v>0</v>
      </c>
      <c r="D33" s="6">
        <f t="shared" si="2"/>
        <v>202482970.87128717</v>
      </c>
      <c r="E33" s="6">
        <f t="shared" si="2"/>
        <v>7794556.1683168318</v>
      </c>
      <c r="F33" s="6">
        <f t="shared" si="2"/>
        <v>186831635.57425743</v>
      </c>
      <c r="G33" s="6"/>
    </row>
    <row r="34" spans="1:9" x14ac:dyDescent="0.25">
      <c r="A34" s="16" t="s">
        <v>80</v>
      </c>
      <c r="B34" s="6">
        <f>B32/B10</f>
        <v>2365152.4338166947</v>
      </c>
      <c r="C34" s="25">
        <f>C32/C10</f>
        <v>0</v>
      </c>
      <c r="D34" s="44">
        <f>D32/$C$10</f>
        <v>566032.13271505083</v>
      </c>
      <c r="E34" s="44">
        <f t="shared" ref="E34:F34" si="3">E32/$C$10</f>
        <v>271744.51152090303</v>
      </c>
      <c r="F34" s="44">
        <f t="shared" si="3"/>
        <v>991499.02225097956</v>
      </c>
      <c r="G34" s="39"/>
      <c r="I34" s="46"/>
    </row>
    <row r="35" spans="1:9" x14ac:dyDescent="0.25">
      <c r="A35" s="16" t="s">
        <v>133</v>
      </c>
      <c r="B35" s="6">
        <f>B33/B12</f>
        <v>924943.70174036035</v>
      </c>
      <c r="C35" s="25">
        <f>C33/C12</f>
        <v>0</v>
      </c>
      <c r="D35" s="44">
        <f>D33/$C$12</f>
        <v>471621.82656355709</v>
      </c>
      <c r="E35" s="44">
        <f t="shared" ref="E35:F35" si="4">E33/$C$12</f>
        <v>18155.022131172747</v>
      </c>
      <c r="F35" s="44">
        <f t="shared" si="4"/>
        <v>435166.85304563068</v>
      </c>
    </row>
    <row r="36" spans="1:9" x14ac:dyDescent="0.25">
      <c r="B36" s="6"/>
      <c r="C36" s="6"/>
      <c r="D36" s="6"/>
      <c r="E36" s="6"/>
      <c r="F36" s="6"/>
      <c r="G36" s="6"/>
    </row>
    <row r="37" spans="1:9" x14ac:dyDescent="0.25">
      <c r="A37" s="19" t="s">
        <v>13</v>
      </c>
      <c r="B37" s="6"/>
      <c r="C37" s="6"/>
      <c r="D37" s="6"/>
      <c r="E37" s="6"/>
      <c r="F37" s="6"/>
      <c r="G37" s="6"/>
    </row>
    <row r="38" spans="1:9" x14ac:dyDescent="0.25">
      <c r="B38" s="6"/>
      <c r="C38" s="6"/>
      <c r="D38" s="6"/>
      <c r="E38" s="6"/>
      <c r="F38" s="6"/>
      <c r="G38" s="6"/>
    </row>
    <row r="39" spans="1:9" x14ac:dyDescent="0.25">
      <c r="A39" s="16" t="s">
        <v>14</v>
      </c>
      <c r="B39" s="6"/>
      <c r="C39" s="6"/>
      <c r="D39" s="6"/>
      <c r="E39" s="6"/>
      <c r="F39" s="6"/>
      <c r="G39" s="6"/>
    </row>
    <row r="40" spans="1:9" x14ac:dyDescent="0.25">
      <c r="A40" s="16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6"/>
    </row>
    <row r="41" spans="1:9" x14ac:dyDescent="0.25">
      <c r="A41" s="16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/>
    </row>
    <row r="42" spans="1:9" x14ac:dyDescent="0.25">
      <c r="B42" s="6"/>
      <c r="C42" s="6"/>
      <c r="D42" s="6"/>
      <c r="E42" s="6"/>
      <c r="F42" s="6"/>
      <c r="G42" s="6"/>
    </row>
    <row r="43" spans="1:9" x14ac:dyDescent="0.25">
      <c r="A43" s="16" t="s">
        <v>17</v>
      </c>
      <c r="B43" s="6"/>
      <c r="C43" s="6"/>
      <c r="D43" s="6"/>
      <c r="E43" s="6"/>
      <c r="F43" s="6"/>
      <c r="G43" s="6"/>
    </row>
    <row r="44" spans="1:9" x14ac:dyDescent="0.25">
      <c r="A44" s="16" t="s">
        <v>18</v>
      </c>
      <c r="B44" s="6">
        <f>B12/B11*100</f>
        <v>89.444444444444443</v>
      </c>
      <c r="C44" s="6">
        <f t="shared" ref="C44" si="5">C12/C11*100</f>
        <v>89.444444444444443</v>
      </c>
      <c r="D44" s="6"/>
      <c r="E44" s="6"/>
      <c r="F44" s="6"/>
      <c r="G44" s="39"/>
    </row>
    <row r="45" spans="1:9" x14ac:dyDescent="0.25">
      <c r="A45" s="16" t="s">
        <v>19</v>
      </c>
      <c r="B45" s="6">
        <f>B18/B17*100</f>
        <v>37.079005358358188</v>
      </c>
      <c r="C45" s="6"/>
      <c r="D45" s="6">
        <f t="shared" ref="D45:F45" si="6">D18/D17*100</f>
        <v>99.998494740223592</v>
      </c>
      <c r="E45" s="6">
        <f t="shared" si="6"/>
        <v>44.927677252996283</v>
      </c>
      <c r="F45" s="6">
        <f t="shared" si="6"/>
        <v>21.950597212931886</v>
      </c>
      <c r="G45" s="6"/>
    </row>
    <row r="46" spans="1:9" x14ac:dyDescent="0.25">
      <c r="A46" s="16" t="s">
        <v>20</v>
      </c>
      <c r="B46" s="6">
        <f>AVERAGE(B44:B45)</f>
        <v>63.261724901401315</v>
      </c>
      <c r="C46" s="6">
        <f t="shared" ref="C46:F46" si="7">AVERAGE(C44:C45)</f>
        <v>89.444444444444443</v>
      </c>
      <c r="D46" s="6">
        <f t="shared" si="7"/>
        <v>99.998494740223592</v>
      </c>
      <c r="E46" s="6">
        <f t="shared" si="7"/>
        <v>44.927677252996283</v>
      </c>
      <c r="F46" s="6">
        <f t="shared" si="7"/>
        <v>21.950597212931886</v>
      </c>
      <c r="G46" s="6"/>
    </row>
    <row r="47" spans="1:9" x14ac:dyDescent="0.25">
      <c r="B47" s="6"/>
      <c r="C47" s="6"/>
      <c r="D47" s="6"/>
      <c r="E47" s="6"/>
      <c r="F47" s="6"/>
      <c r="G47" s="6"/>
    </row>
    <row r="48" spans="1:9" x14ac:dyDescent="0.25">
      <c r="A48" s="16" t="s">
        <v>21</v>
      </c>
      <c r="B48" s="6"/>
      <c r="C48" s="6"/>
      <c r="D48" s="6"/>
      <c r="E48" s="6"/>
      <c r="F48" s="6"/>
      <c r="G48" s="6"/>
    </row>
    <row r="49" spans="1:7" x14ac:dyDescent="0.25">
      <c r="A49" s="16" t="s">
        <v>22</v>
      </c>
      <c r="B49" s="6">
        <f>(B12/B13)*100</f>
        <v>89.444444444444443</v>
      </c>
      <c r="C49" s="6">
        <f t="shared" ref="C49" si="8">(C12/C13)*100</f>
        <v>89.444444444444443</v>
      </c>
      <c r="D49" s="6"/>
      <c r="E49" s="6"/>
      <c r="F49" s="6"/>
      <c r="G49" s="6"/>
    </row>
    <row r="50" spans="1:7" x14ac:dyDescent="0.25">
      <c r="A50" s="16" t="s">
        <v>23</v>
      </c>
      <c r="B50" s="6">
        <f>B18/B19*100</f>
        <v>37.079005358358188</v>
      </c>
      <c r="C50" s="6"/>
      <c r="D50" s="6">
        <f t="shared" ref="D50:F50" si="9">D18/D19*100</f>
        <v>99.998494740223592</v>
      </c>
      <c r="E50" s="6">
        <f t="shared" si="9"/>
        <v>44.927677252996283</v>
      </c>
      <c r="F50" s="6">
        <f t="shared" si="9"/>
        <v>21.950597212931886</v>
      </c>
      <c r="G50" s="6"/>
    </row>
    <row r="51" spans="1:7" x14ac:dyDescent="0.25">
      <c r="A51" s="16" t="s">
        <v>24</v>
      </c>
      <c r="B51" s="6">
        <f>AVERAGE(B49:B50)</f>
        <v>63.261724901401315</v>
      </c>
      <c r="C51" s="6">
        <f t="shared" ref="C51:F51" si="10">AVERAGE(C49:C50)</f>
        <v>89.444444444444443</v>
      </c>
      <c r="D51" s="6">
        <f t="shared" si="10"/>
        <v>99.998494740223592</v>
      </c>
      <c r="E51" s="6">
        <f t="shared" si="10"/>
        <v>44.927677252996283</v>
      </c>
      <c r="F51" s="6">
        <f t="shared" si="10"/>
        <v>21.950597212931886</v>
      </c>
      <c r="G51" s="6"/>
    </row>
    <row r="52" spans="1:7" x14ac:dyDescent="0.25">
      <c r="B52" s="6"/>
      <c r="C52" s="6"/>
      <c r="D52" s="6"/>
      <c r="E52" s="6"/>
      <c r="F52" s="6"/>
      <c r="G52" s="6"/>
    </row>
    <row r="53" spans="1:7" x14ac:dyDescent="0.25">
      <c r="A53" s="16" t="s">
        <v>36</v>
      </c>
      <c r="B53" s="6"/>
      <c r="C53" s="6"/>
      <c r="D53" s="6"/>
      <c r="E53" s="6"/>
      <c r="F53" s="6"/>
      <c r="G53" s="6"/>
    </row>
    <row r="54" spans="1:7" x14ac:dyDescent="0.25">
      <c r="A54" s="16" t="s">
        <v>25</v>
      </c>
      <c r="B54" s="6">
        <f>B20/B18*100</f>
        <v>100</v>
      </c>
      <c r="C54" s="6" t="e">
        <f t="shared" ref="C54:F54" si="11">C20/C18*100</f>
        <v>#DIV/0!</v>
      </c>
      <c r="D54" s="6">
        <f t="shared" si="11"/>
        <v>100</v>
      </c>
      <c r="E54" s="6">
        <f t="shared" si="11"/>
        <v>100</v>
      </c>
      <c r="F54" s="6">
        <f t="shared" si="11"/>
        <v>100</v>
      </c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A56" s="16" t="s">
        <v>26</v>
      </c>
      <c r="B56" s="6"/>
      <c r="C56" s="6"/>
      <c r="D56" s="6"/>
      <c r="E56" s="6"/>
      <c r="F56" s="6"/>
      <c r="G56" s="6"/>
    </row>
    <row r="57" spans="1:7" x14ac:dyDescent="0.25">
      <c r="A57" s="16" t="s">
        <v>27</v>
      </c>
      <c r="B57" s="6">
        <f>((B12/B10)-1)*100</f>
        <v>31.697341513292422</v>
      </c>
      <c r="C57" s="6">
        <f t="shared" ref="C57:F57" si="12">((C12/C10)-1)*100</f>
        <v>1.858442071965194</v>
      </c>
      <c r="D57" s="6" t="e">
        <f t="shared" si="12"/>
        <v>#DIV/0!</v>
      </c>
      <c r="E57" s="6" t="e">
        <f t="shared" si="12"/>
        <v>#DIV/0!</v>
      </c>
      <c r="F57" s="6" t="e">
        <f t="shared" si="12"/>
        <v>#DIV/0!</v>
      </c>
      <c r="G57" s="6"/>
    </row>
    <row r="58" spans="1:7" x14ac:dyDescent="0.25">
      <c r="A58" s="16" t="s">
        <v>28</v>
      </c>
      <c r="B58" s="6">
        <f>((B33/B32)-1)*100</f>
        <v>-48.49692356948951</v>
      </c>
      <c r="C58" s="6" t="e">
        <f t="shared" ref="C58:F58" si="13">((C33/C32)-1)*100</f>
        <v>#DIV/0!</v>
      </c>
      <c r="D58" s="6">
        <f t="shared" si="13"/>
        <v>-15.130852606415745</v>
      </c>
      <c r="E58" s="6">
        <f t="shared" si="13"/>
        <v>-93.194923202998865</v>
      </c>
      <c r="F58" s="6">
        <f t="shared" si="13"/>
        <v>-55.294542205440919</v>
      </c>
      <c r="G58" s="6"/>
    </row>
    <row r="59" spans="1:7" x14ac:dyDescent="0.25">
      <c r="A59" s="16" t="s">
        <v>29</v>
      </c>
      <c r="B59" s="6">
        <f>((B35/B34)-1)*100</f>
        <v>-60.892850350124796</v>
      </c>
      <c r="C59" s="6" t="e">
        <f t="shared" ref="C59:F59" si="14">((C35/C34)-1)*100</f>
        <v>#DIV/0!</v>
      </c>
      <c r="D59" s="6">
        <f t="shared" si="14"/>
        <v>-16.679319193177555</v>
      </c>
      <c r="E59" s="6">
        <f t="shared" si="14"/>
        <v>-93.319084153875821</v>
      </c>
      <c r="F59" s="6">
        <f t="shared" si="14"/>
        <v>-56.110208554953445</v>
      </c>
      <c r="G59" s="6"/>
    </row>
    <row r="60" spans="1:7" x14ac:dyDescent="0.25">
      <c r="B60" s="6"/>
      <c r="C60" s="6"/>
      <c r="D60" s="6"/>
      <c r="E60" s="6"/>
      <c r="F60" s="6"/>
      <c r="G60" s="6"/>
    </row>
    <row r="61" spans="1:7" x14ac:dyDescent="0.25">
      <c r="A61" s="16" t="s">
        <v>30</v>
      </c>
      <c r="B61" s="6"/>
      <c r="C61" s="6"/>
      <c r="D61" s="6"/>
      <c r="E61" s="6"/>
      <c r="F61" s="6"/>
      <c r="G61" s="6"/>
    </row>
    <row r="62" spans="1:7" x14ac:dyDescent="0.25">
      <c r="A62" s="16" t="s">
        <v>37</v>
      </c>
      <c r="B62" s="44">
        <f>B17/($B$11*11)</f>
        <v>204865.71478787877</v>
      </c>
      <c r="C62" s="44">
        <f>B17/(C11*11)</f>
        <v>204865.71478787877</v>
      </c>
      <c r="D62" s="44">
        <f>D17/($C$11*11)</f>
        <v>38733.121022727275</v>
      </c>
      <c r="E62" s="44">
        <f t="shared" ref="E62:F62" si="15">E17/($C$11*11)</f>
        <v>3318.6761628787881</v>
      </c>
      <c r="F62" s="44">
        <f t="shared" si="15"/>
        <v>162813.91760227273</v>
      </c>
      <c r="G62" s="45"/>
    </row>
    <row r="63" spans="1:7" x14ac:dyDescent="0.25">
      <c r="A63" s="16" t="s">
        <v>38</v>
      </c>
      <c r="B63" s="44">
        <f>B18/($B$12*11)</f>
        <v>84926.648977978562</v>
      </c>
      <c r="C63" s="44">
        <f>B18/(C12*11)</f>
        <v>84926.648977978562</v>
      </c>
      <c r="D63" s="44">
        <f>D18/($C$12*11)</f>
        <v>43303.4586208357</v>
      </c>
      <c r="E63" s="44">
        <f t="shared" ref="E63:F63" si="16">E18/($C$12*11)</f>
        <v>1666.9611229531342</v>
      </c>
      <c r="F63" s="44">
        <f t="shared" si="16"/>
        <v>39956.229234189726</v>
      </c>
      <c r="G63" s="22"/>
    </row>
    <row r="64" spans="1:7" x14ac:dyDescent="0.25">
      <c r="A64" s="16" t="s">
        <v>31</v>
      </c>
      <c r="B64" s="42">
        <f>(B63/B62)*B46</f>
        <v>26.225014322214129</v>
      </c>
      <c r="C64" s="42">
        <f>(C63/C62)*C46</f>
        <v>37.079005358358195</v>
      </c>
      <c r="D64" s="42"/>
      <c r="E64" s="42"/>
      <c r="F64" s="42"/>
      <c r="G64" s="6"/>
    </row>
    <row r="65" spans="1:8" x14ac:dyDescent="0.25">
      <c r="A65" s="14" t="s">
        <v>43</v>
      </c>
      <c r="B65" s="47">
        <f>B17/($B$11)</f>
        <v>2253522.8626666665</v>
      </c>
      <c r="C65" s="47">
        <f>B17/C11</f>
        <v>2253522.8626666665</v>
      </c>
      <c r="D65" s="47">
        <f>D17/($C$11)</f>
        <v>426064.33124999999</v>
      </c>
      <c r="E65" s="47">
        <f t="shared" ref="E65:F65" si="17">E17/($C$11)</f>
        <v>36505.437791666671</v>
      </c>
      <c r="F65" s="47">
        <f t="shared" si="17"/>
        <v>1790953.0936250002</v>
      </c>
      <c r="G65" s="6"/>
    </row>
    <row r="66" spans="1:8" x14ac:dyDescent="0.25">
      <c r="A66" s="14" t="s">
        <v>44</v>
      </c>
      <c r="B66" s="47">
        <f>B18/($B$12)</f>
        <v>934193.13875776401</v>
      </c>
      <c r="C66" s="47">
        <f>B18/C12</f>
        <v>934193.13875776401</v>
      </c>
      <c r="D66" s="47">
        <f>D18/($C$12)</f>
        <v>476338.04482919269</v>
      </c>
      <c r="E66" s="47">
        <f t="shared" ref="E66:F66" si="18">E18/($C$12)</f>
        <v>18336.572352484473</v>
      </c>
      <c r="F66" s="47">
        <f t="shared" si="18"/>
        <v>439518.52157608699</v>
      </c>
      <c r="G66" s="6"/>
    </row>
    <row r="67" spans="1:8" x14ac:dyDescent="0.25">
      <c r="B67" s="6"/>
      <c r="C67" s="6"/>
      <c r="D67" s="6"/>
      <c r="E67" s="6"/>
      <c r="F67" s="6"/>
      <c r="G67" s="6"/>
    </row>
    <row r="68" spans="1:8" x14ac:dyDescent="0.25">
      <c r="A68" s="16" t="s">
        <v>32</v>
      </c>
      <c r="B68" s="6"/>
      <c r="C68" s="6"/>
      <c r="D68" s="6"/>
      <c r="E68" s="6"/>
      <c r="F68" s="6"/>
      <c r="G68" s="6"/>
    </row>
    <row r="69" spans="1:8" x14ac:dyDescent="0.25">
      <c r="A69" s="16" t="s">
        <v>33</v>
      </c>
      <c r="B69" s="42">
        <f>((B24+D24)/B23)*100</f>
        <v>70.492487898267882</v>
      </c>
      <c r="C69" s="6"/>
      <c r="D69" s="6"/>
      <c r="E69" s="6"/>
      <c r="F69" s="6"/>
      <c r="G69" s="39"/>
      <c r="H69" s="22"/>
    </row>
    <row r="70" spans="1:8" x14ac:dyDescent="0.25">
      <c r="A70" s="16" t="s">
        <v>34</v>
      </c>
      <c r="B70" s="42">
        <f>(B18/(B24+D24))*100</f>
        <v>52.59993860887591</v>
      </c>
      <c r="C70" s="6"/>
      <c r="D70" s="6"/>
      <c r="E70" s="6"/>
      <c r="F70" s="6"/>
      <c r="G70" s="6"/>
      <c r="H70" s="22"/>
    </row>
    <row r="71" spans="1:8" ht="15.75" thickBot="1" x14ac:dyDescent="0.3">
      <c r="A71" s="23"/>
      <c r="B71" s="23"/>
      <c r="C71" s="23"/>
      <c r="D71" s="23"/>
      <c r="E71" s="23"/>
      <c r="F71" s="23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1" t="s">
        <v>89</v>
      </c>
    </row>
    <row r="75" spans="1:8" x14ac:dyDescent="0.25">
      <c r="A75" s="11" t="s">
        <v>90</v>
      </c>
      <c r="B75" s="24"/>
      <c r="C75" s="24"/>
      <c r="D75" s="24"/>
      <c r="E75" s="24"/>
    </row>
    <row r="76" spans="1:8" x14ac:dyDescent="0.25">
      <c r="A76" s="34" t="s">
        <v>91</v>
      </c>
      <c r="B76" s="24"/>
      <c r="C76" s="24"/>
      <c r="D76" s="24"/>
      <c r="E76" s="24"/>
    </row>
    <row r="77" spans="1:8" x14ac:dyDescent="0.25">
      <c r="A77" s="11" t="s">
        <v>49</v>
      </c>
    </row>
    <row r="78" spans="1:8" x14ac:dyDescent="0.25">
      <c r="A78" s="33" t="s">
        <v>50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1" spans="1:1" x14ac:dyDescent="0.25">
      <c r="A81" s="51"/>
    </row>
    <row r="82" spans="1:1" x14ac:dyDescent="0.25">
      <c r="A82" s="25" t="s">
        <v>137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2"/>
  <sheetViews>
    <sheetView workbookViewId="0">
      <selection activeCell="I13" sqref="I13"/>
    </sheetView>
  </sheetViews>
  <sheetFormatPr baseColWidth="10" defaultRowHeight="15" x14ac:dyDescent="0.25"/>
  <sheetData>
    <row r="62" spans="7:7" x14ac:dyDescent="0.25">
      <c r="G6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 Rodriguez</cp:lastModifiedBy>
  <dcterms:created xsi:type="dcterms:W3CDTF">2012-03-15T15:44:58Z</dcterms:created>
  <dcterms:modified xsi:type="dcterms:W3CDTF">2018-01-26T20:59:04Z</dcterms:modified>
</cp:coreProperties>
</file>