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Users\Ricardo\Downloads\"/>
    </mc:Choice>
  </mc:AlternateContent>
  <bookViews>
    <workbookView xWindow="0" yWindow="0" windowWidth="23970" windowHeight="8970" tabRatio="728" activeTab="3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Tercer trimestre Acumulado" sheetId="7" r:id="rId6"/>
    <sheet name="Anual" sheetId="8" r:id="rId7"/>
    <sheet name="Hoja1" sheetId="9" state="hidden" r:id="rId8"/>
  </sheets>
  <calcPr calcId="162913" concurrentCalc="0"/>
</workbook>
</file>

<file path=xl/calcChain.xml><?xml version="1.0" encoding="utf-8"?>
<calcChain xmlns="http://schemas.openxmlformats.org/spreadsheetml/2006/main">
  <c r="F17" i="4" l="1"/>
  <c r="E17" i="4"/>
  <c r="E12" i="4"/>
  <c r="F12" i="4"/>
  <c r="E18" i="4"/>
  <c r="E17" i="3"/>
  <c r="D17" i="4"/>
  <c r="F17" i="3"/>
  <c r="D17" i="3"/>
  <c r="B24" i="2"/>
  <c r="B24" i="3"/>
  <c r="B24" i="4"/>
  <c r="F18" i="4"/>
  <c r="D18" i="4"/>
  <c r="C18" i="4"/>
  <c r="F16" i="4"/>
  <c r="E16" i="4"/>
  <c r="D16" i="4"/>
  <c r="C16" i="4"/>
  <c r="C28" i="4"/>
  <c r="D28" i="4"/>
  <c r="E28" i="4"/>
  <c r="F28" i="4"/>
  <c r="B28" i="4"/>
  <c r="D12" i="4"/>
  <c r="C12" i="4"/>
  <c r="F10" i="4"/>
  <c r="E10" i="4"/>
  <c r="D10" i="4"/>
  <c r="C10" i="4"/>
  <c r="C28" i="3"/>
  <c r="D28" i="3"/>
  <c r="E28" i="3"/>
  <c r="F28" i="3"/>
  <c r="B28" i="3"/>
  <c r="F18" i="3"/>
  <c r="E18" i="3"/>
  <c r="D18" i="3"/>
  <c r="C18" i="3"/>
  <c r="C16" i="3"/>
  <c r="C17" i="3"/>
  <c r="F16" i="3"/>
  <c r="D16" i="3"/>
  <c r="E12" i="3"/>
  <c r="D12" i="3"/>
  <c r="C12" i="3"/>
  <c r="F10" i="3"/>
  <c r="E10" i="3"/>
  <c r="D10" i="3"/>
  <c r="C10" i="3"/>
  <c r="C28" i="2"/>
  <c r="D28" i="2"/>
  <c r="E28" i="2"/>
  <c r="F28" i="2"/>
  <c r="B28" i="2"/>
  <c r="B33" i="2"/>
  <c r="E20" i="2"/>
  <c r="F18" i="2"/>
  <c r="E18" i="2"/>
  <c r="D18" i="2"/>
  <c r="C18" i="2"/>
  <c r="C17" i="2"/>
  <c r="D17" i="2"/>
  <c r="E17" i="2"/>
  <c r="F17" i="2"/>
  <c r="F16" i="2"/>
  <c r="E16" i="2"/>
  <c r="D16" i="2"/>
  <c r="C16" i="2"/>
  <c r="B13" i="2"/>
  <c r="F12" i="2"/>
  <c r="E12" i="2"/>
  <c r="D12" i="2"/>
  <c r="C12" i="2"/>
  <c r="F10" i="2"/>
  <c r="E10" i="2"/>
  <c r="D10" i="2"/>
  <c r="C10" i="2"/>
  <c r="F12" i="8"/>
  <c r="F11" i="7"/>
  <c r="F11" i="6"/>
  <c r="F12" i="6"/>
  <c r="B13" i="3"/>
  <c r="C20" i="4"/>
  <c r="D20" i="4"/>
  <c r="E20" i="4"/>
  <c r="F20" i="4"/>
  <c r="C18" i="8"/>
  <c r="D18" i="8"/>
  <c r="D20" i="8"/>
  <c r="E18" i="8"/>
  <c r="E33" i="8"/>
  <c r="F18" i="8"/>
  <c r="F63" i="8"/>
  <c r="F11" i="8"/>
  <c r="F44" i="8"/>
  <c r="F17" i="8"/>
  <c r="F16" i="8"/>
  <c r="F32" i="8"/>
  <c r="F34" i="8"/>
  <c r="F57" i="8"/>
  <c r="F13" i="8"/>
  <c r="F49" i="8"/>
  <c r="F19" i="8"/>
  <c r="F50" i="8"/>
  <c r="F12" i="7"/>
  <c r="F44" i="7"/>
  <c r="F18" i="7"/>
  <c r="F17" i="7"/>
  <c r="F65" i="7"/>
  <c r="F45" i="7"/>
  <c r="F13" i="7"/>
  <c r="F49" i="7"/>
  <c r="F19" i="7"/>
  <c r="F18" i="6"/>
  <c r="F66" i="6"/>
  <c r="F17" i="6"/>
  <c r="F65" i="6"/>
  <c r="F62" i="6"/>
  <c r="F44" i="6"/>
  <c r="F45" i="6"/>
  <c r="F46" i="6"/>
  <c r="F13" i="6"/>
  <c r="F49" i="6"/>
  <c r="F19" i="6"/>
  <c r="F20" i="6"/>
  <c r="F66" i="4"/>
  <c r="F65" i="4"/>
  <c r="F63" i="4"/>
  <c r="F44" i="4"/>
  <c r="F45" i="4"/>
  <c r="F62" i="4"/>
  <c r="F33" i="4"/>
  <c r="F35" i="4"/>
  <c r="F32" i="4"/>
  <c r="F34" i="4"/>
  <c r="F57" i="4"/>
  <c r="F49" i="4"/>
  <c r="F50" i="4"/>
  <c r="F66" i="3"/>
  <c r="F65" i="3"/>
  <c r="F62" i="3"/>
  <c r="F44" i="3"/>
  <c r="F45" i="3"/>
  <c r="F46" i="3"/>
  <c r="F63" i="3"/>
  <c r="F64" i="3"/>
  <c r="F32" i="3"/>
  <c r="F34" i="3"/>
  <c r="F33" i="3"/>
  <c r="F35" i="3"/>
  <c r="F59" i="3"/>
  <c r="F58" i="3"/>
  <c r="F57" i="3"/>
  <c r="F49" i="3"/>
  <c r="F50" i="3"/>
  <c r="F51" i="3"/>
  <c r="C20" i="3"/>
  <c r="D20" i="3"/>
  <c r="E20" i="3"/>
  <c r="F20" i="3"/>
  <c r="B20" i="3"/>
  <c r="C20" i="2"/>
  <c r="D20" i="2"/>
  <c r="F20" i="2"/>
  <c r="B20" i="2"/>
  <c r="C20" i="1"/>
  <c r="D20" i="1"/>
  <c r="E20" i="1"/>
  <c r="F20" i="1"/>
  <c r="F66" i="2"/>
  <c r="F65" i="2"/>
  <c r="F63" i="2"/>
  <c r="F62" i="2"/>
  <c r="F57" i="2"/>
  <c r="F50" i="2"/>
  <c r="F49" i="2"/>
  <c r="F45" i="2"/>
  <c r="F44" i="2"/>
  <c r="F46" i="2"/>
  <c r="F33" i="2"/>
  <c r="F35" i="2"/>
  <c r="F32" i="2"/>
  <c r="F58" i="2"/>
  <c r="F66" i="1"/>
  <c r="F65" i="1"/>
  <c r="F63" i="1"/>
  <c r="F62" i="1"/>
  <c r="F57" i="1"/>
  <c r="F50" i="1"/>
  <c r="F49" i="1"/>
  <c r="F44" i="1"/>
  <c r="F45" i="1"/>
  <c r="F46" i="1"/>
  <c r="F32" i="1"/>
  <c r="F34" i="1"/>
  <c r="F33" i="1"/>
  <c r="F35" i="1"/>
  <c r="E17" i="8"/>
  <c r="E11" i="8"/>
  <c r="E65" i="8"/>
  <c r="F34" i="2"/>
  <c r="B11" i="2"/>
  <c r="B12" i="2"/>
  <c r="B11" i="4"/>
  <c r="B40" i="4"/>
  <c r="B12" i="4"/>
  <c r="B13" i="4"/>
  <c r="B10" i="4"/>
  <c r="B10" i="2"/>
  <c r="B18" i="2"/>
  <c r="B18" i="3"/>
  <c r="B18" i="4"/>
  <c r="B18" i="1"/>
  <c r="B16" i="2"/>
  <c r="B16" i="3"/>
  <c r="B16" i="4"/>
  <c r="B16" i="1"/>
  <c r="B49" i="4"/>
  <c r="C49" i="2"/>
  <c r="D49" i="2"/>
  <c r="E49" i="2"/>
  <c r="C49" i="3"/>
  <c r="D49" i="3"/>
  <c r="E49" i="3"/>
  <c r="C49" i="4"/>
  <c r="D49" i="4"/>
  <c r="E49" i="4"/>
  <c r="C49" i="1"/>
  <c r="D49" i="1"/>
  <c r="E49" i="1"/>
  <c r="C45" i="4"/>
  <c r="D45" i="4"/>
  <c r="D44" i="4"/>
  <c r="D46" i="4"/>
  <c r="E45" i="4"/>
  <c r="C44" i="4"/>
  <c r="E44" i="4"/>
  <c r="C57" i="3"/>
  <c r="D57" i="3"/>
  <c r="E57" i="3"/>
  <c r="C50" i="3"/>
  <c r="C51" i="3"/>
  <c r="D50" i="3"/>
  <c r="D51" i="3"/>
  <c r="E50" i="3"/>
  <c r="C45" i="3"/>
  <c r="D45" i="3"/>
  <c r="E45" i="3"/>
  <c r="C44" i="3"/>
  <c r="D44" i="3"/>
  <c r="E44" i="3"/>
  <c r="C33" i="3"/>
  <c r="C35" i="3"/>
  <c r="D33" i="3"/>
  <c r="D35" i="3"/>
  <c r="E33" i="3"/>
  <c r="E35" i="3"/>
  <c r="C32" i="3"/>
  <c r="C34" i="3"/>
  <c r="D32" i="3"/>
  <c r="D34" i="3"/>
  <c r="E32" i="3"/>
  <c r="E34" i="3"/>
  <c r="C66" i="2"/>
  <c r="D66" i="2"/>
  <c r="E66" i="2"/>
  <c r="C65" i="2"/>
  <c r="D65" i="2"/>
  <c r="E65" i="2"/>
  <c r="C62" i="2"/>
  <c r="D62" i="2"/>
  <c r="E62" i="2"/>
  <c r="C57" i="2"/>
  <c r="D57" i="2"/>
  <c r="E57" i="2"/>
  <c r="C50" i="2"/>
  <c r="C51" i="2"/>
  <c r="D50" i="2"/>
  <c r="D51" i="2"/>
  <c r="E50" i="2"/>
  <c r="E51" i="2"/>
  <c r="C45" i="2"/>
  <c r="D45" i="2"/>
  <c r="E45" i="2"/>
  <c r="C44" i="2"/>
  <c r="D44" i="2"/>
  <c r="E44" i="2"/>
  <c r="E46" i="2"/>
  <c r="C66" i="1"/>
  <c r="D66" i="1"/>
  <c r="E66" i="1"/>
  <c r="C65" i="1"/>
  <c r="D65" i="1"/>
  <c r="E65" i="1"/>
  <c r="C62" i="1"/>
  <c r="D62" i="1"/>
  <c r="E62" i="1"/>
  <c r="C57" i="1"/>
  <c r="D57" i="1"/>
  <c r="E57" i="1"/>
  <c r="C50" i="1"/>
  <c r="C51" i="1"/>
  <c r="D50" i="1"/>
  <c r="D51" i="1"/>
  <c r="E50" i="1"/>
  <c r="E51" i="1"/>
  <c r="C45" i="1"/>
  <c r="D45" i="1"/>
  <c r="E45" i="1"/>
  <c r="C44" i="1"/>
  <c r="C46" i="1"/>
  <c r="D44" i="1"/>
  <c r="E44" i="1"/>
  <c r="E46" i="1"/>
  <c r="C33" i="1"/>
  <c r="C35" i="1"/>
  <c r="D33" i="1"/>
  <c r="D35" i="1"/>
  <c r="E33" i="1"/>
  <c r="E35" i="1"/>
  <c r="C32" i="1"/>
  <c r="C34" i="1"/>
  <c r="D32" i="1"/>
  <c r="D34" i="1"/>
  <c r="E32" i="1"/>
  <c r="E34" i="1"/>
  <c r="E46" i="3"/>
  <c r="D46" i="3"/>
  <c r="C46" i="3"/>
  <c r="D46" i="2"/>
  <c r="C46" i="2"/>
  <c r="D46" i="1"/>
  <c r="E58" i="3"/>
  <c r="C58" i="1"/>
  <c r="D58" i="3"/>
  <c r="B19" i="1"/>
  <c r="B50" i="1"/>
  <c r="B17" i="1"/>
  <c r="B19" i="2"/>
  <c r="B17" i="2"/>
  <c r="E12" i="8"/>
  <c r="E10" i="8"/>
  <c r="D12" i="8"/>
  <c r="D11" i="8"/>
  <c r="D10" i="8"/>
  <c r="C12" i="8"/>
  <c r="C11" i="8"/>
  <c r="C10" i="8"/>
  <c r="E12" i="7"/>
  <c r="E11" i="7"/>
  <c r="E10" i="7"/>
  <c r="D12" i="7"/>
  <c r="D11" i="7"/>
  <c r="D10" i="7"/>
  <c r="C12" i="7"/>
  <c r="C11" i="7"/>
  <c r="C10" i="7"/>
  <c r="E12" i="6"/>
  <c r="E11" i="6"/>
  <c r="E10" i="6"/>
  <c r="D12" i="6"/>
  <c r="D11" i="6"/>
  <c r="D10" i="6"/>
  <c r="C12" i="6"/>
  <c r="C11" i="6"/>
  <c r="C10" i="6"/>
  <c r="E66" i="4"/>
  <c r="D66" i="4"/>
  <c r="C66" i="4"/>
  <c r="E65" i="4"/>
  <c r="D65" i="4"/>
  <c r="C65" i="4"/>
  <c r="E66" i="3"/>
  <c r="D66" i="3"/>
  <c r="C66" i="3"/>
  <c r="E65" i="3"/>
  <c r="D65" i="3"/>
  <c r="C65" i="3"/>
  <c r="E213" i="1"/>
  <c r="C19" i="6"/>
  <c r="D19" i="6"/>
  <c r="E19" i="6"/>
  <c r="C17" i="6"/>
  <c r="D17" i="6"/>
  <c r="E17" i="6"/>
  <c r="C18" i="6"/>
  <c r="D18" i="6"/>
  <c r="E18" i="6"/>
  <c r="D16" i="6"/>
  <c r="E16" i="6"/>
  <c r="F16" i="6"/>
  <c r="F32" i="6"/>
  <c r="C16" i="6"/>
  <c r="D19" i="7"/>
  <c r="E19" i="7"/>
  <c r="C19" i="7"/>
  <c r="C17" i="7"/>
  <c r="D17" i="7"/>
  <c r="E17" i="7"/>
  <c r="C18" i="7"/>
  <c r="D18" i="7"/>
  <c r="E18" i="7"/>
  <c r="F20" i="7"/>
  <c r="D16" i="7"/>
  <c r="E16" i="7"/>
  <c r="F16" i="7"/>
  <c r="F32" i="7"/>
  <c r="C16" i="7"/>
  <c r="C17" i="8"/>
  <c r="D17" i="8"/>
  <c r="D65" i="8"/>
  <c r="D16" i="8"/>
  <c r="E16" i="8"/>
  <c r="C16" i="8"/>
  <c r="C19" i="8"/>
  <c r="D19" i="8"/>
  <c r="D50" i="8"/>
  <c r="E19" i="8"/>
  <c r="D13" i="6"/>
  <c r="D49" i="6"/>
  <c r="E13" i="6"/>
  <c r="E49" i="6"/>
  <c r="C13" i="6"/>
  <c r="B11" i="6"/>
  <c r="F10" i="6"/>
  <c r="F57" i="6"/>
  <c r="D13" i="7"/>
  <c r="D49" i="7"/>
  <c r="E13" i="7"/>
  <c r="E49" i="7"/>
  <c r="C13" i="7"/>
  <c r="B11" i="7"/>
  <c r="F10" i="7"/>
  <c r="B10" i="7"/>
  <c r="D13" i="8"/>
  <c r="D49" i="8"/>
  <c r="E13" i="8"/>
  <c r="E49" i="8"/>
  <c r="C13" i="8"/>
  <c r="C49" i="8"/>
  <c r="B11" i="8"/>
  <c r="B10" i="8"/>
  <c r="C49" i="6"/>
  <c r="B13" i="6"/>
  <c r="B13" i="8"/>
  <c r="B12" i="6"/>
  <c r="B12" i="7"/>
  <c r="B18" i="8"/>
  <c r="B33" i="8"/>
  <c r="B18" i="7"/>
  <c r="B18" i="6"/>
  <c r="B12" i="8"/>
  <c r="B16" i="8"/>
  <c r="B16" i="7"/>
  <c r="B16" i="6"/>
  <c r="B13" i="7"/>
  <c r="C49" i="7"/>
  <c r="B19" i="7"/>
  <c r="B19" i="6"/>
  <c r="E66" i="8"/>
  <c r="C66" i="8"/>
  <c r="C65" i="8"/>
  <c r="E20" i="7"/>
  <c r="E66" i="7"/>
  <c r="C20" i="7"/>
  <c r="C66" i="7"/>
  <c r="E65" i="7"/>
  <c r="C65" i="7"/>
  <c r="E20" i="6"/>
  <c r="E66" i="6"/>
  <c r="C20" i="6"/>
  <c r="C66" i="6"/>
  <c r="E65" i="6"/>
  <c r="C65" i="6"/>
  <c r="D66" i="8"/>
  <c r="D20" i="7"/>
  <c r="D66" i="7"/>
  <c r="D65" i="7"/>
  <c r="D20" i="6"/>
  <c r="B20" i="6"/>
  <c r="B54" i="6"/>
  <c r="D66" i="6"/>
  <c r="D65" i="6"/>
  <c r="B17" i="7"/>
  <c r="B17" i="6"/>
  <c r="B19" i="4"/>
  <c r="B17" i="4"/>
  <c r="B23" i="4"/>
  <c r="B69" i="4"/>
  <c r="B19" i="3"/>
  <c r="B17" i="3"/>
  <c r="B12" i="3"/>
  <c r="B11" i="3"/>
  <c r="B10" i="3"/>
  <c r="B49" i="2"/>
  <c r="B13" i="1"/>
  <c r="B12" i="1"/>
  <c r="B11" i="1"/>
  <c r="B65" i="1"/>
  <c r="B10" i="1"/>
  <c r="B49" i="3"/>
  <c r="B49" i="7"/>
  <c r="B49" i="6"/>
  <c r="B20" i="7"/>
  <c r="B66" i="2"/>
  <c r="B65" i="3"/>
  <c r="B65" i="6"/>
  <c r="B65" i="7"/>
  <c r="B66" i="1"/>
  <c r="B65" i="2"/>
  <c r="B66" i="3"/>
  <c r="B66" i="6"/>
  <c r="B66" i="7"/>
  <c r="E51" i="3"/>
  <c r="E32" i="6"/>
  <c r="E34" i="6"/>
  <c r="E57" i="6"/>
  <c r="D50" i="6"/>
  <c r="E63" i="6"/>
  <c r="B33" i="6"/>
  <c r="B35" i="6"/>
  <c r="C63" i="6"/>
  <c r="E50" i="6"/>
  <c r="C50" i="6"/>
  <c r="D63" i="6"/>
  <c r="D33" i="6"/>
  <c r="D35" i="6"/>
  <c r="C33" i="6"/>
  <c r="C35" i="6"/>
  <c r="E33" i="6"/>
  <c r="E35" i="6"/>
  <c r="E59" i="6"/>
  <c r="B63" i="6"/>
  <c r="B41" i="6"/>
  <c r="C51" i="6"/>
  <c r="E58" i="6"/>
  <c r="E57" i="7"/>
  <c r="E32" i="7"/>
  <c r="E34" i="7"/>
  <c r="B33" i="3"/>
  <c r="B35" i="3"/>
  <c r="B32" i="3"/>
  <c r="B34" i="3"/>
  <c r="E32" i="8"/>
  <c r="E34" i="8"/>
  <c r="E63" i="4"/>
  <c r="D63" i="4"/>
  <c r="C63" i="4"/>
  <c r="E57" i="4"/>
  <c r="D57" i="4"/>
  <c r="C57" i="4"/>
  <c r="E50" i="4"/>
  <c r="D50" i="4"/>
  <c r="C50" i="4"/>
  <c r="E62" i="4"/>
  <c r="D62" i="4"/>
  <c r="C62" i="4"/>
  <c r="E33" i="4"/>
  <c r="D33" i="4"/>
  <c r="C33" i="4"/>
  <c r="E32" i="4"/>
  <c r="E34" i="4"/>
  <c r="D32" i="4"/>
  <c r="D34" i="4"/>
  <c r="C32" i="4"/>
  <c r="C34" i="4"/>
  <c r="B32" i="4"/>
  <c r="B34" i="4"/>
  <c r="E63" i="3"/>
  <c r="D63" i="3"/>
  <c r="C63" i="3"/>
  <c r="B63" i="3"/>
  <c r="B57" i="3"/>
  <c r="B54" i="3"/>
  <c r="B45" i="3"/>
  <c r="B41" i="3"/>
  <c r="E62" i="3"/>
  <c r="D62" i="3"/>
  <c r="B70" i="3"/>
  <c r="E63" i="2"/>
  <c r="D63" i="2"/>
  <c r="D64" i="2"/>
  <c r="C63" i="2"/>
  <c r="C64" i="2"/>
  <c r="E33" i="2"/>
  <c r="D33" i="2"/>
  <c r="C33" i="2"/>
  <c r="E32" i="2"/>
  <c r="E34" i="2"/>
  <c r="D32" i="2"/>
  <c r="D34" i="2"/>
  <c r="C32" i="2"/>
  <c r="C34" i="2"/>
  <c r="B24" i="6"/>
  <c r="B70" i="6"/>
  <c r="B50" i="6"/>
  <c r="B51" i="6"/>
  <c r="B32" i="2"/>
  <c r="B34" i="2"/>
  <c r="D63" i="1"/>
  <c r="D64" i="1"/>
  <c r="E63" i="1"/>
  <c r="C63" i="1"/>
  <c r="B70" i="1"/>
  <c r="B32" i="1"/>
  <c r="B34" i="1"/>
  <c r="C35" i="2"/>
  <c r="C58" i="2"/>
  <c r="E35" i="4"/>
  <c r="E59" i="4"/>
  <c r="D35" i="2"/>
  <c r="D58" i="2"/>
  <c r="E35" i="2"/>
  <c r="E58" i="2"/>
  <c r="C35" i="4"/>
  <c r="C59" i="4"/>
  <c r="D35" i="4"/>
  <c r="D59" i="4"/>
  <c r="B40" i="1"/>
  <c r="E50" i="8"/>
  <c r="C33" i="8"/>
  <c r="B40" i="2"/>
  <c r="B70" i="2"/>
  <c r="D63" i="8"/>
  <c r="B50" i="3"/>
  <c r="B32" i="8"/>
  <c r="B34" i="8"/>
  <c r="D33" i="8"/>
  <c r="D35" i="8"/>
  <c r="B54" i="2"/>
  <c r="D32" i="6"/>
  <c r="D34" i="6"/>
  <c r="D32" i="7"/>
  <c r="D34" i="7"/>
  <c r="D32" i="8"/>
  <c r="D34" i="8"/>
  <c r="D57" i="6"/>
  <c r="D57" i="7"/>
  <c r="D57" i="8"/>
  <c r="B44" i="1"/>
  <c r="C57" i="7"/>
  <c r="B63" i="1"/>
  <c r="B41" i="2"/>
  <c r="B44" i="2"/>
  <c r="B50" i="2"/>
  <c r="B57" i="2"/>
  <c r="C62" i="3"/>
  <c r="E63" i="8"/>
  <c r="E44" i="7"/>
  <c r="C44" i="7"/>
  <c r="E63" i="7"/>
  <c r="C63" i="7"/>
  <c r="B63" i="2"/>
  <c r="B24" i="8"/>
  <c r="D63" i="7"/>
  <c r="B24" i="7"/>
  <c r="B70" i="7"/>
  <c r="D33" i="7"/>
  <c r="D35" i="7"/>
  <c r="B41" i="7"/>
  <c r="D45" i="7"/>
  <c r="C50" i="7"/>
  <c r="E50" i="7"/>
  <c r="C33" i="7"/>
  <c r="C35" i="7"/>
  <c r="E33" i="7"/>
  <c r="E35" i="7"/>
  <c r="C45" i="7"/>
  <c r="D50" i="7"/>
  <c r="B58" i="3"/>
  <c r="B59" i="3"/>
  <c r="C44" i="8"/>
  <c r="B35" i="2"/>
  <c r="B33" i="1"/>
  <c r="B35" i="1"/>
  <c r="B59" i="1"/>
  <c r="B41" i="1"/>
  <c r="C51" i="7"/>
  <c r="D44" i="7"/>
  <c r="D46" i="7"/>
  <c r="B51" i="3"/>
  <c r="E45" i="7"/>
  <c r="E46" i="7"/>
  <c r="D62" i="7"/>
  <c r="B58" i="2"/>
  <c r="C57" i="8"/>
  <c r="C57" i="6"/>
  <c r="B57" i="1"/>
  <c r="D44" i="6"/>
  <c r="E62" i="6"/>
  <c r="E45" i="6"/>
  <c r="C62" i="7"/>
  <c r="B23" i="7"/>
  <c r="C32" i="8"/>
  <c r="C34" i="8"/>
  <c r="C32" i="6"/>
  <c r="C34" i="6"/>
  <c r="B32" i="6"/>
  <c r="B45" i="1"/>
  <c r="B46" i="1"/>
  <c r="B62" i="1"/>
  <c r="B63" i="7"/>
  <c r="B50" i="7"/>
  <c r="B51" i="7"/>
  <c r="B33" i="7"/>
  <c r="B35" i="7"/>
  <c r="B62" i="3"/>
  <c r="B44" i="3"/>
  <c r="B46" i="3"/>
  <c r="B40" i="3"/>
  <c r="B51" i="2"/>
  <c r="E44" i="6"/>
  <c r="C44" i="6"/>
  <c r="D62" i="8"/>
  <c r="D45" i="8"/>
  <c r="D62" i="6"/>
  <c r="D45" i="6"/>
  <c r="E62" i="7"/>
  <c r="C45" i="8"/>
  <c r="C62" i="6"/>
  <c r="C45" i="6"/>
  <c r="C32" i="7"/>
  <c r="B32" i="7"/>
  <c r="D58" i="6"/>
  <c r="B62" i="4"/>
  <c r="B62" i="2"/>
  <c r="B45" i="2"/>
  <c r="B46" i="2"/>
  <c r="C46" i="7"/>
  <c r="D58" i="7"/>
  <c r="E58" i="7"/>
  <c r="B54" i="7"/>
  <c r="B23" i="3"/>
  <c r="B69" i="3"/>
  <c r="B23" i="2"/>
  <c r="B69" i="2"/>
  <c r="B23" i="1"/>
  <c r="B69" i="1"/>
  <c r="C34" i="7"/>
  <c r="D46" i="6"/>
  <c r="E46" i="6"/>
  <c r="B45" i="7"/>
  <c r="C58" i="7"/>
  <c r="C46" i="6"/>
  <c r="B62" i="6"/>
  <c r="B45" i="6"/>
  <c r="B23" i="6"/>
  <c r="B69" i="6"/>
  <c r="B40" i="6"/>
  <c r="B44" i="6"/>
  <c r="B40" i="7"/>
  <c r="B44" i="7"/>
  <c r="C58" i="6"/>
  <c r="B62" i="7"/>
  <c r="B46" i="7"/>
  <c r="F50" i="6"/>
  <c r="F33" i="8"/>
  <c r="F35" i="8"/>
  <c r="B58" i="7"/>
  <c r="B58" i="6"/>
  <c r="B58" i="1"/>
  <c r="B46" i="6"/>
  <c r="B20" i="1"/>
  <c r="B54" i="1"/>
  <c r="F46" i="7"/>
  <c r="F66" i="7"/>
  <c r="B49" i="1"/>
  <c r="B51" i="1"/>
  <c r="C64" i="1"/>
  <c r="D58" i="4"/>
  <c r="D51" i="4"/>
  <c r="B50" i="4"/>
  <c r="C58" i="4"/>
  <c r="E58" i="4"/>
  <c r="E51" i="4"/>
  <c r="D64" i="4"/>
  <c r="B57" i="4"/>
  <c r="F59" i="4"/>
  <c r="E59" i="3"/>
  <c r="C59" i="3"/>
  <c r="C58" i="3"/>
  <c r="D59" i="3"/>
  <c r="B69" i="7"/>
  <c r="F62" i="7"/>
  <c r="C64" i="3"/>
  <c r="E64" i="3"/>
  <c r="B64" i="3"/>
  <c r="D64" i="3"/>
  <c r="E59" i="2"/>
  <c r="F59" i="2"/>
  <c r="B59" i="2"/>
  <c r="C59" i="2"/>
  <c r="D51" i="7"/>
  <c r="E51" i="6"/>
  <c r="F51" i="2"/>
  <c r="F59" i="8"/>
  <c r="C59" i="7"/>
  <c r="D59" i="2"/>
  <c r="E51" i="7"/>
  <c r="D51" i="6"/>
  <c r="F33" i="6"/>
  <c r="F35" i="6"/>
  <c r="B64" i="2"/>
  <c r="E64" i="2"/>
  <c r="B57" i="7"/>
  <c r="D44" i="8"/>
  <c r="F64" i="2"/>
  <c r="F51" i="6"/>
  <c r="B34" i="7"/>
  <c r="B59" i="7"/>
  <c r="D59" i="7"/>
  <c r="E59" i="7"/>
  <c r="B10" i="6"/>
  <c r="B57" i="6"/>
  <c r="B19" i="8"/>
  <c r="C50" i="8"/>
  <c r="F63" i="6"/>
  <c r="E58" i="1"/>
  <c r="F58" i="1"/>
  <c r="F59" i="1"/>
  <c r="C59" i="6"/>
  <c r="E59" i="1"/>
  <c r="C59" i="1"/>
  <c r="D59" i="6"/>
  <c r="D59" i="1"/>
  <c r="D58" i="1"/>
  <c r="F50" i="7"/>
  <c r="F51" i="7"/>
  <c r="F33" i="7"/>
  <c r="F63" i="7"/>
  <c r="F64" i="7"/>
  <c r="F45" i="8"/>
  <c r="F66" i="8"/>
  <c r="F20" i="8"/>
  <c r="E20" i="8"/>
  <c r="C20" i="8"/>
  <c r="C58" i="8"/>
  <c r="B58" i="8"/>
  <c r="F34" i="7"/>
  <c r="F51" i="1"/>
  <c r="F64" i="6"/>
  <c r="F58" i="8"/>
  <c r="C64" i="7"/>
  <c r="B64" i="1"/>
  <c r="B64" i="6"/>
  <c r="C64" i="6"/>
  <c r="F34" i="6"/>
  <c r="F59" i="6"/>
  <c r="F57" i="7"/>
  <c r="B64" i="7"/>
  <c r="D64" i="7"/>
  <c r="E64" i="7"/>
  <c r="D59" i="8"/>
  <c r="E64" i="1"/>
  <c r="D64" i="6"/>
  <c r="E64" i="6"/>
  <c r="E57" i="8"/>
  <c r="F64" i="1"/>
  <c r="F51" i="4"/>
  <c r="B70" i="4"/>
  <c r="E58" i="8"/>
  <c r="E35" i="8"/>
  <c r="E59" i="8"/>
  <c r="B20" i="8"/>
  <c r="B54" i="8"/>
  <c r="B20" i="4"/>
  <c r="B54" i="4"/>
  <c r="E45" i="8"/>
  <c r="B50" i="8"/>
  <c r="E46" i="4"/>
  <c r="E64" i="4"/>
  <c r="D58" i="8"/>
  <c r="C46" i="8"/>
  <c r="C51" i="4"/>
  <c r="B70" i="8"/>
  <c r="B35" i="8"/>
  <c r="B59" i="8"/>
  <c r="C35" i="8"/>
  <c r="C59" i="8"/>
  <c r="B33" i="4"/>
  <c r="B35" i="4"/>
  <c r="B59" i="4"/>
  <c r="C46" i="4"/>
  <c r="C64" i="4"/>
  <c r="B51" i="4"/>
  <c r="B63" i="8"/>
  <c r="B41" i="4"/>
  <c r="E44" i="8"/>
  <c r="E46" i="8"/>
  <c r="B41" i="8"/>
  <c r="B66" i="8"/>
  <c r="B66" i="4"/>
  <c r="B49" i="8"/>
  <c r="B57" i="8"/>
  <c r="B63" i="4"/>
  <c r="C63" i="8"/>
  <c r="F46" i="8"/>
  <c r="F46" i="4"/>
  <c r="F64" i="4"/>
  <c r="D46" i="8"/>
  <c r="D64" i="8"/>
  <c r="B45" i="4"/>
  <c r="B17" i="8"/>
  <c r="B23" i="8"/>
  <c r="B69" i="8"/>
  <c r="C62" i="8"/>
  <c r="B51" i="8"/>
  <c r="D51" i="8"/>
  <c r="E62" i="8"/>
  <c r="C51" i="8"/>
  <c r="F51" i="8"/>
  <c r="E51" i="8"/>
  <c r="B44" i="8"/>
  <c r="B40" i="8"/>
  <c r="B65" i="4"/>
  <c r="F62" i="8"/>
  <c r="F65" i="8"/>
  <c r="B44" i="4"/>
  <c r="F58" i="4"/>
  <c r="B58" i="4"/>
  <c r="F58" i="6"/>
  <c r="E64" i="8"/>
  <c r="B34" i="6"/>
  <c r="B59" i="6"/>
  <c r="F35" i="7"/>
  <c r="F58" i="7"/>
  <c r="F64" i="8"/>
  <c r="B65" i="8"/>
  <c r="F59" i="7"/>
  <c r="C64" i="8"/>
  <c r="B46" i="4"/>
  <c r="B64" i="4"/>
  <c r="B62" i="8"/>
  <c r="B45" i="8"/>
  <c r="B46" i="8"/>
  <c r="B64" i="8"/>
</calcChain>
</file>

<file path=xl/sharedStrings.xml><?xml version="1.0" encoding="utf-8"?>
<sst xmlns="http://schemas.openxmlformats.org/spreadsheetml/2006/main" count="474" uniqueCount="139">
  <si>
    <t>Indicador</t>
  </si>
  <si>
    <t>Total Programa</t>
  </si>
  <si>
    <t>Productos</t>
  </si>
  <si>
    <t>Red Cuido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</si>
  <si>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</si>
  <si>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</si>
  <si>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</si>
  <si>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</si>
  <si>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</si>
  <si>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</si>
  <si>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</si>
  <si>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</si>
  <si>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</si>
  <si>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</si>
  <si>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</si>
  <si>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</si>
  <si>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</si>
  <si>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</si>
  <si>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</si>
  <si>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</si>
  <si>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</si>
  <si>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</si>
  <si>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De composición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</si>
  <si>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</si>
  <si>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</si>
  <si>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</si>
  <si>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</si>
  <si>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</si>
  <si>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</si>
  <si>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</si>
  <si>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</si>
  <si>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</si>
  <si>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</si>
  <si>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Total</t>
  </si>
  <si>
    <t>programa</t>
  </si>
  <si>
    <t xml:space="preserve">Fuentes: </t>
  </si>
  <si>
    <t>Notas:</t>
  </si>
  <si>
    <t>La mayoría de los beneficiarios son los mismos todos los meses, por ello se utiliza el promedio de personas atendidas en el período.</t>
  </si>
  <si>
    <t xml:space="preserve">Beneficiarios </t>
  </si>
  <si>
    <t>Total programa</t>
  </si>
  <si>
    <t>Hogares</t>
  </si>
  <si>
    <t>Centros Diurnos</t>
  </si>
  <si>
    <t>Primer Trimestre</t>
  </si>
  <si>
    <t>Segundo Trimestre</t>
  </si>
  <si>
    <t>Tercer Trimestre</t>
  </si>
  <si>
    <t>Cuarto Trimestre</t>
  </si>
  <si>
    <t xml:space="preserve">Gasto mensual programado por beneficiario (GPB) </t>
  </si>
  <si>
    <t xml:space="preserve">Gasto mensual efectivo por beneficiario (GEB) </t>
  </si>
  <si>
    <t xml:space="preserve">Gasto trimestral programado por beneficiario (GPB) </t>
  </si>
  <si>
    <t xml:space="preserve">Gasto trimestral efectivo por beneficiario (GEB) </t>
  </si>
  <si>
    <t xml:space="preserve">Gasto anual programado por beneficiario (GPB) </t>
  </si>
  <si>
    <t xml:space="preserve">Gasto anual efectivo por beneficiario (GEB) </t>
  </si>
  <si>
    <t>Personas en 
abandono</t>
  </si>
  <si>
    <t>Efectivos 1T 2016</t>
  </si>
  <si>
    <t>IPC (1T 2016)</t>
  </si>
  <si>
    <t>Gasto efectivo real 1T 2016</t>
  </si>
  <si>
    <t>Gasto efectivo real por beneficiario 1T 2016</t>
  </si>
  <si>
    <t>Efectivos 2T 2016</t>
  </si>
  <si>
    <t>IPC (2T 2016)</t>
  </si>
  <si>
    <t>Gasto efectivo real 2T 2016</t>
  </si>
  <si>
    <t>Gasto efectivo real por beneficiario 2T 2016</t>
  </si>
  <si>
    <t>Efectivos 3T 2016</t>
  </si>
  <si>
    <t>IPC (3T 2016)</t>
  </si>
  <si>
    <t>Gasto efectivo real 3T 2016</t>
  </si>
  <si>
    <t>Gasto efectivo real por beneficiario 3T 2016</t>
  </si>
  <si>
    <t>Efectivos 4T 2016</t>
  </si>
  <si>
    <t>IPC (4T 2016)</t>
  </si>
  <si>
    <t>Gasto efectivo real 4T 2016</t>
  </si>
  <si>
    <t>Gasto efectivo real por beneficiario 4T 2016</t>
  </si>
  <si>
    <t>Población Objetivo estimada a partir de la ENAHO 2016</t>
  </si>
  <si>
    <t>Efectivos 1S 2016</t>
  </si>
  <si>
    <t>IPC (1S 2016)</t>
  </si>
  <si>
    <t>Gasto efectivo real 1S 2016</t>
  </si>
  <si>
    <t>Gasto efectivo real por beneficiario 1S 2016</t>
  </si>
  <si>
    <t>Efectivos 3TA 2016</t>
  </si>
  <si>
    <t>IPC (3TA 2016)</t>
  </si>
  <si>
    <t>Gasto efectivo real 3TA 2016</t>
  </si>
  <si>
    <t>Gasto efectivo real por beneficiario 3TA 2016</t>
  </si>
  <si>
    <t>Efectivos  2016</t>
  </si>
  <si>
    <t>IPC ( 2016)</t>
  </si>
  <si>
    <t>Gasto efectivo real  2016</t>
  </si>
  <si>
    <t>Gasto efectivo real por beneficiario  2016</t>
  </si>
  <si>
    <t>Indicadores aplicados a CONAPAM Primer Trimestre 2017</t>
  </si>
  <si>
    <t>Programados 1T 2017</t>
  </si>
  <si>
    <t>Efectivos 1T 2017</t>
  </si>
  <si>
    <t>Programados año 2017</t>
  </si>
  <si>
    <t>En transferencias 1T 2017</t>
  </si>
  <si>
    <t>IPC (1T 2017)</t>
  </si>
  <si>
    <t>Gasto efectivo real 1T 2017</t>
  </si>
  <si>
    <t>Gasto efectivo real por beneficiario 1T 2017</t>
  </si>
  <si>
    <t>Informes trimestrales 2016 y 2017, CONAPAM</t>
  </si>
  <si>
    <t>Metas y modificaciones 2017, DESAF.</t>
  </si>
  <si>
    <t>Población objetivo: adultos mayores pobres que viven solos de acuerdo a la ENAHO 2016</t>
  </si>
  <si>
    <t>Indicadores aplicados a CONAPAM Segundo Trimestre 2017</t>
  </si>
  <si>
    <t>Programados 2T 2017</t>
  </si>
  <si>
    <t>Efectivos 2T 2017</t>
  </si>
  <si>
    <t>En transferencias 2T 2017</t>
  </si>
  <si>
    <t>IPC (2T 2017)</t>
  </si>
  <si>
    <t>Gasto efectivo real 2T 2017</t>
  </si>
  <si>
    <t>Gasto efectivo real por beneficiario 2T 2017</t>
  </si>
  <si>
    <t>Indicadores aplicados a CONAPAM Tercer trimestre 2017</t>
  </si>
  <si>
    <t>Programados 3T 2017</t>
  </si>
  <si>
    <t>Efectivos 3T 2017</t>
  </si>
  <si>
    <t>En transferencias 3T 2017</t>
  </si>
  <si>
    <t>IPC (3T 2017)</t>
  </si>
  <si>
    <t>Gasto efectivo real 3T 2017</t>
  </si>
  <si>
    <t>Gasto efectivo real por beneficiario 3T 2017</t>
  </si>
  <si>
    <t>5Indicadores aplicados a CONAPAM Cuarto trimestre 2017</t>
  </si>
  <si>
    <t>Programados 4T 2017</t>
  </si>
  <si>
    <t>Efectivos 4T 2017</t>
  </si>
  <si>
    <t>En transferencias 4T 2017</t>
  </si>
  <si>
    <t>IPC (4T 2017)</t>
  </si>
  <si>
    <t>Gasto efectivo real 4T 2017</t>
  </si>
  <si>
    <t>Gasto efectivo real por beneficiario 4T 2017</t>
  </si>
  <si>
    <t>Población Objetivo estimada a partir de la ENAHO 2017</t>
  </si>
  <si>
    <t>Indicadores aplicados a CONAPAM  Primer Semestre 2017</t>
  </si>
  <si>
    <t>Programados 1S 2017</t>
  </si>
  <si>
    <t>Efectivos 1S 2017</t>
  </si>
  <si>
    <t>En transferencias 1S 2017</t>
  </si>
  <si>
    <t>IPC (1S 2017)</t>
  </si>
  <si>
    <t>Gasto efectivo real 1S 2017</t>
  </si>
  <si>
    <t>Gasto efectivo real por beneficiario 1S 2017</t>
  </si>
  <si>
    <t>Indicadores aplicados a CONAPAM  Tercer Trimestre Acumulado 2017</t>
  </si>
  <si>
    <t>Programados 3TA 2017</t>
  </si>
  <si>
    <t>Efectivos 3TA 2017</t>
  </si>
  <si>
    <t>En transferencias 3TA 2017</t>
  </si>
  <si>
    <t>IPC (3TA 2017)</t>
  </si>
  <si>
    <t>Gasto efectivo real 3TA 2017</t>
  </si>
  <si>
    <t>Gasto efectivo real por beneficiario 3TA 2017</t>
  </si>
  <si>
    <t>Indicadores aplicados a CONAPAM 2017</t>
  </si>
  <si>
    <t>Programados  2017</t>
  </si>
  <si>
    <t>Efectivos  2017</t>
  </si>
  <si>
    <t>En transferencias  2017</t>
  </si>
  <si>
    <t>IPC ( 2017)</t>
  </si>
  <si>
    <t>Gasto efectivo real  2017</t>
  </si>
  <si>
    <t>Gasto efectivo real por beneficiario  2017</t>
  </si>
  <si>
    <t>Fecha de actualización: 08/05/2017</t>
  </si>
  <si>
    <t>Fecha de actualización: 27/04/2018</t>
  </si>
  <si>
    <t>Fecha de actualización:  27/04/2018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</si>
</sst>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#,##0.0____"/>
    <numFmt numFmtId="166" formatCode="#,##0.0"/>
    <numFmt numFmtId="167" formatCode="#,##0____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3" xfId="0" applyBorder="1" applyAlignment="1">
      <alignment horizontal="center"/>
    </xf>
    <xf numFmtId="0" fontId="3" fillId="0" borderId="0" xfId="0" applyFont="1"/>
    <xf numFmtId="3" fontId="0" fillId="0" borderId="0" xfId="0" applyNumberFormat="1"/>
    <xf numFmtId="0" fontId="0" fillId="0" borderId="0" xfId="0" applyFill="1" applyAlignment="1">
      <alignment horizontal="left" indent="1"/>
    </xf>
    <xf numFmtId="3" fontId="0" fillId="0" borderId="0" xfId="0" applyNumberFormat="1" applyFill="1"/>
    <xf numFmtId="0" fontId="0" fillId="0" borderId="0" xfId="0" applyAlignment="1">
      <alignment horizontal="left" indent="1"/>
    </xf>
    <xf numFmtId="0" fontId="0" fillId="0" borderId="0" xfId="0" applyFill="1"/>
    <xf numFmtId="0" fontId="0" fillId="0" borderId="0" xfId="0" applyAlignment="1">
      <alignment horizontal="left"/>
    </xf>
    <xf numFmtId="164" fontId="0" fillId="0" borderId="0" xfId="1" applyNumberFormat="1" applyFont="1" applyFill="1"/>
    <xf numFmtId="0" fontId="0" fillId="0" borderId="0" xfId="0" applyFill="1" applyAlignment="1">
      <alignment horizontal="left"/>
    </xf>
    <xf numFmtId="0" fontId="2" fillId="0" borderId="0" xfId="0" applyFont="1"/>
    <xf numFmtId="0" fontId="3" fillId="0" borderId="0" xfId="0" applyFont="1" applyFill="1"/>
    <xf numFmtId="165" fontId="0" fillId="0" borderId="0" xfId="0" applyNumberFormat="1" applyFill="1"/>
    <xf numFmtId="0" fontId="0" fillId="0" borderId="3" xfId="0" applyFill="1" applyBorder="1"/>
    <xf numFmtId="166" fontId="0" fillId="0" borderId="0" xfId="0" applyNumberFormat="1"/>
    <xf numFmtId="3" fontId="0" fillId="2" borderId="0" xfId="0" applyNumberFormat="1" applyFill="1"/>
    <xf numFmtId="2" fontId="0" fillId="0" borderId="0" xfId="0" applyNumberFormat="1" applyFill="1"/>
    <xf numFmtId="0" fontId="0" fillId="0" borderId="1" xfId="0" applyBorder="1" applyAlignment="1">
      <alignment horizontal="center"/>
    </xf>
    <xf numFmtId="43" fontId="0" fillId="0" borderId="0" xfId="1" applyFont="1"/>
    <xf numFmtId="43" fontId="0" fillId="0" borderId="0" xfId="0" applyNumberFormat="1"/>
    <xf numFmtId="0" fontId="0" fillId="0" borderId="3" xfId="0" applyBorder="1"/>
    <xf numFmtId="43" fontId="2" fillId="0" borderId="0" xfId="1" applyFont="1"/>
    <xf numFmtId="3" fontId="0" fillId="0" borderId="0" xfId="0" applyNumberFormat="1" applyFill="1" applyAlignment="1"/>
    <xf numFmtId="164" fontId="0" fillId="0" borderId="0" xfId="1" applyNumberFormat="1" applyFont="1"/>
    <xf numFmtId="167" fontId="0" fillId="0" borderId="0" xfId="0" applyNumberFormat="1" applyFill="1"/>
    <xf numFmtId="3" fontId="5" fillId="0" borderId="0" xfId="0" applyNumberFormat="1" applyFont="1"/>
    <xf numFmtId="3" fontId="5" fillId="0" borderId="0" xfId="0" applyNumberFormat="1" applyFont="1" applyFill="1"/>
    <xf numFmtId="165" fontId="5" fillId="0" borderId="0" xfId="0" applyNumberFormat="1" applyFont="1" applyFill="1"/>
    <xf numFmtId="0" fontId="5" fillId="0" borderId="0" xfId="0" applyFont="1"/>
    <xf numFmtId="0" fontId="6" fillId="0" borderId="0" xfId="0" applyFont="1"/>
    <xf numFmtId="2" fontId="5" fillId="0" borderId="0" xfId="0" applyNumberFormat="1" applyFont="1" applyFill="1"/>
    <xf numFmtId="43" fontId="5" fillId="0" borderId="0" xfId="1" applyFont="1" applyFill="1"/>
    <xf numFmtId="164" fontId="1" fillId="0" borderId="0" xfId="1" applyNumberFormat="1" applyFont="1" applyFill="1"/>
    <xf numFmtId="3" fontId="0" fillId="0" borderId="0" xfId="0" applyNumberFormat="1" applyFont="1" applyFill="1"/>
    <xf numFmtId="2" fontId="0" fillId="0" borderId="0" xfId="0" applyNumberFormat="1" applyFont="1" applyFill="1"/>
    <xf numFmtId="43" fontId="0" fillId="0" borderId="0" xfId="1" applyFont="1" applyFill="1"/>
    <xf numFmtId="0" fontId="0" fillId="0" borderId="3" xfId="0" applyBorder="1" applyAlignment="1">
      <alignment horizontal="center" wrapText="1"/>
    </xf>
    <xf numFmtId="0" fontId="7" fillId="0" borderId="0" xfId="0" applyFont="1"/>
    <xf numFmtId="164" fontId="0" fillId="0" borderId="0" xfId="0" applyNumberFormat="1"/>
    <xf numFmtId="0" fontId="0" fillId="0" borderId="0" xfId="0" applyNumberFormat="1" applyFill="1"/>
    <xf numFmtId="43" fontId="5" fillId="0" borderId="0" xfId="1" applyNumberFormat="1" applyFont="1" applyFill="1"/>
    <xf numFmtId="2" fontId="0" fillId="0" borderId="0" xfId="0" applyNumberFormat="1" applyFill="1" applyAlignment="1">
      <alignment horizontal="right"/>
    </xf>
    <xf numFmtId="43" fontId="5" fillId="0" borderId="0" xfId="1" applyFont="1" applyFill="1" applyAlignment="1">
      <alignment horizontal="right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3" fontId="0" fillId="0" borderId="0" xfId="0" applyNumberForma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Cobertura Potencial.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Trimestre'!$B$40</c:f>
              <c:numCache>
                <c:formatCode>#,##0.0____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F-4569-9C66-8332F2DBA237}"/>
            </c:ext>
          </c:extLst>
        </c:ser>
        <c:ser>
          <c:idx val="1"/>
          <c:order val="1"/>
          <c:tx>
            <c:strRef>
              <c:f>'I Trimestre'!$A$41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Trimestre'!$B$41</c:f>
              <c:numCache>
                <c:formatCode>#,##0.0____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F-4569-9C66-8332F2DB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7121920"/>
        <c:axId val="67123456"/>
      </c:barChart>
      <c:catAx>
        <c:axId val="6712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7123456"/>
        <c:crosses val="autoZero"/>
        <c:auto val="1"/>
        <c:lblAlgn val="ctr"/>
        <c:lblOffset val="100"/>
        <c:noMultiLvlLbl val="0"/>
      </c:catAx>
      <c:valAx>
        <c:axId val="6712345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n-US"/>
          </a:p>
        </c:txPr>
        <c:crossAx val="67121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resultado 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Anual!$B$44:$F$44</c:f>
              <c:numCache>
                <c:formatCode>#,##0.0____</c:formatCode>
                <c:ptCount val="5"/>
                <c:pt idx="0">
                  <c:v>89.411907321906696</c:v>
                </c:pt>
                <c:pt idx="1">
                  <c:v>95.624426078971524</c:v>
                </c:pt>
                <c:pt idx="2">
                  <c:v>87.999474237644591</c:v>
                </c:pt>
                <c:pt idx="3">
                  <c:v>90.928435666473845</c:v>
                </c:pt>
                <c:pt idx="4">
                  <c:v>45.015948963317385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A-4FF6-AF97-D6BDE1121E13}"/>
            </c:ext>
          </c:extLst>
        </c:ser>
        <c:ser>
          <c:idx val="0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Anual!$B$45:$F$45</c:f>
              <c:numCache>
                <c:formatCode>#,##0.0____</c:formatCode>
                <c:ptCount val="5"/>
                <c:pt idx="0">
                  <c:v>97.374679480219399</c:v>
                </c:pt>
                <c:pt idx="1">
                  <c:v>91.955922943182472</c:v>
                </c:pt>
                <c:pt idx="2">
                  <c:v>87.986330178759204</c:v>
                </c:pt>
                <c:pt idx="3">
                  <c:v>95.970469909366471</c:v>
                </c:pt>
                <c:pt idx="4">
                  <c:v>118.2210866927734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5A-4FF6-AF97-D6BDE1121E13}"/>
            </c:ext>
          </c:extLst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Anual!$B$46:$F$46</c:f>
              <c:numCache>
                <c:formatCode>#,##0.0____</c:formatCode>
                <c:ptCount val="5"/>
                <c:pt idx="0">
                  <c:v>93.393293401063048</c:v>
                </c:pt>
                <c:pt idx="1">
                  <c:v>93.790174511076998</c:v>
                </c:pt>
                <c:pt idx="2">
                  <c:v>87.992902208201897</c:v>
                </c:pt>
                <c:pt idx="3">
                  <c:v>93.449452787920166</c:v>
                </c:pt>
                <c:pt idx="4">
                  <c:v>81.618517828045384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5A-4FF6-AF97-D6BDE1121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711360"/>
        <c:axId val="69712896"/>
      </c:barChart>
      <c:catAx>
        <c:axId val="69711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9712896"/>
        <c:crosses val="autoZero"/>
        <c:auto val="1"/>
        <c:lblAlgn val="ctr"/>
        <c:lblOffset val="100"/>
        <c:noMultiLvlLbl val="0"/>
      </c:catAx>
      <c:valAx>
        <c:axId val="6971289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971136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/>
              <a:t>CONAPAM: Indicadores de avance 2017</a:t>
            </a:r>
          </a:p>
        </c:rich>
      </c:tx>
      <c:layout>
        <c:manualLayout>
          <c:xMode val="edge"/>
          <c:yMode val="edge"/>
          <c:x val="0.14209033245844327"/>
          <c:y val="1.38888888888889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Anual!$B$49:$F$49</c:f>
              <c:numCache>
                <c:formatCode>#,##0.0____</c:formatCode>
                <c:ptCount val="5"/>
                <c:pt idx="0">
                  <c:v>90.883424408014577</c:v>
                </c:pt>
                <c:pt idx="1">
                  <c:v>95.624426078971524</c:v>
                </c:pt>
                <c:pt idx="2">
                  <c:v>87.999474237644591</c:v>
                </c:pt>
                <c:pt idx="3">
                  <c:v>90.928435666473845</c:v>
                </c:pt>
                <c:pt idx="4">
                  <c:v>76.078167115902957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E-4519-8C2E-13788E9997FA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Anual!$B$50:$F$50</c:f>
              <c:numCache>
                <c:formatCode>#,##0.0____</c:formatCode>
                <c:ptCount val="5"/>
                <c:pt idx="0">
                  <c:v>94.472359210049305</c:v>
                </c:pt>
                <c:pt idx="1">
                  <c:v>91.955922943182472</c:v>
                </c:pt>
                <c:pt idx="2">
                  <c:v>87.986330178759204</c:v>
                </c:pt>
                <c:pt idx="3">
                  <c:v>95.970469909366471</c:v>
                </c:pt>
                <c:pt idx="4">
                  <c:v>96.56047603240377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E-4519-8C2E-13788E9997FA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Anual!$B$51:$F$51</c:f>
              <c:numCache>
                <c:formatCode>#,##0.0____</c:formatCode>
                <c:ptCount val="5"/>
                <c:pt idx="0">
                  <c:v>92.677891809031934</c:v>
                </c:pt>
                <c:pt idx="1">
                  <c:v>93.790174511076998</c:v>
                </c:pt>
                <c:pt idx="2">
                  <c:v>87.992902208201897</c:v>
                </c:pt>
                <c:pt idx="3">
                  <c:v>93.449452787920166</c:v>
                </c:pt>
                <c:pt idx="4">
                  <c:v>86.319321574153363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BE-4519-8C2E-13788E999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767552"/>
        <c:axId val="69769088"/>
      </c:barChart>
      <c:catAx>
        <c:axId val="69767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9769088"/>
        <c:crosses val="autoZero"/>
        <c:auto val="1"/>
        <c:lblAlgn val="ctr"/>
        <c:lblOffset val="100"/>
        <c:noMultiLvlLbl val="0"/>
      </c:catAx>
      <c:valAx>
        <c:axId val="6976908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97675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expansión 2017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870120032618922E-2"/>
          <c:y val="0.17104698802893592"/>
          <c:w val="0.56328718287348101"/>
          <c:h val="0.763495614877411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Anual!$B$57:$F$57</c:f>
              <c:numCache>
                <c:formatCode>#,##0.0____</c:formatCode>
                <c:ptCount val="5"/>
                <c:pt idx="0">
                  <c:v>16.126227881028179</c:v>
                </c:pt>
                <c:pt idx="1">
                  <c:v>1.4961013645224064</c:v>
                </c:pt>
                <c:pt idx="2">
                  <c:v>-2.4408014571948855</c:v>
                </c:pt>
                <c:pt idx="3">
                  <c:v>18.060622317596575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2-4CA7-9BAF-00A17EBD3470}"/>
            </c:ext>
          </c:extLst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Anual!$B$58:$F$58</c:f>
              <c:numCache>
                <c:formatCode>#,##0.0____</c:formatCode>
                <c:ptCount val="5"/>
                <c:pt idx="0">
                  <c:v>8.6997188156406668</c:v>
                </c:pt>
                <c:pt idx="1">
                  <c:v>11.831868829993098</c:v>
                </c:pt>
                <c:pt idx="2">
                  <c:v>5.6183670501666283</c:v>
                </c:pt>
                <c:pt idx="3">
                  <c:v>-5.7374088613948331</c:v>
                </c:pt>
                <c:pt idx="4">
                  <c:v>96.833380499999961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2-4CA7-9BAF-00A17EBD3470}"/>
            </c:ext>
          </c:extLst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Anual!$B$59:$F$59</c:f>
              <c:numCache>
                <c:formatCode>#,##0.0____</c:formatCode>
                <c:ptCount val="5"/>
                <c:pt idx="0">
                  <c:v>-6.3952039094871793</c:v>
                </c:pt>
                <c:pt idx="1">
                  <c:v>10.183413280427267</c:v>
                </c:pt>
                <c:pt idx="2">
                  <c:v>8.2607981899579297</c:v>
                </c:pt>
                <c:pt idx="3">
                  <c:v>-20.157467165446562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72-4CA7-9BAF-00A17EBD3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794816"/>
        <c:axId val="69796608"/>
      </c:barChart>
      <c:catAx>
        <c:axId val="6979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9796608"/>
        <c:crosses val="autoZero"/>
        <c:auto val="1"/>
        <c:lblAlgn val="ctr"/>
        <c:lblOffset val="100"/>
        <c:noMultiLvlLbl val="0"/>
      </c:catAx>
      <c:valAx>
        <c:axId val="6979660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97948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gasto medio</a:t>
            </a:r>
            <a:r>
              <a:rPr lang="es-CR" sz="1400" baseline="0"/>
              <a:t> anual</a:t>
            </a:r>
            <a:r>
              <a:rPr lang="es-CR" sz="1400"/>
              <a:t> por beneficiario</a:t>
            </a:r>
            <a:r>
              <a:rPr lang="es-CR" sz="1400" baseline="0"/>
              <a:t> 2017</a:t>
            </a:r>
            <a:endParaRPr lang="es-CR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Anual!$B$65:$F$65</c:f>
              <c:numCache>
                <c:formatCode>#,##0____</c:formatCode>
                <c:ptCount val="5"/>
                <c:pt idx="0">
                  <c:v>922691.32094048441</c:v>
                </c:pt>
                <c:pt idx="1">
                  <c:v>2114520</c:v>
                </c:pt>
                <c:pt idx="2">
                  <c:v>845808</c:v>
                </c:pt>
                <c:pt idx="3">
                  <c:v>634689.87119990087</c:v>
                </c:pt>
                <c:pt idx="4">
                  <c:v>3186526.3157894737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0-4836-B9D3-0FD92D20B775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Anual!$B$66:$F$66</c:f>
              <c:numCache>
                <c:formatCode>#,##0____</c:formatCode>
                <c:ptCount val="5"/>
                <c:pt idx="0">
                  <c:v>1004863.6062788325</c:v>
                </c:pt>
                <c:pt idx="1">
                  <c:v>2033399.2699860758</c:v>
                </c:pt>
                <c:pt idx="2">
                  <c:v>845681.66572068701</c:v>
                </c:pt>
                <c:pt idx="3">
                  <c:v>669883.79090995842</c:v>
                </c:pt>
                <c:pt idx="4">
                  <c:v>8368469.6758193094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0-4836-B9D3-0FD92D20B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854336"/>
        <c:axId val="69855872"/>
      </c:barChart>
      <c:catAx>
        <c:axId val="698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9855872"/>
        <c:crosses val="autoZero"/>
        <c:auto val="1"/>
        <c:lblAlgn val="ctr"/>
        <c:lblOffset val="100"/>
        <c:noMultiLvlLbl val="0"/>
      </c:catAx>
      <c:valAx>
        <c:axId val="69855872"/>
        <c:scaling>
          <c:orientation val="minMax"/>
        </c:scaling>
        <c:delete val="0"/>
        <c:axPos val="l"/>
        <c:majorGridlines/>
        <c:numFmt formatCode="#,##0____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985433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giro</a:t>
            </a:r>
            <a:r>
              <a:rPr lang="es-CR" sz="1400" baseline="0"/>
              <a:t> de recursos 2017</a:t>
            </a:r>
            <a:endParaRPr lang="es-CR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Anual!$B$69</c:f>
              <c:numCache>
                <c:formatCode>#,##0.0____</c:formatCode>
                <c:ptCount val="1"/>
                <c:pt idx="0">
                  <c:v>102.34507244005322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8-41C4-844D-31FD39DE5774}"/>
            </c:ext>
          </c:extLst>
        </c:ser>
        <c:ser>
          <c:idx val="2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Anual!$B$70</c:f>
              <c:numCache>
                <c:formatCode>#,##0.0____</c:formatCode>
                <c:ptCount val="1"/>
                <c:pt idx="0">
                  <c:v>95.143495586712163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28-41C4-844D-31FD39DE57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974272"/>
        <c:axId val="69988352"/>
      </c:barChart>
      <c:catAx>
        <c:axId val="69974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9988352"/>
        <c:crosses val="autoZero"/>
        <c:auto val="1"/>
        <c:lblAlgn val="ctr"/>
        <c:lblOffset val="100"/>
        <c:noMultiLvlLbl val="0"/>
      </c:catAx>
      <c:valAx>
        <c:axId val="69988352"/>
        <c:scaling>
          <c:orientation val="minMax"/>
          <c:min val="0"/>
        </c:scaling>
        <c:delete val="1"/>
        <c:axPos val="l"/>
        <c:numFmt formatCode="#,##0" sourceLinked="0"/>
        <c:majorTickMark val="none"/>
        <c:minorTickMark val="none"/>
        <c:tickLblPos val="none"/>
        <c:crossAx val="699742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/>
              <a:t>CONAPAM: Indicadores de gasto medio</a:t>
            </a:r>
            <a:r>
              <a:rPr lang="es-CR" baseline="0"/>
              <a:t> mensual por beneficiario </a:t>
            </a:r>
            <a:r>
              <a:rPr lang="es-CR"/>
              <a:t>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Anual!$B$62:$F$62</c:f>
              <c:numCache>
                <c:formatCode>#,##0</c:formatCode>
                <c:ptCount val="5"/>
                <c:pt idx="0">
                  <c:v>76890.943411707034</c:v>
                </c:pt>
                <c:pt idx="1">
                  <c:v>176210</c:v>
                </c:pt>
                <c:pt idx="2">
                  <c:v>70484</c:v>
                </c:pt>
                <c:pt idx="3">
                  <c:v>52890.822599991741</c:v>
                </c:pt>
                <c:pt idx="4">
                  <c:v>265543.85964912281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0-448B-9B7D-07D747A40119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Anual!$B$63:$F$63</c:f>
              <c:numCache>
                <c:formatCode>#,##0</c:formatCode>
                <c:ptCount val="5"/>
                <c:pt idx="0">
                  <c:v>83738.633856569388</c:v>
                </c:pt>
                <c:pt idx="1">
                  <c:v>169449.93916550631</c:v>
                </c:pt>
                <c:pt idx="2">
                  <c:v>70473.47214339058</c:v>
                </c:pt>
                <c:pt idx="3">
                  <c:v>55823.649242496533</c:v>
                </c:pt>
                <c:pt idx="4">
                  <c:v>697372.47298494237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90-448B-9B7D-07D747A4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013312"/>
        <c:axId val="70014848"/>
      </c:barChart>
      <c:catAx>
        <c:axId val="70013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70014848"/>
        <c:crosses val="autoZero"/>
        <c:auto val="1"/>
        <c:lblAlgn val="ctr"/>
        <c:lblOffset val="100"/>
        <c:noMultiLvlLbl val="0"/>
      </c:catAx>
      <c:valAx>
        <c:axId val="700148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7001331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CONAPAM: Índice transferencia efectiva del gasto (ITG) 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Anual!$B$54</c:f>
              <c:numCache>
                <c:formatCode>#,##0.0____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4-4E6F-B9D1-A92EEEBAE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0126208"/>
        <c:axId val="70136192"/>
      </c:barChart>
      <c:catAx>
        <c:axId val="701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36192"/>
        <c:crosses val="autoZero"/>
        <c:auto val="1"/>
        <c:lblAlgn val="ctr"/>
        <c:lblOffset val="100"/>
        <c:noMultiLvlLbl val="0"/>
      </c:catAx>
      <c:valAx>
        <c:axId val="7013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2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CONAPAM: Indicador de gasto medio-Índice de eficiencia (IE) 2017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Anual!$B$64:$F$64</c:f>
              <c:numCache>
                <c:formatCode>#,##0.0____</c:formatCode>
                <c:ptCount val="5"/>
                <c:pt idx="0">
                  <c:v>101.71063656867614</c:v>
                </c:pt>
                <c:pt idx="1">
                  <c:v>90.192039981977288</c:v>
                </c:pt>
                <c:pt idx="2">
                  <c:v>87.979759130948977</c:v>
                </c:pt>
                <c:pt idx="3">
                  <c:v>98.63127888536394</c:v>
                </c:pt>
                <c:pt idx="4">
                  <c:v>214.34691690600212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6-4FB4-8EC2-3E09BA51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0147456"/>
        <c:axId val="70169728"/>
      </c:barChart>
      <c:catAx>
        <c:axId val="7014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69728"/>
        <c:crosses val="autoZero"/>
        <c:auto val="1"/>
        <c:lblAlgn val="ctr"/>
        <c:lblOffset val="100"/>
        <c:noMultiLvlLbl val="0"/>
      </c:catAx>
      <c:valAx>
        <c:axId val="7016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4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Resultado.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'I Trimestre'!$B$44:$E$44</c:f>
              <c:numCache>
                <c:formatCode>#,##0.0____</c:formatCode>
                <c:ptCount val="4"/>
                <c:pt idx="0">
                  <c:v>94.855611657365586</c:v>
                </c:pt>
                <c:pt idx="1">
                  <c:v>90.982552800734624</c:v>
                </c:pt>
                <c:pt idx="2">
                  <c:v>89.239280774550494</c:v>
                </c:pt>
                <c:pt idx="3">
                  <c:v>95.391318920730683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2-4DAA-A330-13E91251026F}"/>
            </c:ext>
          </c:extLst>
        </c:ser>
        <c:ser>
          <c:idx val="1"/>
          <c:order val="1"/>
          <c:tx>
            <c:strRef>
              <c:f>'I Trimestre'!$A$45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'I Trimestre'!$B$45:$E$45</c:f>
              <c:numCache>
                <c:formatCode>#,##0.0____</c:formatCode>
                <c:ptCount val="4"/>
                <c:pt idx="0">
                  <c:v>96.469235943466714</c:v>
                </c:pt>
                <c:pt idx="1">
                  <c:v>91.000918377870462</c:v>
                </c:pt>
                <c:pt idx="2">
                  <c:v>89.239280774550494</c:v>
                </c:pt>
                <c:pt idx="3">
                  <c:v>95.397319807552648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2-4DAA-A330-13E91251026F}"/>
            </c:ext>
          </c:extLst>
        </c:ser>
        <c:ser>
          <c:idx val="2"/>
          <c:order val="2"/>
          <c:tx>
            <c:strRef>
              <c:f>'I Trimestre'!$A$46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'I Trimestre'!$B$46:$E$46</c:f>
              <c:numCache>
                <c:formatCode>#,##0.0____</c:formatCode>
                <c:ptCount val="4"/>
                <c:pt idx="0">
                  <c:v>95.66242380041615</c:v>
                </c:pt>
                <c:pt idx="1">
                  <c:v>90.99173558930255</c:v>
                </c:pt>
                <c:pt idx="2">
                  <c:v>89.239280774550494</c:v>
                </c:pt>
                <c:pt idx="3">
                  <c:v>95.394319364141666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2-4DAA-A330-13E91251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45088"/>
        <c:axId val="67155072"/>
      </c:barChart>
      <c:catAx>
        <c:axId val="67145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7155072"/>
        <c:crosses val="autoZero"/>
        <c:auto val="1"/>
        <c:lblAlgn val="ctr"/>
        <c:lblOffset val="100"/>
        <c:noMultiLvlLbl val="0"/>
      </c:catAx>
      <c:valAx>
        <c:axId val="671550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71450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Avance.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Trimestre'!$B$49:$E$49</c:f>
              <c:numCache>
                <c:formatCode>#,##0.0____</c:formatCode>
                <c:ptCount val="4"/>
                <c:pt idx="0">
                  <c:v>94.855611657365586</c:v>
                </c:pt>
                <c:pt idx="1">
                  <c:v>90.982552800734624</c:v>
                </c:pt>
                <c:pt idx="2">
                  <c:v>89.239280774550494</c:v>
                </c:pt>
                <c:pt idx="3">
                  <c:v>95.391318920730683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D-49D9-A989-C32CBE448BB4}"/>
            </c:ext>
          </c:extLst>
        </c:ser>
        <c:ser>
          <c:idx val="1"/>
          <c:order val="1"/>
          <c:tx>
            <c:strRef>
              <c:f>'I Trimestre'!$A$50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Trimestre'!$B$50:$E$50</c:f>
              <c:numCache>
                <c:formatCode>#,##0.0____</c:formatCode>
                <c:ptCount val="4"/>
                <c:pt idx="0">
                  <c:v>24.117308985866678</c:v>
                </c:pt>
                <c:pt idx="1">
                  <c:v>22.750229594467616</c:v>
                </c:pt>
                <c:pt idx="2">
                  <c:v>22.309820193637623</c:v>
                </c:pt>
                <c:pt idx="3">
                  <c:v>23.849329951888162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7D-49D9-A989-C32CBE448BB4}"/>
            </c:ext>
          </c:extLst>
        </c:ser>
        <c:ser>
          <c:idx val="2"/>
          <c:order val="2"/>
          <c:tx>
            <c:strRef>
              <c:f>'I Trimestre'!$A$51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Trimestre'!$B$51:$E$51</c:f>
              <c:numCache>
                <c:formatCode>#,##0.0____</c:formatCode>
                <c:ptCount val="4"/>
                <c:pt idx="0">
                  <c:v>59.486460321616136</c:v>
                </c:pt>
                <c:pt idx="1">
                  <c:v>56.866391197601118</c:v>
                </c:pt>
                <c:pt idx="2">
                  <c:v>55.774550484094057</c:v>
                </c:pt>
                <c:pt idx="3">
                  <c:v>59.620324436309424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7D-49D9-A989-C32CBE448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72608"/>
        <c:axId val="67174400"/>
      </c:barChart>
      <c:catAx>
        <c:axId val="67172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7174400"/>
        <c:crosses val="autoZero"/>
        <c:auto val="1"/>
        <c:lblAlgn val="ctr"/>
        <c:lblOffset val="100"/>
        <c:noMultiLvlLbl val="0"/>
      </c:catAx>
      <c:valAx>
        <c:axId val="6717440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7172608"/>
        <c:crosses val="autoZero"/>
        <c:crossBetween val="between"/>
        <c:majorUnit val="25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Expansión.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Trimestre'!$B$57:$E$57</c:f>
              <c:numCache>
                <c:formatCode>#,##0.0____</c:formatCode>
                <c:ptCount val="4"/>
                <c:pt idx="0">
                  <c:v>197.3275024295433</c:v>
                </c:pt>
                <c:pt idx="1">
                  <c:v>3.5318704284221569</c:v>
                </c:pt>
                <c:pt idx="2">
                  <c:v>-2.0643594414086031</c:v>
                </c:pt>
                <c:pt idx="3">
                  <c:v>445.47196933397225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B-4200-9F79-32B78E51CEE8}"/>
            </c:ext>
          </c:extLst>
        </c:ser>
        <c:ser>
          <c:idx val="1"/>
          <c:order val="1"/>
          <c:tx>
            <c:strRef>
              <c:f>'I Trimestre'!$A$58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Trimestre'!$B$58:$E$58</c:f>
              <c:numCache>
                <c:formatCode>#,##0.0____</c:formatCode>
                <c:ptCount val="4"/>
                <c:pt idx="0">
                  <c:v>19.553683083168071</c:v>
                </c:pt>
                <c:pt idx="1">
                  <c:v>17.486216248401277</c:v>
                </c:pt>
                <c:pt idx="2">
                  <c:v>11.114364051191593</c:v>
                </c:pt>
                <c:pt idx="3">
                  <c:v>8.5145098417434895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B-4200-9F79-32B78E51CEE8}"/>
            </c:ext>
          </c:extLst>
        </c:ser>
        <c:ser>
          <c:idx val="2"/>
          <c:order val="2"/>
          <c:tx>
            <c:strRef>
              <c:f>'I Trimestre'!$A$59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Trimestre'!$B$59:$E$59</c:f>
              <c:numCache>
                <c:formatCode>#,##0.0____</c:formatCode>
                <c:ptCount val="4"/>
                <c:pt idx="0">
                  <c:v>-59.790573658251375</c:v>
                </c:pt>
                <c:pt idx="1">
                  <c:v>13.478309396164745</c:v>
                </c:pt>
                <c:pt idx="2">
                  <c:v>13.456514316374779</c:v>
                </c:pt>
                <c:pt idx="3">
                  <c:v>-80.10630867535852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B-4200-9F79-32B78E51C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61984"/>
        <c:axId val="67963520"/>
      </c:barChart>
      <c:catAx>
        <c:axId val="67961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7963520"/>
        <c:crosses val="autoZero"/>
        <c:auto val="1"/>
        <c:lblAlgn val="ctr"/>
        <c:lblOffset val="100"/>
        <c:noMultiLvlLbl val="0"/>
      </c:catAx>
      <c:valAx>
        <c:axId val="6796352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79619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Gasto Medio. Primer Trimestre 2013.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Trimestre'!$B$62:$E$62</c:f>
              <c:numCache>
                <c:formatCode>#,##0</c:formatCode>
                <c:ptCount val="4"/>
                <c:pt idx="0">
                  <c:v>68528.193595535471</c:v>
                </c:pt>
                <c:pt idx="1">
                  <c:v>176210</c:v>
                </c:pt>
                <c:pt idx="2">
                  <c:v>70484</c:v>
                </c:pt>
                <c:pt idx="3">
                  <c:v>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B-4E2C-B38E-C47D1C62D3CC}"/>
            </c:ext>
          </c:extLst>
        </c:ser>
        <c:ser>
          <c:idx val="1"/>
          <c:order val="1"/>
          <c:tx>
            <c:strRef>
              <c:f>'I Trimestre'!$A$63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Trimestre'!$B$63:$E$63</c:f>
              <c:numCache>
                <c:formatCode>#,##0</c:formatCode>
                <c:ptCount val="4"/>
                <c:pt idx="0">
                  <c:v>69693.952326477243</c:v>
                </c:pt>
                <c:pt idx="1">
                  <c:v>176245.56943883729</c:v>
                </c:pt>
                <c:pt idx="2">
                  <c:v>70483.999999999985</c:v>
                </c:pt>
                <c:pt idx="3">
                  <c:v>48003.019588896699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B-4E2C-B38E-C47D1C62D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88480"/>
        <c:axId val="68006656"/>
      </c:barChart>
      <c:catAx>
        <c:axId val="6798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8006656"/>
        <c:crosses val="autoZero"/>
        <c:auto val="1"/>
        <c:lblAlgn val="ctr"/>
        <c:lblOffset val="100"/>
        <c:noMultiLvlLbl val="0"/>
      </c:catAx>
      <c:valAx>
        <c:axId val="68006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/>
                </a:pPr>
                <a:r>
                  <a:rPr lang="es-CR"/>
                  <a:t>Colones Corrientes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79884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>
              <a:defRPr lang="es-ES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CONAPAM: Índice de eficiencia. Primer Trimestre 2013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Trimestre'!$A$64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Trimestre'!$B$64:$E$64</c:f>
              <c:numCache>
                <c:formatCode>#,##0.0____</c:formatCode>
                <c:ptCount val="4"/>
                <c:pt idx="0">
                  <c:v>97.289773069632147</c:v>
                </c:pt>
                <c:pt idx="1">
                  <c:v>91.010103020059859</c:v>
                </c:pt>
                <c:pt idx="2">
                  <c:v>89.23928077455048</c:v>
                </c:pt>
                <c:pt idx="3">
                  <c:v>95.400320439715827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7-47D9-900E-F12FF1B48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02400"/>
        <c:axId val="68108288"/>
      </c:barChart>
      <c:catAx>
        <c:axId val="6810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8108288"/>
        <c:crosses val="autoZero"/>
        <c:auto val="1"/>
        <c:lblAlgn val="ctr"/>
        <c:lblOffset val="100"/>
        <c:noMultiLvlLbl val="0"/>
      </c:catAx>
      <c:valAx>
        <c:axId val="681082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810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Giro de Recursos. Primer Trimestre 2013.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Trimestre'!$B$69</c:f>
              <c:numCache>
                <c:formatCode>#,##0.0____</c:formatCode>
                <c:ptCount val="1"/>
                <c:pt idx="0">
                  <c:v>99.999684920703316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F-4EE6-B87A-86564D003E99}"/>
            </c:ext>
          </c:extLst>
        </c:ser>
        <c:ser>
          <c:idx val="1"/>
          <c:order val="1"/>
          <c:tx>
            <c:strRef>
              <c:f>'I Trimestre'!$A$70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Trimestre'!$B$70</c:f>
              <c:numCache>
                <c:formatCode>#,##0.0____</c:formatCode>
                <c:ptCount val="1"/>
                <c:pt idx="0">
                  <c:v>96.469539899014535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FF-4EE6-B87A-86564D003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8144512"/>
        <c:axId val="68179072"/>
      </c:barChart>
      <c:catAx>
        <c:axId val="6814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8179072"/>
        <c:crosses val="autoZero"/>
        <c:auto val="1"/>
        <c:lblAlgn val="ctr"/>
        <c:lblOffset val="100"/>
        <c:noMultiLvlLbl val="0"/>
      </c:catAx>
      <c:valAx>
        <c:axId val="681790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n-US"/>
          </a:p>
        </c:txPr>
        <c:crossAx val="681445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CONAPAM: Gasto trimestral efectivo por beneficiario</a:t>
            </a:r>
          </a:p>
        </c:rich>
      </c:tx>
      <c:layout>
        <c:manualLayout>
          <c:xMode val="edge"/>
          <c:yMode val="edge"/>
          <c:x val="0.11881255468066491"/>
          <c:y val="4.166666666666666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Trimestre'!$B$66:$E$66</c:f>
              <c:numCache>
                <c:formatCode>#,##0____</c:formatCode>
                <c:ptCount val="4"/>
                <c:pt idx="0">
                  <c:v>209081.85697943173</c:v>
                </c:pt>
                <c:pt idx="1">
                  <c:v>528736.70831651194</c:v>
                </c:pt>
                <c:pt idx="2">
                  <c:v>211451.99999999997</c:v>
                </c:pt>
                <c:pt idx="3">
                  <c:v>144009.05876669008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9-44B0-B4A6-FC2B2F34C024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'II Trimestre'!$B$66:$E$66</c:f>
              <c:numCache>
                <c:formatCode>#,##0.0____</c:formatCode>
                <c:ptCount val="4"/>
                <c:pt idx="0">
                  <c:v>213533.32087472308</c:v>
                </c:pt>
                <c:pt idx="1">
                  <c:v>453780.56459330145</c:v>
                </c:pt>
                <c:pt idx="2">
                  <c:v>211452</c:v>
                </c:pt>
                <c:pt idx="3">
                  <c:v>163644.67198009766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59-44B0-B4A6-FC2B2F34C024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'III Trimestre'!$B$66:$E$66</c:f>
              <c:numCache>
                <c:formatCode>#,##0.0____</c:formatCode>
                <c:ptCount val="4"/>
                <c:pt idx="0">
                  <c:v>276018.68520620506</c:v>
                </c:pt>
                <c:pt idx="1">
                  <c:v>528404.23446508648</c:v>
                </c:pt>
                <c:pt idx="2">
                  <c:v>211452</c:v>
                </c:pt>
                <c:pt idx="3">
                  <c:v>178324.98359188545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59-44B0-B4A6-FC2B2F34C024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'IV Trimestre'!$B$66:$E$66</c:f>
              <c:numCache>
                <c:formatCode>#,##0.0____</c:formatCode>
                <c:ptCount val="4"/>
                <c:pt idx="0">
                  <c:v>304402.69016930024</c:v>
                </c:pt>
                <c:pt idx="1">
                  <c:v>528725.30016224983</c:v>
                </c:pt>
                <c:pt idx="2">
                  <c:v>211322.19521178637</c:v>
                </c:pt>
                <c:pt idx="3">
                  <c:v>184490.44687116041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59-44B0-B4A6-FC2B2F34C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8209664"/>
        <c:axId val="68358912"/>
      </c:barChart>
      <c:catAx>
        <c:axId val="6820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8358912"/>
        <c:crosses val="autoZero"/>
        <c:auto val="1"/>
        <c:lblAlgn val="ctr"/>
        <c:lblOffset val="100"/>
        <c:noMultiLvlLbl val="0"/>
      </c:catAx>
      <c:valAx>
        <c:axId val="68358912"/>
        <c:scaling>
          <c:orientation val="minMax"/>
        </c:scaling>
        <c:delete val="0"/>
        <c:axPos val="l"/>
        <c:majorGridlines/>
        <c:numFmt formatCode="#,##0____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n-US"/>
          </a:p>
        </c:txPr>
        <c:crossAx val="68209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/>
              <a:t>CONAPAM: Indicadores de cobertura potencial 2017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Anual!$B$40</c:f>
              <c:numCache>
                <c:formatCode>#,##0.0____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A-4EBE-BAA0-BA2EA6400247}"/>
            </c:ext>
          </c:extLst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Anual!$B$41</c:f>
              <c:numCache>
                <c:formatCode>#,##0.0____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A-4EBE-BAA0-BA2EA640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659264"/>
        <c:axId val="69669248"/>
      </c:barChart>
      <c:catAx>
        <c:axId val="69659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9669248"/>
        <c:crosses val="autoZero"/>
        <c:auto val="1"/>
        <c:lblAlgn val="ctr"/>
        <c:lblOffset val="100"/>
        <c:noMultiLvlLbl val="0"/>
      </c:catAx>
      <c:valAx>
        <c:axId val="69669248"/>
        <c:scaling>
          <c:orientation val="minMax"/>
        </c:scaling>
        <c:delete val="0"/>
        <c:axPos val="l"/>
        <c:majorGridlines/>
        <c:numFmt formatCode="#,##0.0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n-US"/>
          </a:p>
        </c:txPr>
        <c:crossAx val="696592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188</xdr:row>
      <xdr:rowOff>171450</xdr:rowOff>
    </xdr:from>
    <xdr:to>
      <xdr:col>2</xdr:col>
      <xdr:colOff>123825</xdr:colOff>
      <xdr:row>203</xdr:row>
      <xdr:rowOff>57150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203</xdr:row>
      <xdr:rowOff>152400</xdr:rowOff>
    </xdr:from>
    <xdr:to>
      <xdr:col>2</xdr:col>
      <xdr:colOff>95250</xdr:colOff>
      <xdr:row>218</xdr:row>
      <xdr:rowOff>38100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219</xdr:row>
      <xdr:rowOff>19050</xdr:rowOff>
    </xdr:from>
    <xdr:to>
      <xdr:col>2</xdr:col>
      <xdr:colOff>38100</xdr:colOff>
      <xdr:row>233</xdr:row>
      <xdr:rowOff>95250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234</xdr:row>
      <xdr:rowOff>47625</xdr:rowOff>
    </xdr:from>
    <xdr:to>
      <xdr:col>2</xdr:col>
      <xdr:colOff>85725</xdr:colOff>
      <xdr:row>248</xdr:row>
      <xdr:rowOff>123825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161925</xdr:colOff>
      <xdr:row>249</xdr:row>
      <xdr:rowOff>57150</xdr:rowOff>
    </xdr:from>
    <xdr:to>
      <xdr:col>2</xdr:col>
      <xdr:colOff>95250</xdr:colOff>
      <xdr:row>263</xdr:row>
      <xdr:rowOff>133350</xdr:rowOff>
    </xdr:to>
    <xdr:graphicFrame macro="">
      <xdr:nvGraphicFramePr>
        <xdr:cNvPr id="24" name="2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264</xdr:row>
      <xdr:rowOff>28575</xdr:rowOff>
    </xdr:from>
    <xdr:to>
      <xdr:col>2</xdr:col>
      <xdr:colOff>85725</xdr:colOff>
      <xdr:row>278</xdr:row>
      <xdr:rowOff>104775</xdr:rowOff>
    </xdr:to>
    <xdr:graphicFrame macro="">
      <xdr:nvGraphicFramePr>
        <xdr:cNvPr id="25" name="2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279</xdr:row>
      <xdr:rowOff>28575</xdr:rowOff>
    </xdr:from>
    <xdr:to>
      <xdr:col>2</xdr:col>
      <xdr:colOff>66675</xdr:colOff>
      <xdr:row>293</xdr:row>
      <xdr:rowOff>104775</xdr:rowOff>
    </xdr:to>
    <xdr:graphicFrame macro="">
      <xdr:nvGraphicFramePr>
        <xdr:cNvPr id="26" name="2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638175</xdr:colOff>
      <xdr:row>181</xdr:row>
      <xdr:rowOff>19050</xdr:rowOff>
    </xdr:from>
    <xdr:to>
      <xdr:col>15</xdr:col>
      <xdr:colOff>638175</xdr:colOff>
      <xdr:row>195</xdr:row>
      <xdr:rowOff>95250</xdr:rowOff>
    </xdr:to>
    <xdr:graphicFrame macro="">
      <xdr:nvGraphicFramePr>
        <xdr:cNvPr id="29" name="2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388408</xdr:colOff>
      <xdr:row>1</xdr:row>
      <xdr:rowOff>159278</xdr:rowOff>
    </xdr:from>
    <xdr:to>
      <xdr:col>19</xdr:col>
      <xdr:colOff>389466</xdr:colOff>
      <xdr:row>16</xdr:row>
      <xdr:rowOff>13228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502708</xdr:colOff>
      <xdr:row>20</xdr:row>
      <xdr:rowOff>88900</xdr:rowOff>
    </xdr:from>
    <xdr:to>
      <xdr:col>19</xdr:col>
      <xdr:colOff>502708</xdr:colOff>
      <xdr:row>34</xdr:row>
      <xdr:rowOff>165100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566207</xdr:colOff>
      <xdr:row>37</xdr:row>
      <xdr:rowOff>0</xdr:rowOff>
    </xdr:from>
    <xdr:to>
      <xdr:col>15</xdr:col>
      <xdr:colOff>10582</xdr:colOff>
      <xdr:row>52</xdr:row>
      <xdr:rowOff>101600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418039</xdr:colOff>
      <xdr:row>53</xdr:row>
      <xdr:rowOff>184150</xdr:rowOff>
    </xdr:from>
    <xdr:to>
      <xdr:col>12</xdr:col>
      <xdr:colOff>412749</xdr:colOff>
      <xdr:row>70</xdr:row>
      <xdr:rowOff>69850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576790</xdr:colOff>
      <xdr:row>71</xdr:row>
      <xdr:rowOff>141816</xdr:rowOff>
    </xdr:from>
    <xdr:to>
      <xdr:col>13</xdr:col>
      <xdr:colOff>592667</xdr:colOff>
      <xdr:row>87</xdr:row>
      <xdr:rowOff>179915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640291</xdr:colOff>
      <xdr:row>87</xdr:row>
      <xdr:rowOff>35982</xdr:rowOff>
    </xdr:from>
    <xdr:to>
      <xdr:col>6</xdr:col>
      <xdr:colOff>349250</xdr:colOff>
      <xdr:row>103</xdr:row>
      <xdr:rowOff>126999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31749</xdr:colOff>
      <xdr:row>71</xdr:row>
      <xdr:rowOff>169334</xdr:rowOff>
    </xdr:from>
    <xdr:to>
      <xdr:col>21</xdr:col>
      <xdr:colOff>275166</xdr:colOff>
      <xdr:row>88</xdr:row>
      <xdr:rowOff>16933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42334</xdr:colOff>
      <xdr:row>89</xdr:row>
      <xdr:rowOff>20107</xdr:rowOff>
    </xdr:from>
    <xdr:to>
      <xdr:col>13</xdr:col>
      <xdr:colOff>42334</xdr:colOff>
      <xdr:row>103</xdr:row>
      <xdr:rowOff>96307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709082</xdr:colOff>
      <xdr:row>105</xdr:row>
      <xdr:rowOff>41274</xdr:rowOff>
    </xdr:from>
    <xdr:to>
      <xdr:col>11</xdr:col>
      <xdr:colOff>10582</xdr:colOff>
      <xdr:row>119</xdr:row>
      <xdr:rowOff>117474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3"/>
  <sheetViews>
    <sheetView topLeftCell="B6" zoomScaleNormal="100" workbookViewId="0">
      <selection activeCell="I22" sqref="I22"/>
    </sheetView>
  </sheetViews>
  <sheetFormatPr baseColWidth="10" defaultColWidth="11.42578125" defaultRowHeight="15" x14ac:dyDescent="0.25"/>
  <cols>
    <col min="1" max="1" width="55.140625" customWidth="1"/>
    <col min="2" max="2" width="26.28515625" customWidth="1"/>
    <col min="3" max="3" width="24.42578125" customWidth="1"/>
    <col min="4" max="6" width="15.7109375" customWidth="1"/>
    <col min="8" max="8" width="13.140625" bestFit="1" customWidth="1"/>
  </cols>
  <sheetData>
    <row r="2" spans="1:8" ht="15.75" x14ac:dyDescent="0.25">
      <c r="A2" s="44" t="s">
        <v>82</v>
      </c>
      <c r="B2" s="44"/>
      <c r="C2" s="44"/>
      <c r="D2" s="44"/>
      <c r="E2" s="44"/>
    </row>
    <row r="4" spans="1:8" ht="15" customHeight="1" x14ac:dyDescent="0.25">
      <c r="A4" s="45" t="s">
        <v>0</v>
      </c>
      <c r="B4" s="47" t="s">
        <v>1</v>
      </c>
      <c r="C4" s="49" t="s">
        <v>2</v>
      </c>
      <c r="D4" s="49"/>
      <c r="E4" s="49"/>
      <c r="F4" s="49"/>
    </row>
    <row r="5" spans="1:8" ht="30.75" thickBot="1" x14ac:dyDescent="0.3">
      <c r="A5" s="46"/>
      <c r="B5" s="48"/>
      <c r="C5" s="1" t="s">
        <v>40</v>
      </c>
      <c r="D5" s="1" t="s">
        <v>41</v>
      </c>
      <c r="E5" s="1" t="s">
        <v>3</v>
      </c>
      <c r="F5" s="37" t="s">
        <v>52</v>
      </c>
    </row>
    <row r="6" spans="1:8" ht="15.75" thickTop="1" x14ac:dyDescent="0.25"/>
    <row r="7" spans="1:8" x14ac:dyDescent="0.25">
      <c r="A7" s="2" t="s">
        <v>4</v>
      </c>
    </row>
    <row r="9" spans="1:8" x14ac:dyDescent="0.25">
      <c r="A9" t="s">
        <v>38</v>
      </c>
      <c r="C9" s="3"/>
    </row>
    <row r="10" spans="1:8" x14ac:dyDescent="0.25">
      <c r="A10" s="4" t="s">
        <v>53</v>
      </c>
      <c r="B10" s="5">
        <f>SUM(C10:F10)</f>
        <v>4802</v>
      </c>
      <c r="C10" s="5">
        <v>1595</v>
      </c>
      <c r="D10" s="5">
        <v>1098</v>
      </c>
      <c r="E10" s="5">
        <v>2087</v>
      </c>
      <c r="F10" s="5">
        <v>22</v>
      </c>
    </row>
    <row r="11" spans="1:8" x14ac:dyDescent="0.25">
      <c r="A11" s="6" t="s">
        <v>83</v>
      </c>
      <c r="B11" s="5">
        <f>SUM(C11:F11)</f>
        <v>15052</v>
      </c>
      <c r="C11" s="5">
        <v>1815</v>
      </c>
      <c r="D11" s="5">
        <v>1205</v>
      </c>
      <c r="E11" s="27">
        <v>11934</v>
      </c>
      <c r="F11" s="5">
        <v>98</v>
      </c>
      <c r="G11" s="11"/>
    </row>
    <row r="12" spans="1:8" x14ac:dyDescent="0.25">
      <c r="A12" s="6" t="s">
        <v>84</v>
      </c>
      <c r="B12" s="5">
        <f>SUM(C12:F12)</f>
        <v>14277.666666666668</v>
      </c>
      <c r="C12" s="5">
        <v>1651.3333333333333</v>
      </c>
      <c r="D12" s="27">
        <v>1075.3333333333335</v>
      </c>
      <c r="E12" s="5">
        <v>11384</v>
      </c>
      <c r="F12" s="5">
        <v>167</v>
      </c>
    </row>
    <row r="13" spans="1:8" x14ac:dyDescent="0.25">
      <c r="A13" s="6" t="s">
        <v>85</v>
      </c>
      <c r="B13" s="5">
        <f>SUM(C13:F13)</f>
        <v>15052</v>
      </c>
      <c r="C13" s="5">
        <v>1815</v>
      </c>
      <c r="D13" s="34">
        <v>1205</v>
      </c>
      <c r="E13" s="34">
        <v>11934</v>
      </c>
      <c r="F13" s="5">
        <v>98</v>
      </c>
      <c r="G13" s="11"/>
    </row>
    <row r="14" spans="1:8" x14ac:dyDescent="0.25">
      <c r="B14" s="7"/>
      <c r="C14" s="7"/>
      <c r="D14" s="7"/>
      <c r="E14" s="7"/>
      <c r="F14" s="7"/>
      <c r="G14" s="30"/>
    </row>
    <row r="15" spans="1:8" x14ac:dyDescent="0.25">
      <c r="A15" s="8" t="s">
        <v>5</v>
      </c>
      <c r="B15" s="7"/>
      <c r="C15" s="7"/>
      <c r="D15" s="7"/>
      <c r="E15" s="7"/>
      <c r="F15" s="7"/>
    </row>
    <row r="16" spans="1:8" x14ac:dyDescent="0.25">
      <c r="A16" s="4" t="s">
        <v>53</v>
      </c>
      <c r="B16" s="27">
        <f>SUM(C16:F16)</f>
        <v>2471984947</v>
      </c>
      <c r="C16" s="5">
        <v>735736815</v>
      </c>
      <c r="D16" s="5">
        <v>202590882</v>
      </c>
      <c r="E16" s="5">
        <v>1495657250</v>
      </c>
      <c r="F16" s="5">
        <v>38000000</v>
      </c>
      <c r="H16" s="11"/>
    </row>
    <row r="17" spans="1:8" x14ac:dyDescent="0.25">
      <c r="A17" s="6" t="s">
        <v>83</v>
      </c>
      <c r="B17" s="27">
        <f>SUM(C17:F17)</f>
        <v>3094459110</v>
      </c>
      <c r="C17" s="9">
        <v>959463450</v>
      </c>
      <c r="D17" s="5">
        <v>254799660</v>
      </c>
      <c r="E17" s="5">
        <v>1718496000</v>
      </c>
      <c r="F17" s="5">
        <v>161700000</v>
      </c>
      <c r="H17" s="39"/>
    </row>
    <row r="18" spans="1:8" x14ac:dyDescent="0.25">
      <c r="A18" s="6" t="s">
        <v>84</v>
      </c>
      <c r="B18" s="27">
        <f>SUM(C18:F18)</f>
        <v>2985201060</v>
      </c>
      <c r="C18" s="5">
        <v>873120551</v>
      </c>
      <c r="D18" s="5">
        <v>227381384</v>
      </c>
      <c r="E18" s="5">
        <v>1639399125</v>
      </c>
      <c r="F18" s="5">
        <v>245300000</v>
      </c>
    </row>
    <row r="19" spans="1:8" x14ac:dyDescent="0.25">
      <c r="A19" s="6" t="s">
        <v>85</v>
      </c>
      <c r="B19" s="5">
        <f>SUM(C19:F19)</f>
        <v>12377836440</v>
      </c>
      <c r="C19" s="33">
        <v>3837853800</v>
      </c>
      <c r="D19" s="34">
        <v>1019198640</v>
      </c>
      <c r="E19" s="34">
        <v>6873984000</v>
      </c>
      <c r="F19" s="5">
        <v>646800000</v>
      </c>
      <c r="G19" s="11"/>
    </row>
    <row r="20" spans="1:8" x14ac:dyDescent="0.25">
      <c r="A20" s="6" t="s">
        <v>86</v>
      </c>
      <c r="B20" s="5">
        <f>SUM(C20:F20)</f>
        <v>2985201060</v>
      </c>
      <c r="C20" s="5">
        <f>C18</f>
        <v>873120551</v>
      </c>
      <c r="D20" s="5">
        <f t="shared" ref="D20:F20" si="0">D18</f>
        <v>227381384</v>
      </c>
      <c r="E20" s="5">
        <f t="shared" si="0"/>
        <v>1639399125</v>
      </c>
      <c r="F20" s="5">
        <f t="shared" si="0"/>
        <v>245300000</v>
      </c>
    </row>
    <row r="21" spans="1:8" x14ac:dyDescent="0.25">
      <c r="B21" s="5"/>
      <c r="C21" s="9"/>
      <c r="D21" s="5"/>
      <c r="E21" s="5"/>
      <c r="F21" s="5"/>
      <c r="H21" s="3"/>
    </row>
    <row r="22" spans="1:8" x14ac:dyDescent="0.25">
      <c r="A22" s="10" t="s">
        <v>6</v>
      </c>
      <c r="B22" s="5"/>
      <c r="C22" s="5"/>
      <c r="D22" s="5"/>
      <c r="E22" s="5"/>
      <c r="F22" s="5"/>
    </row>
    <row r="23" spans="1:8" x14ac:dyDescent="0.25">
      <c r="A23" s="4" t="s">
        <v>83</v>
      </c>
      <c r="B23" s="5">
        <f>B17</f>
        <v>3094459110</v>
      </c>
      <c r="C23" s="5"/>
      <c r="D23" s="5"/>
      <c r="E23" s="5"/>
      <c r="F23" s="5"/>
      <c r="G23" s="11"/>
    </row>
    <row r="24" spans="1:8" x14ac:dyDescent="0.25">
      <c r="A24" s="4" t="s">
        <v>84</v>
      </c>
      <c r="B24" s="5">
        <v>3094449360</v>
      </c>
      <c r="C24" s="5"/>
      <c r="D24" s="5"/>
      <c r="E24" s="5"/>
      <c r="F24" s="5"/>
      <c r="G24" s="11"/>
    </row>
    <row r="25" spans="1:8" x14ac:dyDescent="0.25">
      <c r="A25" s="7"/>
      <c r="B25" s="7"/>
      <c r="C25" s="7"/>
      <c r="D25" s="7"/>
      <c r="E25" s="7"/>
      <c r="F25" s="7"/>
    </row>
    <row r="26" spans="1:8" x14ac:dyDescent="0.25">
      <c r="A26" s="7" t="s">
        <v>7</v>
      </c>
      <c r="B26" s="7"/>
      <c r="C26" s="7"/>
      <c r="D26" s="7"/>
      <c r="E26" s="7"/>
      <c r="F26" s="7"/>
    </row>
    <row r="27" spans="1:8" x14ac:dyDescent="0.25">
      <c r="A27" s="4" t="s">
        <v>54</v>
      </c>
      <c r="B27" s="32">
        <v>0.99</v>
      </c>
      <c r="C27" s="32">
        <v>0.99</v>
      </c>
      <c r="D27" s="32">
        <v>0.99</v>
      </c>
      <c r="E27" s="32">
        <v>0.99</v>
      </c>
      <c r="F27" s="32">
        <v>0.99</v>
      </c>
    </row>
    <row r="28" spans="1:8" x14ac:dyDescent="0.25">
      <c r="A28" s="4" t="s">
        <v>87</v>
      </c>
      <c r="B28" s="32">
        <v>1</v>
      </c>
      <c r="C28" s="32">
        <v>1</v>
      </c>
      <c r="D28" s="32">
        <v>1</v>
      </c>
      <c r="E28" s="32">
        <v>1</v>
      </c>
      <c r="F28" s="32">
        <v>1</v>
      </c>
    </row>
    <row r="29" spans="1:8" x14ac:dyDescent="0.25">
      <c r="A29" s="4" t="s">
        <v>8</v>
      </c>
      <c r="B29" s="5"/>
      <c r="C29" s="5"/>
      <c r="D29" s="5"/>
      <c r="E29" s="5"/>
      <c r="F29" s="5"/>
    </row>
    <row r="30" spans="1:8" x14ac:dyDescent="0.25">
      <c r="A30" s="7"/>
      <c r="B30" s="7"/>
      <c r="C30" s="7"/>
      <c r="D30" s="7"/>
      <c r="E30" s="7"/>
      <c r="F30" s="7"/>
    </row>
    <row r="31" spans="1:8" x14ac:dyDescent="0.25">
      <c r="A31" s="12" t="s">
        <v>9</v>
      </c>
      <c r="B31" s="7"/>
      <c r="C31" s="7"/>
      <c r="D31" s="7"/>
      <c r="E31" s="7"/>
      <c r="F31" s="7"/>
    </row>
    <row r="32" spans="1:8" x14ac:dyDescent="0.25">
      <c r="A32" s="7" t="s">
        <v>55</v>
      </c>
      <c r="B32" s="5">
        <f>B16/B27</f>
        <v>2496954491.9191918</v>
      </c>
      <c r="C32" s="5">
        <f t="shared" ref="C32:F32" si="1">C16/C27</f>
        <v>743168500</v>
      </c>
      <c r="D32" s="5">
        <f t="shared" si="1"/>
        <v>204637254.54545456</v>
      </c>
      <c r="E32" s="5">
        <f t="shared" si="1"/>
        <v>1510764898.9898989</v>
      </c>
      <c r="F32" s="5">
        <f t="shared" si="1"/>
        <v>38383838.383838385</v>
      </c>
    </row>
    <row r="33" spans="1:8" x14ac:dyDescent="0.25">
      <c r="A33" s="7" t="s">
        <v>88</v>
      </c>
      <c r="B33" s="5">
        <f>B18/B28</f>
        <v>2985201060</v>
      </c>
      <c r="C33" s="5">
        <f t="shared" ref="C33:F33" si="2">C18/C28</f>
        <v>873120551</v>
      </c>
      <c r="D33" s="5">
        <f t="shared" si="2"/>
        <v>227381384</v>
      </c>
      <c r="E33" s="5">
        <f t="shared" si="2"/>
        <v>1639399125</v>
      </c>
      <c r="F33" s="5">
        <f t="shared" si="2"/>
        <v>245300000</v>
      </c>
    </row>
    <row r="34" spans="1:8" x14ac:dyDescent="0.25">
      <c r="A34" s="7" t="s">
        <v>56</v>
      </c>
      <c r="B34" s="27">
        <f>$B$32/(B10)</f>
        <v>519982.19323598332</v>
      </c>
      <c r="C34" s="27">
        <f>C32/(C10)</f>
        <v>465936.36363636365</v>
      </c>
      <c r="D34" s="27">
        <f>D32/(D10)</f>
        <v>186372.72727272729</v>
      </c>
      <c r="E34" s="27">
        <f>E32/(E10)</f>
        <v>723893.09965975035</v>
      </c>
      <c r="F34" s="27">
        <f>F32/(F10)</f>
        <v>1744719.9265381084</v>
      </c>
      <c r="H34" s="11"/>
    </row>
    <row r="35" spans="1:8" x14ac:dyDescent="0.25">
      <c r="A35" s="7" t="s">
        <v>89</v>
      </c>
      <c r="B35" s="27">
        <f>$B$33/(B12)</f>
        <v>209081.85697943173</v>
      </c>
      <c r="C35" s="27">
        <f>C33/(C12)</f>
        <v>528736.70831651194</v>
      </c>
      <c r="D35" s="27">
        <f>D33/(D12)</f>
        <v>211451.99999999997</v>
      </c>
      <c r="E35" s="27">
        <f>E33/(E12)</f>
        <v>144009.05876669008</v>
      </c>
      <c r="F35" s="27">
        <f>F33/(F12)</f>
        <v>1468862.2754491018</v>
      </c>
      <c r="H35" s="11"/>
    </row>
    <row r="36" spans="1:8" x14ac:dyDescent="0.25">
      <c r="A36" s="7"/>
      <c r="B36" s="7"/>
      <c r="C36" s="7"/>
      <c r="D36" s="7"/>
      <c r="E36" s="7"/>
      <c r="F36" s="7"/>
    </row>
    <row r="37" spans="1:8" x14ac:dyDescent="0.25">
      <c r="A37" s="2" t="s">
        <v>10</v>
      </c>
      <c r="B37" s="7"/>
      <c r="C37" s="7"/>
      <c r="D37" s="7"/>
      <c r="E37" s="7"/>
      <c r="F37" s="7"/>
    </row>
    <row r="38" spans="1:8" x14ac:dyDescent="0.25">
      <c r="B38" s="7"/>
      <c r="C38" s="7"/>
      <c r="D38" s="7"/>
      <c r="E38" s="7"/>
      <c r="F38" s="7"/>
    </row>
    <row r="39" spans="1:8" x14ac:dyDescent="0.25">
      <c r="A39" t="s">
        <v>11</v>
      </c>
      <c r="B39" s="7"/>
      <c r="C39" s="7"/>
      <c r="D39" s="7"/>
      <c r="E39" s="7"/>
      <c r="F39" s="7"/>
    </row>
    <row r="40" spans="1:8" x14ac:dyDescent="0.25">
      <c r="A40" t="s">
        <v>12</v>
      </c>
      <c r="B40" s="13" t="e">
        <f>B11/B29*100</f>
        <v>#DIV/0!</v>
      </c>
      <c r="C40" s="13"/>
      <c r="D40" s="13"/>
      <c r="E40" s="13"/>
      <c r="F40" s="13"/>
    </row>
    <row r="41" spans="1:8" x14ac:dyDescent="0.25">
      <c r="A41" t="s">
        <v>13</v>
      </c>
      <c r="B41" s="13" t="e">
        <f>B12/B29*100</f>
        <v>#DIV/0!</v>
      </c>
      <c r="C41" s="13"/>
      <c r="D41" s="13"/>
      <c r="E41" s="13"/>
      <c r="F41" s="13"/>
    </row>
    <row r="42" spans="1:8" x14ac:dyDescent="0.25">
      <c r="B42" s="7"/>
      <c r="C42" s="7"/>
      <c r="D42" s="7"/>
      <c r="E42" s="7"/>
      <c r="F42" s="7"/>
    </row>
    <row r="43" spans="1:8" x14ac:dyDescent="0.25">
      <c r="A43" t="s">
        <v>14</v>
      </c>
      <c r="B43" s="7"/>
      <c r="C43" s="7"/>
      <c r="D43" s="7"/>
      <c r="E43" s="7"/>
      <c r="F43" s="7"/>
    </row>
    <row r="44" spans="1:8" x14ac:dyDescent="0.25">
      <c r="A44" t="s">
        <v>15</v>
      </c>
      <c r="B44" s="13">
        <f>B12/B11*100</f>
        <v>94.855611657365586</v>
      </c>
      <c r="C44" s="13">
        <f t="shared" ref="C44:D44" si="3">C12/C11*100</f>
        <v>90.982552800734624</v>
      </c>
      <c r="D44" s="13">
        <f t="shared" si="3"/>
        <v>89.239280774550494</v>
      </c>
      <c r="E44" s="13">
        <f>E12/E11*100</f>
        <v>95.391318920730683</v>
      </c>
      <c r="F44" s="13">
        <f>F12/F11*100</f>
        <v>170.40816326530611</v>
      </c>
    </row>
    <row r="45" spans="1:8" x14ac:dyDescent="0.25">
      <c r="A45" t="s">
        <v>16</v>
      </c>
      <c r="B45" s="13">
        <f>B18/B17*100</f>
        <v>96.469235943466714</v>
      </c>
      <c r="C45" s="13">
        <f t="shared" ref="C45:F45" si="4">C18/C17*100</f>
        <v>91.000918377870462</v>
      </c>
      <c r="D45" s="13">
        <f t="shared" si="4"/>
        <v>89.239280774550494</v>
      </c>
      <c r="E45" s="13">
        <f t="shared" si="4"/>
        <v>95.397319807552648</v>
      </c>
      <c r="F45" s="13">
        <f t="shared" si="4"/>
        <v>151.70068027210883</v>
      </c>
    </row>
    <row r="46" spans="1:8" x14ac:dyDescent="0.25">
      <c r="A46" s="7" t="s">
        <v>17</v>
      </c>
      <c r="B46" s="13">
        <f>AVERAGE(B44:B45)</f>
        <v>95.66242380041615</v>
      </c>
      <c r="C46" s="13">
        <f t="shared" ref="C46:F46" si="5">AVERAGE(C44:C45)</f>
        <v>90.99173558930255</v>
      </c>
      <c r="D46" s="13">
        <f t="shared" si="5"/>
        <v>89.239280774550494</v>
      </c>
      <c r="E46" s="13">
        <f t="shared" si="5"/>
        <v>95.394319364141666</v>
      </c>
      <c r="F46" s="13">
        <f t="shared" si="5"/>
        <v>161.05442176870747</v>
      </c>
    </row>
    <row r="47" spans="1:8" x14ac:dyDescent="0.25">
      <c r="A47" s="7"/>
      <c r="B47" s="13"/>
      <c r="C47" s="13"/>
      <c r="D47" s="13"/>
      <c r="E47" s="13"/>
      <c r="F47" s="13"/>
    </row>
    <row r="48" spans="1:8" x14ac:dyDescent="0.25">
      <c r="A48" s="7" t="s">
        <v>18</v>
      </c>
      <c r="B48" s="7"/>
      <c r="C48" s="7"/>
      <c r="D48" s="7"/>
      <c r="E48" s="7"/>
      <c r="F48" s="7"/>
    </row>
    <row r="49" spans="1:6" x14ac:dyDescent="0.25">
      <c r="A49" s="7" t="s">
        <v>19</v>
      </c>
      <c r="B49" s="13">
        <f>(B12/B13)*100</f>
        <v>94.855611657365586</v>
      </c>
      <c r="C49" s="13">
        <f t="shared" ref="C49:F49" si="6">(C12/C13)*100</f>
        <v>90.982552800734624</v>
      </c>
      <c r="D49" s="13">
        <f t="shared" si="6"/>
        <v>89.239280774550494</v>
      </c>
      <c r="E49" s="13">
        <f t="shared" si="6"/>
        <v>95.391318920730683</v>
      </c>
      <c r="F49" s="13">
        <f t="shared" si="6"/>
        <v>170.40816326530611</v>
      </c>
    </row>
    <row r="50" spans="1:6" x14ac:dyDescent="0.25">
      <c r="A50" s="7" t="s">
        <v>20</v>
      </c>
      <c r="B50" s="13">
        <f>B18/B19*100</f>
        <v>24.117308985866678</v>
      </c>
      <c r="C50" s="13">
        <f t="shared" ref="C50:F50" si="7">C18/C19*100</f>
        <v>22.750229594467616</v>
      </c>
      <c r="D50" s="13">
        <f t="shared" si="7"/>
        <v>22.309820193637623</v>
      </c>
      <c r="E50" s="13">
        <f t="shared" si="7"/>
        <v>23.849329951888162</v>
      </c>
      <c r="F50" s="13">
        <f t="shared" si="7"/>
        <v>37.925170068027207</v>
      </c>
    </row>
    <row r="51" spans="1:6" x14ac:dyDescent="0.25">
      <c r="A51" s="7" t="s">
        <v>21</v>
      </c>
      <c r="B51" s="13">
        <f>(B49+B50)/2</f>
        <v>59.486460321616136</v>
      </c>
      <c r="C51" s="13">
        <f t="shared" ref="C51:F51" si="8">(C49+C50)/2</f>
        <v>56.866391197601118</v>
      </c>
      <c r="D51" s="13">
        <f t="shared" si="8"/>
        <v>55.774550484094057</v>
      </c>
      <c r="E51" s="13">
        <f t="shared" si="8"/>
        <v>59.620324436309424</v>
      </c>
      <c r="F51" s="13">
        <f t="shared" si="8"/>
        <v>104.16666666666666</v>
      </c>
    </row>
    <row r="52" spans="1:6" x14ac:dyDescent="0.25">
      <c r="A52" s="7"/>
      <c r="B52" s="7"/>
      <c r="C52" s="7"/>
      <c r="D52" s="7"/>
      <c r="E52" s="7"/>
      <c r="F52" s="7"/>
    </row>
    <row r="53" spans="1:6" x14ac:dyDescent="0.25">
      <c r="A53" s="7" t="s">
        <v>22</v>
      </c>
      <c r="B53" s="7"/>
      <c r="C53" s="7"/>
      <c r="D53" s="7"/>
      <c r="E53" s="7"/>
      <c r="F53" s="7"/>
    </row>
    <row r="54" spans="1:6" x14ac:dyDescent="0.25">
      <c r="A54" s="7" t="s">
        <v>23</v>
      </c>
      <c r="B54" s="13">
        <f>B20/B18*100</f>
        <v>100</v>
      </c>
      <c r="C54" s="13"/>
      <c r="D54" s="13"/>
      <c r="E54" s="13"/>
      <c r="F54" s="13"/>
    </row>
    <row r="55" spans="1:6" x14ac:dyDescent="0.25">
      <c r="A55" s="7"/>
      <c r="B55" s="7"/>
      <c r="C55" s="7"/>
      <c r="D55" s="7"/>
      <c r="E55" s="7"/>
      <c r="F55" s="7"/>
    </row>
    <row r="56" spans="1:6" x14ac:dyDescent="0.25">
      <c r="A56" s="7" t="s">
        <v>24</v>
      </c>
      <c r="B56" s="7"/>
      <c r="C56" s="7"/>
      <c r="D56" s="7"/>
      <c r="E56" s="7"/>
      <c r="F56" s="7"/>
    </row>
    <row r="57" spans="1:6" x14ac:dyDescent="0.25">
      <c r="A57" s="7" t="s">
        <v>25</v>
      </c>
      <c r="B57" s="13">
        <f>((B12/B10)-1)*100</f>
        <v>197.3275024295433</v>
      </c>
      <c r="C57" s="13">
        <f t="shared" ref="C57:F57" si="9">((C12/C10)-1)*100</f>
        <v>3.5318704284221569</v>
      </c>
      <c r="D57" s="13">
        <f t="shared" si="9"/>
        <v>-2.0643594414086031</v>
      </c>
      <c r="E57" s="13">
        <f t="shared" si="9"/>
        <v>445.47196933397225</v>
      </c>
      <c r="F57" s="13">
        <f t="shared" si="9"/>
        <v>659.09090909090912</v>
      </c>
    </row>
    <row r="58" spans="1:6" x14ac:dyDescent="0.25">
      <c r="A58" s="7" t="s">
        <v>26</v>
      </c>
      <c r="B58" s="13">
        <f>((B33/B32)-1)*100</f>
        <v>19.553683083168071</v>
      </c>
      <c r="C58" s="13">
        <f t="shared" ref="C58:F58" si="10">((C33/C32)-1)*100</f>
        <v>17.486216248401277</v>
      </c>
      <c r="D58" s="13">
        <f t="shared" si="10"/>
        <v>11.114364051191593</v>
      </c>
      <c r="E58" s="13">
        <f t="shared" si="10"/>
        <v>8.5145098417434895</v>
      </c>
      <c r="F58" s="13">
        <f t="shared" si="10"/>
        <v>539.07105263157894</v>
      </c>
    </row>
    <row r="59" spans="1:6" x14ac:dyDescent="0.25">
      <c r="A59" s="7" t="s">
        <v>27</v>
      </c>
      <c r="B59" s="13">
        <f>((B35/B34)-1)*100</f>
        <v>-59.790573658251375</v>
      </c>
      <c r="C59" s="13">
        <f t="shared" ref="C59:F59" si="11">((C35/C34)-1)*100</f>
        <v>13.478309396164745</v>
      </c>
      <c r="D59" s="13">
        <f t="shared" si="11"/>
        <v>13.456514316374779</v>
      </c>
      <c r="E59" s="13">
        <f t="shared" si="11"/>
        <v>-80.10630867535852</v>
      </c>
      <c r="F59" s="13">
        <f t="shared" si="11"/>
        <v>-15.810999054522535</v>
      </c>
    </row>
    <row r="60" spans="1:6" x14ac:dyDescent="0.25">
      <c r="A60" s="7"/>
      <c r="B60" s="13"/>
      <c r="C60" s="13"/>
      <c r="D60" s="13"/>
      <c r="E60" s="13"/>
      <c r="F60" s="13"/>
    </row>
    <row r="61" spans="1:6" x14ac:dyDescent="0.25">
      <c r="A61" s="7" t="s">
        <v>28</v>
      </c>
      <c r="B61" s="7"/>
      <c r="C61" s="7"/>
      <c r="D61" s="7"/>
      <c r="E61" s="7"/>
      <c r="F61" s="7"/>
    </row>
    <row r="62" spans="1:6" x14ac:dyDescent="0.25">
      <c r="A62" s="7" t="s">
        <v>46</v>
      </c>
      <c r="B62" s="5">
        <f>B17/(B11*3)</f>
        <v>68528.193595535471</v>
      </c>
      <c r="C62" s="5">
        <f t="shared" ref="C62:D62" si="12">C17/(C11*3)</f>
        <v>176210</v>
      </c>
      <c r="D62" s="5">
        <f t="shared" si="12"/>
        <v>70484</v>
      </c>
      <c r="E62" s="5">
        <f>E17/(E11*3)</f>
        <v>48000</v>
      </c>
      <c r="F62" s="5">
        <f>F17/(F11*3)</f>
        <v>550000</v>
      </c>
    </row>
    <row r="63" spans="1:6" x14ac:dyDescent="0.25">
      <c r="A63" s="7" t="s">
        <v>47</v>
      </c>
      <c r="B63" s="5">
        <f>$B$18/(B12*3)</f>
        <v>69693.952326477243</v>
      </c>
      <c r="C63" s="5">
        <f>C18/(C12*3)</f>
        <v>176245.56943883729</v>
      </c>
      <c r="D63" s="5">
        <f t="shared" ref="D63:F63" si="13">D18/(D12*3)</f>
        <v>70483.999999999985</v>
      </c>
      <c r="E63" s="5">
        <f t="shared" si="13"/>
        <v>48003.019588896699</v>
      </c>
      <c r="F63" s="5">
        <f t="shared" si="13"/>
        <v>489620.75848303392</v>
      </c>
    </row>
    <row r="64" spans="1:6" x14ac:dyDescent="0.25">
      <c r="A64" s="7" t="s">
        <v>29</v>
      </c>
      <c r="B64" s="13">
        <f>(B63/B62)*B46</f>
        <v>97.289773069632147</v>
      </c>
      <c r="C64" s="13">
        <f t="shared" ref="C64:F64" si="14">(C63/C62)*C46</f>
        <v>91.010103020059859</v>
      </c>
      <c r="D64" s="13">
        <f t="shared" si="14"/>
        <v>89.23928077455048</v>
      </c>
      <c r="E64" s="13">
        <f t="shared" si="14"/>
        <v>95.400320439715827</v>
      </c>
      <c r="F64" s="13">
        <f t="shared" si="14"/>
        <v>143.37379662443817</v>
      </c>
    </row>
    <row r="65" spans="1:7" x14ac:dyDescent="0.25">
      <c r="A65" s="7" t="s">
        <v>48</v>
      </c>
      <c r="B65" s="25">
        <f>B17/B11</f>
        <v>205584.58078660644</v>
      </c>
      <c r="C65" s="25">
        <f t="shared" ref="C65:D65" si="15">C17/C11</f>
        <v>528630</v>
      </c>
      <c r="D65" s="25">
        <f t="shared" si="15"/>
        <v>211452</v>
      </c>
      <c r="E65" s="25">
        <f>E17/E11</f>
        <v>144000</v>
      </c>
      <c r="F65" s="25">
        <f>F17/F11</f>
        <v>1650000</v>
      </c>
    </row>
    <row r="66" spans="1:7" x14ac:dyDescent="0.25">
      <c r="A66" s="7" t="s">
        <v>49</v>
      </c>
      <c r="B66" s="25">
        <f>B18/B12</f>
        <v>209081.85697943173</v>
      </c>
      <c r="C66" s="25">
        <f t="shared" ref="C66:F66" si="16">C18/C12</f>
        <v>528736.70831651194</v>
      </c>
      <c r="D66" s="25">
        <f t="shared" si="16"/>
        <v>211451.99999999997</v>
      </c>
      <c r="E66" s="25">
        <f t="shared" si="16"/>
        <v>144009.05876669008</v>
      </c>
      <c r="F66" s="25">
        <f t="shared" si="16"/>
        <v>1468862.2754491018</v>
      </c>
    </row>
    <row r="67" spans="1:7" x14ac:dyDescent="0.25">
      <c r="A67" s="7"/>
      <c r="B67" s="13"/>
      <c r="C67" s="13"/>
      <c r="D67" s="13"/>
      <c r="E67" s="13"/>
      <c r="F67" s="13"/>
    </row>
    <row r="68" spans="1:7" x14ac:dyDescent="0.25">
      <c r="A68" s="7" t="s">
        <v>30</v>
      </c>
      <c r="B68" s="13"/>
      <c r="C68" s="13"/>
      <c r="D68" s="13"/>
      <c r="E68" s="13"/>
      <c r="F68" s="13"/>
    </row>
    <row r="69" spans="1:7" x14ac:dyDescent="0.25">
      <c r="A69" s="7" t="s">
        <v>31</v>
      </c>
      <c r="B69" s="13">
        <f>(B24/B23)*100</f>
        <v>99.999684920703316</v>
      </c>
      <c r="C69" s="13"/>
      <c r="D69" s="13"/>
      <c r="E69" s="13"/>
      <c r="F69" s="13"/>
      <c r="G69" s="11"/>
    </row>
    <row r="70" spans="1:7" x14ac:dyDescent="0.25">
      <c r="A70" s="7" t="s">
        <v>32</v>
      </c>
      <c r="B70" s="13">
        <f>(B18/B24)*100</f>
        <v>96.469539899014535</v>
      </c>
      <c r="C70" s="13"/>
      <c r="D70" s="13"/>
      <c r="E70" s="13"/>
      <c r="F70" s="13"/>
      <c r="G70" s="11"/>
    </row>
    <row r="71" spans="1:7" ht="15.75" thickBot="1" x14ac:dyDescent="0.3">
      <c r="A71" s="14"/>
      <c r="B71" s="14"/>
      <c r="C71" s="14"/>
      <c r="D71" s="14"/>
      <c r="E71" s="14"/>
      <c r="F71" s="14"/>
    </row>
    <row r="72" spans="1:7" ht="15.75" thickTop="1" x14ac:dyDescent="0.25"/>
    <row r="73" spans="1:7" x14ac:dyDescent="0.25">
      <c r="A73" t="s">
        <v>35</v>
      </c>
    </row>
    <row r="74" spans="1:7" x14ac:dyDescent="0.25">
      <c r="A74" t="s">
        <v>90</v>
      </c>
    </row>
    <row r="75" spans="1:7" x14ac:dyDescent="0.25">
      <c r="A75" t="s">
        <v>91</v>
      </c>
      <c r="B75" s="15"/>
      <c r="C75" s="15"/>
      <c r="D75" s="15"/>
    </row>
    <row r="76" spans="1:7" x14ac:dyDescent="0.25">
      <c r="A76" t="s">
        <v>69</v>
      </c>
    </row>
    <row r="79" spans="1:7" x14ac:dyDescent="0.25">
      <c r="A79" t="s">
        <v>36</v>
      </c>
    </row>
    <row r="80" spans="1:7" x14ac:dyDescent="0.25">
      <c r="A80" t="s">
        <v>37</v>
      </c>
    </row>
    <row r="81" spans="1:1" x14ac:dyDescent="0.25">
      <c r="A81" t="s">
        <v>92</v>
      </c>
    </row>
    <row r="82" spans="1:1" x14ac:dyDescent="0.25">
      <c r="A82" s="38"/>
    </row>
    <row r="83" spans="1:1" x14ac:dyDescent="0.25">
      <c r="A83" t="s">
        <v>136</v>
      </c>
    </row>
    <row r="190" spans="4:8" x14ac:dyDescent="0.25">
      <c r="D190" s="24"/>
      <c r="E190" s="24" t="s">
        <v>42</v>
      </c>
      <c r="F190" s="24" t="s">
        <v>43</v>
      </c>
      <c r="G190" s="24" t="s">
        <v>44</v>
      </c>
      <c r="H190" s="24" t="s">
        <v>45</v>
      </c>
    </row>
    <row r="191" spans="4:8" x14ac:dyDescent="0.25">
      <c r="D191" s="24" t="s">
        <v>31</v>
      </c>
      <c r="E191" s="24">
        <v>93.271828425704058</v>
      </c>
      <c r="F191" s="24">
        <v>86.548558144982096</v>
      </c>
      <c r="G191" s="24">
        <v>82.222189747580757</v>
      </c>
      <c r="H191" s="24">
        <v>104.27430435089333</v>
      </c>
    </row>
    <row r="192" spans="4:8" x14ac:dyDescent="0.25">
      <c r="D192" s="24" t="s">
        <v>32</v>
      </c>
      <c r="E192" s="24">
        <v>72.182667347333364</v>
      </c>
      <c r="F192" s="24">
        <v>84.936774249756979</v>
      </c>
      <c r="G192" s="24">
        <v>106.94937841615069</v>
      </c>
      <c r="H192" s="24">
        <v>130.54830055902181</v>
      </c>
    </row>
    <row r="213" spans="5:5" x14ac:dyDescent="0.25">
      <c r="E213">
        <f>(100+25)/2</f>
        <v>62.5</v>
      </c>
    </row>
  </sheetData>
  <mergeCells count="4">
    <mergeCell ref="A2:E2"/>
    <mergeCell ref="A4:A5"/>
    <mergeCell ref="B4:B5"/>
    <mergeCell ref="C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zoomScaleNormal="100" workbookViewId="0">
      <pane xSplit="1" ySplit="5" topLeftCell="B74" activePane="bottomRight" state="frozen"/>
      <selection activeCell="D40" sqref="D40"/>
      <selection pane="topRight" activeCell="D40" sqref="D40"/>
      <selection pane="bottomLeft" activeCell="D40" sqref="D40"/>
      <selection pane="bottomRight" activeCell="A81" sqref="A81"/>
    </sheetView>
  </sheetViews>
  <sheetFormatPr baseColWidth="10" defaultColWidth="11.42578125" defaultRowHeight="15" x14ac:dyDescent="0.25"/>
  <cols>
    <col min="1" max="1" width="55.140625" customWidth="1"/>
    <col min="2" max="2" width="17.42578125" customWidth="1"/>
    <col min="3" max="3" width="16.85546875" bestFit="1" customWidth="1"/>
    <col min="4" max="4" width="15.140625" bestFit="1" customWidth="1"/>
    <col min="5" max="5" width="20.28515625" customWidth="1"/>
    <col min="6" max="6" width="14.5703125" customWidth="1"/>
  </cols>
  <sheetData>
    <row r="2" spans="1:8" ht="15.75" x14ac:dyDescent="0.25">
      <c r="A2" s="44" t="s">
        <v>93</v>
      </c>
      <c r="B2" s="44"/>
      <c r="C2" s="44"/>
      <c r="D2" s="44"/>
      <c r="E2" s="44"/>
    </row>
    <row r="4" spans="1:8" x14ac:dyDescent="0.25">
      <c r="A4" s="45" t="s">
        <v>0</v>
      </c>
      <c r="B4" s="47" t="s">
        <v>33</v>
      </c>
      <c r="C4" s="49" t="s">
        <v>2</v>
      </c>
      <c r="D4" s="49"/>
      <c r="E4" s="49"/>
      <c r="F4" s="49"/>
    </row>
    <row r="5" spans="1:8" ht="30.75" thickBot="1" x14ac:dyDescent="0.3">
      <c r="A5" s="46"/>
      <c r="B5" s="48" t="s">
        <v>34</v>
      </c>
      <c r="C5" s="1" t="s">
        <v>40</v>
      </c>
      <c r="D5" s="1" t="s">
        <v>41</v>
      </c>
      <c r="E5" s="1" t="s">
        <v>3</v>
      </c>
      <c r="F5" s="37" t="s">
        <v>52</v>
      </c>
    </row>
    <row r="6" spans="1:8" ht="15.75" thickTop="1" x14ac:dyDescent="0.25"/>
    <row r="7" spans="1:8" x14ac:dyDescent="0.25">
      <c r="A7" s="2" t="s">
        <v>4</v>
      </c>
    </row>
    <row r="9" spans="1:8" x14ac:dyDescent="0.25">
      <c r="A9" t="s">
        <v>38</v>
      </c>
      <c r="C9" s="3"/>
    </row>
    <row r="10" spans="1:8" x14ac:dyDescent="0.25">
      <c r="A10" s="4" t="s">
        <v>57</v>
      </c>
      <c r="B10" s="27">
        <f>SUM(C10:F10)</f>
        <v>13840</v>
      </c>
      <c r="C10" s="5">
        <f>1085+742</f>
        <v>1827</v>
      </c>
      <c r="D10" s="5">
        <f>676+430</f>
        <v>1106</v>
      </c>
      <c r="E10" s="5">
        <f>6417+4225</f>
        <v>10642</v>
      </c>
      <c r="F10" s="5">
        <f>83+182</f>
        <v>265</v>
      </c>
      <c r="H10" s="11"/>
    </row>
    <row r="11" spans="1:8" x14ac:dyDescent="0.25">
      <c r="A11" s="6" t="s">
        <v>94</v>
      </c>
      <c r="B11" s="27">
        <f>SUM(C11:F11)</f>
        <v>15052</v>
      </c>
      <c r="C11" s="5">
        <v>1815</v>
      </c>
      <c r="D11" s="5">
        <v>1205</v>
      </c>
      <c r="E11" s="5">
        <v>11934</v>
      </c>
      <c r="F11" s="5">
        <v>98</v>
      </c>
    </row>
    <row r="12" spans="1:8" x14ac:dyDescent="0.25">
      <c r="A12" s="6" t="s">
        <v>95</v>
      </c>
      <c r="B12" s="27">
        <f>SUM(C12:F12)</f>
        <v>13993</v>
      </c>
      <c r="C12" s="5">
        <f>329+1552</f>
        <v>1881</v>
      </c>
      <c r="D12" s="5">
        <f>1074+97</f>
        <v>1171</v>
      </c>
      <c r="E12" s="5">
        <f>10065+788</f>
        <v>10853</v>
      </c>
      <c r="F12" s="5">
        <f>88</f>
        <v>88</v>
      </c>
      <c r="G12" s="11"/>
      <c r="H12" s="11"/>
    </row>
    <row r="13" spans="1:8" x14ac:dyDescent="0.25">
      <c r="A13" s="6" t="s">
        <v>85</v>
      </c>
      <c r="B13" s="5">
        <f>SUM(C13:F13)</f>
        <v>15052</v>
      </c>
      <c r="C13" s="5">
        <v>1815</v>
      </c>
      <c r="D13" s="34">
        <v>1205</v>
      </c>
      <c r="E13" s="34">
        <v>11934</v>
      </c>
      <c r="F13" s="5">
        <v>98</v>
      </c>
      <c r="G13" s="11"/>
    </row>
    <row r="14" spans="1:8" x14ac:dyDescent="0.25">
      <c r="B14" s="7"/>
      <c r="C14" s="7"/>
      <c r="D14" s="7"/>
      <c r="E14" s="7"/>
      <c r="F14" s="7"/>
      <c r="G14" s="30"/>
    </row>
    <row r="15" spans="1:8" x14ac:dyDescent="0.25">
      <c r="A15" s="8" t="s">
        <v>5</v>
      </c>
      <c r="B15" s="7"/>
      <c r="C15" s="7"/>
      <c r="D15" s="7"/>
      <c r="E15" s="7"/>
      <c r="F15" s="7"/>
    </row>
    <row r="16" spans="1:8" x14ac:dyDescent="0.25">
      <c r="A16" s="4" t="s">
        <v>57</v>
      </c>
      <c r="B16" s="27">
        <f>SUM(C16:F16)</f>
        <v>2861344272</v>
      </c>
      <c r="C16" s="5">
        <f>502484412+342113775</f>
        <v>844598187</v>
      </c>
      <c r="D16" s="5">
        <f>124789587+79400373</f>
        <v>204189960</v>
      </c>
      <c r="E16" s="5">
        <f>962427375+652128750</f>
        <v>1614556125</v>
      </c>
      <c r="F16" s="5">
        <f>66000000+132000000</f>
        <v>198000000</v>
      </c>
      <c r="H16" s="11"/>
    </row>
    <row r="17" spans="1:8" x14ac:dyDescent="0.25">
      <c r="A17" s="6" t="s">
        <v>94</v>
      </c>
      <c r="B17" s="27">
        <f>SUM(C17:F17)</f>
        <v>3094459110</v>
      </c>
      <c r="C17" s="3">
        <f>319821150*3</f>
        <v>959463450</v>
      </c>
      <c r="D17" s="3">
        <f>84933220*3</f>
        <v>254799660</v>
      </c>
      <c r="E17" s="5">
        <f>572832000*3</f>
        <v>1718496000</v>
      </c>
      <c r="F17" s="5">
        <f>53900000*3</f>
        <v>161700000</v>
      </c>
    </row>
    <row r="18" spans="1:8" x14ac:dyDescent="0.25">
      <c r="A18" s="6" t="s">
        <v>95</v>
      </c>
      <c r="B18" s="27">
        <f>SUM(C18:F18)</f>
        <v>2987971759</v>
      </c>
      <c r="C18" s="5">
        <f>820962392+32598850</f>
        <v>853561242</v>
      </c>
      <c r="D18" s="5">
        <f>227099448+20510844</f>
        <v>247610292</v>
      </c>
      <c r="E18" s="5">
        <f>1622933125+153102500</f>
        <v>1776035625</v>
      </c>
      <c r="F18" s="5">
        <f>110764600</f>
        <v>110764600</v>
      </c>
      <c r="H18" s="11"/>
    </row>
    <row r="19" spans="1:8" x14ac:dyDescent="0.25">
      <c r="A19" s="6" t="s">
        <v>85</v>
      </c>
      <c r="B19" s="5">
        <f>SUM(C19:F19)</f>
        <v>12377836440</v>
      </c>
      <c r="C19" s="33">
        <v>3837853800</v>
      </c>
      <c r="D19" s="34">
        <v>1019198640</v>
      </c>
      <c r="E19" s="34">
        <v>6873984000</v>
      </c>
      <c r="F19" s="34">
        <v>646800000</v>
      </c>
    </row>
    <row r="20" spans="1:8" x14ac:dyDescent="0.25">
      <c r="A20" s="6" t="s">
        <v>96</v>
      </c>
      <c r="B20" s="27">
        <f>SUM(C20:F20)</f>
        <v>2987971759</v>
      </c>
      <c r="C20" s="5">
        <f>C18</f>
        <v>853561242</v>
      </c>
      <c r="D20" s="5">
        <f>D18</f>
        <v>247610292</v>
      </c>
      <c r="E20" s="5">
        <f>E18</f>
        <v>1776035625</v>
      </c>
      <c r="F20" s="5">
        <f>F18</f>
        <v>110764600</v>
      </c>
      <c r="G20" s="11"/>
    </row>
    <row r="21" spans="1:8" x14ac:dyDescent="0.25">
      <c r="B21" s="5"/>
      <c r="C21" s="9"/>
      <c r="D21" s="5"/>
      <c r="E21" s="5"/>
      <c r="F21" s="5"/>
    </row>
    <row r="22" spans="1:8" x14ac:dyDescent="0.25">
      <c r="A22" s="10" t="s">
        <v>6</v>
      </c>
      <c r="B22" s="5"/>
      <c r="C22" s="5"/>
      <c r="D22" s="5"/>
      <c r="E22" s="5"/>
      <c r="F22" s="5"/>
    </row>
    <row r="23" spans="1:8" x14ac:dyDescent="0.25">
      <c r="A23" s="4" t="s">
        <v>94</v>
      </c>
      <c r="B23" s="5">
        <f>B17</f>
        <v>3094459110</v>
      </c>
      <c r="C23" s="5"/>
      <c r="D23" s="5"/>
      <c r="E23" s="5"/>
      <c r="F23" s="5"/>
      <c r="G23" s="11"/>
    </row>
    <row r="24" spans="1:8" x14ac:dyDescent="0.25">
      <c r="A24" s="4" t="s">
        <v>95</v>
      </c>
      <c r="B24" s="5">
        <f>1031486370+1031486370+1031486370</f>
        <v>3094459110</v>
      </c>
      <c r="C24" s="5"/>
      <c r="D24" s="5"/>
      <c r="E24" s="5"/>
      <c r="F24" s="5"/>
      <c r="G24" s="11"/>
    </row>
    <row r="25" spans="1:8" x14ac:dyDescent="0.25">
      <c r="A25" s="7"/>
      <c r="B25" s="7"/>
      <c r="C25" s="7"/>
      <c r="D25" s="7"/>
      <c r="E25" s="7"/>
      <c r="F25" s="7"/>
    </row>
    <row r="26" spans="1:8" x14ac:dyDescent="0.25">
      <c r="A26" s="7" t="s">
        <v>7</v>
      </c>
      <c r="B26" s="7"/>
      <c r="C26" s="7"/>
      <c r="D26" s="7"/>
      <c r="E26" s="7"/>
      <c r="F26" s="7"/>
    </row>
    <row r="27" spans="1:8" x14ac:dyDescent="0.25">
      <c r="A27" s="4" t="s">
        <v>58</v>
      </c>
      <c r="B27" s="32">
        <v>0.99</v>
      </c>
      <c r="C27" s="31">
        <v>0.99</v>
      </c>
      <c r="D27" s="31">
        <v>0.99</v>
      </c>
      <c r="E27" s="31">
        <v>0.99</v>
      </c>
      <c r="F27" s="31">
        <v>0.99</v>
      </c>
    </row>
    <row r="28" spans="1:8" x14ac:dyDescent="0.25">
      <c r="A28" s="4" t="s">
        <v>97</v>
      </c>
      <c r="B28" s="32">
        <f>(100.58+100.8+100.88)/(3*100)</f>
        <v>1.0075333333333334</v>
      </c>
      <c r="C28" s="32">
        <f t="shared" ref="C28:F28" si="0">(100.58+100.8+100.88)/(3*100)</f>
        <v>1.0075333333333334</v>
      </c>
      <c r="D28" s="32">
        <f t="shared" si="0"/>
        <v>1.0075333333333334</v>
      </c>
      <c r="E28" s="32">
        <f t="shared" si="0"/>
        <v>1.0075333333333334</v>
      </c>
      <c r="F28" s="32">
        <f t="shared" si="0"/>
        <v>1.0075333333333334</v>
      </c>
    </row>
    <row r="29" spans="1:8" x14ac:dyDescent="0.25">
      <c r="A29" s="4" t="s">
        <v>8</v>
      </c>
      <c r="B29" s="5"/>
      <c r="C29" s="5"/>
      <c r="D29" s="5"/>
      <c r="E29" s="5"/>
      <c r="F29" s="5"/>
    </row>
    <row r="30" spans="1:8" x14ac:dyDescent="0.25">
      <c r="A30" s="7"/>
      <c r="B30" s="7"/>
      <c r="C30" s="7"/>
      <c r="D30" s="7"/>
      <c r="E30" s="7"/>
      <c r="F30" s="7"/>
    </row>
    <row r="31" spans="1:8" x14ac:dyDescent="0.25">
      <c r="A31" s="12" t="s">
        <v>9</v>
      </c>
      <c r="B31" s="7"/>
      <c r="C31" s="7"/>
      <c r="D31" s="7"/>
      <c r="E31" s="7"/>
      <c r="F31" s="7"/>
    </row>
    <row r="32" spans="1:8" x14ac:dyDescent="0.25">
      <c r="A32" s="7" t="s">
        <v>59</v>
      </c>
      <c r="B32" s="5">
        <f>B16/B27</f>
        <v>2890246739.3939395</v>
      </c>
      <c r="C32" s="5">
        <f>C16/C27</f>
        <v>853129481.81818187</v>
      </c>
      <c r="D32" s="5">
        <f>D16/D27</f>
        <v>206252484.84848484</v>
      </c>
      <c r="E32" s="5">
        <f>E16/E27</f>
        <v>1630864772.7272727</v>
      </c>
      <c r="F32" s="5">
        <f>F16/F27</f>
        <v>200000000</v>
      </c>
    </row>
    <row r="33" spans="1:8" x14ac:dyDescent="0.25">
      <c r="A33" s="7" t="s">
        <v>98</v>
      </c>
      <c r="B33" s="40">
        <f>B18/B28</f>
        <v>2965630674.5847945</v>
      </c>
      <c r="C33" s="5">
        <f>C18/C28</f>
        <v>847179159.00218356</v>
      </c>
      <c r="D33" s="5">
        <f>D18/D28</f>
        <v>245758908.22470719</v>
      </c>
      <c r="E33" s="5">
        <f>E18/E28</f>
        <v>1762756194.997684</v>
      </c>
      <c r="F33" s="5">
        <f>F18/F28</f>
        <v>109936412.36021967</v>
      </c>
    </row>
    <row r="34" spans="1:8" x14ac:dyDescent="0.25">
      <c r="A34" s="7" t="s">
        <v>60</v>
      </c>
      <c r="B34" s="27">
        <f>$B$32/(B10)</f>
        <v>208832.85689262568</v>
      </c>
      <c r="C34" s="27">
        <f>C32/(C10)</f>
        <v>466956.47609095887</v>
      </c>
      <c r="D34" s="27">
        <f>D32/(D10)</f>
        <v>186485.06767494109</v>
      </c>
      <c r="E34" s="27">
        <f>E32/(E10)</f>
        <v>153247.95834685894</v>
      </c>
      <c r="F34" s="27">
        <f>F32/(F10)</f>
        <v>754716.98113207542</v>
      </c>
      <c r="H34" s="11"/>
    </row>
    <row r="35" spans="1:8" x14ac:dyDescent="0.25">
      <c r="A35" s="7" t="s">
        <v>99</v>
      </c>
      <c r="B35" s="27">
        <f>$B$33/(B12)</f>
        <v>211936.73083576033</v>
      </c>
      <c r="C35" s="27">
        <f>C33/(C12)</f>
        <v>450387.64433927886</v>
      </c>
      <c r="D35" s="27">
        <f>D33/(D12)</f>
        <v>209870.97201085158</v>
      </c>
      <c r="E35" s="27">
        <f>E33/(E12)</f>
        <v>162421.09969572321</v>
      </c>
      <c r="F35" s="27">
        <f>F33/(F12)</f>
        <v>1249277.4131843145</v>
      </c>
      <c r="H35" s="11"/>
    </row>
    <row r="36" spans="1:8" x14ac:dyDescent="0.25">
      <c r="A36" s="7"/>
      <c r="B36" s="7"/>
      <c r="C36" s="7"/>
      <c r="D36" s="7"/>
      <c r="E36" s="7"/>
      <c r="F36" s="7"/>
    </row>
    <row r="37" spans="1:8" x14ac:dyDescent="0.25">
      <c r="A37" s="2" t="s">
        <v>10</v>
      </c>
      <c r="B37" s="7"/>
      <c r="C37" s="7"/>
      <c r="D37" s="7"/>
      <c r="E37" s="7"/>
      <c r="F37" s="7"/>
    </row>
    <row r="38" spans="1:8" x14ac:dyDescent="0.25">
      <c r="B38" s="7"/>
      <c r="C38" s="7"/>
      <c r="D38" s="7"/>
      <c r="E38" s="7"/>
      <c r="F38" s="7"/>
    </row>
    <row r="39" spans="1:8" x14ac:dyDescent="0.25">
      <c r="A39" t="s">
        <v>11</v>
      </c>
      <c r="B39" s="7"/>
      <c r="C39" s="7"/>
      <c r="D39" s="7"/>
      <c r="E39" s="7"/>
      <c r="F39" s="7"/>
    </row>
    <row r="40" spans="1:8" x14ac:dyDescent="0.25">
      <c r="A40" t="s">
        <v>12</v>
      </c>
      <c r="B40" s="13" t="e">
        <f>B11/B29*100</f>
        <v>#DIV/0!</v>
      </c>
      <c r="C40" s="13"/>
      <c r="D40" s="13"/>
      <c r="E40" s="13"/>
      <c r="F40" s="13"/>
    </row>
    <row r="41" spans="1:8" x14ac:dyDescent="0.25">
      <c r="A41" t="s">
        <v>13</v>
      </c>
      <c r="B41" s="13" t="e">
        <f>B12/B29*100</f>
        <v>#DIV/0!</v>
      </c>
      <c r="C41" s="13"/>
      <c r="D41" s="13"/>
      <c r="E41" s="13"/>
      <c r="F41" s="13"/>
    </row>
    <row r="42" spans="1:8" x14ac:dyDescent="0.25">
      <c r="B42" s="7"/>
      <c r="C42" s="7"/>
      <c r="D42" s="7"/>
      <c r="E42" s="7"/>
      <c r="F42" s="7"/>
    </row>
    <row r="43" spans="1:8" x14ac:dyDescent="0.25">
      <c r="A43" t="s">
        <v>14</v>
      </c>
      <c r="B43" s="7"/>
      <c r="C43" s="7"/>
      <c r="D43" s="7"/>
      <c r="E43" s="7"/>
      <c r="F43" s="7"/>
    </row>
    <row r="44" spans="1:8" x14ac:dyDescent="0.25">
      <c r="A44" t="s">
        <v>15</v>
      </c>
      <c r="B44" s="13">
        <f>B12/B11*100</f>
        <v>92.964390114270529</v>
      </c>
      <c r="C44" s="13">
        <f t="shared" ref="C44:F44" si="1">C12/C11*100</f>
        <v>103.63636363636364</v>
      </c>
      <c r="D44" s="13">
        <f t="shared" si="1"/>
        <v>97.178423236514519</v>
      </c>
      <c r="E44" s="13">
        <f t="shared" si="1"/>
        <v>90.941846824199772</v>
      </c>
      <c r="F44" s="13">
        <f t="shared" si="1"/>
        <v>89.795918367346943</v>
      </c>
    </row>
    <row r="45" spans="1:8" x14ac:dyDescent="0.25">
      <c r="A45" t="s">
        <v>16</v>
      </c>
      <c r="B45" s="13">
        <f>B18/B17*100</f>
        <v>96.558773368312501</v>
      </c>
      <c r="C45" s="13">
        <f>C18/C17*100</f>
        <v>88.962350988982436</v>
      </c>
      <c r="D45" s="13">
        <f>D18/D17*100</f>
        <v>97.178423236514519</v>
      </c>
      <c r="E45" s="13">
        <f>E18/E17*100</f>
        <v>103.34825481118372</v>
      </c>
      <c r="F45" s="13">
        <f>F18/F17*100</f>
        <v>68.500061842918996</v>
      </c>
    </row>
    <row r="46" spans="1:8" x14ac:dyDescent="0.25">
      <c r="A46" s="7" t="s">
        <v>17</v>
      </c>
      <c r="B46" s="13">
        <f>AVERAGE(B44:B45)</f>
        <v>94.761581741291508</v>
      </c>
      <c r="C46" s="13">
        <f t="shared" ref="C46:F46" si="2">AVERAGE(C44:C45)</f>
        <v>96.299357312673038</v>
      </c>
      <c r="D46" s="13">
        <f t="shared" si="2"/>
        <v>97.178423236514519</v>
      </c>
      <c r="E46" s="13">
        <f t="shared" si="2"/>
        <v>97.145050817691754</v>
      </c>
      <c r="F46" s="13">
        <f t="shared" si="2"/>
        <v>79.147990105132976</v>
      </c>
    </row>
    <row r="47" spans="1:8" x14ac:dyDescent="0.25">
      <c r="A47" s="7"/>
      <c r="B47" s="13"/>
      <c r="C47" s="13"/>
      <c r="D47" s="13"/>
      <c r="E47" s="13"/>
      <c r="F47" s="13"/>
    </row>
    <row r="48" spans="1:8" x14ac:dyDescent="0.25">
      <c r="A48" s="7" t="s">
        <v>18</v>
      </c>
      <c r="B48" s="7"/>
      <c r="C48" s="7"/>
      <c r="D48" s="7"/>
      <c r="E48" s="7"/>
      <c r="F48" s="7"/>
    </row>
    <row r="49" spans="1:7" x14ac:dyDescent="0.25">
      <c r="A49" s="7" t="s">
        <v>19</v>
      </c>
      <c r="B49" s="28">
        <f>(B12/B13)*100</f>
        <v>92.964390114270529</v>
      </c>
      <c r="C49" s="28">
        <f t="shared" ref="C49:F49" si="3">(C12/C13)*100</f>
        <v>103.63636363636364</v>
      </c>
      <c r="D49" s="28">
        <f t="shared" si="3"/>
        <v>97.178423236514519</v>
      </c>
      <c r="E49" s="28">
        <f t="shared" si="3"/>
        <v>90.941846824199772</v>
      </c>
      <c r="F49" s="28">
        <f t="shared" si="3"/>
        <v>89.795918367346943</v>
      </c>
      <c r="G49" s="11"/>
    </row>
    <row r="50" spans="1:7" x14ac:dyDescent="0.25">
      <c r="A50" s="7" t="s">
        <v>20</v>
      </c>
      <c r="B50" s="13">
        <f>B18/B19*100</f>
        <v>24.139693342078125</v>
      </c>
      <c r="C50" s="13">
        <f>C18/C19*100</f>
        <v>22.240587747245609</v>
      </c>
      <c r="D50" s="13">
        <f>D18/D19*100</f>
        <v>24.29460580912863</v>
      </c>
      <c r="E50" s="13">
        <f>E18/E19*100</f>
        <v>25.83706370279593</v>
      </c>
      <c r="F50" s="13">
        <f>F18/F19*100</f>
        <v>17.125015460729749</v>
      </c>
    </row>
    <row r="51" spans="1:7" x14ac:dyDescent="0.25">
      <c r="A51" s="7" t="s">
        <v>21</v>
      </c>
      <c r="B51" s="13">
        <f>(B49+B50)/2</f>
        <v>58.552041728174331</v>
      </c>
      <c r="C51" s="13">
        <f t="shared" ref="C51:F51" si="4">(C49+C50)/2</f>
        <v>62.938475691804626</v>
      </c>
      <c r="D51" s="13">
        <f t="shared" si="4"/>
        <v>60.736514522821572</v>
      </c>
      <c r="E51" s="13">
        <f t="shared" si="4"/>
        <v>58.389455263497851</v>
      </c>
      <c r="F51" s="13">
        <f t="shared" si="4"/>
        <v>53.460466914038349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22</v>
      </c>
      <c r="B53" s="7"/>
      <c r="C53" s="7"/>
      <c r="D53" s="7"/>
      <c r="E53" s="7"/>
      <c r="F53" s="7"/>
    </row>
    <row r="54" spans="1:7" x14ac:dyDescent="0.25">
      <c r="A54" s="7" t="s">
        <v>23</v>
      </c>
      <c r="B54" s="13">
        <f>B20/B18*100</f>
        <v>100</v>
      </c>
      <c r="C54" s="13"/>
      <c r="D54" s="13"/>
      <c r="E54" s="13"/>
      <c r="F54" s="13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24</v>
      </c>
      <c r="B56" s="7"/>
      <c r="C56" s="7"/>
      <c r="D56" s="7"/>
      <c r="E56" s="7"/>
      <c r="F56" s="7"/>
    </row>
    <row r="57" spans="1:7" x14ac:dyDescent="0.25">
      <c r="A57" s="7" t="s">
        <v>25</v>
      </c>
      <c r="B57" s="13">
        <f>((B12/B10)-1)*100</f>
        <v>1.1054913294797686</v>
      </c>
      <c r="C57" s="13">
        <f t="shared" ref="C57:F57" si="5">((C12/C10)-1)*100</f>
        <v>2.9556650246305383</v>
      </c>
      <c r="D57" s="13">
        <f t="shared" si="5"/>
        <v>5.8770343580470064</v>
      </c>
      <c r="E57" s="13">
        <f t="shared" si="5"/>
        <v>1.9827100169141243</v>
      </c>
      <c r="F57" s="13">
        <f t="shared" si="5"/>
        <v>-66.792452830188694</v>
      </c>
    </row>
    <row r="58" spans="1:7" x14ac:dyDescent="0.25">
      <c r="A58" s="7" t="s">
        <v>26</v>
      </c>
      <c r="B58" s="13">
        <f>((B33/B32)-1)*100</f>
        <v>2.6082179823395446</v>
      </c>
      <c r="C58" s="13">
        <f t="shared" ref="C58:F58" si="6">((C33/C32)-1)*100</f>
        <v>-0.69747007257526805</v>
      </c>
      <c r="D58" s="13">
        <f t="shared" si="6"/>
        <v>19.154398748332248</v>
      </c>
      <c r="E58" s="13">
        <f t="shared" si="6"/>
        <v>8.0872077486750182</v>
      </c>
      <c r="F58" s="13">
        <f t="shared" si="6"/>
        <v>-45.031793819890162</v>
      </c>
    </row>
    <row r="59" spans="1:7" x14ac:dyDescent="0.25">
      <c r="A59" s="7" t="s">
        <v>27</v>
      </c>
      <c r="B59" s="13">
        <f>((B35/B34)-1)*100</f>
        <v>1.4862957818608802</v>
      </c>
      <c r="C59" s="13">
        <f t="shared" ref="C59:F59" si="7">((C35/C34)-1)*100</f>
        <v>-3.5482604054200007</v>
      </c>
      <c r="D59" s="13">
        <f t="shared" si="7"/>
        <v>12.540362951029426</v>
      </c>
      <c r="E59" s="13">
        <f t="shared" si="7"/>
        <v>5.9858163513682339</v>
      </c>
      <c r="F59" s="13">
        <f t="shared" si="7"/>
        <v>65.529257246921688</v>
      </c>
    </row>
    <row r="60" spans="1:7" x14ac:dyDescent="0.25">
      <c r="A60" s="7"/>
      <c r="B60" s="13"/>
      <c r="C60" s="13"/>
      <c r="D60" s="13"/>
      <c r="E60" s="13"/>
      <c r="F60" s="13"/>
    </row>
    <row r="61" spans="1:7" x14ac:dyDescent="0.25">
      <c r="A61" s="7" t="s">
        <v>28</v>
      </c>
      <c r="B61" s="7"/>
      <c r="C61" s="7"/>
      <c r="D61" s="7"/>
      <c r="E61" s="7"/>
      <c r="F61" s="7"/>
    </row>
    <row r="62" spans="1:7" x14ac:dyDescent="0.25">
      <c r="A62" s="7" t="s">
        <v>46</v>
      </c>
      <c r="B62" s="5">
        <f>B17/(B11*3)</f>
        <v>68528.193595535471</v>
      </c>
      <c r="C62" s="5">
        <f>C17/(C11*3)</f>
        <v>176210</v>
      </c>
      <c r="D62" s="5">
        <f>D17/(D11*3)</f>
        <v>70484</v>
      </c>
      <c r="E62" s="5">
        <f>E17/(E11*3)</f>
        <v>48000</v>
      </c>
      <c r="F62" s="5">
        <f>F17/(F11*3)</f>
        <v>550000</v>
      </c>
    </row>
    <row r="63" spans="1:7" x14ac:dyDescent="0.25">
      <c r="A63" s="7" t="s">
        <v>47</v>
      </c>
      <c r="B63" s="5">
        <f>$B$18/(B12*3)</f>
        <v>71177.773624907699</v>
      </c>
      <c r="C63" s="5">
        <f>C18/(C12*3)</f>
        <v>151260.18819776716</v>
      </c>
      <c r="D63" s="5">
        <f>D18/(D12*3)</f>
        <v>70484</v>
      </c>
      <c r="E63" s="5">
        <f>E18/(E12*3)</f>
        <v>54548.223993365893</v>
      </c>
      <c r="F63" s="5">
        <f>F18/(F12*3)</f>
        <v>419562.87878787878</v>
      </c>
    </row>
    <row r="64" spans="1:7" x14ac:dyDescent="0.25">
      <c r="A64" s="7" t="s">
        <v>29</v>
      </c>
      <c r="B64" s="13">
        <f>(B63/B62)*B46</f>
        <v>98.425451768500395</v>
      </c>
      <c r="C64" s="13">
        <f t="shared" ref="C64:F64" si="8">(C63/C62)*C46</f>
        <v>82.664201296401728</v>
      </c>
      <c r="D64" s="13">
        <f t="shared" si="8"/>
        <v>97.178423236514519</v>
      </c>
      <c r="E64" s="13">
        <f t="shared" si="8"/>
        <v>110.39770816354921</v>
      </c>
      <c r="F64" s="13">
        <f t="shared" si="8"/>
        <v>60.377379234152976</v>
      </c>
    </row>
    <row r="65" spans="1:7" x14ac:dyDescent="0.25">
      <c r="A65" s="7" t="s">
        <v>48</v>
      </c>
      <c r="B65" s="13">
        <f t="shared" ref="B65:F66" si="9">B17/B11</f>
        <v>205584.58078660644</v>
      </c>
      <c r="C65" s="13">
        <f t="shared" si="9"/>
        <v>528630</v>
      </c>
      <c r="D65" s="13">
        <f t="shared" si="9"/>
        <v>211452</v>
      </c>
      <c r="E65" s="13">
        <f t="shared" si="9"/>
        <v>144000</v>
      </c>
      <c r="F65" s="13">
        <f t="shared" si="9"/>
        <v>1650000</v>
      </c>
    </row>
    <row r="66" spans="1:7" x14ac:dyDescent="0.25">
      <c r="A66" s="7" t="s">
        <v>49</v>
      </c>
      <c r="B66" s="13">
        <f t="shared" si="9"/>
        <v>213533.32087472308</v>
      </c>
      <c r="C66" s="13">
        <f t="shared" si="9"/>
        <v>453780.56459330145</v>
      </c>
      <c r="D66" s="13">
        <f t="shared" si="9"/>
        <v>211452</v>
      </c>
      <c r="E66" s="13">
        <f t="shared" si="9"/>
        <v>163644.67198009766</v>
      </c>
      <c r="F66" s="13">
        <f t="shared" si="9"/>
        <v>1258688.6363636365</v>
      </c>
    </row>
    <row r="67" spans="1:7" x14ac:dyDescent="0.25">
      <c r="A67" s="7"/>
      <c r="B67" s="13"/>
      <c r="C67" s="13"/>
      <c r="D67" s="13"/>
      <c r="E67" s="13"/>
      <c r="F67" s="13"/>
    </row>
    <row r="68" spans="1:7" x14ac:dyDescent="0.25">
      <c r="A68" s="7" t="s">
        <v>30</v>
      </c>
      <c r="B68" s="13"/>
      <c r="C68" s="13"/>
      <c r="D68" s="13"/>
      <c r="E68" s="13"/>
      <c r="F68" s="13"/>
    </row>
    <row r="69" spans="1:7" x14ac:dyDescent="0.25">
      <c r="A69" s="7" t="s">
        <v>31</v>
      </c>
      <c r="B69" s="13">
        <f>(B24/B23)*100</f>
        <v>100</v>
      </c>
      <c r="C69" s="13"/>
      <c r="D69" s="13"/>
      <c r="E69" s="13"/>
      <c r="F69" s="13"/>
      <c r="G69" s="11"/>
    </row>
    <row r="70" spans="1:7" x14ac:dyDescent="0.25">
      <c r="A70" s="7" t="s">
        <v>32</v>
      </c>
      <c r="B70" s="13">
        <f>(B18/B24)*100</f>
        <v>96.558773368312501</v>
      </c>
      <c r="C70" s="13"/>
      <c r="D70" s="13"/>
      <c r="E70" s="13"/>
      <c r="F70" s="13"/>
      <c r="G70" s="11"/>
    </row>
    <row r="71" spans="1:7" ht="15.75" thickBot="1" x14ac:dyDescent="0.3">
      <c r="A71" s="14"/>
      <c r="B71" s="14"/>
      <c r="C71" s="14"/>
      <c r="D71" s="14"/>
      <c r="E71" s="14"/>
      <c r="F71" s="14"/>
    </row>
    <row r="72" spans="1:7" ht="15.75" thickTop="1" x14ac:dyDescent="0.25"/>
    <row r="73" spans="1:7" x14ac:dyDescent="0.25">
      <c r="A73" t="s">
        <v>35</v>
      </c>
    </row>
    <row r="74" spans="1:7" x14ac:dyDescent="0.25">
      <c r="A74" t="s">
        <v>90</v>
      </c>
    </row>
    <row r="75" spans="1:7" x14ac:dyDescent="0.25">
      <c r="A75" t="s">
        <v>91</v>
      </c>
      <c r="B75" s="15"/>
      <c r="C75" s="15"/>
      <c r="D75" s="15"/>
    </row>
    <row r="76" spans="1:7" x14ac:dyDescent="0.25">
      <c r="A76" t="s">
        <v>69</v>
      </c>
    </row>
    <row r="79" spans="1:7" x14ac:dyDescent="0.25">
      <c r="A79" t="s">
        <v>36</v>
      </c>
    </row>
    <row r="80" spans="1:7" x14ac:dyDescent="0.25">
      <c r="A80" t="s">
        <v>37</v>
      </c>
    </row>
    <row r="81" spans="1:1" x14ac:dyDescent="0.25">
      <c r="A81" s="38"/>
    </row>
    <row r="83" spans="1:1" x14ac:dyDescent="0.25">
      <c r="A83" s="9" t="s">
        <v>137</v>
      </c>
    </row>
  </sheetData>
  <mergeCells count="4">
    <mergeCell ref="A2:E2"/>
    <mergeCell ref="A4:A5"/>
    <mergeCell ref="B4:B5"/>
    <mergeCell ref="C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zoomScaleNormal="100" workbookViewId="0">
      <pane xSplit="1" ySplit="5" topLeftCell="E6" activePane="bottomRight" state="frozen"/>
      <selection activeCell="D40" sqref="D40"/>
      <selection pane="topRight" activeCell="D40" sqref="D40"/>
      <selection pane="bottomLeft" activeCell="D40" sqref="D40"/>
      <selection pane="bottomRight" activeCell="C13" sqref="C13:F13"/>
    </sheetView>
  </sheetViews>
  <sheetFormatPr baseColWidth="10" defaultColWidth="11.42578125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8" ht="15.75" x14ac:dyDescent="0.25">
      <c r="A2" s="44" t="s">
        <v>100</v>
      </c>
      <c r="B2" s="44"/>
      <c r="C2" s="44"/>
      <c r="D2" s="44"/>
      <c r="E2" s="44"/>
    </row>
    <row r="4" spans="1:8" ht="15" customHeight="1" x14ac:dyDescent="0.25">
      <c r="A4" s="45" t="s">
        <v>0</v>
      </c>
      <c r="B4" s="18" t="s">
        <v>33</v>
      </c>
      <c r="C4" s="49" t="s">
        <v>2</v>
      </c>
      <c r="D4" s="49"/>
      <c r="E4" s="49"/>
      <c r="F4" s="49"/>
    </row>
    <row r="5" spans="1:8" ht="30.75" thickBot="1" x14ac:dyDescent="0.3">
      <c r="A5" s="46"/>
      <c r="B5" s="1" t="s">
        <v>34</v>
      </c>
      <c r="C5" s="1" t="s">
        <v>40</v>
      </c>
      <c r="D5" s="1" t="s">
        <v>41</v>
      </c>
      <c r="E5" s="1" t="s">
        <v>3</v>
      </c>
      <c r="F5" s="37" t="s">
        <v>52</v>
      </c>
    </row>
    <row r="6" spans="1:8" ht="15.75" thickTop="1" x14ac:dyDescent="0.25"/>
    <row r="7" spans="1:8" x14ac:dyDescent="0.25">
      <c r="A7" s="2" t="s">
        <v>4</v>
      </c>
    </row>
    <row r="9" spans="1:8" x14ac:dyDescent="0.25">
      <c r="A9" t="s">
        <v>38</v>
      </c>
    </row>
    <row r="10" spans="1:8" x14ac:dyDescent="0.25">
      <c r="A10" s="4" t="s">
        <v>61</v>
      </c>
      <c r="B10" s="5">
        <f>SUM(C10:F10)</f>
        <v>14340</v>
      </c>
      <c r="C10" s="3">
        <f>1579+107</f>
        <v>1686</v>
      </c>
      <c r="D10" s="3">
        <f>1022+191</f>
        <v>1213</v>
      </c>
      <c r="E10" s="3">
        <f>10150+1089</f>
        <v>11239</v>
      </c>
      <c r="F10" s="5">
        <f>135+67</f>
        <v>202</v>
      </c>
      <c r="G10" s="3"/>
    </row>
    <row r="11" spans="1:8" x14ac:dyDescent="0.25">
      <c r="A11" s="6" t="s">
        <v>101</v>
      </c>
      <c r="B11" s="5">
        <f>SUM(C11:F11)</f>
        <v>15715</v>
      </c>
      <c r="C11" s="5">
        <v>1815</v>
      </c>
      <c r="D11" s="5">
        <v>1331</v>
      </c>
      <c r="E11" s="5">
        <v>12180</v>
      </c>
      <c r="F11" s="5">
        <v>389</v>
      </c>
      <c r="G11" s="22"/>
    </row>
    <row r="12" spans="1:8" x14ac:dyDescent="0.25">
      <c r="A12" s="6" t="s">
        <v>102</v>
      </c>
      <c r="B12" s="3">
        <f>SUM(C12:F12)</f>
        <v>13215</v>
      </c>
      <c r="C12" s="3">
        <f>1514+47</f>
        <v>1561</v>
      </c>
      <c r="D12" s="3">
        <f>1059+72</f>
        <v>1131</v>
      </c>
      <c r="E12" s="3">
        <f>9941+115</f>
        <v>10056</v>
      </c>
      <c r="F12" s="5">
        <v>467</v>
      </c>
    </row>
    <row r="13" spans="1:8" x14ac:dyDescent="0.25">
      <c r="A13" s="6" t="s">
        <v>85</v>
      </c>
      <c r="B13" s="5">
        <f>SUM(C13:F13)</f>
        <v>15555</v>
      </c>
      <c r="C13" s="5">
        <v>1815</v>
      </c>
      <c r="D13" s="34">
        <v>1268</v>
      </c>
      <c r="E13" s="34">
        <v>12101</v>
      </c>
      <c r="F13" s="5">
        <v>371</v>
      </c>
      <c r="G13" s="22"/>
    </row>
    <row r="14" spans="1:8" x14ac:dyDescent="0.25">
      <c r="F14" s="7"/>
      <c r="G14" s="19"/>
    </row>
    <row r="15" spans="1:8" x14ac:dyDescent="0.25">
      <c r="A15" s="8" t="s">
        <v>5</v>
      </c>
      <c r="F15" s="7"/>
      <c r="G15" s="20"/>
    </row>
    <row r="16" spans="1:8" x14ac:dyDescent="0.25">
      <c r="A16" s="4" t="s">
        <v>61</v>
      </c>
      <c r="B16" s="27">
        <f>SUM(C16:F16)</f>
        <v>3091330918.5</v>
      </c>
      <c r="C16" s="5">
        <f>728202624+49356639</f>
        <v>777559263</v>
      </c>
      <c r="D16" s="5">
        <f>200966571+51406524</f>
        <v>252373095</v>
      </c>
      <c r="E16" s="5">
        <v>1745723278.5</v>
      </c>
      <c r="F16" s="5">
        <f>140035000+175640282</f>
        <v>315675282</v>
      </c>
      <c r="H16" s="11"/>
    </row>
    <row r="17" spans="1:8" x14ac:dyDescent="0.25">
      <c r="A17" s="6" t="s">
        <v>101</v>
      </c>
      <c r="B17" s="27">
        <f>SUM(C17:F17)</f>
        <v>3880794099.1100001</v>
      </c>
      <c r="C17" s="3">
        <f>319821150*3</f>
        <v>959463450</v>
      </c>
      <c r="D17" s="3">
        <f>93814204*3</f>
        <v>281442612</v>
      </c>
      <c r="E17" s="5">
        <f>643647679*2+710742679.11</f>
        <v>1998038037.1100001</v>
      </c>
      <c r="F17" s="5">
        <f>213950000*3</f>
        <v>641850000</v>
      </c>
      <c r="G17" s="19"/>
    </row>
    <row r="18" spans="1:8" x14ac:dyDescent="0.25">
      <c r="A18" s="6" t="s">
        <v>102</v>
      </c>
      <c r="B18" s="26">
        <f>SUM(C18:F18)</f>
        <v>3647586925</v>
      </c>
      <c r="C18" s="5">
        <f>800169610+24669400</f>
        <v>824839010</v>
      </c>
      <c r="D18" s="5">
        <f>223998152+15154060</f>
        <v>239152212</v>
      </c>
      <c r="E18" s="5">
        <f>1681346421+111889614</f>
        <v>1793236035</v>
      </c>
      <c r="F18" s="5">
        <f>478950000+311409668</f>
        <v>790359668</v>
      </c>
      <c r="H18" s="11"/>
    </row>
    <row r="19" spans="1:8" x14ac:dyDescent="0.25">
      <c r="A19" s="6" t="s">
        <v>85</v>
      </c>
      <c r="B19" s="3">
        <f>SUM(C19:F19)</f>
        <v>15036856475.389999</v>
      </c>
      <c r="C19" s="9">
        <v>3837853800</v>
      </c>
      <c r="D19" s="5">
        <v>1072484544</v>
      </c>
      <c r="E19" s="5">
        <v>7680382131.3900003</v>
      </c>
      <c r="F19" s="5">
        <v>2446136000</v>
      </c>
    </row>
    <row r="20" spans="1:8" x14ac:dyDescent="0.25">
      <c r="A20" s="6" t="s">
        <v>103</v>
      </c>
      <c r="B20" s="5">
        <f>SUM(C20:F20)</f>
        <v>3647586925</v>
      </c>
      <c r="C20" s="5">
        <f>C18</f>
        <v>824839010</v>
      </c>
      <c r="D20" s="5">
        <f t="shared" ref="D20:F20" si="0">D18</f>
        <v>239152212</v>
      </c>
      <c r="E20" s="5">
        <f t="shared" si="0"/>
        <v>1793236035</v>
      </c>
      <c r="F20" s="5">
        <f t="shared" si="0"/>
        <v>790359668</v>
      </c>
    </row>
    <row r="21" spans="1:8" x14ac:dyDescent="0.25">
      <c r="B21" s="3"/>
      <c r="C21" s="3"/>
      <c r="D21" s="3"/>
      <c r="E21" s="3"/>
      <c r="F21" s="5"/>
      <c r="G21" s="19"/>
    </row>
    <row r="22" spans="1:8" x14ac:dyDescent="0.25">
      <c r="A22" s="10" t="s">
        <v>6</v>
      </c>
      <c r="B22" s="5"/>
      <c r="C22" s="5"/>
      <c r="D22" s="5"/>
      <c r="E22" s="5"/>
      <c r="F22" s="5"/>
    </row>
    <row r="23" spans="1:8" x14ac:dyDescent="0.25">
      <c r="A23" s="4" t="s">
        <v>101</v>
      </c>
      <c r="B23" s="5">
        <f>B17</f>
        <v>3880794099.1100001</v>
      </c>
      <c r="C23" s="5"/>
      <c r="D23" s="5"/>
      <c r="E23" s="5"/>
      <c r="F23" s="5"/>
      <c r="G23" s="11"/>
    </row>
    <row r="24" spans="1:8" x14ac:dyDescent="0.25">
      <c r="A24" s="4" t="s">
        <v>102</v>
      </c>
      <c r="B24" s="5">
        <f>432124106.48+1247548398.3+1247548398.3+1247548398.3</f>
        <v>4174769301.3800001</v>
      </c>
      <c r="C24" s="23"/>
      <c r="D24" s="23"/>
      <c r="E24" s="5"/>
      <c r="F24" s="5"/>
      <c r="G24" s="11"/>
    </row>
    <row r="25" spans="1:8" x14ac:dyDescent="0.25">
      <c r="A25" s="7"/>
      <c r="B25" s="7"/>
      <c r="C25" s="7"/>
      <c r="D25" s="7"/>
      <c r="E25" s="7"/>
      <c r="F25" s="7"/>
    </row>
    <row r="26" spans="1:8" x14ac:dyDescent="0.25">
      <c r="A26" s="7" t="s">
        <v>7</v>
      </c>
      <c r="B26" s="7"/>
      <c r="C26" s="7"/>
      <c r="D26" s="7"/>
      <c r="E26" s="7"/>
      <c r="F26" s="7"/>
    </row>
    <row r="27" spans="1:8" x14ac:dyDescent="0.25">
      <c r="A27" s="4" t="s">
        <v>62</v>
      </c>
      <c r="B27" s="17">
        <v>0.99</v>
      </c>
      <c r="C27" s="17">
        <v>0.99</v>
      </c>
      <c r="D27" s="17">
        <v>0.99</v>
      </c>
      <c r="E27" s="17">
        <v>0.99</v>
      </c>
      <c r="F27" s="17">
        <v>0.99</v>
      </c>
    </row>
    <row r="28" spans="1:8" x14ac:dyDescent="0.25">
      <c r="A28" s="4" t="s">
        <v>104</v>
      </c>
      <c r="B28" s="32">
        <f>(101.21+100.99+101.4)/(3*100)</f>
        <v>1.012</v>
      </c>
      <c r="C28" s="41">
        <f t="shared" ref="C28:F28" si="1">(101.21+100.99+101.4)/(3*100)</f>
        <v>1.012</v>
      </c>
      <c r="D28" s="32">
        <f t="shared" si="1"/>
        <v>1.012</v>
      </c>
      <c r="E28" s="32">
        <f t="shared" si="1"/>
        <v>1.012</v>
      </c>
      <c r="F28" s="32">
        <f t="shared" si="1"/>
        <v>1.012</v>
      </c>
    </row>
    <row r="29" spans="1:8" x14ac:dyDescent="0.25">
      <c r="A29" s="4" t="s">
        <v>8</v>
      </c>
      <c r="B29" s="5"/>
      <c r="C29" s="5"/>
      <c r="D29" s="5"/>
      <c r="E29" s="5"/>
      <c r="F29" s="5"/>
    </row>
    <row r="30" spans="1:8" x14ac:dyDescent="0.25">
      <c r="A30" s="7"/>
      <c r="B30" s="7"/>
      <c r="C30" s="7"/>
      <c r="D30" s="7"/>
      <c r="E30" s="7"/>
      <c r="F30" s="7"/>
    </row>
    <row r="31" spans="1:8" x14ac:dyDescent="0.25">
      <c r="A31" s="12" t="s">
        <v>9</v>
      </c>
      <c r="B31" s="7"/>
      <c r="C31" s="7"/>
      <c r="D31" s="7"/>
      <c r="E31" s="7"/>
      <c r="F31" s="7"/>
    </row>
    <row r="32" spans="1:8" x14ac:dyDescent="0.25">
      <c r="A32" s="7" t="s">
        <v>63</v>
      </c>
      <c r="B32" s="5">
        <f>B16/B27</f>
        <v>3122556483.3333335</v>
      </c>
      <c r="C32" s="5">
        <f t="shared" ref="C32:F32" si="2">C16/C27</f>
        <v>785413396.969697</v>
      </c>
      <c r="D32" s="5">
        <f t="shared" si="2"/>
        <v>254922318.18181819</v>
      </c>
      <c r="E32" s="5">
        <f t="shared" si="2"/>
        <v>1763356846.969697</v>
      </c>
      <c r="F32" s="5">
        <f t="shared" si="2"/>
        <v>318863921.21212119</v>
      </c>
    </row>
    <row r="33" spans="1:8" x14ac:dyDescent="0.25">
      <c r="A33" s="7" t="s">
        <v>105</v>
      </c>
      <c r="B33" s="5">
        <f>B18/B28</f>
        <v>3604334906.126482</v>
      </c>
      <c r="C33" s="5">
        <f t="shared" ref="C33:F33" si="3">C18/C28</f>
        <v>815058310.27667987</v>
      </c>
      <c r="D33" s="5">
        <f t="shared" si="3"/>
        <v>236316415.01976284</v>
      </c>
      <c r="E33" s="5">
        <f t="shared" si="3"/>
        <v>1771972366.6007905</v>
      </c>
      <c r="F33" s="5">
        <f t="shared" si="3"/>
        <v>780987814.229249</v>
      </c>
    </row>
    <row r="34" spans="1:8" x14ac:dyDescent="0.25">
      <c r="A34" s="7" t="s">
        <v>64</v>
      </c>
      <c r="B34" s="27">
        <f>$B$32/(B10)</f>
        <v>217751.49814039984</v>
      </c>
      <c r="C34" s="27">
        <f>C32/(C10)</f>
        <v>465844.24494050833</v>
      </c>
      <c r="D34" s="27">
        <f>D32/(D10)</f>
        <v>210158.54755302405</v>
      </c>
      <c r="E34" s="27">
        <f>E32/(E10)</f>
        <v>156896.24049912777</v>
      </c>
      <c r="F34" s="27">
        <f>F32/(F10)</f>
        <v>1578534.2634263425</v>
      </c>
      <c r="H34" s="11"/>
    </row>
    <row r="35" spans="1:8" x14ac:dyDescent="0.25">
      <c r="A35" s="7" t="s">
        <v>106</v>
      </c>
      <c r="B35" s="27">
        <f>$B$33/(B12)</f>
        <v>272745.73636976787</v>
      </c>
      <c r="C35" s="27">
        <f>C33/(C12)</f>
        <v>522138.57160581672</v>
      </c>
      <c r="D35" s="27">
        <f>D33/(D12)</f>
        <v>208944.66403162054</v>
      </c>
      <c r="E35" s="27">
        <f>E33/(E12)</f>
        <v>176210.45809474846</v>
      </c>
      <c r="F35" s="27">
        <f>F33/(F12)</f>
        <v>1672350.779934152</v>
      </c>
      <c r="H35" s="11"/>
    </row>
    <row r="36" spans="1:8" x14ac:dyDescent="0.25">
      <c r="A36" s="7"/>
      <c r="B36" s="7"/>
      <c r="C36" s="7"/>
      <c r="D36" s="7"/>
      <c r="E36" s="7"/>
      <c r="F36" s="7"/>
    </row>
    <row r="37" spans="1:8" x14ac:dyDescent="0.25">
      <c r="A37" s="2" t="s">
        <v>10</v>
      </c>
    </row>
    <row r="39" spans="1:8" x14ac:dyDescent="0.25">
      <c r="A39" t="s">
        <v>11</v>
      </c>
    </row>
    <row r="40" spans="1:8" x14ac:dyDescent="0.25">
      <c r="A40" t="s">
        <v>12</v>
      </c>
      <c r="B40" s="13" t="e">
        <f>B11/B29*100</f>
        <v>#DIV/0!</v>
      </c>
      <c r="C40" s="13"/>
      <c r="D40" s="13"/>
      <c r="E40" s="13"/>
      <c r="F40" s="13"/>
    </row>
    <row r="41" spans="1:8" x14ac:dyDescent="0.25">
      <c r="A41" t="s">
        <v>13</v>
      </c>
      <c r="B41" s="13" t="e">
        <f>B12/B29*100</f>
        <v>#DIV/0!</v>
      </c>
      <c r="C41" s="13"/>
      <c r="D41" s="13"/>
      <c r="E41" s="13"/>
      <c r="F41" s="13"/>
    </row>
    <row r="42" spans="1:8" x14ac:dyDescent="0.25">
      <c r="B42" s="7"/>
      <c r="C42" s="7"/>
      <c r="D42" s="7"/>
      <c r="E42" s="7"/>
      <c r="F42" s="7"/>
    </row>
    <row r="43" spans="1:8" x14ac:dyDescent="0.25">
      <c r="A43" t="s">
        <v>14</v>
      </c>
      <c r="B43" s="7"/>
      <c r="C43" s="7"/>
      <c r="D43" s="7"/>
      <c r="E43" s="7"/>
      <c r="F43" s="7"/>
    </row>
    <row r="44" spans="1:8" x14ac:dyDescent="0.25">
      <c r="A44" t="s">
        <v>15</v>
      </c>
      <c r="B44" s="13">
        <f>B12/B11*100</f>
        <v>84.091632198536431</v>
      </c>
      <c r="C44" s="13">
        <f t="shared" ref="C44:F44" si="4">C12/C11*100</f>
        <v>86.005509641873275</v>
      </c>
      <c r="D44" s="13">
        <f t="shared" si="4"/>
        <v>84.973703981968441</v>
      </c>
      <c r="E44" s="13">
        <f t="shared" si="4"/>
        <v>82.561576354679801</v>
      </c>
      <c r="F44" s="13">
        <f t="shared" si="4"/>
        <v>120.05141388174808</v>
      </c>
    </row>
    <row r="45" spans="1:8" x14ac:dyDescent="0.25">
      <c r="A45" t="s">
        <v>16</v>
      </c>
      <c r="B45" s="13">
        <f>B18/B17*100</f>
        <v>93.990735706295709</v>
      </c>
      <c r="C45" s="13">
        <f t="shared" ref="C45:F45" si="5">C18/C17*100</f>
        <v>85.96877869605143</v>
      </c>
      <c r="D45" s="13">
        <f t="shared" si="5"/>
        <v>84.973703981968441</v>
      </c>
      <c r="E45" s="13">
        <f t="shared" si="5"/>
        <v>89.749844682324991</v>
      </c>
      <c r="F45" s="13">
        <f t="shared" si="5"/>
        <v>123.13775305756798</v>
      </c>
    </row>
    <row r="46" spans="1:8" x14ac:dyDescent="0.25">
      <c r="A46" s="7" t="s">
        <v>17</v>
      </c>
      <c r="B46" s="13">
        <f>AVERAGE(B44:B45)</f>
        <v>89.041183952416077</v>
      </c>
      <c r="C46" s="13">
        <f t="shared" ref="C46:F46" si="6">AVERAGE(C44:C45)</f>
        <v>85.987144168962345</v>
      </c>
      <c r="D46" s="13">
        <f t="shared" si="6"/>
        <v>84.973703981968441</v>
      </c>
      <c r="E46" s="13">
        <f t="shared" si="6"/>
        <v>86.155710518502389</v>
      </c>
      <c r="F46" s="13">
        <f t="shared" si="6"/>
        <v>121.59458346965803</v>
      </c>
    </row>
    <row r="47" spans="1:8" x14ac:dyDescent="0.25">
      <c r="A47" s="7"/>
      <c r="B47" s="13"/>
      <c r="C47" s="13"/>
      <c r="D47" s="13"/>
      <c r="E47" s="13"/>
      <c r="F47" s="13"/>
    </row>
    <row r="48" spans="1:8" x14ac:dyDescent="0.25">
      <c r="A48" s="7" t="s">
        <v>18</v>
      </c>
      <c r="B48" s="7"/>
      <c r="C48" s="7"/>
      <c r="D48" s="7"/>
      <c r="E48" s="7"/>
      <c r="F48" s="7"/>
    </row>
    <row r="49" spans="1:7" x14ac:dyDescent="0.25">
      <c r="A49" s="7" t="s">
        <v>19</v>
      </c>
      <c r="B49" s="28">
        <f>(B12/B13)*100</f>
        <v>84.956605593056906</v>
      </c>
      <c r="C49" s="28">
        <f t="shared" ref="C49:F49" si="7">(C12/C13)*100</f>
        <v>86.005509641873275</v>
      </c>
      <c r="D49" s="28">
        <f t="shared" si="7"/>
        <v>89.195583596214504</v>
      </c>
      <c r="E49" s="28">
        <f t="shared" si="7"/>
        <v>83.100570200809855</v>
      </c>
      <c r="F49" s="28">
        <f t="shared" si="7"/>
        <v>125.87601078167117</v>
      </c>
      <c r="G49" s="11"/>
    </row>
    <row r="50" spans="1:7" x14ac:dyDescent="0.25">
      <c r="A50" s="7" t="s">
        <v>20</v>
      </c>
      <c r="B50" s="13">
        <f>B18/B19*100</f>
        <v>24.25764275245831</v>
      </c>
      <c r="C50" s="13">
        <f t="shared" ref="C50:F50" si="8">C18/C19*100</f>
        <v>21.492194674012858</v>
      </c>
      <c r="D50" s="13">
        <f t="shared" si="8"/>
        <v>22.298895899053626</v>
      </c>
      <c r="E50" s="13">
        <f t="shared" si="8"/>
        <v>23.348265806605887</v>
      </c>
      <c r="F50" s="13">
        <f t="shared" si="8"/>
        <v>32.310536617751424</v>
      </c>
    </row>
    <row r="51" spans="1:7" x14ac:dyDescent="0.25">
      <c r="A51" s="7" t="s">
        <v>21</v>
      </c>
      <c r="B51" s="13">
        <f>(B49+B50)/2</f>
        <v>54.607124172757608</v>
      </c>
      <c r="C51" s="13">
        <f t="shared" ref="C51:F51" si="9">(C49+C50)/2</f>
        <v>53.748852157943062</v>
      </c>
      <c r="D51" s="13">
        <f t="shared" si="9"/>
        <v>55.747239747634069</v>
      </c>
      <c r="E51" s="13">
        <f t="shared" si="9"/>
        <v>53.224418003707868</v>
      </c>
      <c r="F51" s="13">
        <f t="shared" si="9"/>
        <v>79.09327369971129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22</v>
      </c>
      <c r="B53" s="7"/>
      <c r="C53" s="7"/>
      <c r="D53" s="7"/>
      <c r="E53" s="7"/>
      <c r="F53" s="7"/>
    </row>
    <row r="54" spans="1:7" x14ac:dyDescent="0.25">
      <c r="A54" s="7" t="s">
        <v>23</v>
      </c>
      <c r="B54" s="13">
        <f>B20/B18*100</f>
        <v>100</v>
      </c>
      <c r="C54" s="13"/>
      <c r="D54" s="13"/>
      <c r="E54" s="13"/>
      <c r="F54" s="13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24</v>
      </c>
      <c r="B56" s="7"/>
      <c r="C56" s="7"/>
      <c r="D56" s="7"/>
      <c r="E56" s="7"/>
      <c r="F56" s="7"/>
    </row>
    <row r="57" spans="1:7" x14ac:dyDescent="0.25">
      <c r="A57" s="7" t="s">
        <v>25</v>
      </c>
      <c r="B57" s="13">
        <f>((B12/B10)-1)*100</f>
        <v>-7.8451882845188337</v>
      </c>
      <c r="C57" s="13">
        <f t="shared" ref="C57:F57" si="10">((C12/C10)-1)*100</f>
        <v>-7.4139976275207626</v>
      </c>
      <c r="D57" s="13">
        <f t="shared" si="10"/>
        <v>-6.760098928277003</v>
      </c>
      <c r="E57" s="13">
        <f t="shared" si="10"/>
        <v>-10.525847495328765</v>
      </c>
      <c r="F57" s="13">
        <f t="shared" si="10"/>
        <v>131.18811881188117</v>
      </c>
    </row>
    <row r="58" spans="1:7" x14ac:dyDescent="0.25">
      <c r="A58" s="7" t="s">
        <v>26</v>
      </c>
      <c r="B58" s="13">
        <f>((B33/B32)-1)*100</f>
        <v>15.428973834889593</v>
      </c>
      <c r="C58" s="13">
        <f t="shared" ref="C58:F58" si="11">((C33/C32)-1)*100</f>
        <v>3.7744343833909122</v>
      </c>
      <c r="D58" s="13">
        <f t="shared" si="11"/>
        <v>-7.2986560355947532</v>
      </c>
      <c r="E58" s="13">
        <f t="shared" si="11"/>
        <v>0.48858628053074504</v>
      </c>
      <c r="F58" s="13">
        <f t="shared" si="11"/>
        <v>144.92824752967402</v>
      </c>
      <c r="G58" s="13"/>
    </row>
    <row r="59" spans="1:7" x14ac:dyDescent="0.25">
      <c r="A59" s="7" t="s">
        <v>27</v>
      </c>
      <c r="B59" s="13">
        <f>((B35/B34)-1)*100</f>
        <v>25.255503957042503</v>
      </c>
      <c r="C59" s="13">
        <f t="shared" ref="C59:F59" si="12">((C35/C34)-1)*100</f>
        <v>12.084366669056434</v>
      </c>
      <c r="D59" s="13">
        <f t="shared" si="12"/>
        <v>-0.57760368804282702</v>
      </c>
      <c r="E59" s="13">
        <f t="shared" si="12"/>
        <v>12.310185084216885</v>
      </c>
      <c r="F59" s="13">
        <f t="shared" si="12"/>
        <v>5.9432676680817087</v>
      </c>
    </row>
    <row r="60" spans="1:7" x14ac:dyDescent="0.25">
      <c r="A60" s="7"/>
      <c r="B60" s="13"/>
      <c r="C60" s="13"/>
      <c r="D60" s="13"/>
      <c r="E60" s="13"/>
      <c r="F60" s="13"/>
    </row>
    <row r="61" spans="1:7" x14ac:dyDescent="0.25">
      <c r="A61" s="7" t="s">
        <v>28</v>
      </c>
      <c r="B61" s="7"/>
      <c r="C61" s="7"/>
      <c r="D61" s="7"/>
      <c r="E61" s="7"/>
      <c r="F61" s="7"/>
    </row>
    <row r="62" spans="1:7" x14ac:dyDescent="0.25">
      <c r="A62" s="7" t="s">
        <v>46</v>
      </c>
      <c r="B62" s="5">
        <f>B17/(B11*3)</f>
        <v>82316.133187188461</v>
      </c>
      <c r="C62" s="5">
        <f t="shared" ref="C62:F63" si="13">C17/(C11*3)</f>
        <v>176210</v>
      </c>
      <c r="D62" s="5">
        <f t="shared" si="13"/>
        <v>70484</v>
      </c>
      <c r="E62" s="5">
        <f>E17/(E11*3)</f>
        <v>54680.843927476744</v>
      </c>
      <c r="F62" s="5">
        <f>F17/(F11*3)</f>
        <v>550000</v>
      </c>
    </row>
    <row r="63" spans="1:7" x14ac:dyDescent="0.25">
      <c r="A63" s="7" t="s">
        <v>47</v>
      </c>
      <c r="B63" s="5">
        <f>$B$18/(B12*3)</f>
        <v>92006.228402068358</v>
      </c>
      <c r="C63" s="5">
        <f>C18/(C12*3)</f>
        <v>176134.74482169549</v>
      </c>
      <c r="D63" s="5">
        <f t="shared" si="13"/>
        <v>70484</v>
      </c>
      <c r="E63" s="5">
        <f t="shared" si="13"/>
        <v>59441.66119729515</v>
      </c>
      <c r="F63" s="5">
        <f t="shared" si="13"/>
        <v>564139.6630977873</v>
      </c>
      <c r="G63" s="11"/>
    </row>
    <row r="64" spans="1:7" x14ac:dyDescent="0.25">
      <c r="A64" s="7" t="s">
        <v>29</v>
      </c>
      <c r="B64" s="13">
        <f>(B63/B62)*B46</f>
        <v>99.52293907303725</v>
      </c>
      <c r="C64" s="13">
        <f t="shared" ref="C64:F64" si="14">(C63/C62)*C46</f>
        <v>85.95042106660533</v>
      </c>
      <c r="D64" s="13">
        <f t="shared" si="14"/>
        <v>84.973703981968441</v>
      </c>
      <c r="E64" s="13">
        <f t="shared" si="14"/>
        <v>93.65690408226618</v>
      </c>
      <c r="F64" s="13">
        <f t="shared" si="14"/>
        <v>124.72059518743393</v>
      </c>
    </row>
    <row r="65" spans="1:7" x14ac:dyDescent="0.25">
      <c r="A65" s="7" t="s">
        <v>48</v>
      </c>
      <c r="B65" s="13">
        <f>B17/B11</f>
        <v>246948.3995615654</v>
      </c>
      <c r="C65" s="13">
        <f t="shared" ref="C65:F66" si="15">C17/C11</f>
        <v>528630</v>
      </c>
      <c r="D65" s="13">
        <f t="shared" si="15"/>
        <v>211452</v>
      </c>
      <c r="E65" s="13">
        <f t="shared" si="15"/>
        <v>164042.53178243022</v>
      </c>
      <c r="F65" s="13">
        <f t="shared" si="15"/>
        <v>1650000</v>
      </c>
    </row>
    <row r="66" spans="1:7" x14ac:dyDescent="0.25">
      <c r="A66" s="7" t="s">
        <v>49</v>
      </c>
      <c r="B66" s="13">
        <f>B18/B12</f>
        <v>276018.68520620506</v>
      </c>
      <c r="C66" s="13">
        <f t="shared" si="15"/>
        <v>528404.23446508648</v>
      </c>
      <c r="D66" s="13">
        <f t="shared" si="15"/>
        <v>211452</v>
      </c>
      <c r="E66" s="13">
        <f t="shared" si="15"/>
        <v>178324.98359188545</v>
      </c>
      <c r="F66" s="13">
        <f t="shared" si="15"/>
        <v>1692418.9892933618</v>
      </c>
    </row>
    <row r="67" spans="1:7" x14ac:dyDescent="0.25">
      <c r="A67" s="7"/>
      <c r="B67" s="13"/>
      <c r="C67" s="13"/>
      <c r="D67" s="13"/>
      <c r="E67" s="13"/>
      <c r="F67" s="13"/>
    </row>
    <row r="68" spans="1:7" x14ac:dyDescent="0.25">
      <c r="A68" s="7" t="s">
        <v>30</v>
      </c>
      <c r="B68" s="13"/>
      <c r="C68" s="13"/>
      <c r="D68" s="13"/>
      <c r="E68" s="13"/>
      <c r="F68" s="13"/>
    </row>
    <row r="69" spans="1:7" x14ac:dyDescent="0.25">
      <c r="A69" s="7" t="s">
        <v>31</v>
      </c>
      <c r="B69" s="13">
        <f>(B24/B23)*100</f>
        <v>107.5751301090006</v>
      </c>
      <c r="C69" s="13"/>
      <c r="D69" s="13"/>
      <c r="E69" s="13"/>
      <c r="F69" s="13"/>
      <c r="G69" s="11"/>
    </row>
    <row r="70" spans="1:7" x14ac:dyDescent="0.25">
      <c r="A70" s="7" t="s">
        <v>32</v>
      </c>
      <c r="B70" s="13">
        <f>(B18/B24)*100</f>
        <v>87.372179435023241</v>
      </c>
      <c r="C70" s="13"/>
      <c r="D70" s="13"/>
      <c r="E70" s="13"/>
      <c r="F70" s="13"/>
      <c r="G70" s="11"/>
    </row>
    <row r="71" spans="1:7" ht="15.75" thickBot="1" x14ac:dyDescent="0.3">
      <c r="A71" s="21"/>
      <c r="B71" s="14"/>
      <c r="C71" s="14"/>
      <c r="D71" s="14"/>
      <c r="E71" s="14"/>
      <c r="F71" s="14"/>
    </row>
    <row r="72" spans="1:7" ht="15.75" thickTop="1" x14ac:dyDescent="0.25"/>
    <row r="73" spans="1:7" x14ac:dyDescent="0.25">
      <c r="A73" t="s">
        <v>35</v>
      </c>
    </row>
    <row r="74" spans="1:7" x14ac:dyDescent="0.25">
      <c r="A74" t="s">
        <v>90</v>
      </c>
    </row>
    <row r="75" spans="1:7" x14ac:dyDescent="0.25">
      <c r="A75" t="s">
        <v>91</v>
      </c>
      <c r="B75" s="15"/>
      <c r="C75" s="15"/>
      <c r="D75" s="15"/>
    </row>
    <row r="76" spans="1:7" x14ac:dyDescent="0.25">
      <c r="A76" t="s">
        <v>69</v>
      </c>
    </row>
    <row r="79" spans="1:7" x14ac:dyDescent="0.25">
      <c r="A79" t="s">
        <v>36</v>
      </c>
    </row>
    <row r="80" spans="1:7" x14ac:dyDescent="0.25">
      <c r="A80" t="s">
        <v>37</v>
      </c>
    </row>
    <row r="81" spans="1:1" x14ac:dyDescent="0.25">
      <c r="A81" s="38"/>
    </row>
    <row r="83" spans="1:1" x14ac:dyDescent="0.25">
      <c r="A83" t="s">
        <v>138</v>
      </c>
    </row>
  </sheetData>
  <mergeCells count="3">
    <mergeCell ref="A4:A5"/>
    <mergeCell ref="A2:E2"/>
    <mergeCell ref="C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tabSelected="1" zoomScaleNormal="100" workbookViewId="0">
      <pane xSplit="1" ySplit="5" topLeftCell="D6" activePane="bottomRight" state="frozen"/>
      <selection activeCell="D40" sqref="D40"/>
      <selection pane="topRight" activeCell="D40" sqref="D40"/>
      <selection pane="bottomLeft" activeCell="D40" sqref="D40"/>
      <selection pane="bottomRight" activeCell="F17" sqref="F17"/>
    </sheetView>
  </sheetViews>
  <sheetFormatPr baseColWidth="10" defaultColWidth="11.42578125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8" ht="15.75" x14ac:dyDescent="0.25">
      <c r="A2" s="44" t="s">
        <v>107</v>
      </c>
      <c r="B2" s="44"/>
      <c r="C2" s="44"/>
      <c r="D2" s="44"/>
      <c r="E2" s="44"/>
    </row>
    <row r="4" spans="1:8" ht="15" customHeight="1" x14ac:dyDescent="0.25">
      <c r="A4" s="45" t="s">
        <v>0</v>
      </c>
      <c r="B4" s="18" t="s">
        <v>33</v>
      </c>
      <c r="C4" s="49" t="s">
        <v>2</v>
      </c>
      <c r="D4" s="49"/>
      <c r="E4" s="49"/>
      <c r="F4" s="49"/>
    </row>
    <row r="5" spans="1:8" ht="30.75" thickBot="1" x14ac:dyDescent="0.3">
      <c r="A5" s="46"/>
      <c r="B5" s="1" t="s">
        <v>34</v>
      </c>
      <c r="C5" s="1" t="s">
        <v>40</v>
      </c>
      <c r="D5" s="1" t="s">
        <v>41</v>
      </c>
      <c r="E5" s="1" t="s">
        <v>3</v>
      </c>
      <c r="F5" s="37" t="s">
        <v>52</v>
      </c>
    </row>
    <row r="6" spans="1:8" ht="15.75" thickTop="1" x14ac:dyDescent="0.25"/>
    <row r="7" spans="1:8" x14ac:dyDescent="0.25">
      <c r="A7" s="2" t="s">
        <v>4</v>
      </c>
    </row>
    <row r="9" spans="1:8" x14ac:dyDescent="0.25">
      <c r="A9" t="s">
        <v>38</v>
      </c>
    </row>
    <row r="10" spans="1:8" x14ac:dyDescent="0.25">
      <c r="A10" s="4" t="s">
        <v>65</v>
      </c>
      <c r="B10" s="27">
        <f>SUM(C10:F10)</f>
        <v>16785</v>
      </c>
      <c r="C10" s="3">
        <f>1584+148</f>
        <v>1732</v>
      </c>
      <c r="D10" s="3">
        <f>1032+126</f>
        <v>1158</v>
      </c>
      <c r="E10" s="5">
        <f>12082+1230</f>
        <v>13312</v>
      </c>
      <c r="F10" s="5">
        <f>252+331</f>
        <v>583</v>
      </c>
      <c r="G10" s="3"/>
      <c r="H10" s="11"/>
    </row>
    <row r="11" spans="1:8" x14ac:dyDescent="0.25">
      <c r="A11" s="6" t="s">
        <v>108</v>
      </c>
      <c r="B11" s="27">
        <f t="shared" ref="B11:B13" si="0">SUM(C11:F11)</f>
        <v>15864</v>
      </c>
      <c r="C11" s="5">
        <v>1815</v>
      </c>
      <c r="D11" s="5">
        <v>1331</v>
      </c>
      <c r="E11" s="5">
        <v>12091</v>
      </c>
      <c r="F11" s="5">
        <v>627</v>
      </c>
      <c r="G11" s="22"/>
      <c r="H11" s="11"/>
    </row>
    <row r="12" spans="1:8" x14ac:dyDescent="0.25">
      <c r="A12" s="6" t="s">
        <v>109</v>
      </c>
      <c r="B12" s="27">
        <f t="shared" si="0"/>
        <v>15062</v>
      </c>
      <c r="C12" s="3">
        <f>1553+296</f>
        <v>1849</v>
      </c>
      <c r="D12" s="3">
        <f>983+103</f>
        <v>1086</v>
      </c>
      <c r="E12" s="5">
        <f>10610+1110</f>
        <v>11720</v>
      </c>
      <c r="F12" s="5">
        <f>353+54</f>
        <v>407</v>
      </c>
      <c r="H12" s="11"/>
    </row>
    <row r="13" spans="1:8" x14ac:dyDescent="0.25">
      <c r="A13" s="6" t="s">
        <v>85</v>
      </c>
      <c r="B13" s="27">
        <f t="shared" si="0"/>
        <v>15555</v>
      </c>
      <c r="C13" s="5">
        <v>1815</v>
      </c>
      <c r="D13" s="34">
        <v>1268</v>
      </c>
      <c r="E13" s="34">
        <v>12101</v>
      </c>
      <c r="F13" s="5">
        <v>371</v>
      </c>
      <c r="G13" s="22"/>
      <c r="H13" s="11"/>
    </row>
    <row r="14" spans="1:8" x14ac:dyDescent="0.25">
      <c r="F14" s="7"/>
      <c r="G14" s="19"/>
    </row>
    <row r="15" spans="1:8" x14ac:dyDescent="0.25">
      <c r="A15" s="8" t="s">
        <v>5</v>
      </c>
      <c r="F15" s="7"/>
      <c r="G15" s="20"/>
    </row>
    <row r="16" spans="1:8" x14ac:dyDescent="0.25">
      <c r="A16" s="4" t="s">
        <v>65</v>
      </c>
      <c r="B16" s="27">
        <f>SUM(C16:F16)</f>
        <v>4644070139</v>
      </c>
      <c r="C16" s="5">
        <f>729125178+68730273</f>
        <v>797855451</v>
      </c>
      <c r="D16" s="5">
        <f>204860613+29428341</f>
        <v>234288954</v>
      </c>
      <c r="E16" s="5">
        <f>2247533881+716067135</f>
        <v>2963601016</v>
      </c>
      <c r="F16" s="5">
        <f>157445001+490879717</f>
        <v>648324718</v>
      </c>
      <c r="H16" s="11"/>
    </row>
    <row r="17" spans="1:7" x14ac:dyDescent="0.25">
      <c r="A17" s="6" t="s">
        <v>108</v>
      </c>
      <c r="B17" s="5">
        <f>SUM(C17:F17)</f>
        <v>4405836099.3299999</v>
      </c>
      <c r="C17" s="3">
        <v>959463450</v>
      </c>
      <c r="D17" s="3">
        <f>93814204*3</f>
        <v>281442612</v>
      </c>
      <c r="E17" s="5">
        <f>710742679.11*3</f>
        <v>2132228037.3299999</v>
      </c>
      <c r="F17" s="5">
        <f>(343684000*2)+345334000</f>
        <v>1032702000</v>
      </c>
      <c r="G17" s="19"/>
    </row>
    <row r="18" spans="1:7" x14ac:dyDescent="0.25">
      <c r="A18" s="6" t="s">
        <v>109</v>
      </c>
      <c r="B18" s="26">
        <f>SUM(C18:F18)</f>
        <v>4584913319.3299999</v>
      </c>
      <c r="C18" s="5">
        <f>821138600+156474480</f>
        <v>977613080</v>
      </c>
      <c r="D18" s="5">
        <f>207786832+21709072</f>
        <v>229495904</v>
      </c>
      <c r="E18" s="5">
        <f>720742679.11*3</f>
        <v>2162228037.3299999</v>
      </c>
      <c r="F18" s="5">
        <f>751174298+464402000</f>
        <v>1215576298</v>
      </c>
    </row>
    <row r="19" spans="1:7" x14ac:dyDescent="0.25">
      <c r="A19" s="6" t="s">
        <v>85</v>
      </c>
      <c r="B19" s="3">
        <f>SUM(C19:F19)</f>
        <v>15036856475.389999</v>
      </c>
      <c r="C19" s="9">
        <v>3837853800</v>
      </c>
      <c r="D19" s="5">
        <v>1072484544</v>
      </c>
      <c r="E19" s="5">
        <v>7680382131.3900003</v>
      </c>
      <c r="F19" s="5">
        <v>2446136000</v>
      </c>
    </row>
    <row r="20" spans="1:7" x14ac:dyDescent="0.25">
      <c r="A20" s="6" t="s">
        <v>110</v>
      </c>
      <c r="B20" s="5">
        <f>SUM(C20:F20)</f>
        <v>4584913319.3299999</v>
      </c>
      <c r="C20" s="5">
        <f>C18</f>
        <v>977613080</v>
      </c>
      <c r="D20" s="5">
        <f t="shared" ref="D20:F20" si="1">D18</f>
        <v>229495904</v>
      </c>
      <c r="E20" s="5">
        <f t="shared" si="1"/>
        <v>2162228037.3299999</v>
      </c>
      <c r="F20" s="5">
        <f t="shared" si="1"/>
        <v>1215576298</v>
      </c>
    </row>
    <row r="21" spans="1:7" x14ac:dyDescent="0.25">
      <c r="B21" s="3"/>
      <c r="C21" s="3"/>
      <c r="D21" s="3"/>
      <c r="E21" s="3"/>
      <c r="F21" s="5"/>
      <c r="G21" s="19"/>
    </row>
    <row r="22" spans="1:7" x14ac:dyDescent="0.25">
      <c r="A22" s="10" t="s">
        <v>6</v>
      </c>
      <c r="B22" s="5"/>
      <c r="C22" s="5"/>
      <c r="D22" s="5"/>
      <c r="E22" s="5"/>
      <c r="F22" s="5"/>
    </row>
    <row r="23" spans="1:7" x14ac:dyDescent="0.25">
      <c r="A23" s="4" t="s">
        <v>108</v>
      </c>
      <c r="B23" s="5">
        <f>B17</f>
        <v>4405836099.3299999</v>
      </c>
      <c r="C23" s="5"/>
      <c r="D23" s="5"/>
      <c r="E23" s="5"/>
      <c r="F23" s="5"/>
      <c r="G23" s="11"/>
    </row>
    <row r="24" spans="1:7" x14ac:dyDescent="0.25">
      <c r="A24" s="4" t="s">
        <v>109</v>
      </c>
      <c r="B24" s="5">
        <f>1247548398.3+392558000+1468062033.1+1458941210.2</f>
        <v>4567109641.5999994</v>
      </c>
      <c r="C24" s="23"/>
      <c r="D24" s="23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7</v>
      </c>
      <c r="B26" s="7"/>
      <c r="C26" s="7"/>
      <c r="D26" s="7"/>
      <c r="E26" s="7"/>
      <c r="F26" s="7"/>
    </row>
    <row r="27" spans="1:7" x14ac:dyDescent="0.25">
      <c r="A27" s="4" t="s">
        <v>66</v>
      </c>
      <c r="B27" s="42">
        <v>0.99</v>
      </c>
      <c r="C27" s="42">
        <v>0.99</v>
      </c>
      <c r="D27" s="42">
        <v>0.99</v>
      </c>
      <c r="E27" s="42">
        <v>0.99</v>
      </c>
      <c r="F27" s="42">
        <v>0.99</v>
      </c>
    </row>
    <row r="28" spans="1:7" x14ac:dyDescent="0.25">
      <c r="A28" s="4" t="s">
        <v>111</v>
      </c>
      <c r="B28" s="43">
        <f>(101.8+101.97+102.45)/(3*100)</f>
        <v>1.0207333333333333</v>
      </c>
      <c r="C28" s="43">
        <f t="shared" ref="C28:F28" si="2">(101.8+101.97+102.45)/(3*100)</f>
        <v>1.0207333333333333</v>
      </c>
      <c r="D28" s="43">
        <f t="shared" si="2"/>
        <v>1.0207333333333333</v>
      </c>
      <c r="E28" s="43">
        <f t="shared" si="2"/>
        <v>1.0207333333333333</v>
      </c>
      <c r="F28" s="43">
        <f t="shared" si="2"/>
        <v>1.0207333333333333</v>
      </c>
    </row>
    <row r="29" spans="1:7" x14ac:dyDescent="0.25">
      <c r="A29" s="4" t="s">
        <v>8</v>
      </c>
      <c r="B29" s="5"/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2" t="s">
        <v>9</v>
      </c>
      <c r="B31" s="7"/>
      <c r="C31" s="7"/>
      <c r="D31" s="7"/>
      <c r="E31" s="7"/>
      <c r="F31" s="7"/>
    </row>
    <row r="32" spans="1:7" x14ac:dyDescent="0.25">
      <c r="A32" s="7" t="s">
        <v>67</v>
      </c>
      <c r="B32" s="5">
        <f>B16/B27</f>
        <v>4690979938.3838387</v>
      </c>
      <c r="C32" s="5">
        <f>C16/C27</f>
        <v>805914596.969697</v>
      </c>
      <c r="D32" s="5">
        <f>D16/D27</f>
        <v>236655509.09090909</v>
      </c>
      <c r="E32" s="5">
        <f>E16/E27</f>
        <v>2993536379.7979798</v>
      </c>
      <c r="F32" s="5">
        <f>F16/F27</f>
        <v>654873452.52525258</v>
      </c>
    </row>
    <row r="33" spans="1:8" x14ac:dyDescent="0.25">
      <c r="A33" s="7" t="s">
        <v>112</v>
      </c>
      <c r="B33" s="5">
        <f>B18/B28</f>
        <v>4491783671.2135067</v>
      </c>
      <c r="C33" s="5">
        <f>C18/C28</f>
        <v>957755613.61112928</v>
      </c>
      <c r="D33" s="5">
        <f>D18/D28</f>
        <v>224834338.71073085</v>
      </c>
      <c r="E33" s="5">
        <f>E18/E28</f>
        <v>2118308442.2931225</v>
      </c>
      <c r="F33" s="5">
        <f>F18/F28</f>
        <v>1190885276.5985241</v>
      </c>
    </row>
    <row r="34" spans="1:8" x14ac:dyDescent="0.25">
      <c r="A34" s="7" t="s">
        <v>68</v>
      </c>
      <c r="B34" s="27">
        <f>$B$32/(B10)</f>
        <v>279474.52716019296</v>
      </c>
      <c r="C34" s="27">
        <f>C32/(C10)</f>
        <v>465308.65875848557</v>
      </c>
      <c r="D34" s="27">
        <f>D32/(D10)</f>
        <v>204365.72460354844</v>
      </c>
      <c r="E34" s="27">
        <f>E32/(E10)</f>
        <v>224875.02853049728</v>
      </c>
      <c r="F34" s="27">
        <f>F32/(F10)</f>
        <v>1123282.0798031776</v>
      </c>
      <c r="H34" s="11"/>
    </row>
    <row r="35" spans="1:8" x14ac:dyDescent="0.25">
      <c r="A35" s="7" t="s">
        <v>113</v>
      </c>
      <c r="B35" s="27">
        <f>$B$33/(B12)</f>
        <v>298219.60371886246</v>
      </c>
      <c r="C35" s="27">
        <f>C33/(C12)</f>
        <v>517985.72937324463</v>
      </c>
      <c r="D35" s="27">
        <f>D33/(D12)</f>
        <v>207029.77781835254</v>
      </c>
      <c r="E35" s="27">
        <f>E33/(E12)</f>
        <v>180743.04115129032</v>
      </c>
      <c r="F35" s="27">
        <f>F33/(F12)</f>
        <v>2926008.0506106243</v>
      </c>
      <c r="H35" s="11"/>
    </row>
    <row r="36" spans="1:8" x14ac:dyDescent="0.25">
      <c r="A36" s="7"/>
      <c r="B36" s="7"/>
      <c r="C36" s="7"/>
      <c r="D36" s="7"/>
      <c r="E36" s="7"/>
      <c r="F36" s="7"/>
    </row>
    <row r="37" spans="1:8" x14ac:dyDescent="0.25">
      <c r="A37" s="2" t="s">
        <v>10</v>
      </c>
      <c r="F37" s="7"/>
    </row>
    <row r="38" spans="1:8" x14ac:dyDescent="0.25">
      <c r="F38" s="7"/>
    </row>
    <row r="39" spans="1:8" x14ac:dyDescent="0.25">
      <c r="A39" t="s">
        <v>11</v>
      </c>
      <c r="F39" s="7"/>
    </row>
    <row r="40" spans="1:8" x14ac:dyDescent="0.25">
      <c r="A40" t="s">
        <v>12</v>
      </c>
      <c r="B40" s="13" t="e">
        <f>B11/B29*100</f>
        <v>#DIV/0!</v>
      </c>
      <c r="C40" s="13"/>
      <c r="D40" s="13"/>
      <c r="E40" s="13"/>
      <c r="F40" s="13"/>
    </row>
    <row r="41" spans="1:8" x14ac:dyDescent="0.25">
      <c r="A41" t="s">
        <v>13</v>
      </c>
      <c r="B41" s="13" t="e">
        <f>B12/B29*100</f>
        <v>#DIV/0!</v>
      </c>
      <c r="C41" s="13"/>
      <c r="D41" s="13"/>
      <c r="E41" s="13"/>
      <c r="F41" s="13"/>
    </row>
    <row r="42" spans="1:8" x14ac:dyDescent="0.25">
      <c r="B42" s="7"/>
      <c r="C42" s="7"/>
      <c r="D42" s="7"/>
      <c r="E42" s="7"/>
      <c r="F42" s="7"/>
    </row>
    <row r="43" spans="1:8" x14ac:dyDescent="0.25">
      <c r="A43" t="s">
        <v>14</v>
      </c>
      <c r="B43" s="7"/>
      <c r="C43" s="7"/>
      <c r="D43" s="7"/>
      <c r="E43" s="7"/>
      <c r="F43" s="7"/>
    </row>
    <row r="44" spans="1:8" x14ac:dyDescent="0.25">
      <c r="A44" t="s">
        <v>15</v>
      </c>
      <c r="B44" s="13">
        <f>B12/B11*100</f>
        <v>94.944528492183551</v>
      </c>
      <c r="C44" s="13">
        <f t="shared" ref="C44:F44" si="3">C12/C11*100</f>
        <v>101.87327823691462</v>
      </c>
      <c r="D44" s="13">
        <f t="shared" si="3"/>
        <v>81.59278737791135</v>
      </c>
      <c r="E44" s="13">
        <f t="shared" si="3"/>
        <v>96.931602018029935</v>
      </c>
      <c r="F44" s="13">
        <f t="shared" si="3"/>
        <v>64.912280701754383</v>
      </c>
    </row>
    <row r="45" spans="1:8" x14ac:dyDescent="0.25">
      <c r="A45" t="s">
        <v>16</v>
      </c>
      <c r="B45" s="13">
        <f>B18/B17*100</f>
        <v>104.06454566086178</v>
      </c>
      <c r="C45" s="13">
        <f t="shared" ref="C45:F45" si="4">C18/C17*100</f>
        <v>101.89164370982553</v>
      </c>
      <c r="D45" s="13">
        <f t="shared" si="4"/>
        <v>81.542699724517902</v>
      </c>
      <c r="E45" s="13">
        <f t="shared" si="4"/>
        <v>101.40697896635702</v>
      </c>
      <c r="F45" s="13">
        <f t="shared" si="4"/>
        <v>117.70833192924968</v>
      </c>
    </row>
    <row r="46" spans="1:8" x14ac:dyDescent="0.25">
      <c r="A46" s="7" t="s">
        <v>17</v>
      </c>
      <c r="B46" s="13">
        <f>AVERAGE(B44:B45)</f>
        <v>99.504537076522666</v>
      </c>
      <c r="C46" s="13">
        <f t="shared" ref="C46:F46" si="5">AVERAGE(C44:C45)</f>
        <v>101.88246097337007</v>
      </c>
      <c r="D46" s="13">
        <f t="shared" si="5"/>
        <v>81.567743551214619</v>
      </c>
      <c r="E46" s="13">
        <f t="shared" si="5"/>
        <v>99.169290492193483</v>
      </c>
      <c r="F46" s="13">
        <f t="shared" si="5"/>
        <v>91.310306315502032</v>
      </c>
    </row>
    <row r="47" spans="1:8" x14ac:dyDescent="0.25">
      <c r="A47" s="7"/>
      <c r="B47" s="13"/>
      <c r="C47" s="13"/>
      <c r="D47" s="13"/>
      <c r="E47" s="13"/>
      <c r="F47" s="13"/>
    </row>
    <row r="48" spans="1:8" x14ac:dyDescent="0.25">
      <c r="A48" s="7" t="s">
        <v>18</v>
      </c>
      <c r="B48" s="7"/>
      <c r="C48" s="7"/>
      <c r="D48" s="7"/>
      <c r="E48" s="7"/>
      <c r="F48" s="7"/>
    </row>
    <row r="49" spans="1:7" x14ac:dyDescent="0.25">
      <c r="A49" s="7" t="s">
        <v>19</v>
      </c>
      <c r="B49" s="28">
        <f>(B12/B13)*100</f>
        <v>96.830601092896174</v>
      </c>
      <c r="C49" s="28">
        <f t="shared" ref="C49:F49" si="6">(C12/C13)*100</f>
        <v>101.87327823691462</v>
      </c>
      <c r="D49" s="28">
        <f t="shared" si="6"/>
        <v>85.646687697160885</v>
      </c>
      <c r="E49" s="28">
        <f t="shared" si="6"/>
        <v>96.851499876043306</v>
      </c>
      <c r="F49" s="28">
        <f t="shared" si="6"/>
        <v>109.70350404312667</v>
      </c>
      <c r="G49" s="11"/>
    </row>
    <row r="50" spans="1:7" x14ac:dyDescent="0.25">
      <c r="A50" s="7" t="s">
        <v>20</v>
      </c>
      <c r="B50" s="13">
        <f>B18/B19*100</f>
        <v>30.491168994223472</v>
      </c>
      <c r="C50" s="13">
        <f>C18/C19*100</f>
        <v>25.472910927456383</v>
      </c>
      <c r="D50" s="13">
        <f>D18/D19*100</f>
        <v>21.398527865404837</v>
      </c>
      <c r="E50" s="13">
        <f>E18/E19*100</f>
        <v>28.152610122000254</v>
      </c>
      <c r="F50" s="13">
        <f>F18/F19*100</f>
        <v>49.693733218431028</v>
      </c>
    </row>
    <row r="51" spans="1:7" x14ac:dyDescent="0.25">
      <c r="A51" s="7" t="s">
        <v>21</v>
      </c>
      <c r="B51" s="13">
        <f>(B49+B50)/2</f>
        <v>63.660885043559823</v>
      </c>
      <c r="C51" s="13">
        <f t="shared" ref="C51:F51" si="7">(C49+C50)/2</f>
        <v>63.673094582185499</v>
      </c>
      <c r="D51" s="13">
        <f t="shared" si="7"/>
        <v>53.522607781282858</v>
      </c>
      <c r="E51" s="13">
        <f t="shared" si="7"/>
        <v>62.50205499902178</v>
      </c>
      <c r="F51" s="13">
        <f t="shared" si="7"/>
        <v>79.698618630778853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22</v>
      </c>
      <c r="B53" s="7"/>
      <c r="C53" s="7"/>
      <c r="D53" s="7"/>
      <c r="E53" s="7"/>
      <c r="F53" s="7"/>
    </row>
    <row r="54" spans="1:7" x14ac:dyDescent="0.25">
      <c r="A54" s="7" t="s">
        <v>23</v>
      </c>
      <c r="B54" s="13">
        <f>B20/B18*100</f>
        <v>100</v>
      </c>
      <c r="C54" s="13"/>
      <c r="D54" s="13"/>
      <c r="E54" s="13"/>
      <c r="F54" s="13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24</v>
      </c>
      <c r="B56" s="7"/>
      <c r="C56" s="7"/>
      <c r="D56" s="7"/>
      <c r="E56" s="7"/>
      <c r="F56" s="7"/>
    </row>
    <row r="57" spans="1:7" x14ac:dyDescent="0.25">
      <c r="A57" s="7" t="s">
        <v>25</v>
      </c>
      <c r="B57" s="13">
        <f>((B12/B10)-1)*100</f>
        <v>-10.265117664581469</v>
      </c>
      <c r="C57" s="13">
        <f>((C12/C10)-1)*100</f>
        <v>6.7551963048498864</v>
      </c>
      <c r="D57" s="13">
        <f>((D12/D10)-1)*100</f>
        <v>-6.2176165803108807</v>
      </c>
      <c r="E57" s="13">
        <f>((E12/E10)-1)*100</f>
        <v>-11.959134615384615</v>
      </c>
      <c r="F57" s="13">
        <f>((F12/F10)-1)*100</f>
        <v>-30.188679245283023</v>
      </c>
    </row>
    <row r="58" spans="1:7" x14ac:dyDescent="0.25">
      <c r="A58" s="7" t="s">
        <v>26</v>
      </c>
      <c r="B58" s="13">
        <f>((B33/B32)-1)*100</f>
        <v>-4.2463679185752445</v>
      </c>
      <c r="C58" s="13">
        <f t="shared" ref="C58:F58" si="8">((C33/C32)-1)*100</f>
        <v>18.840832169111543</v>
      </c>
      <c r="D58" s="13">
        <f t="shared" si="8"/>
        <v>-4.9950962162631285</v>
      </c>
      <c r="E58" s="13">
        <f t="shared" si="8"/>
        <v>-29.237257426078866</v>
      </c>
      <c r="F58" s="13">
        <f t="shared" si="8"/>
        <v>81.849679813154779</v>
      </c>
      <c r="G58" s="13"/>
    </row>
    <row r="59" spans="1:7" x14ac:dyDescent="0.25">
      <c r="A59" s="7" t="s">
        <v>27</v>
      </c>
      <c r="B59" s="13">
        <f>((B35/B34)-1)*100</f>
        <v>6.7072576342261492</v>
      </c>
      <c r="C59" s="13">
        <f>((C35/C34)-1)*100</f>
        <v>11.320887678151003</v>
      </c>
      <c r="D59" s="13">
        <f>((D35/D34)-1)*100</f>
        <v>1.3035714379072694</v>
      </c>
      <c r="E59" s="13">
        <f>((E35/E34)-1)*100</f>
        <v>-19.625116967232238</v>
      </c>
      <c r="F59" s="13">
        <f>((F35/F34)-1)*100</f>
        <v>160.48737919181636</v>
      </c>
    </row>
    <row r="60" spans="1:7" x14ac:dyDescent="0.25">
      <c r="A60" s="7"/>
      <c r="B60" s="13"/>
      <c r="C60" s="13"/>
      <c r="D60" s="13"/>
      <c r="E60" s="13"/>
      <c r="F60" s="13"/>
    </row>
    <row r="61" spans="1:7" x14ac:dyDescent="0.25">
      <c r="A61" s="7" t="s">
        <v>28</v>
      </c>
      <c r="B61" s="7"/>
      <c r="C61" s="7"/>
      <c r="D61" s="7"/>
      <c r="E61" s="7"/>
      <c r="F61" s="7"/>
    </row>
    <row r="62" spans="1:7" x14ac:dyDescent="0.25">
      <c r="A62" s="7" t="s">
        <v>46</v>
      </c>
      <c r="B62" s="5">
        <f>B17/(B11*3)</f>
        <v>92575.140765885022</v>
      </c>
      <c r="C62" s="5">
        <f t="shared" ref="C62:F63" si="9">C17/(C11*3)</f>
        <v>176210</v>
      </c>
      <c r="D62" s="5">
        <f t="shared" si="9"/>
        <v>70484</v>
      </c>
      <c r="E62" s="5">
        <f t="shared" si="9"/>
        <v>58782.787123480273</v>
      </c>
      <c r="F62" s="5">
        <f t="shared" si="9"/>
        <v>549017.5438596491</v>
      </c>
    </row>
    <row r="63" spans="1:7" x14ac:dyDescent="0.25">
      <c r="A63" s="7" t="s">
        <v>47</v>
      </c>
      <c r="B63" s="5">
        <f>$B$18/(B12*3)</f>
        <v>101467.56338976674</v>
      </c>
      <c r="C63" s="5">
        <f>C18/(C12*3)</f>
        <v>176241.76672074996</v>
      </c>
      <c r="D63" s="5">
        <f t="shared" si="9"/>
        <v>70440.731737262118</v>
      </c>
      <c r="E63" s="5">
        <f t="shared" si="9"/>
        <v>61496.815623720133</v>
      </c>
      <c r="F63" s="5">
        <f t="shared" si="9"/>
        <v>995557.98361998366</v>
      </c>
      <c r="G63" s="11"/>
    </row>
    <row r="64" spans="1:7" x14ac:dyDescent="0.25">
      <c r="A64" s="7" t="s">
        <v>29</v>
      </c>
      <c r="B64" s="13">
        <f>(B63/B62)*B46</f>
        <v>109.06257165640871</v>
      </c>
      <c r="C64" s="13">
        <f t="shared" ref="C64:F64" si="10">(C63/C62)*C46</f>
        <v>101.90082810172294</v>
      </c>
      <c r="D64" s="13">
        <f t="shared" si="10"/>
        <v>81.517671271563771</v>
      </c>
      <c r="E64" s="13">
        <f t="shared" si="10"/>
        <v>103.7479825535107</v>
      </c>
      <c r="F64" s="13">
        <f t="shared" si="10"/>
        <v>165.57704841290675</v>
      </c>
      <c r="G64" s="11"/>
    </row>
    <row r="65" spans="1:7" x14ac:dyDescent="0.25">
      <c r="A65" s="7" t="s">
        <v>48</v>
      </c>
      <c r="B65" s="13">
        <f>B17/B11</f>
        <v>277725.42229765508</v>
      </c>
      <c r="C65" s="13">
        <f t="shared" ref="C65:F66" si="11">C17/C11</f>
        <v>528630</v>
      </c>
      <c r="D65" s="13">
        <f t="shared" si="11"/>
        <v>211452</v>
      </c>
      <c r="E65" s="13">
        <f t="shared" si="11"/>
        <v>176348.36137044081</v>
      </c>
      <c r="F65" s="13">
        <f t="shared" si="11"/>
        <v>1647052.6315789474</v>
      </c>
      <c r="G65" s="11"/>
    </row>
    <row r="66" spans="1:7" x14ac:dyDescent="0.25">
      <c r="A66" s="7" t="s">
        <v>49</v>
      </c>
      <c r="B66" s="13">
        <f>B18/B12</f>
        <v>304402.69016930024</v>
      </c>
      <c r="C66" s="13">
        <f t="shared" si="11"/>
        <v>528725.30016224983</v>
      </c>
      <c r="D66" s="13">
        <f t="shared" si="11"/>
        <v>211322.19521178637</v>
      </c>
      <c r="E66" s="13">
        <f t="shared" si="11"/>
        <v>184490.44687116041</v>
      </c>
      <c r="F66" s="13">
        <f t="shared" si="11"/>
        <v>2986673.9508599509</v>
      </c>
      <c r="G66" s="11"/>
    </row>
    <row r="67" spans="1:7" x14ac:dyDescent="0.25">
      <c r="A67" s="7"/>
      <c r="B67" s="13"/>
      <c r="C67" s="13"/>
      <c r="D67" s="13"/>
      <c r="E67" s="13"/>
      <c r="F67" s="13"/>
    </row>
    <row r="68" spans="1:7" x14ac:dyDescent="0.25">
      <c r="A68" s="7" t="s">
        <v>30</v>
      </c>
      <c r="B68" s="13"/>
      <c r="C68" s="13"/>
      <c r="D68" s="13"/>
      <c r="E68" s="13"/>
      <c r="F68" s="13"/>
    </row>
    <row r="69" spans="1:7" x14ac:dyDescent="0.25">
      <c r="A69" s="7" t="s">
        <v>31</v>
      </c>
      <c r="B69" s="13">
        <f>(B24/B23)*100</f>
        <v>103.66045260500101</v>
      </c>
      <c r="C69" s="13"/>
      <c r="D69" s="13"/>
      <c r="E69" s="13"/>
      <c r="F69" s="13"/>
      <c r="G69" s="11"/>
    </row>
    <row r="70" spans="1:7" x14ac:dyDescent="0.25">
      <c r="A70" s="7" t="s">
        <v>32</v>
      </c>
      <c r="B70" s="13">
        <f>(B18/B24)*100</f>
        <v>100.38982374252269</v>
      </c>
      <c r="C70" s="13"/>
      <c r="D70" s="13"/>
      <c r="E70" s="13"/>
      <c r="F70" s="13"/>
      <c r="G70" s="11"/>
    </row>
    <row r="71" spans="1:7" ht="15.75" thickBot="1" x14ac:dyDescent="0.3">
      <c r="A71" s="21"/>
      <c r="B71" s="14"/>
      <c r="C71" s="14"/>
      <c r="D71" s="14"/>
      <c r="E71" s="14"/>
      <c r="F71" s="14"/>
    </row>
    <row r="72" spans="1:7" ht="15.75" thickTop="1" x14ac:dyDescent="0.25"/>
    <row r="73" spans="1:7" x14ac:dyDescent="0.25">
      <c r="A73" t="s">
        <v>35</v>
      </c>
    </row>
    <row r="74" spans="1:7" x14ac:dyDescent="0.25">
      <c r="A74" t="s">
        <v>90</v>
      </c>
    </row>
    <row r="75" spans="1:7" x14ac:dyDescent="0.25">
      <c r="A75" t="s">
        <v>91</v>
      </c>
      <c r="B75" s="15"/>
      <c r="C75" s="15"/>
      <c r="D75" s="15"/>
    </row>
    <row r="76" spans="1:7" x14ac:dyDescent="0.25">
      <c r="A76" t="s">
        <v>114</v>
      </c>
    </row>
    <row r="79" spans="1:7" x14ac:dyDescent="0.25">
      <c r="A79" t="s">
        <v>36</v>
      </c>
    </row>
    <row r="80" spans="1:7" x14ac:dyDescent="0.25">
      <c r="A80" t="s">
        <v>37</v>
      </c>
    </row>
    <row r="81" spans="1:1" x14ac:dyDescent="0.25">
      <c r="A81" s="38"/>
    </row>
    <row r="83" spans="1:1" x14ac:dyDescent="0.25">
      <c r="A83" s="9" t="s">
        <v>137</v>
      </c>
    </row>
  </sheetData>
  <mergeCells count="3">
    <mergeCell ref="A4:A5"/>
    <mergeCell ref="A2:E2"/>
    <mergeCell ref="C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zoomScaleNormal="100" workbookViewId="0">
      <pane xSplit="1" ySplit="5" topLeftCell="B57" activePane="bottomRight" state="frozen"/>
      <selection activeCell="D40" sqref="D40"/>
      <selection pane="topRight" activeCell="D40" sqref="D40"/>
      <selection pane="bottomLeft" activeCell="D40" sqref="D40"/>
      <selection pane="bottomRight" activeCell="A84" sqref="A84"/>
    </sheetView>
  </sheetViews>
  <sheetFormatPr baseColWidth="10" defaultColWidth="11.42578125" defaultRowHeight="15" x14ac:dyDescent="0.25"/>
  <cols>
    <col min="1" max="1" width="55.140625" customWidth="1"/>
    <col min="2" max="2" width="19.28515625" customWidth="1"/>
    <col min="3" max="3" width="18.7109375" customWidth="1"/>
    <col min="4" max="4" width="16.28515625" customWidth="1"/>
    <col min="5" max="5" width="15.5703125" customWidth="1"/>
    <col min="6" max="6" width="18.85546875" customWidth="1"/>
    <col min="7" max="7" width="18.7109375" customWidth="1"/>
  </cols>
  <sheetData>
    <row r="2" spans="1:8" ht="15.75" x14ac:dyDescent="0.25">
      <c r="A2" s="44" t="s">
        <v>115</v>
      </c>
      <c r="B2" s="44"/>
      <c r="C2" s="44"/>
      <c r="D2" s="44"/>
      <c r="E2" s="44"/>
    </row>
    <row r="4" spans="1:8" x14ac:dyDescent="0.25">
      <c r="A4" s="45" t="s">
        <v>0</v>
      </c>
      <c r="B4" s="18" t="s">
        <v>33</v>
      </c>
      <c r="C4" s="49" t="s">
        <v>2</v>
      </c>
      <c r="D4" s="49"/>
      <c r="E4" s="49"/>
      <c r="F4" s="49"/>
    </row>
    <row r="5" spans="1:8" ht="30.75" thickBot="1" x14ac:dyDescent="0.3">
      <c r="A5" s="46"/>
      <c r="B5" s="1" t="s">
        <v>34</v>
      </c>
      <c r="C5" s="1" t="s">
        <v>40</v>
      </c>
      <c r="D5" s="1" t="s">
        <v>41</v>
      </c>
      <c r="E5" s="1" t="s">
        <v>3</v>
      </c>
      <c r="F5" s="37" t="s">
        <v>52</v>
      </c>
    </row>
    <row r="6" spans="1:8" ht="15.75" thickTop="1" x14ac:dyDescent="0.25"/>
    <row r="7" spans="1:8" x14ac:dyDescent="0.25">
      <c r="A7" s="2" t="s">
        <v>4</v>
      </c>
    </row>
    <row r="9" spans="1:8" x14ac:dyDescent="0.25">
      <c r="A9" t="s">
        <v>38</v>
      </c>
    </row>
    <row r="10" spans="1:8" x14ac:dyDescent="0.25">
      <c r="A10" s="4" t="s">
        <v>70</v>
      </c>
      <c r="B10" s="27">
        <f>SUM(C10:F10)</f>
        <v>9332</v>
      </c>
      <c r="C10" s="5">
        <f>(+'I Trimestre'!C10+'II Trimestre'!C10)/2</f>
        <v>1711</v>
      </c>
      <c r="D10" s="5">
        <f>(+'I Trimestre'!D10+'II Trimestre'!D10)/2</f>
        <v>1102</v>
      </c>
      <c r="E10" s="5">
        <f>(+'I Trimestre'!E10+'II Trimestre'!E10)/2</f>
        <v>6364.5</v>
      </c>
      <c r="F10" s="5">
        <f>+'I Trimestre'!F10+'II Trimestre'!F10/2</f>
        <v>154.5</v>
      </c>
      <c r="G10" s="3"/>
      <c r="H10" s="11"/>
    </row>
    <row r="11" spans="1:8" x14ac:dyDescent="0.25">
      <c r="A11" s="6" t="s">
        <v>116</v>
      </c>
      <c r="B11" s="27">
        <f t="shared" ref="B11:B12" si="0">SUM(C11:F11)</f>
        <v>15052</v>
      </c>
      <c r="C11" s="5">
        <f>(+'I Trimestre'!C11+'II Trimestre'!C11)/2</f>
        <v>1815</v>
      </c>
      <c r="D11" s="5">
        <f>(+'I Trimestre'!D11+'II Trimestre'!D11)/2</f>
        <v>1205</v>
      </c>
      <c r="E11" s="5">
        <f>(+'I Trimestre'!E11+'II Trimestre'!E11)/2</f>
        <v>11934</v>
      </c>
      <c r="F11" s="5">
        <f>(+'I Trimestre'!F11+'II Trimestre'!F11)/2</f>
        <v>98</v>
      </c>
      <c r="G11" s="19"/>
      <c r="H11" s="11"/>
    </row>
    <row r="12" spans="1:8" x14ac:dyDescent="0.25">
      <c r="A12" s="6" t="s">
        <v>117</v>
      </c>
      <c r="B12" s="27">
        <f t="shared" si="0"/>
        <v>14135.333333333332</v>
      </c>
      <c r="C12" s="5">
        <f>(+'I Trimestre'!C12+'II Trimestre'!C12)/2</f>
        <v>1766.1666666666665</v>
      </c>
      <c r="D12" s="5">
        <f>(+'I Trimestre'!D12+'II Trimestre'!D12)/2</f>
        <v>1123.1666666666667</v>
      </c>
      <c r="E12" s="5">
        <f>(+'I Trimestre'!E12+'II Trimestre'!E12)/2</f>
        <v>11118.5</v>
      </c>
      <c r="F12" s="5">
        <f>(+'I Trimestre'!F12+'II Trimestre'!F12)/2</f>
        <v>127.5</v>
      </c>
      <c r="H12" s="11"/>
    </row>
    <row r="13" spans="1:8" x14ac:dyDescent="0.25">
      <c r="A13" s="6" t="s">
        <v>85</v>
      </c>
      <c r="B13" s="34">
        <f>SUM(C13:F13)</f>
        <v>15052</v>
      </c>
      <c r="C13" s="5">
        <f>+'II Trimestre'!C13</f>
        <v>1815</v>
      </c>
      <c r="D13" s="5">
        <f>+'II Trimestre'!D13</f>
        <v>1205</v>
      </c>
      <c r="E13" s="5">
        <f>+'II Trimestre'!E13</f>
        <v>11934</v>
      </c>
      <c r="F13" s="5">
        <f>+'II Trimestre'!F13</f>
        <v>98</v>
      </c>
      <c r="G13" s="22"/>
    </row>
    <row r="14" spans="1:8" x14ac:dyDescent="0.25">
      <c r="F14" s="7"/>
      <c r="G14" s="36"/>
    </row>
    <row r="15" spans="1:8" x14ac:dyDescent="0.25">
      <c r="A15" s="8" t="s">
        <v>5</v>
      </c>
      <c r="F15" s="7"/>
      <c r="G15" s="20"/>
    </row>
    <row r="16" spans="1:8" x14ac:dyDescent="0.25">
      <c r="A16" s="4" t="s">
        <v>70</v>
      </c>
      <c r="B16" s="27">
        <f>SUM(C16:F16)</f>
        <v>5333329219</v>
      </c>
      <c r="C16" s="5">
        <f>+'I Trimestre'!C16+'II Trimestre'!C16</f>
        <v>1580335002</v>
      </c>
      <c r="D16" s="5">
        <f>+'I Trimestre'!D16+'II Trimestre'!D16</f>
        <v>406780842</v>
      </c>
      <c r="E16" s="5">
        <f>+'I Trimestre'!E16+'II Trimestre'!E16</f>
        <v>3110213375</v>
      </c>
      <c r="F16" s="5">
        <f>+'I Trimestre'!F16+'II Trimestre'!F16</f>
        <v>236000000</v>
      </c>
      <c r="H16" s="11"/>
    </row>
    <row r="17" spans="1:7" x14ac:dyDescent="0.25">
      <c r="A17" s="6" t="s">
        <v>116</v>
      </c>
      <c r="B17" s="27">
        <f>SUM(C17:F17)</f>
        <v>6188918220</v>
      </c>
      <c r="C17" s="5">
        <f>+'I Trimestre'!C17+'II Trimestre'!C17</f>
        <v>1918926900</v>
      </c>
      <c r="D17" s="5">
        <f>+'I Trimestre'!D17+'II Trimestre'!D17</f>
        <v>509599320</v>
      </c>
      <c r="E17" s="5">
        <f>+'I Trimestre'!E17+'II Trimestre'!E17</f>
        <v>3436992000</v>
      </c>
      <c r="F17" s="5">
        <f>+'I Trimestre'!F17+'II Trimestre'!F17</f>
        <v>323400000</v>
      </c>
      <c r="G17" s="19"/>
    </row>
    <row r="18" spans="1:7" x14ac:dyDescent="0.25">
      <c r="A18" s="6" t="s">
        <v>117</v>
      </c>
      <c r="B18" s="26">
        <f>SUM(C18:F18)</f>
        <v>5973172819</v>
      </c>
      <c r="C18" s="5">
        <f>+'I Trimestre'!C18+'II Trimestre'!C18</f>
        <v>1726681793</v>
      </c>
      <c r="D18" s="5">
        <f>+'I Trimestre'!D18+'II Trimestre'!D18</f>
        <v>474991676</v>
      </c>
      <c r="E18" s="5">
        <f>+'I Trimestre'!E18+'II Trimestre'!E18</f>
        <v>3415434750</v>
      </c>
      <c r="F18" s="5">
        <f>+'I Trimestre'!F18+'II Trimestre'!F18</f>
        <v>356064600</v>
      </c>
    </row>
    <row r="19" spans="1:7" x14ac:dyDescent="0.25">
      <c r="A19" s="6" t="s">
        <v>85</v>
      </c>
      <c r="B19" s="3">
        <f>SUM(C19:F19)</f>
        <v>12377836440</v>
      </c>
      <c r="C19" s="5">
        <f>+'II Trimestre'!C19</f>
        <v>3837853800</v>
      </c>
      <c r="D19" s="5">
        <f>+'II Trimestre'!D19</f>
        <v>1019198640</v>
      </c>
      <c r="E19" s="5">
        <f>+'II Trimestre'!E19</f>
        <v>6873984000</v>
      </c>
      <c r="F19" s="5">
        <f>+'II Trimestre'!F19</f>
        <v>646800000</v>
      </c>
    </row>
    <row r="20" spans="1:7" x14ac:dyDescent="0.25">
      <c r="A20" s="6" t="s">
        <v>118</v>
      </c>
      <c r="B20" s="34">
        <f>SUM(C20:F20)</f>
        <v>5973172819</v>
      </c>
      <c r="C20" s="5">
        <f>+C18</f>
        <v>1726681793</v>
      </c>
      <c r="D20" s="5">
        <f t="shared" ref="D20:F20" si="1">+D18</f>
        <v>474991676</v>
      </c>
      <c r="E20" s="5">
        <f t="shared" si="1"/>
        <v>3415434750</v>
      </c>
      <c r="F20" s="5">
        <f t="shared" si="1"/>
        <v>356064600</v>
      </c>
      <c r="G20" s="22"/>
    </row>
    <row r="21" spans="1:7" x14ac:dyDescent="0.25">
      <c r="B21" s="3"/>
      <c r="C21" s="3"/>
      <c r="D21" s="3"/>
      <c r="E21" s="3"/>
      <c r="F21" s="5"/>
      <c r="G21" s="19"/>
    </row>
    <row r="22" spans="1:7" x14ac:dyDescent="0.25">
      <c r="A22" s="10" t="s">
        <v>6</v>
      </c>
      <c r="B22" s="5"/>
      <c r="C22" s="5"/>
      <c r="D22" s="5"/>
      <c r="E22" s="5"/>
      <c r="F22" s="5"/>
    </row>
    <row r="23" spans="1:7" x14ac:dyDescent="0.25">
      <c r="A23" s="4" t="s">
        <v>116</v>
      </c>
      <c r="B23" s="5">
        <f>B17</f>
        <v>6188918220</v>
      </c>
      <c r="C23" s="5"/>
      <c r="D23" s="5"/>
      <c r="E23" s="5"/>
      <c r="F23" s="5"/>
      <c r="G23" s="11"/>
    </row>
    <row r="24" spans="1:7" x14ac:dyDescent="0.25">
      <c r="A24" s="4" t="s">
        <v>117</v>
      </c>
      <c r="B24" s="5">
        <f>'I Trimestre'!B24+'II Trimestre'!B24</f>
        <v>6188908470</v>
      </c>
      <c r="C24" s="50"/>
      <c r="D24" s="50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7</v>
      </c>
      <c r="B26" s="7"/>
      <c r="C26" s="7"/>
      <c r="D26" s="7"/>
      <c r="E26" s="7"/>
      <c r="F26" s="7"/>
    </row>
    <row r="27" spans="1:7" x14ac:dyDescent="0.25">
      <c r="A27" s="4" t="s">
        <v>71</v>
      </c>
      <c r="B27" s="35">
        <v>1</v>
      </c>
      <c r="C27" s="35">
        <v>1</v>
      </c>
      <c r="D27" s="35">
        <v>1</v>
      </c>
      <c r="E27" s="35">
        <v>1</v>
      </c>
      <c r="F27" s="35">
        <v>1</v>
      </c>
    </row>
    <row r="28" spans="1:7" x14ac:dyDescent="0.25">
      <c r="A28" s="4" t="s">
        <v>119</v>
      </c>
      <c r="B28" s="35">
        <v>0.99</v>
      </c>
      <c r="C28" s="35">
        <v>0.99</v>
      </c>
      <c r="D28" s="35">
        <v>0.99</v>
      </c>
      <c r="E28" s="35">
        <v>0.99</v>
      </c>
      <c r="F28" s="35">
        <v>0.99</v>
      </c>
    </row>
    <row r="29" spans="1:7" x14ac:dyDescent="0.25">
      <c r="A29" s="4" t="s">
        <v>8</v>
      </c>
      <c r="B29" s="5">
        <v>127629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2" t="s">
        <v>9</v>
      </c>
      <c r="B31" s="7"/>
      <c r="C31" s="7"/>
      <c r="D31" s="7"/>
      <c r="E31" s="7"/>
      <c r="F31" s="7"/>
    </row>
    <row r="32" spans="1:7" x14ac:dyDescent="0.25">
      <c r="A32" s="7" t="s">
        <v>72</v>
      </c>
      <c r="B32" s="5">
        <f>B16/B27</f>
        <v>5333329219</v>
      </c>
      <c r="C32" s="5">
        <f>C16/C27</f>
        <v>1580335002</v>
      </c>
      <c r="D32" s="5">
        <f>D16/D27</f>
        <v>406780842</v>
      </c>
      <c r="E32" s="5">
        <f>E16/E27</f>
        <v>3110213375</v>
      </c>
      <c r="F32" s="5">
        <f>F16/F27</f>
        <v>236000000</v>
      </c>
    </row>
    <row r="33" spans="1:8" x14ac:dyDescent="0.25">
      <c r="A33" s="7" t="s">
        <v>120</v>
      </c>
      <c r="B33" s="5">
        <f>B18/B28</f>
        <v>6033507897.9797983</v>
      </c>
      <c r="C33" s="5">
        <f>C18/C28</f>
        <v>1744123023.2323232</v>
      </c>
      <c r="D33" s="5">
        <f>D18/D28</f>
        <v>479789571.71717173</v>
      </c>
      <c r="E33" s="5">
        <f>E18/E28</f>
        <v>3449934090.909091</v>
      </c>
      <c r="F33" s="5">
        <f>F18/F28</f>
        <v>359661212.12121212</v>
      </c>
    </row>
    <row r="34" spans="1:8" x14ac:dyDescent="0.25">
      <c r="A34" s="7" t="s">
        <v>73</v>
      </c>
      <c r="B34" s="27">
        <f>$B$32/(B10)</f>
        <v>571509.77486069442</v>
      </c>
      <c r="C34" s="27">
        <f>C32/(C10)</f>
        <v>923632.37989479839</v>
      </c>
      <c r="D34" s="27">
        <f>D32/(D10)</f>
        <v>369129.62068965519</v>
      </c>
      <c r="E34" s="27">
        <f>E32/(E10)</f>
        <v>488681.49501139129</v>
      </c>
      <c r="F34" s="27">
        <f>F32/(F10)</f>
        <v>1527508.0906148867</v>
      </c>
      <c r="H34" s="11"/>
    </row>
    <row r="35" spans="1:8" x14ac:dyDescent="0.25">
      <c r="A35" s="7" t="s">
        <v>121</v>
      </c>
      <c r="B35" s="27">
        <f>$B$33/(B12)</f>
        <v>426838.74201620987</v>
      </c>
      <c r="C35" s="27">
        <f>C33/(C12)</f>
        <v>987518.93360327824</v>
      </c>
      <c r="D35" s="27">
        <f t="shared" ref="D35:F35" si="2">D33/(D12)</f>
        <v>427175.75757575757</v>
      </c>
      <c r="E35" s="27">
        <f t="shared" si="2"/>
        <v>310287.72684346727</v>
      </c>
      <c r="F35" s="27">
        <f t="shared" si="2"/>
        <v>2820872.2519310755</v>
      </c>
      <c r="H35" s="11"/>
    </row>
    <row r="36" spans="1:8" x14ac:dyDescent="0.25">
      <c r="A36" s="7"/>
      <c r="B36" s="7"/>
      <c r="C36" s="7"/>
      <c r="D36" s="7"/>
      <c r="E36" s="7"/>
      <c r="F36" s="7"/>
    </row>
    <row r="37" spans="1:8" x14ac:dyDescent="0.25">
      <c r="A37" s="2" t="s">
        <v>10</v>
      </c>
      <c r="F37" s="7"/>
    </row>
    <row r="38" spans="1:8" x14ac:dyDescent="0.25">
      <c r="F38" s="7"/>
    </row>
    <row r="39" spans="1:8" x14ac:dyDescent="0.25">
      <c r="A39" t="s">
        <v>11</v>
      </c>
      <c r="F39" s="7"/>
    </row>
    <row r="40" spans="1:8" x14ac:dyDescent="0.25">
      <c r="A40" t="s">
        <v>12</v>
      </c>
      <c r="B40" s="13">
        <f>(B11/(B29))*100</f>
        <v>11.793557890448096</v>
      </c>
      <c r="C40" s="13"/>
      <c r="D40" s="13"/>
      <c r="E40" s="13"/>
      <c r="F40" s="13"/>
    </row>
    <row r="41" spans="1:8" x14ac:dyDescent="0.25">
      <c r="A41" t="s">
        <v>13</v>
      </c>
      <c r="B41" s="13">
        <f>(B12/(B29))*100</f>
        <v>11.07533031938927</v>
      </c>
      <c r="C41" s="13"/>
      <c r="D41" s="13"/>
      <c r="E41" s="13"/>
      <c r="F41" s="13"/>
    </row>
    <row r="42" spans="1:8" x14ac:dyDescent="0.25">
      <c r="B42" s="7"/>
      <c r="C42" s="7"/>
      <c r="D42" s="7"/>
      <c r="E42" s="7"/>
      <c r="F42" s="7"/>
    </row>
    <row r="43" spans="1:8" x14ac:dyDescent="0.25">
      <c r="A43" t="s">
        <v>14</v>
      </c>
      <c r="B43" s="7"/>
      <c r="C43" s="7"/>
      <c r="D43" s="7"/>
      <c r="E43" s="7"/>
      <c r="F43" s="7"/>
    </row>
    <row r="44" spans="1:8" x14ac:dyDescent="0.25">
      <c r="A44" t="s">
        <v>15</v>
      </c>
      <c r="B44" s="13">
        <f>B12/B11*100</f>
        <v>93.91000088581805</v>
      </c>
      <c r="C44" s="13">
        <f>C12/C11*100</f>
        <v>97.309458218549111</v>
      </c>
      <c r="D44" s="13">
        <f>D12/D11*100</f>
        <v>93.208852005532506</v>
      </c>
      <c r="E44" s="13">
        <f>E12/E11*100</f>
        <v>93.166582872465227</v>
      </c>
      <c r="F44" s="13">
        <f>F12/F11*100</f>
        <v>130.10204081632654</v>
      </c>
    </row>
    <row r="45" spans="1:8" x14ac:dyDescent="0.25">
      <c r="A45" t="s">
        <v>16</v>
      </c>
      <c r="B45" s="13">
        <f>B18/B17*100</f>
        <v>96.514004655889607</v>
      </c>
      <c r="C45" s="13">
        <f>C18/C17*100</f>
        <v>89.981634683426449</v>
      </c>
      <c r="D45" s="13">
        <f>D18/D17*100</f>
        <v>93.208852005532506</v>
      </c>
      <c r="E45" s="13">
        <f>E18/E17*100</f>
        <v>99.372787309368192</v>
      </c>
      <c r="F45" s="13">
        <f>F18/F17*100</f>
        <v>110.10037105751391</v>
      </c>
    </row>
    <row r="46" spans="1:8" x14ac:dyDescent="0.25">
      <c r="A46" s="7" t="s">
        <v>17</v>
      </c>
      <c r="B46" s="13">
        <f>AVERAGE(B44:B45)</f>
        <v>95.212002770853829</v>
      </c>
      <c r="C46" s="13">
        <f>AVERAGE(C44:C45)</f>
        <v>93.64554645098778</v>
      </c>
      <c r="D46" s="13">
        <f>AVERAGE(D44:D45)</f>
        <v>93.208852005532506</v>
      </c>
      <c r="E46" s="13">
        <f>AVERAGE(E44:E45)</f>
        <v>96.26968509091671</v>
      </c>
      <c r="F46" s="13">
        <f>AVERAGE(F44:F45)</f>
        <v>120.10120593692022</v>
      </c>
    </row>
    <row r="47" spans="1:8" x14ac:dyDescent="0.25">
      <c r="A47" s="7"/>
      <c r="B47" s="13"/>
      <c r="C47" s="13"/>
      <c r="D47" s="13"/>
      <c r="E47" s="13"/>
      <c r="F47" s="13"/>
    </row>
    <row r="48" spans="1:8" x14ac:dyDescent="0.25">
      <c r="A48" s="7" t="s">
        <v>18</v>
      </c>
      <c r="B48" s="7"/>
      <c r="C48" s="7"/>
      <c r="D48" s="7"/>
      <c r="E48" s="7"/>
      <c r="F48" s="7"/>
    </row>
    <row r="49" spans="1:7" x14ac:dyDescent="0.25">
      <c r="A49" s="7" t="s">
        <v>19</v>
      </c>
      <c r="B49" s="28">
        <f>(B12/B13)*100</f>
        <v>93.91000088581805</v>
      </c>
      <c r="C49" s="28">
        <f t="shared" ref="C49:F49" si="3">(C12/C13)*100</f>
        <v>97.309458218549111</v>
      </c>
      <c r="D49" s="28">
        <f t="shared" si="3"/>
        <v>93.208852005532506</v>
      </c>
      <c r="E49" s="28">
        <f t="shared" si="3"/>
        <v>93.166582872465227</v>
      </c>
      <c r="F49" s="28">
        <f t="shared" si="3"/>
        <v>130.10204081632654</v>
      </c>
      <c r="G49" s="11"/>
    </row>
    <row r="50" spans="1:7" x14ac:dyDescent="0.25">
      <c r="A50" s="7" t="s">
        <v>20</v>
      </c>
      <c r="B50" s="13">
        <f>B18/B19*100</f>
        <v>48.257002327944804</v>
      </c>
      <c r="C50" s="13">
        <f>C18/C19*100</f>
        <v>44.990817341713225</v>
      </c>
      <c r="D50" s="13">
        <f>D18/D19*100</f>
        <v>46.604426002766253</v>
      </c>
      <c r="E50" s="13">
        <f>E18/E19*100</f>
        <v>49.686393654684096</v>
      </c>
      <c r="F50" s="13">
        <f>F18/F19*100</f>
        <v>55.050185528756955</v>
      </c>
    </row>
    <row r="51" spans="1:7" x14ac:dyDescent="0.25">
      <c r="A51" s="7" t="s">
        <v>21</v>
      </c>
      <c r="B51" s="13">
        <f>(B49+B50)/2</f>
        <v>71.083501606881427</v>
      </c>
      <c r="C51" s="13">
        <f>(C49+C50)/2</f>
        <v>71.150137780131161</v>
      </c>
      <c r="D51" s="13">
        <f>(D49+D50)/2</f>
        <v>69.906639004149383</v>
      </c>
      <c r="E51" s="13">
        <f>(E49+E50)/2</f>
        <v>71.426488263574669</v>
      </c>
      <c r="F51" s="13">
        <f>(F49+F50)/2</f>
        <v>92.576113172541739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22</v>
      </c>
      <c r="B53" s="7"/>
      <c r="C53" s="7"/>
      <c r="D53" s="7"/>
      <c r="E53" s="7"/>
      <c r="F53" s="7"/>
    </row>
    <row r="54" spans="1:7" x14ac:dyDescent="0.25">
      <c r="A54" s="7" t="s">
        <v>23</v>
      </c>
      <c r="B54" s="13">
        <f>B20/B18*100</f>
        <v>100</v>
      </c>
      <c r="C54" s="13"/>
      <c r="D54" s="13"/>
      <c r="E54" s="13"/>
      <c r="F54" s="13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24</v>
      </c>
      <c r="B56" s="7"/>
      <c r="C56" s="7"/>
      <c r="D56" s="7"/>
      <c r="E56" s="7"/>
      <c r="F56" s="7"/>
    </row>
    <row r="57" spans="1:7" x14ac:dyDescent="0.25">
      <c r="A57" s="7" t="s">
        <v>25</v>
      </c>
      <c r="B57" s="13">
        <f>((B12/B10)-1)*100</f>
        <v>51.471638805543641</v>
      </c>
      <c r="C57" s="13">
        <f>((C12/C10)-1)*100</f>
        <v>3.2242353399571266</v>
      </c>
      <c r="D57" s="13">
        <f>((D12/D10)-1)*100</f>
        <v>1.9207501512401803</v>
      </c>
      <c r="E57" s="13">
        <f>((E12/E10)-1)*100</f>
        <v>74.695577028831806</v>
      </c>
      <c r="F57" s="13">
        <f>((F12/F10)-1)*100</f>
        <v>-17.475728155339809</v>
      </c>
    </row>
    <row r="58" spans="1:7" x14ac:dyDescent="0.25">
      <c r="A58" s="7" t="s">
        <v>26</v>
      </c>
      <c r="B58" s="13">
        <f>((B33/B32)-1)*100</f>
        <v>13.128360358580714</v>
      </c>
      <c r="C58" s="13">
        <f>((C33/C32)-1)*100</f>
        <v>10.364132986046659</v>
      </c>
      <c r="D58" s="13">
        <f>((D33/D32)-1)*100</f>
        <v>17.947927281484844</v>
      </c>
      <c r="E58" s="13">
        <f>((E33/E32)-1)*100</f>
        <v>10.922746286148</v>
      </c>
      <c r="F58" s="13">
        <f>((F33/F32)-1)*100</f>
        <v>52.398818695428858</v>
      </c>
      <c r="G58" s="13"/>
    </row>
    <row r="59" spans="1:7" x14ac:dyDescent="0.25">
      <c r="A59" s="7" t="s">
        <v>27</v>
      </c>
      <c r="B59" s="13">
        <f>((B35/B34)-1)*100</f>
        <v>-25.313833500004112</v>
      </c>
      <c r="C59" s="13">
        <f>((C35/C34)-1)*100</f>
        <v>6.9168811205770453</v>
      </c>
      <c r="D59" s="13">
        <f>((D35/D34)-1)*100</f>
        <v>15.725136546249828</v>
      </c>
      <c r="E59" s="13">
        <f>((E35/E34)-1)*100</f>
        <v>-36.505120408491344</v>
      </c>
      <c r="F59" s="13">
        <f>((F35/F34)-1)*100</f>
        <v>84.671509713284394</v>
      </c>
    </row>
    <row r="60" spans="1:7" x14ac:dyDescent="0.25">
      <c r="A60" s="7"/>
      <c r="B60" s="13"/>
      <c r="C60" s="13"/>
      <c r="D60" s="13"/>
      <c r="E60" s="13"/>
      <c r="F60" s="13"/>
    </row>
    <row r="61" spans="1:7" x14ac:dyDescent="0.25">
      <c r="A61" s="7" t="s">
        <v>28</v>
      </c>
      <c r="B61" s="7"/>
      <c r="C61" s="7"/>
      <c r="D61" s="7"/>
      <c r="E61" s="7"/>
      <c r="F61" s="7"/>
    </row>
    <row r="62" spans="1:7" x14ac:dyDescent="0.25">
      <c r="A62" s="7" t="s">
        <v>46</v>
      </c>
      <c r="B62" s="5">
        <f>B17/(B11*6)</f>
        <v>68528.193595535471</v>
      </c>
      <c r="C62" s="5">
        <f t="shared" ref="C62:F62" si="4">C17/(C11*6)</f>
        <v>176210</v>
      </c>
      <c r="D62" s="5">
        <f t="shared" si="4"/>
        <v>70484</v>
      </c>
      <c r="E62" s="5">
        <f t="shared" si="4"/>
        <v>48000</v>
      </c>
      <c r="F62" s="5">
        <f t="shared" si="4"/>
        <v>550000</v>
      </c>
    </row>
    <row r="63" spans="1:7" x14ac:dyDescent="0.25">
      <c r="A63" s="7" t="s">
        <v>47</v>
      </c>
      <c r="B63" s="5">
        <f>B18/(B12*6)</f>
        <v>70428.39243267462</v>
      </c>
      <c r="C63" s="5">
        <f t="shared" ref="C63:F63" si="5">C18/(C12*6)</f>
        <v>162940.62404454092</v>
      </c>
      <c r="D63" s="5">
        <f t="shared" si="5"/>
        <v>70484</v>
      </c>
      <c r="E63" s="5">
        <f t="shared" si="5"/>
        <v>51197.474929172102</v>
      </c>
      <c r="F63" s="5">
        <f t="shared" si="5"/>
        <v>465443.92156862747</v>
      </c>
    </row>
    <row r="64" spans="1:7" x14ac:dyDescent="0.25">
      <c r="A64" s="7" t="s">
        <v>29</v>
      </c>
      <c r="B64" s="13">
        <f>(B63/B62)*B46</f>
        <v>97.852109381786775</v>
      </c>
      <c r="C64" s="13">
        <f t="shared" ref="C64:F64" si="6">(C63/C62)*C46</f>
        <v>86.593631335996776</v>
      </c>
      <c r="D64" s="13">
        <f t="shared" si="6"/>
        <v>93.208852005532506</v>
      </c>
      <c r="E64" s="13">
        <f t="shared" si="6"/>
        <v>102.68259976836461</v>
      </c>
      <c r="F64" s="13">
        <f t="shared" si="6"/>
        <v>101.63704777527541</v>
      </c>
    </row>
    <row r="65" spans="1:7" x14ac:dyDescent="0.25">
      <c r="A65" s="7" t="s">
        <v>48</v>
      </c>
      <c r="B65" s="25">
        <f>B17/B11</f>
        <v>411169.16157321288</v>
      </c>
      <c r="C65" s="25">
        <f t="shared" ref="C65:F66" si="7">C17/C11</f>
        <v>1057260</v>
      </c>
      <c r="D65" s="25">
        <f t="shared" si="7"/>
        <v>422904</v>
      </c>
      <c r="E65" s="25">
        <f t="shared" si="7"/>
        <v>288000</v>
      </c>
      <c r="F65" s="25">
        <f t="shared" si="7"/>
        <v>3300000</v>
      </c>
    </row>
    <row r="66" spans="1:7" x14ac:dyDescent="0.25">
      <c r="A66" s="7" t="s">
        <v>49</v>
      </c>
      <c r="B66" s="25">
        <f>B18/B12</f>
        <v>422570.35459604778</v>
      </c>
      <c r="C66" s="25">
        <f t="shared" si="7"/>
        <v>977643.74426724552</v>
      </c>
      <c r="D66" s="25">
        <f t="shared" si="7"/>
        <v>422904</v>
      </c>
      <c r="E66" s="25">
        <f t="shared" si="7"/>
        <v>307184.8495750326</v>
      </c>
      <c r="F66" s="25">
        <f t="shared" si="7"/>
        <v>2792663.5294117648</v>
      </c>
    </row>
    <row r="67" spans="1:7" x14ac:dyDescent="0.25">
      <c r="A67" s="7"/>
      <c r="B67" s="13"/>
      <c r="C67" s="13"/>
      <c r="D67" s="13"/>
      <c r="E67" s="13"/>
      <c r="F67" s="13"/>
    </row>
    <row r="68" spans="1:7" x14ac:dyDescent="0.25">
      <c r="A68" s="7" t="s">
        <v>30</v>
      </c>
      <c r="B68" s="13"/>
      <c r="C68" s="13"/>
      <c r="D68" s="13"/>
      <c r="E68" s="13"/>
      <c r="F68" s="13"/>
    </row>
    <row r="69" spans="1:7" x14ac:dyDescent="0.25">
      <c r="A69" s="7" t="s">
        <v>31</v>
      </c>
      <c r="B69" s="13">
        <f>(B24/B23)*100</f>
        <v>99.999842460351658</v>
      </c>
      <c r="C69" s="13"/>
      <c r="D69" s="13"/>
      <c r="E69" s="13"/>
      <c r="F69" s="13"/>
      <c r="G69" s="11"/>
    </row>
    <row r="70" spans="1:7" x14ac:dyDescent="0.25">
      <c r="A70" s="7" t="s">
        <v>32</v>
      </c>
      <c r="B70" s="13">
        <f>(B18/B24)*100</f>
        <v>96.514156703952679</v>
      </c>
      <c r="C70" s="13"/>
      <c r="D70" s="13"/>
      <c r="E70" s="13"/>
      <c r="F70" s="13"/>
      <c r="G70" s="11"/>
    </row>
    <row r="71" spans="1:7" ht="15.75" thickBot="1" x14ac:dyDescent="0.3">
      <c r="A71" s="21"/>
      <c r="B71" s="14"/>
      <c r="C71" s="14"/>
      <c r="D71" s="14"/>
      <c r="E71" s="14"/>
      <c r="F71" s="14"/>
    </row>
    <row r="72" spans="1:7" ht="15.75" thickTop="1" x14ac:dyDescent="0.25"/>
    <row r="73" spans="1:7" x14ac:dyDescent="0.25">
      <c r="A73" t="s">
        <v>35</v>
      </c>
    </row>
    <row r="74" spans="1:7" x14ac:dyDescent="0.25">
      <c r="A74" t="s">
        <v>90</v>
      </c>
    </row>
    <row r="75" spans="1:7" x14ac:dyDescent="0.25">
      <c r="A75" t="s">
        <v>91</v>
      </c>
      <c r="B75" s="15"/>
      <c r="C75" s="15"/>
      <c r="D75" s="15"/>
    </row>
    <row r="76" spans="1:7" x14ac:dyDescent="0.25">
      <c r="A76" t="s">
        <v>114</v>
      </c>
    </row>
    <row r="79" spans="1:7" x14ac:dyDescent="0.25">
      <c r="A79" t="s">
        <v>36</v>
      </c>
    </row>
    <row r="80" spans="1:7" x14ac:dyDescent="0.25">
      <c r="A80" t="s">
        <v>37</v>
      </c>
    </row>
    <row r="81" spans="1:1" x14ac:dyDescent="0.25">
      <c r="A81" s="38"/>
    </row>
    <row r="83" spans="1:1" x14ac:dyDescent="0.25">
      <c r="A83" s="9" t="s">
        <v>137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workbookViewId="0">
      <pane xSplit="1" ySplit="5" topLeftCell="B63" activePane="bottomRight" state="frozen"/>
      <selection activeCell="D40" sqref="D40"/>
      <selection pane="topRight" activeCell="D40" sqref="D40"/>
      <selection pane="bottomLeft" activeCell="D40" sqref="D40"/>
      <selection pane="bottomRight" activeCell="A84" sqref="A84"/>
    </sheetView>
  </sheetViews>
  <sheetFormatPr baseColWidth="10" defaultColWidth="11.42578125" defaultRowHeight="15" x14ac:dyDescent="0.2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8" ht="15.75" x14ac:dyDescent="0.25">
      <c r="A2" s="44" t="s">
        <v>122</v>
      </c>
      <c r="B2" s="44"/>
      <c r="C2" s="44"/>
      <c r="D2" s="44"/>
      <c r="E2" s="44"/>
    </row>
    <row r="4" spans="1:8" x14ac:dyDescent="0.25">
      <c r="A4" s="45" t="s">
        <v>0</v>
      </c>
      <c r="B4" s="18" t="s">
        <v>33</v>
      </c>
      <c r="C4" s="49" t="s">
        <v>2</v>
      </c>
      <c r="D4" s="49"/>
      <c r="E4" s="49"/>
      <c r="F4" s="49"/>
    </row>
    <row r="5" spans="1:8" ht="30.75" thickBot="1" x14ac:dyDescent="0.3">
      <c r="A5" s="46"/>
      <c r="B5" s="1" t="s">
        <v>34</v>
      </c>
      <c r="C5" s="1" t="s">
        <v>40</v>
      </c>
      <c r="D5" s="1" t="s">
        <v>41</v>
      </c>
      <c r="E5" s="1" t="s">
        <v>3</v>
      </c>
      <c r="F5" s="37" t="s">
        <v>52</v>
      </c>
    </row>
    <row r="6" spans="1:8" ht="15.75" thickTop="1" x14ac:dyDescent="0.25"/>
    <row r="7" spans="1:8" x14ac:dyDescent="0.25">
      <c r="A7" s="2" t="s">
        <v>4</v>
      </c>
    </row>
    <row r="9" spans="1:8" x14ac:dyDescent="0.25">
      <c r="A9" t="s">
        <v>38</v>
      </c>
    </row>
    <row r="10" spans="1:8" x14ac:dyDescent="0.25">
      <c r="A10" s="4" t="s">
        <v>74</v>
      </c>
      <c r="B10" s="27">
        <f>SUM(C10:F10)</f>
        <v>11185.333333333334</v>
      </c>
      <c r="C10" s="5">
        <f>(+'I Trimestre'!C10+'II Trimestre'!C10+'III Trimestre'!C10)/3</f>
        <v>1702.6666666666667</v>
      </c>
      <c r="D10" s="5">
        <f>(+'I Trimestre'!D10+'II Trimestre'!D10+'III Trimestre'!D10)/3</f>
        <v>1139</v>
      </c>
      <c r="E10" s="5">
        <f>(+'I Trimestre'!E10+'II Trimestre'!E10+'III Trimestre'!E10)/3</f>
        <v>7989.333333333333</v>
      </c>
      <c r="F10" s="5">
        <f>+'I Trimestre'!F10+'II Trimestre'!F10+'III Trimestre'!F10/3</f>
        <v>354.33333333333331</v>
      </c>
      <c r="G10" s="3"/>
      <c r="H10" s="11"/>
    </row>
    <row r="11" spans="1:8" x14ac:dyDescent="0.25">
      <c r="A11" s="6" t="s">
        <v>123</v>
      </c>
      <c r="B11" s="27">
        <f t="shared" ref="B11:B13" si="0">SUM(C11:F11)</f>
        <v>15273</v>
      </c>
      <c r="C11" s="5">
        <f>(+'I Trimestre'!C11+'II Trimestre'!C11+'III Trimestre'!C11)/3</f>
        <v>1815</v>
      </c>
      <c r="D11" s="5">
        <f>(+'I Trimestre'!D11+'II Trimestre'!D11+'III Trimestre'!D11)/3</f>
        <v>1247</v>
      </c>
      <c r="E11" s="5">
        <f>(+'I Trimestre'!E11+'II Trimestre'!E11+'III Trimestre'!E11)/3</f>
        <v>12016</v>
      </c>
      <c r="F11" s="5">
        <f>(+'I Trimestre'!F11+'II Trimestre'!F11+'III Trimestre'!F11)/3</f>
        <v>195</v>
      </c>
      <c r="G11" s="19"/>
      <c r="H11" s="11"/>
    </row>
    <row r="12" spans="1:8" x14ac:dyDescent="0.25">
      <c r="A12" s="6" t="s">
        <v>124</v>
      </c>
      <c r="B12" s="27">
        <f t="shared" si="0"/>
        <v>13998.555555555557</v>
      </c>
      <c r="C12" s="5">
        <f>(+'I Trimestre'!C12+'II Trimestre'!C12+'III Trimestre'!C12)/3</f>
        <v>1697.7777777777776</v>
      </c>
      <c r="D12" s="5">
        <f>(+'I Trimestre'!D12+'II Trimestre'!D12+'III Trimestre'!D12)/3</f>
        <v>1125.7777777777778</v>
      </c>
      <c r="E12" s="5">
        <f>(+'I Trimestre'!E12+'II Trimestre'!E12+'III Trimestre'!E12)/3</f>
        <v>10764.333333333334</v>
      </c>
      <c r="F12" s="5">
        <f>+'I Trimestre'!F12+'II Trimestre'!F12+'III Trimestre'!F12/3</f>
        <v>410.66666666666663</v>
      </c>
      <c r="H12" s="11"/>
    </row>
    <row r="13" spans="1:8" x14ac:dyDescent="0.25">
      <c r="A13" s="6" t="s">
        <v>85</v>
      </c>
      <c r="B13" s="27">
        <f t="shared" si="0"/>
        <v>15555</v>
      </c>
      <c r="C13" s="5">
        <f>+'III Trimestre'!C13</f>
        <v>1815</v>
      </c>
      <c r="D13" s="5">
        <f>+'III Trimestre'!D13</f>
        <v>1268</v>
      </c>
      <c r="E13" s="5">
        <f>+'III Trimestre'!E13</f>
        <v>12101</v>
      </c>
      <c r="F13" s="5">
        <f>+'III Trimestre'!F13</f>
        <v>371</v>
      </c>
      <c r="G13" s="19"/>
      <c r="H13" s="11"/>
    </row>
    <row r="14" spans="1:8" x14ac:dyDescent="0.25">
      <c r="B14" s="29"/>
      <c r="F14" s="7"/>
      <c r="G14" s="19"/>
    </row>
    <row r="15" spans="1:8" x14ac:dyDescent="0.25">
      <c r="A15" s="8" t="s">
        <v>5</v>
      </c>
      <c r="B15" s="29"/>
      <c r="F15" s="7"/>
      <c r="G15" s="20"/>
    </row>
    <row r="16" spans="1:8" x14ac:dyDescent="0.25">
      <c r="A16" s="4" t="s">
        <v>74</v>
      </c>
      <c r="B16" s="27">
        <f>SUM(C16:F16)</f>
        <v>8424660137.5</v>
      </c>
      <c r="C16" s="5">
        <f>+'I Trimestre'!C16+'II Trimestre'!C16+'III Trimestre'!C16</f>
        <v>2357894265</v>
      </c>
      <c r="D16" s="5">
        <f>+'I Trimestre'!D16+'II Trimestre'!D16+'III Trimestre'!D16</f>
        <v>659153937</v>
      </c>
      <c r="E16" s="5">
        <f>+'I Trimestre'!E16+'II Trimestre'!E16+'III Trimestre'!E16</f>
        <v>4855936653.5</v>
      </c>
      <c r="F16" s="5">
        <f>+'I Trimestre'!F16+'II Trimestre'!F16+'III Trimestre'!F16</f>
        <v>551675282</v>
      </c>
      <c r="H16" s="11"/>
    </row>
    <row r="17" spans="1:7" x14ac:dyDescent="0.25">
      <c r="A17" s="6" t="s">
        <v>123</v>
      </c>
      <c r="B17" s="27">
        <f>SUM(C17:F17)</f>
        <v>10069712319.110001</v>
      </c>
      <c r="C17" s="5">
        <f>+'I Trimestre'!C17+'II Trimestre'!C17+'III Trimestre'!C17</f>
        <v>2878390350</v>
      </c>
      <c r="D17" s="5">
        <f>+'I Trimestre'!D17+'II Trimestre'!D17+'III Trimestre'!D17</f>
        <v>791041932</v>
      </c>
      <c r="E17" s="5">
        <f>+'I Trimestre'!E17+'II Trimestre'!E17+'III Trimestre'!E17</f>
        <v>5435030037.1100006</v>
      </c>
      <c r="F17" s="5">
        <f>+'I Trimestre'!F17+'II Trimestre'!F17+'III Trimestre'!F17</f>
        <v>965250000</v>
      </c>
      <c r="G17" s="19"/>
    </row>
    <row r="18" spans="1:7" x14ac:dyDescent="0.25">
      <c r="A18" s="6" t="s">
        <v>124</v>
      </c>
      <c r="B18" s="26">
        <f>SUM(C18:F18)</f>
        <v>9620759744</v>
      </c>
      <c r="C18" s="5">
        <f>+'I Trimestre'!C18+'II Trimestre'!C18+'III Trimestre'!C18</f>
        <v>2551520803</v>
      </c>
      <c r="D18" s="5">
        <f>+'I Trimestre'!D18+'II Trimestre'!D18+'III Trimestre'!D18</f>
        <v>714143888</v>
      </c>
      <c r="E18" s="5">
        <f>+'I Trimestre'!E18+'II Trimestre'!E18+'III Trimestre'!E18</f>
        <v>5208670785</v>
      </c>
      <c r="F18" s="5">
        <f>+'I Trimestre'!F18+'II Trimestre'!F18+'III Trimestre'!F18</f>
        <v>1146424268</v>
      </c>
    </row>
    <row r="19" spans="1:7" x14ac:dyDescent="0.25">
      <c r="A19" s="6" t="s">
        <v>85</v>
      </c>
      <c r="B19" s="3">
        <f>SUM(C19:F19)</f>
        <v>15036856475.389999</v>
      </c>
      <c r="C19" s="5">
        <f>+'III Trimestre'!C19</f>
        <v>3837853800</v>
      </c>
      <c r="D19" s="5">
        <f>+'III Trimestre'!D19</f>
        <v>1072484544</v>
      </c>
      <c r="E19" s="5">
        <f>+'III Trimestre'!E19</f>
        <v>7680382131.3900003</v>
      </c>
      <c r="F19" s="5">
        <f>+'III Trimestre'!F19</f>
        <v>2446136000</v>
      </c>
    </row>
    <row r="20" spans="1:7" x14ac:dyDescent="0.25">
      <c r="A20" s="6" t="s">
        <v>125</v>
      </c>
      <c r="B20" s="5">
        <f>SUM(C20:E20)</f>
        <v>8474335476</v>
      </c>
      <c r="C20" s="5">
        <f>+C18</f>
        <v>2551520803</v>
      </c>
      <c r="D20" s="5">
        <f t="shared" ref="D20:F20" si="1">+D18</f>
        <v>714143888</v>
      </c>
      <c r="E20" s="5">
        <f t="shared" si="1"/>
        <v>5208670785</v>
      </c>
      <c r="F20" s="5">
        <f t="shared" si="1"/>
        <v>1146424268</v>
      </c>
    </row>
    <row r="21" spans="1:7" x14ac:dyDescent="0.25">
      <c r="B21" s="3"/>
      <c r="C21" s="3"/>
      <c r="D21" s="3"/>
      <c r="E21" s="3"/>
      <c r="F21" s="5"/>
      <c r="G21" s="19"/>
    </row>
    <row r="22" spans="1:7" x14ac:dyDescent="0.25">
      <c r="A22" s="10" t="s">
        <v>6</v>
      </c>
      <c r="B22" s="5"/>
      <c r="C22" s="5"/>
      <c r="D22" s="5"/>
      <c r="E22" s="5"/>
      <c r="F22" s="5"/>
    </row>
    <row r="23" spans="1:7" x14ac:dyDescent="0.25">
      <c r="A23" s="4" t="s">
        <v>123</v>
      </c>
      <c r="B23" s="5">
        <f>B17</f>
        <v>10069712319.110001</v>
      </c>
      <c r="C23" s="5"/>
      <c r="D23" s="5"/>
      <c r="E23" s="5"/>
      <c r="F23" s="5"/>
      <c r="G23" s="11"/>
    </row>
    <row r="24" spans="1:7" x14ac:dyDescent="0.25">
      <c r="A24" s="4" t="s">
        <v>124</v>
      </c>
      <c r="B24" s="5">
        <f>'I Trimestre'!B24+'II Trimestre'!B24+'III Trimestre'!B24</f>
        <v>10363677771.380001</v>
      </c>
      <c r="C24" s="50"/>
      <c r="D24" s="50"/>
      <c r="E24" s="5"/>
      <c r="F24" s="5"/>
      <c r="G24" s="11"/>
    </row>
    <row r="25" spans="1:7" x14ac:dyDescent="0.25">
      <c r="A25" s="7"/>
      <c r="B25" s="7"/>
      <c r="C25" s="7"/>
      <c r="D25" s="7"/>
      <c r="E25" s="7"/>
      <c r="F25" s="7"/>
    </row>
    <row r="26" spans="1:7" x14ac:dyDescent="0.25">
      <c r="A26" s="7" t="s">
        <v>7</v>
      </c>
      <c r="B26" s="7"/>
      <c r="C26" s="7"/>
      <c r="D26" s="7"/>
      <c r="E26" s="7"/>
      <c r="F26" s="7"/>
    </row>
    <row r="27" spans="1:7" x14ac:dyDescent="0.25">
      <c r="A27" s="4" t="s">
        <v>75</v>
      </c>
      <c r="B27" s="17">
        <v>0.99</v>
      </c>
      <c r="C27" s="17">
        <v>0.99</v>
      </c>
      <c r="D27" s="17">
        <v>0.99</v>
      </c>
      <c r="E27" s="17">
        <v>0.99</v>
      </c>
      <c r="F27" s="17">
        <v>0.99</v>
      </c>
    </row>
    <row r="28" spans="1:7" x14ac:dyDescent="0.25">
      <c r="A28" s="4" t="s">
        <v>126</v>
      </c>
      <c r="B28" s="17">
        <v>0.99</v>
      </c>
      <c r="C28" s="17">
        <v>0.99</v>
      </c>
      <c r="D28" s="17">
        <v>0.99</v>
      </c>
      <c r="E28" s="17">
        <v>0.99</v>
      </c>
      <c r="F28" s="17">
        <v>0.99</v>
      </c>
    </row>
    <row r="29" spans="1:7" x14ac:dyDescent="0.25">
      <c r="A29" s="4" t="s">
        <v>8</v>
      </c>
      <c r="B29" s="5">
        <v>127629</v>
      </c>
      <c r="C29" s="5"/>
      <c r="D29" s="5"/>
      <c r="E29" s="5"/>
      <c r="F29" s="5"/>
    </row>
    <row r="30" spans="1:7" x14ac:dyDescent="0.25">
      <c r="A30" s="7"/>
      <c r="B30" s="7"/>
      <c r="C30" s="7"/>
      <c r="D30" s="7"/>
      <c r="E30" s="7"/>
      <c r="F30" s="7"/>
    </row>
    <row r="31" spans="1:7" x14ac:dyDescent="0.25">
      <c r="A31" s="12" t="s">
        <v>9</v>
      </c>
      <c r="B31" s="7"/>
      <c r="C31" s="7"/>
      <c r="D31" s="7"/>
      <c r="E31" s="7"/>
      <c r="F31" s="7"/>
    </row>
    <row r="32" spans="1:7" x14ac:dyDescent="0.25">
      <c r="A32" s="7" t="s">
        <v>76</v>
      </c>
      <c r="B32" s="5">
        <f>B16/B27</f>
        <v>8509757714.6464643</v>
      </c>
      <c r="C32" s="5">
        <f>C16/C27</f>
        <v>2381711378.787879</v>
      </c>
      <c r="D32" s="5">
        <f>D16/D27</f>
        <v>665812057.57575762</v>
      </c>
      <c r="E32" s="5">
        <f>E16/E27</f>
        <v>4904986518.6868687</v>
      </c>
      <c r="F32" s="5">
        <f>F16/F27</f>
        <v>557247759.59595954</v>
      </c>
    </row>
    <row r="33" spans="1:8" x14ac:dyDescent="0.25">
      <c r="A33" s="7" t="s">
        <v>127</v>
      </c>
      <c r="B33" s="5">
        <f>B18/B28</f>
        <v>9717939135.3535347</v>
      </c>
      <c r="C33" s="5">
        <f>C18/C28</f>
        <v>2577293740.4040403</v>
      </c>
      <c r="D33" s="5">
        <f>D18/D28</f>
        <v>721357462.62626266</v>
      </c>
      <c r="E33" s="5">
        <f>E18/E28</f>
        <v>5261283621.212121</v>
      </c>
      <c r="F33" s="5">
        <f>F18/F28</f>
        <v>1158004311.1111112</v>
      </c>
    </row>
    <row r="34" spans="1:8" x14ac:dyDescent="0.25">
      <c r="A34" s="7" t="s">
        <v>77</v>
      </c>
      <c r="B34" s="27">
        <f>$B$32/(B10)</f>
        <v>760796.07652698155</v>
      </c>
      <c r="C34" s="27">
        <f>C32/(C10)</f>
        <v>1398812.4777532569</v>
      </c>
      <c r="D34" s="27">
        <f>D32/(D10)</f>
        <v>584558.43509724108</v>
      </c>
      <c r="E34" s="27">
        <f>E32/(E10)</f>
        <v>613941.90404124698</v>
      </c>
      <c r="F34" s="27">
        <f>F32/(F10)</f>
        <v>1572665.361042219</v>
      </c>
      <c r="H34" s="11"/>
    </row>
    <row r="35" spans="1:8" x14ac:dyDescent="0.25">
      <c r="A35" s="7" t="s">
        <v>128</v>
      </c>
      <c r="B35" s="27">
        <f>$B$33/(B12)</f>
        <v>694210.13452325878</v>
      </c>
      <c r="C35" s="27">
        <f>C33/(C12)</f>
        <v>1518039.5067824847</v>
      </c>
      <c r="D35" s="27">
        <f>D33/(D12)</f>
        <v>640763.63636363635</v>
      </c>
      <c r="E35" s="27">
        <f>E33/(E12)</f>
        <v>488770.03882068442</v>
      </c>
      <c r="F35" s="27">
        <f>F33/(F12)</f>
        <v>2819815.6926406929</v>
      </c>
      <c r="H35" s="11"/>
    </row>
    <row r="36" spans="1:8" x14ac:dyDescent="0.25">
      <c r="A36" s="7"/>
      <c r="B36" s="7"/>
      <c r="C36" s="7"/>
      <c r="D36" s="7"/>
      <c r="E36" s="7"/>
      <c r="F36" s="7"/>
    </row>
    <row r="37" spans="1:8" x14ac:dyDescent="0.25">
      <c r="A37" s="2" t="s">
        <v>10</v>
      </c>
      <c r="F37" s="7"/>
    </row>
    <row r="38" spans="1:8" x14ac:dyDescent="0.25">
      <c r="F38" s="7"/>
    </row>
    <row r="39" spans="1:8" x14ac:dyDescent="0.25">
      <c r="A39" t="s">
        <v>11</v>
      </c>
      <c r="F39" s="7"/>
    </row>
    <row r="40" spans="1:8" x14ac:dyDescent="0.25">
      <c r="A40" t="s">
        <v>12</v>
      </c>
      <c r="B40" s="13">
        <f>B11/B29*100</f>
        <v>11.966716028488824</v>
      </c>
      <c r="C40" s="13"/>
      <c r="D40" s="13"/>
      <c r="E40" s="13"/>
      <c r="F40" s="13"/>
    </row>
    <row r="41" spans="1:8" x14ac:dyDescent="0.25">
      <c r="A41" t="s">
        <v>13</v>
      </c>
      <c r="B41" s="13">
        <f>B12/B29*100</f>
        <v>10.968162059998555</v>
      </c>
      <c r="C41" s="13"/>
      <c r="D41" s="13"/>
      <c r="E41" s="13"/>
      <c r="F41" s="13"/>
    </row>
    <row r="42" spans="1:8" x14ac:dyDescent="0.25">
      <c r="B42" s="7"/>
      <c r="C42" s="7"/>
      <c r="D42" s="7"/>
      <c r="E42" s="7"/>
      <c r="F42" s="7"/>
    </row>
    <row r="43" spans="1:8" x14ac:dyDescent="0.25">
      <c r="A43" t="s">
        <v>14</v>
      </c>
      <c r="B43" s="7"/>
      <c r="C43" s="7"/>
      <c r="D43" s="7"/>
      <c r="E43" s="7"/>
      <c r="F43" s="7"/>
    </row>
    <row r="44" spans="1:8" x14ac:dyDescent="0.25">
      <c r="A44" t="s">
        <v>15</v>
      </c>
      <c r="B44" s="13">
        <f>B12/B11*100</f>
        <v>91.655572288061009</v>
      </c>
      <c r="C44" s="13">
        <f>C12/C11*100</f>
        <v>93.54147535965717</v>
      </c>
      <c r="D44" s="13">
        <f>D12/D11*100</f>
        <v>90.278891561970951</v>
      </c>
      <c r="E44" s="13">
        <f>E12/E11*100</f>
        <v>89.583333333333343</v>
      </c>
      <c r="F44" s="13">
        <f>F12/F11*100</f>
        <v>210.59829059829056</v>
      </c>
    </row>
    <row r="45" spans="1:8" x14ac:dyDescent="0.25">
      <c r="A45" t="s">
        <v>16</v>
      </c>
      <c r="B45" s="13">
        <f>B18/B17*100</f>
        <v>95.541555102244658</v>
      </c>
      <c r="C45" s="13">
        <f>C18/C17*100</f>
        <v>88.64401602096811</v>
      </c>
      <c r="D45" s="13">
        <f>D18/D17*100</f>
        <v>90.278891561970951</v>
      </c>
      <c r="E45" s="13">
        <f>E18/E17*100</f>
        <v>95.835179372249357</v>
      </c>
      <c r="F45" s="13">
        <f>F18/F17*100</f>
        <v>118.76967293447294</v>
      </c>
    </row>
    <row r="46" spans="1:8" x14ac:dyDescent="0.25">
      <c r="A46" s="7" t="s">
        <v>17</v>
      </c>
      <c r="B46" s="13">
        <f>AVERAGE(B44:B45)</f>
        <v>93.598563695152833</v>
      </c>
      <c r="C46" s="13">
        <f>AVERAGE(C44:C45)</f>
        <v>91.09274569031264</v>
      </c>
      <c r="D46" s="13">
        <f>AVERAGE(D44:D45)</f>
        <v>90.278891561970951</v>
      </c>
      <c r="E46" s="13">
        <f>AVERAGE(E44:E45)</f>
        <v>92.709256352791357</v>
      </c>
      <c r="F46" s="13">
        <f>AVERAGE(F44:F45)</f>
        <v>164.68398176638175</v>
      </c>
    </row>
    <row r="47" spans="1:8" x14ac:dyDescent="0.25">
      <c r="A47" s="7"/>
      <c r="B47" s="13"/>
      <c r="C47" s="13"/>
      <c r="D47" s="13"/>
      <c r="E47" s="13"/>
      <c r="F47" s="13"/>
    </row>
    <row r="48" spans="1:8" x14ac:dyDescent="0.25">
      <c r="A48" s="7" t="s">
        <v>18</v>
      </c>
      <c r="B48" s="7"/>
      <c r="C48" s="7"/>
      <c r="D48" s="7"/>
      <c r="E48" s="7"/>
      <c r="F48" s="7"/>
    </row>
    <row r="49" spans="1:7" x14ac:dyDescent="0.25">
      <c r="A49" s="7" t="s">
        <v>19</v>
      </c>
      <c r="B49" s="28">
        <f>(B12/B13)*100</f>
        <v>89.993928354584099</v>
      </c>
      <c r="C49" s="28">
        <f t="shared" ref="C49:F49" si="2">(C12/C13)*100</f>
        <v>93.54147535965717</v>
      </c>
      <c r="D49" s="28">
        <f t="shared" si="2"/>
        <v>88.783736417805827</v>
      </c>
      <c r="E49" s="28">
        <f t="shared" si="2"/>
        <v>88.954080929950692</v>
      </c>
      <c r="F49" s="28">
        <f t="shared" si="2"/>
        <v>110.69182389937107</v>
      </c>
      <c r="G49" s="11"/>
    </row>
    <row r="50" spans="1:7" x14ac:dyDescent="0.25">
      <c r="A50" s="7" t="s">
        <v>20</v>
      </c>
      <c r="B50" s="13">
        <f>B18/B19*100</f>
        <v>63.981190215825833</v>
      </c>
      <c r="C50" s="13">
        <f>C18/C19*100</f>
        <v>66.483012015726089</v>
      </c>
      <c r="D50" s="13">
        <f>D18/D19*100</f>
        <v>66.587802313354359</v>
      </c>
      <c r="E50" s="13">
        <f>E18/E19*100</f>
        <v>67.817859787366217</v>
      </c>
      <c r="F50" s="13">
        <f>F18/F19*100</f>
        <v>46.866742813972728</v>
      </c>
    </row>
    <row r="51" spans="1:7" x14ac:dyDescent="0.25">
      <c r="A51" s="7" t="s">
        <v>21</v>
      </c>
      <c r="B51" s="13">
        <f>(B49+B50)/2</f>
        <v>76.987559285204966</v>
      </c>
      <c r="C51" s="13">
        <f>(C49+C50)/2</f>
        <v>80.012243687691637</v>
      </c>
      <c r="D51" s="13">
        <f>(D49+D50)/2</f>
        <v>77.685769365580086</v>
      </c>
      <c r="E51" s="13">
        <f>(E49+E50)/2</f>
        <v>78.385970358658454</v>
      </c>
      <c r="F51" s="13">
        <f>(F49+F50)/2</f>
        <v>78.779283356671897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22</v>
      </c>
      <c r="B53" s="7"/>
      <c r="C53" s="7"/>
      <c r="D53" s="7"/>
      <c r="E53" s="7"/>
      <c r="F53" s="7"/>
    </row>
    <row r="54" spans="1:7" x14ac:dyDescent="0.25">
      <c r="A54" s="7" t="s">
        <v>23</v>
      </c>
      <c r="B54" s="13">
        <f>B20/B18*100</f>
        <v>88.083848900654971</v>
      </c>
      <c r="C54" s="13"/>
      <c r="D54" s="13"/>
      <c r="E54" s="13"/>
      <c r="F54" s="13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24</v>
      </c>
      <c r="B56" s="7"/>
      <c r="C56" s="7"/>
      <c r="D56" s="7"/>
      <c r="E56" s="7"/>
      <c r="F56" s="7"/>
    </row>
    <row r="57" spans="1:7" x14ac:dyDescent="0.25">
      <c r="A57" s="7" t="s">
        <v>25</v>
      </c>
      <c r="B57" s="13">
        <f>((B12/B10)-1)*100</f>
        <v>25.150991377597641</v>
      </c>
      <c r="C57" s="13">
        <f>((C12/C10)-1)*100</f>
        <v>-0.28713129731142706</v>
      </c>
      <c r="D57" s="13">
        <f>((D12/D10)-1)*100</f>
        <v>-1.1608623548922004</v>
      </c>
      <c r="E57" s="13">
        <f>((E12/E10)-1)*100</f>
        <v>34.733811748998676</v>
      </c>
      <c r="F57" s="13">
        <f>((F12/F10)-1)*100</f>
        <v>15.898400752587015</v>
      </c>
    </row>
    <row r="58" spans="1:7" x14ac:dyDescent="0.25">
      <c r="A58" s="7" t="s">
        <v>26</v>
      </c>
      <c r="B58" s="13">
        <f>((B33/B32)-1)*100</f>
        <v>14.197600698168223</v>
      </c>
      <c r="C58" s="13">
        <f>((C33/C32)-1)*100</f>
        <v>8.2118414245347715</v>
      </c>
      <c r="D58" s="13">
        <f>((D33/D32)-1)*100</f>
        <v>8.3425051286616139</v>
      </c>
      <c r="E58" s="13">
        <f>((E33/E32)-1)*100</f>
        <v>7.2639772029513772</v>
      </c>
      <c r="F58" s="13">
        <f>((F33/F32)-1)*100</f>
        <v>107.80780024144714</v>
      </c>
      <c r="G58" s="13"/>
    </row>
    <row r="59" spans="1:7" x14ac:dyDescent="0.25">
      <c r="A59" s="7" t="s">
        <v>27</v>
      </c>
      <c r="B59" s="13">
        <f>((B35/B34)-1)*100</f>
        <v>-8.7521405614611183</v>
      </c>
      <c r="C59" s="13">
        <f>((C35/C34)-1)*100</f>
        <v>8.5234462035059799</v>
      </c>
      <c r="D59" s="13">
        <f>((D35/D34)-1)*100</f>
        <v>9.6149842157432062</v>
      </c>
      <c r="E59" s="13">
        <f>((E35/E34)-1)*100</f>
        <v>-20.388226377222985</v>
      </c>
      <c r="F59" s="13">
        <f>((F35/F34)-1)*100</f>
        <v>79.301697773261608</v>
      </c>
    </row>
    <row r="60" spans="1:7" x14ac:dyDescent="0.25">
      <c r="A60" s="7"/>
      <c r="B60" s="13"/>
      <c r="C60" s="13"/>
      <c r="D60" s="13"/>
      <c r="E60" s="13"/>
      <c r="F60" s="13"/>
    </row>
    <row r="61" spans="1:7" x14ac:dyDescent="0.25">
      <c r="A61" s="7" t="s">
        <v>28</v>
      </c>
      <c r="B61" s="7"/>
      <c r="C61" s="7"/>
      <c r="D61" s="7"/>
      <c r="E61" s="7"/>
      <c r="F61" s="7"/>
    </row>
    <row r="62" spans="1:7" x14ac:dyDescent="0.25">
      <c r="A62" s="7" t="s">
        <v>46</v>
      </c>
      <c r="B62" s="5">
        <f>B17/(B11*9)</f>
        <v>73257.180930109054</v>
      </c>
      <c r="C62" s="5">
        <f t="shared" ref="C62:F62" si="3">C17/(C11*9)</f>
        <v>176210</v>
      </c>
      <c r="D62" s="5">
        <f t="shared" si="3"/>
        <v>70484</v>
      </c>
      <c r="E62" s="5">
        <f t="shared" si="3"/>
        <v>50257.342405588854</v>
      </c>
      <c r="F62" s="5">
        <f t="shared" si="3"/>
        <v>550000</v>
      </c>
    </row>
    <row r="63" spans="1:7" x14ac:dyDescent="0.25">
      <c r="A63" s="7" t="s">
        <v>47</v>
      </c>
      <c r="B63" s="5">
        <f>B18/(B12*9)</f>
        <v>76363.114797558475</v>
      </c>
      <c r="C63" s="5">
        <f t="shared" ref="C63:F63" si="4">C18/(C12*9)</f>
        <v>166984.34574607332</v>
      </c>
      <c r="D63" s="5">
        <f t="shared" si="4"/>
        <v>70484</v>
      </c>
      <c r="E63" s="5">
        <f t="shared" si="4"/>
        <v>53764.704270275295</v>
      </c>
      <c r="F63" s="5">
        <f t="shared" si="4"/>
        <v>310179.72619047621</v>
      </c>
    </row>
    <row r="64" spans="1:7" x14ac:dyDescent="0.25">
      <c r="A64" s="7" t="s">
        <v>29</v>
      </c>
      <c r="B64" s="13">
        <f>(B63/B62)*B46</f>
        <v>97.566924820088147</v>
      </c>
      <c r="C64" s="13">
        <f t="shared" ref="C64:F64" si="5">(C63/C62)*C46</f>
        <v>86.323492090745674</v>
      </c>
      <c r="D64" s="13">
        <f t="shared" si="5"/>
        <v>90.278891561970951</v>
      </c>
      <c r="E64" s="13">
        <f t="shared" si="5"/>
        <v>99.179254459954706</v>
      </c>
      <c r="F64" s="13">
        <f t="shared" si="5"/>
        <v>92.875695222279404</v>
      </c>
    </row>
    <row r="65" spans="1:7" x14ac:dyDescent="0.25">
      <c r="A65" s="7" t="s">
        <v>48</v>
      </c>
      <c r="B65" s="25">
        <f>B17/B11</f>
        <v>659314.62837098155</v>
      </c>
      <c r="C65" s="25">
        <f t="shared" ref="C65:F66" si="6">C17/C11</f>
        <v>1585890</v>
      </c>
      <c r="D65" s="25">
        <f t="shared" si="6"/>
        <v>634356</v>
      </c>
      <c r="E65" s="25">
        <f t="shared" si="6"/>
        <v>452316.08165029966</v>
      </c>
      <c r="F65" s="25">
        <f t="shared" si="6"/>
        <v>4950000</v>
      </c>
    </row>
    <row r="66" spans="1:7" x14ac:dyDescent="0.25">
      <c r="A66" s="7" t="s">
        <v>49</v>
      </c>
      <c r="B66" s="25">
        <f>B18/B12</f>
        <v>687268.03317802621</v>
      </c>
      <c r="C66" s="25">
        <f t="shared" si="6"/>
        <v>1502859.11171466</v>
      </c>
      <c r="D66" s="25">
        <f t="shared" si="6"/>
        <v>634356</v>
      </c>
      <c r="E66" s="25">
        <f t="shared" si="6"/>
        <v>483882.33843247761</v>
      </c>
      <c r="F66" s="25">
        <f t="shared" si="6"/>
        <v>2791617.5357142859</v>
      </c>
    </row>
    <row r="67" spans="1:7" x14ac:dyDescent="0.25">
      <c r="A67" s="7"/>
      <c r="B67" s="13"/>
      <c r="C67" s="13"/>
      <c r="D67" s="13"/>
      <c r="E67" s="13"/>
      <c r="F67" s="13"/>
    </row>
    <row r="68" spans="1:7" x14ac:dyDescent="0.25">
      <c r="A68" s="7" t="s">
        <v>30</v>
      </c>
      <c r="B68" s="13"/>
      <c r="C68" s="13"/>
      <c r="D68" s="13"/>
      <c r="E68" s="13"/>
      <c r="F68" s="13"/>
    </row>
    <row r="69" spans="1:7" x14ac:dyDescent="0.25">
      <c r="A69" s="7" t="s">
        <v>31</v>
      </c>
      <c r="B69" s="13">
        <f>(B24/B23)*100</f>
        <v>102.91930338180686</v>
      </c>
      <c r="C69" s="13"/>
      <c r="D69" s="13"/>
      <c r="E69" s="13"/>
      <c r="F69" s="13"/>
      <c r="G69" s="11"/>
    </row>
    <row r="70" spans="1:7" x14ac:dyDescent="0.25">
      <c r="A70" s="7" t="s">
        <v>32</v>
      </c>
      <c r="B70" s="13">
        <f>(B18/B24)*100</f>
        <v>92.831521359805109</v>
      </c>
      <c r="C70" s="13"/>
      <c r="D70" s="13"/>
      <c r="E70" s="13"/>
      <c r="F70" s="13"/>
      <c r="G70" s="11"/>
    </row>
    <row r="71" spans="1:7" ht="15.75" thickBot="1" x14ac:dyDescent="0.3">
      <c r="A71" s="21"/>
      <c r="B71" s="14"/>
      <c r="C71" s="14"/>
      <c r="D71" s="14"/>
      <c r="E71" s="14"/>
      <c r="F71" s="14"/>
    </row>
    <row r="72" spans="1:7" ht="15.75" thickTop="1" x14ac:dyDescent="0.25"/>
    <row r="73" spans="1:7" x14ac:dyDescent="0.25">
      <c r="A73" t="s">
        <v>35</v>
      </c>
    </row>
    <row r="74" spans="1:7" x14ac:dyDescent="0.25">
      <c r="A74" t="s">
        <v>90</v>
      </c>
    </row>
    <row r="75" spans="1:7" x14ac:dyDescent="0.25">
      <c r="A75" t="s">
        <v>91</v>
      </c>
      <c r="B75" s="15"/>
      <c r="C75" s="15"/>
      <c r="D75" s="15"/>
    </row>
    <row r="76" spans="1:7" x14ac:dyDescent="0.25">
      <c r="A76" t="s">
        <v>69</v>
      </c>
    </row>
    <row r="79" spans="1:7" x14ac:dyDescent="0.25">
      <c r="A79" t="s">
        <v>36</v>
      </c>
    </row>
    <row r="80" spans="1:7" x14ac:dyDescent="0.25">
      <c r="A80" t="s">
        <v>37</v>
      </c>
    </row>
    <row r="81" spans="1:1" x14ac:dyDescent="0.25">
      <c r="A81" s="38"/>
    </row>
    <row r="83" spans="1:1" x14ac:dyDescent="0.25">
      <c r="A83" t="s">
        <v>137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topLeftCell="A57" zoomScaleNormal="100" workbookViewId="0">
      <selection activeCell="A84" sqref="A84"/>
    </sheetView>
  </sheetViews>
  <sheetFormatPr baseColWidth="10" defaultColWidth="11.42578125" defaultRowHeight="15" x14ac:dyDescent="0.25"/>
  <cols>
    <col min="1" max="1" width="55.140625" customWidth="1"/>
    <col min="2" max="2" width="14.710937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8" ht="15.75" x14ac:dyDescent="0.25">
      <c r="A2" s="44" t="s">
        <v>129</v>
      </c>
      <c r="B2" s="44"/>
      <c r="C2" s="44"/>
      <c r="D2" s="44"/>
      <c r="E2" s="44"/>
    </row>
    <row r="4" spans="1:8" ht="15" customHeight="1" x14ac:dyDescent="0.25">
      <c r="A4" s="45" t="s">
        <v>0</v>
      </c>
      <c r="B4" s="18"/>
      <c r="C4" s="49" t="s">
        <v>2</v>
      </c>
      <c r="D4" s="49"/>
      <c r="E4" s="49"/>
      <c r="F4" s="49"/>
    </row>
    <row r="5" spans="1:8" ht="30.75" thickBot="1" x14ac:dyDescent="0.3">
      <c r="A5" s="46"/>
      <c r="B5" s="1" t="s">
        <v>39</v>
      </c>
      <c r="C5" s="1" t="s">
        <v>40</v>
      </c>
      <c r="D5" s="1" t="s">
        <v>41</v>
      </c>
      <c r="E5" s="1" t="s">
        <v>3</v>
      </c>
      <c r="F5" s="37" t="s">
        <v>52</v>
      </c>
    </row>
    <row r="6" spans="1:8" ht="15.75" thickTop="1" x14ac:dyDescent="0.25"/>
    <row r="7" spans="1:8" x14ac:dyDescent="0.25">
      <c r="A7" s="2" t="s">
        <v>4</v>
      </c>
    </row>
    <row r="9" spans="1:8" x14ac:dyDescent="0.25">
      <c r="A9" t="s">
        <v>38</v>
      </c>
    </row>
    <row r="10" spans="1:8" x14ac:dyDescent="0.25">
      <c r="A10" s="4" t="s">
        <v>78</v>
      </c>
      <c r="B10" s="27">
        <f>SUM(C10:F10)</f>
        <v>12173.75</v>
      </c>
      <c r="C10" s="5">
        <f>(+'I Trimestre'!C10+'II Trimestre'!C10+'III Trimestre'!C10+'IV Trimestre'!C10)/4</f>
        <v>1710</v>
      </c>
      <c r="D10" s="5">
        <f>(+'I Trimestre'!D10+'II Trimestre'!D10+'III Trimestre'!D10+'IV Trimestre'!D10)/4</f>
        <v>1143.75</v>
      </c>
      <c r="E10" s="5">
        <f>(+'I Trimestre'!E10+'II Trimestre'!E10+'III Trimestre'!E10+'IV Trimestre'!E10)/4</f>
        <v>9320</v>
      </c>
      <c r="F10" s="5"/>
      <c r="G10" s="3"/>
      <c r="H10" s="11"/>
    </row>
    <row r="11" spans="1:8" x14ac:dyDescent="0.25">
      <c r="A11" s="6" t="s">
        <v>130</v>
      </c>
      <c r="B11" s="27">
        <f t="shared" ref="B11:B13" si="0">SUM(C11:F11)</f>
        <v>15811</v>
      </c>
      <c r="C11" s="5">
        <f>(+'I Trimestre'!C11+'II Trimestre'!C11+'III Trimestre'!C11+'IV Trimestre'!C11)/4</f>
        <v>1815</v>
      </c>
      <c r="D11" s="5">
        <f>(+'I Trimestre'!D11+'II Trimestre'!D11+'III Trimestre'!D11+'IV Trimestre'!D11)/4</f>
        <v>1268</v>
      </c>
      <c r="E11" s="5">
        <f>'IV Trimestre'!E13</f>
        <v>12101</v>
      </c>
      <c r="F11" s="5">
        <f>'IV Trimestre'!F11</f>
        <v>627</v>
      </c>
      <c r="G11" s="19"/>
      <c r="H11" s="11"/>
    </row>
    <row r="12" spans="1:8" x14ac:dyDescent="0.25">
      <c r="A12" s="6" t="s">
        <v>131</v>
      </c>
      <c r="B12" s="27">
        <f t="shared" si="0"/>
        <v>14136.916666666668</v>
      </c>
      <c r="C12" s="5">
        <f>(+'I Trimestre'!C12+'II Trimestre'!C12+'III Trimestre'!C12+'IV Trimestre'!C12)/4</f>
        <v>1735.5833333333333</v>
      </c>
      <c r="D12" s="5">
        <f>(+'I Trimestre'!D12+'II Trimestre'!D12+'III Trimestre'!D12+'IV Trimestre'!D12)/4</f>
        <v>1115.8333333333335</v>
      </c>
      <c r="E12" s="5">
        <f>(+'I Trimestre'!E12+'II Trimestre'!E12+'III Trimestre'!E12+'IV Trimestre'!E12)/4</f>
        <v>11003.25</v>
      </c>
      <c r="F12" s="5">
        <f>(+'I Trimestre'!F12+'II Trimestre'!F12+'III Trimestre'!F12+'IV Trimestre'!F12)/4</f>
        <v>282.25</v>
      </c>
      <c r="H12" s="11"/>
    </row>
    <row r="13" spans="1:8" x14ac:dyDescent="0.25">
      <c r="A13" s="6" t="s">
        <v>85</v>
      </c>
      <c r="B13" s="27">
        <f t="shared" si="0"/>
        <v>15555</v>
      </c>
      <c r="C13" s="5">
        <f>+'IV Trimestre'!C13</f>
        <v>1815</v>
      </c>
      <c r="D13" s="5">
        <f>+'IV Trimestre'!D13</f>
        <v>1268</v>
      </c>
      <c r="E13" s="5">
        <f>+'IV Trimestre'!E13</f>
        <v>12101</v>
      </c>
      <c r="F13" s="5">
        <f>+'IV Trimestre'!F13</f>
        <v>371</v>
      </c>
      <c r="G13" s="19"/>
      <c r="H13" s="11"/>
    </row>
    <row r="14" spans="1:8" x14ac:dyDescent="0.25">
      <c r="B14" s="29"/>
      <c r="F14" s="7"/>
      <c r="G14" s="19"/>
    </row>
    <row r="15" spans="1:8" x14ac:dyDescent="0.25">
      <c r="A15" s="8" t="s">
        <v>5</v>
      </c>
      <c r="B15" s="29"/>
      <c r="F15" s="7"/>
      <c r="G15" s="20"/>
    </row>
    <row r="16" spans="1:8" x14ac:dyDescent="0.25">
      <c r="A16" s="4" t="s">
        <v>78</v>
      </c>
      <c r="B16" s="27">
        <f>SUM(C16:F16)</f>
        <v>13068730276.5</v>
      </c>
      <c r="C16" s="5">
        <f>+'I Trimestre'!C16+'II Trimestre'!C16+'III Trimestre'!C16+'IV Trimestre'!C16</f>
        <v>3155749716</v>
      </c>
      <c r="D16" s="5">
        <f>+'I Trimestre'!D16+'II Trimestre'!D16+'III Trimestre'!D16+'IV Trimestre'!D16</f>
        <v>893442891</v>
      </c>
      <c r="E16" s="5">
        <f>+'I Trimestre'!E16+'II Trimestre'!E16+'III Trimestre'!E16+'IV Trimestre'!E16</f>
        <v>7819537669.5</v>
      </c>
      <c r="F16" s="5">
        <f>+'I Trimestre'!F16+'II Trimestre'!F16+'III Trimestre'!F16+'IV Trimestre'!F16</f>
        <v>1200000000</v>
      </c>
      <c r="H16" s="11"/>
    </row>
    <row r="17" spans="1:8" x14ac:dyDescent="0.25">
      <c r="A17" s="6" t="s">
        <v>130</v>
      </c>
      <c r="B17" s="27">
        <f>SUM(C17:F17)</f>
        <v>14588672475.389999</v>
      </c>
      <c r="C17" s="5">
        <f>+'I Trimestre'!C17+'II Trimestre'!C17+'III Trimestre'!C17+'IV Trimestre'!C17</f>
        <v>3837853800</v>
      </c>
      <c r="D17" s="5">
        <f>+'I Trimestre'!D17+'II Trimestre'!D17+'III Trimestre'!D17+'IV Trimestre'!D17</f>
        <v>1072484544</v>
      </c>
      <c r="E17" s="5">
        <f>'IV Trimestre'!E19</f>
        <v>7680382131.3900003</v>
      </c>
      <c r="F17" s="5">
        <f>+'I Trimestre'!F17+'II Trimestre'!F17+'III Trimestre'!F17+'IV Trimestre'!F17</f>
        <v>1997952000</v>
      </c>
      <c r="G17" s="19"/>
    </row>
    <row r="18" spans="1:8" x14ac:dyDescent="0.25">
      <c r="A18" s="6" t="s">
        <v>131</v>
      </c>
      <c r="B18" s="26">
        <f>SUM(C18:F18)</f>
        <v>14205673063.33</v>
      </c>
      <c r="C18" s="5">
        <f>+'I Trimestre'!C18+'II Trimestre'!C18+'III Trimestre'!C18+'IV Trimestre'!C18</f>
        <v>3529133883</v>
      </c>
      <c r="D18" s="5">
        <f>+'I Trimestre'!D18+'II Trimestre'!D18+'III Trimestre'!D18+'IV Trimestre'!D18</f>
        <v>943639792</v>
      </c>
      <c r="E18" s="5">
        <f>+'I Trimestre'!E18+'II Trimestre'!E18+'III Trimestre'!E18+'IV Trimestre'!E18</f>
        <v>7370898822.3299999</v>
      </c>
      <c r="F18" s="5">
        <f>+'I Trimestre'!F18+'II Trimestre'!F18+'III Trimestre'!F18+'IV Trimestre'!F18</f>
        <v>2362000566</v>
      </c>
    </row>
    <row r="19" spans="1:8" x14ac:dyDescent="0.25">
      <c r="A19" s="6" t="s">
        <v>85</v>
      </c>
      <c r="B19" s="26">
        <f>SUM(C19:F19)</f>
        <v>15036856475.389999</v>
      </c>
      <c r="C19" s="27">
        <f>+'IV Trimestre'!C19</f>
        <v>3837853800</v>
      </c>
      <c r="D19" s="3">
        <f>+'IV Trimestre'!D19</f>
        <v>1072484544</v>
      </c>
      <c r="E19" s="3">
        <f>+'IV Trimestre'!E19</f>
        <v>7680382131.3900003</v>
      </c>
      <c r="F19" s="3">
        <f>+'IV Trimestre'!F19</f>
        <v>2446136000</v>
      </c>
      <c r="H19" s="11"/>
    </row>
    <row r="20" spans="1:8" x14ac:dyDescent="0.25">
      <c r="A20" s="6" t="s">
        <v>132</v>
      </c>
      <c r="B20" s="5">
        <f>SUM(C20:F20)</f>
        <v>14205673063.33</v>
      </c>
      <c r="C20" s="5">
        <f>+C18</f>
        <v>3529133883</v>
      </c>
      <c r="D20" s="5">
        <f t="shared" ref="D20:F20" si="1">+D18</f>
        <v>943639792</v>
      </c>
      <c r="E20" s="5">
        <f t="shared" si="1"/>
        <v>7370898822.3299999</v>
      </c>
      <c r="F20" s="5">
        <f t="shared" si="1"/>
        <v>2362000566</v>
      </c>
    </row>
    <row r="21" spans="1:8" x14ac:dyDescent="0.25">
      <c r="B21" s="3"/>
      <c r="C21" s="3"/>
      <c r="D21" s="3"/>
      <c r="E21" s="3"/>
      <c r="F21" s="5"/>
      <c r="G21" s="19"/>
    </row>
    <row r="22" spans="1:8" x14ac:dyDescent="0.25">
      <c r="A22" s="10" t="s">
        <v>6</v>
      </c>
      <c r="B22" s="5"/>
      <c r="C22" s="5"/>
      <c r="D22" s="5"/>
      <c r="E22" s="5"/>
      <c r="F22" s="5"/>
    </row>
    <row r="23" spans="1:8" x14ac:dyDescent="0.25">
      <c r="A23" s="4" t="s">
        <v>130</v>
      </c>
      <c r="B23" s="5">
        <f>B17</f>
        <v>14588672475.389999</v>
      </c>
      <c r="C23" s="5"/>
      <c r="D23" s="5"/>
      <c r="E23" s="5"/>
      <c r="F23" s="5"/>
      <c r="G23" s="11"/>
    </row>
    <row r="24" spans="1:8" x14ac:dyDescent="0.25">
      <c r="A24" s="4" t="s">
        <v>131</v>
      </c>
      <c r="B24" s="5">
        <f>'I Trimestre'!B24+'II Trimestre'!B24+'III Trimestre'!B24+'IV Trimestre'!B24</f>
        <v>14930787412.98</v>
      </c>
      <c r="C24" s="50"/>
      <c r="D24" s="50"/>
      <c r="E24" s="5"/>
      <c r="F24" s="5"/>
      <c r="G24" s="11"/>
    </row>
    <row r="25" spans="1:8" x14ac:dyDescent="0.25">
      <c r="A25" s="7"/>
      <c r="B25" s="7"/>
      <c r="C25" s="7"/>
      <c r="D25" s="7"/>
      <c r="E25" s="7"/>
      <c r="F25" s="7"/>
    </row>
    <row r="26" spans="1:8" x14ac:dyDescent="0.25">
      <c r="A26" s="7" t="s">
        <v>7</v>
      </c>
      <c r="B26" s="7"/>
      <c r="C26" s="7"/>
      <c r="D26" s="7"/>
      <c r="E26" s="7"/>
      <c r="F26" s="7"/>
    </row>
    <row r="27" spans="1:8" x14ac:dyDescent="0.25">
      <c r="A27" s="4" t="s">
        <v>79</v>
      </c>
      <c r="B27" s="17">
        <v>0.99</v>
      </c>
      <c r="C27" s="17">
        <v>0.99</v>
      </c>
      <c r="D27" s="17">
        <v>0.99</v>
      </c>
      <c r="E27" s="17">
        <v>0.99</v>
      </c>
      <c r="F27" s="17">
        <v>0.99</v>
      </c>
    </row>
    <row r="28" spans="1:8" x14ac:dyDescent="0.25">
      <c r="A28" s="4" t="s">
        <v>133</v>
      </c>
      <c r="B28" s="17">
        <v>0.99</v>
      </c>
      <c r="C28" s="17">
        <v>0.99</v>
      </c>
      <c r="D28" s="17">
        <v>0.99</v>
      </c>
      <c r="E28" s="17">
        <v>0.99</v>
      </c>
      <c r="F28" s="17">
        <v>0.99</v>
      </c>
    </row>
    <row r="29" spans="1:8" x14ac:dyDescent="0.25">
      <c r="A29" s="4" t="s">
        <v>8</v>
      </c>
      <c r="B29" s="5"/>
      <c r="C29" s="5"/>
      <c r="D29" s="5"/>
      <c r="E29" s="5"/>
      <c r="F29" s="5"/>
    </row>
    <row r="30" spans="1:8" x14ac:dyDescent="0.25">
      <c r="A30" s="7"/>
      <c r="B30" s="7"/>
      <c r="C30" s="7"/>
      <c r="D30" s="7"/>
      <c r="E30" s="7"/>
      <c r="F30" s="7"/>
    </row>
    <row r="31" spans="1:8" x14ac:dyDescent="0.25">
      <c r="A31" s="12" t="s">
        <v>9</v>
      </c>
      <c r="B31" s="7"/>
      <c r="C31" s="7"/>
      <c r="D31" s="7"/>
      <c r="E31" s="7"/>
      <c r="F31" s="7"/>
    </row>
    <row r="32" spans="1:8" x14ac:dyDescent="0.25">
      <c r="A32" s="7" t="s">
        <v>80</v>
      </c>
      <c r="B32" s="5">
        <f>B16/B27</f>
        <v>13200737653.030304</v>
      </c>
      <c r="C32" s="5">
        <f>C16/C27</f>
        <v>3187625975.757576</v>
      </c>
      <c r="D32" s="5">
        <f>D16/D27</f>
        <v>902467566.66666663</v>
      </c>
      <c r="E32" s="5">
        <f>E16/E27</f>
        <v>7898522898.484849</v>
      </c>
      <c r="F32" s="5">
        <f>F16/F27</f>
        <v>1212121212.1212122</v>
      </c>
    </row>
    <row r="33" spans="1:8" x14ac:dyDescent="0.25">
      <c r="A33" s="7" t="s">
        <v>134</v>
      </c>
      <c r="B33" s="5">
        <f>B18/B28</f>
        <v>14349164710.434343</v>
      </c>
      <c r="C33" s="5">
        <f>C18/C28</f>
        <v>3564781700</v>
      </c>
      <c r="D33" s="5">
        <f>D18/D28</f>
        <v>953171507.07070708</v>
      </c>
      <c r="E33" s="5">
        <f>E18/E28</f>
        <v>7445352345.787879</v>
      </c>
      <c r="F33" s="5">
        <f>F18/F28</f>
        <v>2385859157.5757575</v>
      </c>
      <c r="G33" s="5"/>
    </row>
    <row r="34" spans="1:8" x14ac:dyDescent="0.25">
      <c r="A34" s="7" t="s">
        <v>81</v>
      </c>
      <c r="B34" s="27">
        <f>$B$32/(B10)</f>
        <v>1084360.8299028897</v>
      </c>
      <c r="C34" s="27">
        <f>C32/(C10)</f>
        <v>1864108.7577529685</v>
      </c>
      <c r="D34" s="27">
        <f>D32/(D10)</f>
        <v>789042.68123861565</v>
      </c>
      <c r="E34" s="27">
        <f>E32/(E10)</f>
        <v>847480.99769150745</v>
      </c>
      <c r="F34" s="27" t="e">
        <f>F32/(F10)</f>
        <v>#DIV/0!</v>
      </c>
      <c r="H34" s="11"/>
    </row>
    <row r="35" spans="1:8" x14ac:dyDescent="0.25">
      <c r="A35" s="7" t="s">
        <v>135</v>
      </c>
      <c r="B35" s="27">
        <f>$B$33/(B12)</f>
        <v>1015013.7437159924</v>
      </c>
      <c r="C35" s="27">
        <f>C33/(C12)</f>
        <v>2053938.6565515918</v>
      </c>
      <c r="D35" s="27">
        <f>D33/(D12)</f>
        <v>854223.90476837067</v>
      </c>
      <c r="E35" s="27">
        <f>E33/(E12)</f>
        <v>676650.29384844285</v>
      </c>
      <c r="F35" s="27">
        <f>F33/(F12)</f>
        <v>8452999.6725447569</v>
      </c>
      <c r="H35" s="11"/>
    </row>
    <row r="36" spans="1:8" x14ac:dyDescent="0.25">
      <c r="A36" s="7"/>
      <c r="B36" s="7"/>
      <c r="C36" s="7"/>
      <c r="D36" s="7"/>
      <c r="E36" s="7"/>
      <c r="F36" s="7"/>
    </row>
    <row r="37" spans="1:8" x14ac:dyDescent="0.25">
      <c r="A37" s="2" t="s">
        <v>10</v>
      </c>
      <c r="F37" s="7"/>
    </row>
    <row r="38" spans="1:8" x14ac:dyDescent="0.25">
      <c r="F38" s="7"/>
    </row>
    <row r="39" spans="1:8" x14ac:dyDescent="0.25">
      <c r="A39" t="s">
        <v>11</v>
      </c>
      <c r="F39" s="7"/>
    </row>
    <row r="40" spans="1:8" x14ac:dyDescent="0.25">
      <c r="A40" t="s">
        <v>12</v>
      </c>
      <c r="B40" s="13" t="e">
        <f>B11/B29*100</f>
        <v>#DIV/0!</v>
      </c>
      <c r="C40" s="13"/>
      <c r="D40" s="13"/>
      <c r="E40" s="13"/>
      <c r="F40" s="13"/>
    </row>
    <row r="41" spans="1:8" x14ac:dyDescent="0.25">
      <c r="A41" t="s">
        <v>13</v>
      </c>
      <c r="B41" s="13" t="e">
        <f>B12/B29*100</f>
        <v>#DIV/0!</v>
      </c>
      <c r="C41" s="13"/>
      <c r="D41" s="13"/>
      <c r="E41" s="13"/>
      <c r="F41" s="13"/>
    </row>
    <row r="42" spans="1:8" x14ac:dyDescent="0.25">
      <c r="B42" s="7"/>
      <c r="C42" s="7"/>
      <c r="D42" s="7"/>
      <c r="E42" s="7"/>
      <c r="F42" s="7"/>
    </row>
    <row r="43" spans="1:8" x14ac:dyDescent="0.25">
      <c r="A43" t="s">
        <v>14</v>
      </c>
      <c r="B43" s="7"/>
      <c r="C43" s="7"/>
      <c r="D43" s="7"/>
      <c r="E43" s="7"/>
      <c r="F43" s="7"/>
    </row>
    <row r="44" spans="1:8" x14ac:dyDescent="0.25">
      <c r="A44" t="s">
        <v>15</v>
      </c>
      <c r="B44" s="13">
        <f>B12/B11*100</f>
        <v>89.411907321906696</v>
      </c>
      <c r="C44" s="13">
        <f>C12/C11*100</f>
        <v>95.624426078971524</v>
      </c>
      <c r="D44" s="13">
        <f>D12/D11*100</f>
        <v>87.999474237644591</v>
      </c>
      <c r="E44" s="13">
        <f>E12/E11*100</f>
        <v>90.928435666473845</v>
      </c>
      <c r="F44" s="13">
        <f>F12/F11*100</f>
        <v>45.015948963317385</v>
      </c>
    </row>
    <row r="45" spans="1:8" x14ac:dyDescent="0.25">
      <c r="A45" t="s">
        <v>16</v>
      </c>
      <c r="B45" s="13">
        <f>B18/B17*100</f>
        <v>97.374679480219399</v>
      </c>
      <c r="C45" s="13">
        <f>C18/C17*100</f>
        <v>91.955922943182472</v>
      </c>
      <c r="D45" s="13">
        <f>D18/D17*100</f>
        <v>87.986330178759204</v>
      </c>
      <c r="E45" s="13">
        <f>E18/E17*100</f>
        <v>95.970469909366471</v>
      </c>
      <c r="F45" s="13">
        <f>F18/F17*100</f>
        <v>118.2210866927734</v>
      </c>
    </row>
    <row r="46" spans="1:8" x14ac:dyDescent="0.25">
      <c r="A46" s="7" t="s">
        <v>17</v>
      </c>
      <c r="B46" s="13">
        <f>AVERAGE(B44:B45)</f>
        <v>93.393293401063048</v>
      </c>
      <c r="C46" s="13">
        <f>AVERAGE(C44:C45)</f>
        <v>93.790174511076998</v>
      </c>
      <c r="D46" s="13">
        <f>AVERAGE(D44:D45)</f>
        <v>87.992902208201897</v>
      </c>
      <c r="E46" s="13">
        <f>AVERAGE(E44:E45)</f>
        <v>93.449452787920166</v>
      </c>
      <c r="F46" s="13">
        <f>AVERAGE(F44:F45)</f>
        <v>81.618517828045384</v>
      </c>
    </row>
    <row r="47" spans="1:8" x14ac:dyDescent="0.25">
      <c r="A47" s="7"/>
      <c r="B47" s="13"/>
      <c r="C47" s="13"/>
      <c r="D47" s="13"/>
      <c r="E47" s="13"/>
      <c r="F47" s="13"/>
    </row>
    <row r="48" spans="1:8" x14ac:dyDescent="0.25">
      <c r="A48" s="7" t="s">
        <v>18</v>
      </c>
      <c r="B48" s="7"/>
      <c r="C48" s="7"/>
      <c r="D48" s="7"/>
      <c r="E48" s="7"/>
      <c r="F48" s="7"/>
    </row>
    <row r="49" spans="1:7" x14ac:dyDescent="0.25">
      <c r="A49" s="7" t="s">
        <v>19</v>
      </c>
      <c r="B49" s="28">
        <f>(B12/B13)*100</f>
        <v>90.883424408014577</v>
      </c>
      <c r="C49" s="28">
        <f t="shared" ref="C49:F49" si="2">(C12/C13)*100</f>
        <v>95.624426078971524</v>
      </c>
      <c r="D49" s="28">
        <f t="shared" si="2"/>
        <v>87.999474237644591</v>
      </c>
      <c r="E49" s="28">
        <f t="shared" si="2"/>
        <v>90.928435666473845</v>
      </c>
      <c r="F49" s="28">
        <f t="shared" si="2"/>
        <v>76.078167115902957</v>
      </c>
      <c r="G49" s="11"/>
    </row>
    <row r="50" spans="1:7" x14ac:dyDescent="0.25">
      <c r="A50" s="7" t="s">
        <v>20</v>
      </c>
      <c r="B50" s="13">
        <f>B18/B19*100</f>
        <v>94.472359210049305</v>
      </c>
      <c r="C50" s="13">
        <f>C18/C19*100</f>
        <v>91.955922943182472</v>
      </c>
      <c r="D50" s="13">
        <f>D18/D19*100</f>
        <v>87.986330178759204</v>
      </c>
      <c r="E50" s="13">
        <f>E18/E19*100</f>
        <v>95.970469909366471</v>
      </c>
      <c r="F50" s="13">
        <f>F18/F19*100</f>
        <v>96.56047603240377</v>
      </c>
    </row>
    <row r="51" spans="1:7" x14ac:dyDescent="0.25">
      <c r="A51" s="7" t="s">
        <v>21</v>
      </c>
      <c r="B51" s="13">
        <f>(B49+B50)/2</f>
        <v>92.677891809031934</v>
      </c>
      <c r="C51" s="13">
        <f>(C49+C50)/2</f>
        <v>93.790174511076998</v>
      </c>
      <c r="D51" s="13">
        <f>(D49+D50)/2</f>
        <v>87.992902208201897</v>
      </c>
      <c r="E51" s="13">
        <f>(E49+E50)/2</f>
        <v>93.449452787920166</v>
      </c>
      <c r="F51" s="13">
        <f>(F49+F50)/2</f>
        <v>86.319321574153363</v>
      </c>
    </row>
    <row r="52" spans="1:7" x14ac:dyDescent="0.25">
      <c r="A52" s="7"/>
      <c r="B52" s="7"/>
      <c r="C52" s="7"/>
      <c r="D52" s="7"/>
      <c r="E52" s="7"/>
      <c r="F52" s="7"/>
    </row>
    <row r="53" spans="1:7" x14ac:dyDescent="0.25">
      <c r="A53" s="7" t="s">
        <v>22</v>
      </c>
      <c r="B53" s="7"/>
      <c r="C53" s="13"/>
      <c r="D53" s="7"/>
      <c r="E53" s="7"/>
      <c r="F53" s="7"/>
    </row>
    <row r="54" spans="1:7" x14ac:dyDescent="0.25">
      <c r="A54" s="7" t="s">
        <v>23</v>
      </c>
      <c r="B54" s="13">
        <f>B20/B18*100</f>
        <v>100</v>
      </c>
      <c r="C54" s="13"/>
      <c r="D54" s="13"/>
      <c r="E54" s="13"/>
      <c r="F54" s="13"/>
    </row>
    <row r="55" spans="1:7" x14ac:dyDescent="0.25">
      <c r="A55" s="7"/>
      <c r="B55" s="7"/>
      <c r="C55" s="7"/>
      <c r="D55" s="7"/>
      <c r="E55" s="7"/>
      <c r="F55" s="7"/>
    </row>
    <row r="56" spans="1:7" x14ac:dyDescent="0.25">
      <c r="A56" s="7" t="s">
        <v>24</v>
      </c>
      <c r="B56" s="7"/>
      <c r="C56" s="7"/>
      <c r="D56" s="7"/>
      <c r="E56" s="7"/>
      <c r="F56" s="7"/>
    </row>
    <row r="57" spans="1:7" x14ac:dyDescent="0.25">
      <c r="A57" s="7" t="s">
        <v>25</v>
      </c>
      <c r="B57" s="13">
        <f>((B12/B10)-1)*100</f>
        <v>16.126227881028179</v>
      </c>
      <c r="C57" s="13">
        <f>((C12/C10)-1)*100</f>
        <v>1.4961013645224064</v>
      </c>
      <c r="D57" s="13">
        <f>((D12/D10)-1)*100</f>
        <v>-2.4408014571948855</v>
      </c>
      <c r="E57" s="13">
        <f>((E12/E10)-1)*100</f>
        <v>18.060622317596575</v>
      </c>
      <c r="F57" s="13" t="e">
        <f>((F12/F10)-1)*100</f>
        <v>#DIV/0!</v>
      </c>
    </row>
    <row r="58" spans="1:7" x14ac:dyDescent="0.25">
      <c r="A58" s="7" t="s">
        <v>26</v>
      </c>
      <c r="B58" s="13">
        <f>((B33/B32)-1)*100</f>
        <v>8.6997188156406668</v>
      </c>
      <c r="C58" s="13">
        <f>((C33/C32)-1)*100</f>
        <v>11.831868829993098</v>
      </c>
      <c r="D58" s="13">
        <f>((D33/D32)-1)*100</f>
        <v>5.6183670501666283</v>
      </c>
      <c r="E58" s="13">
        <f>((E33/E32)-1)*100</f>
        <v>-5.7374088613948331</v>
      </c>
      <c r="F58" s="13">
        <f>((F33/F32)-1)*100</f>
        <v>96.833380499999961</v>
      </c>
      <c r="G58" s="13"/>
    </row>
    <row r="59" spans="1:7" x14ac:dyDescent="0.25">
      <c r="A59" s="7" t="s">
        <v>27</v>
      </c>
      <c r="B59" s="13">
        <f>((B35/B34)-1)*100</f>
        <v>-6.3952039094871793</v>
      </c>
      <c r="C59" s="13">
        <f>((C35/C34)-1)*100</f>
        <v>10.183413280427267</v>
      </c>
      <c r="D59" s="13">
        <f>((D35/D34)-1)*100</f>
        <v>8.2607981899579297</v>
      </c>
      <c r="E59" s="13">
        <f>((E35/E34)-1)*100</f>
        <v>-20.157467165446562</v>
      </c>
      <c r="F59" s="13" t="e">
        <f>((F35/F34)-1)*100</f>
        <v>#DIV/0!</v>
      </c>
    </row>
    <row r="60" spans="1:7" x14ac:dyDescent="0.25">
      <c r="A60" s="7"/>
      <c r="B60" s="13"/>
      <c r="C60" s="13"/>
      <c r="D60" s="13"/>
      <c r="E60" s="13"/>
      <c r="F60" s="13"/>
    </row>
    <row r="61" spans="1:7" x14ac:dyDescent="0.25">
      <c r="A61" s="7" t="s">
        <v>28</v>
      </c>
      <c r="B61" s="7"/>
      <c r="C61" s="7"/>
      <c r="D61" s="7"/>
      <c r="E61" s="7"/>
      <c r="F61" s="7"/>
    </row>
    <row r="62" spans="1:7" x14ac:dyDescent="0.25">
      <c r="A62" s="7" t="s">
        <v>46</v>
      </c>
      <c r="B62" s="16">
        <f>B17/(B11*12)</f>
        <v>76890.943411707034</v>
      </c>
      <c r="C62" s="16">
        <f t="shared" ref="C62:F62" si="3">C17/(C11*12)</f>
        <v>176210</v>
      </c>
      <c r="D62" s="16">
        <f t="shared" si="3"/>
        <v>70484</v>
      </c>
      <c r="E62" s="16">
        <f t="shared" si="3"/>
        <v>52890.822599991741</v>
      </c>
      <c r="F62" s="16">
        <f t="shared" si="3"/>
        <v>265543.85964912281</v>
      </c>
    </row>
    <row r="63" spans="1:7" x14ac:dyDescent="0.25">
      <c r="A63" s="7" t="s">
        <v>47</v>
      </c>
      <c r="B63" s="5">
        <f>B18/(B12*12)</f>
        <v>83738.633856569388</v>
      </c>
      <c r="C63" s="5">
        <f t="shared" ref="C63:F63" si="4">C18/(C12*12)</f>
        <v>169449.93916550631</v>
      </c>
      <c r="D63" s="5">
        <f t="shared" si="4"/>
        <v>70473.47214339058</v>
      </c>
      <c r="E63" s="5">
        <f t="shared" si="4"/>
        <v>55823.649242496533</v>
      </c>
      <c r="F63" s="5">
        <f t="shared" si="4"/>
        <v>697372.47298494237</v>
      </c>
    </row>
    <row r="64" spans="1:7" x14ac:dyDescent="0.25">
      <c r="A64" s="7" t="s">
        <v>29</v>
      </c>
      <c r="B64" s="13">
        <f>(B63/B62)*B46</f>
        <v>101.71063656867614</v>
      </c>
      <c r="C64" s="13">
        <f t="shared" ref="C64:F64" si="5">(C63/C62)*C46</f>
        <v>90.192039981977288</v>
      </c>
      <c r="D64" s="13">
        <f t="shared" si="5"/>
        <v>87.979759130948977</v>
      </c>
      <c r="E64" s="13">
        <f t="shared" si="5"/>
        <v>98.63127888536394</v>
      </c>
      <c r="F64" s="13">
        <f t="shared" si="5"/>
        <v>214.34691690600212</v>
      </c>
    </row>
    <row r="65" spans="1:7" x14ac:dyDescent="0.25">
      <c r="A65" s="7" t="s">
        <v>50</v>
      </c>
      <c r="B65" s="25">
        <f>B17/B11</f>
        <v>922691.32094048441</v>
      </c>
      <c r="C65" s="25">
        <f t="shared" ref="C65:F66" si="6">C17/C11</f>
        <v>2114520</v>
      </c>
      <c r="D65" s="25">
        <f t="shared" si="6"/>
        <v>845808</v>
      </c>
      <c r="E65" s="25">
        <f t="shared" si="6"/>
        <v>634689.87119990087</v>
      </c>
      <c r="F65" s="25">
        <f t="shared" si="6"/>
        <v>3186526.3157894737</v>
      </c>
    </row>
    <row r="66" spans="1:7" x14ac:dyDescent="0.25">
      <c r="A66" s="7" t="s">
        <v>51</v>
      </c>
      <c r="B66" s="25">
        <f>B18/B12</f>
        <v>1004863.6062788325</v>
      </c>
      <c r="C66" s="25">
        <f t="shared" si="6"/>
        <v>2033399.2699860758</v>
      </c>
      <c r="D66" s="25">
        <f t="shared" si="6"/>
        <v>845681.66572068701</v>
      </c>
      <c r="E66" s="25">
        <f t="shared" si="6"/>
        <v>669883.79090995842</v>
      </c>
      <c r="F66" s="25">
        <f t="shared" si="6"/>
        <v>8368469.6758193094</v>
      </c>
    </row>
    <row r="67" spans="1:7" x14ac:dyDescent="0.25">
      <c r="A67" s="7"/>
      <c r="B67" s="13"/>
      <c r="C67" s="13"/>
      <c r="D67" s="13"/>
      <c r="E67" s="13"/>
      <c r="F67" s="13"/>
    </row>
    <row r="68" spans="1:7" x14ac:dyDescent="0.25">
      <c r="A68" s="7" t="s">
        <v>30</v>
      </c>
      <c r="B68" s="13"/>
      <c r="C68" s="13"/>
      <c r="D68" s="13"/>
      <c r="E68" s="13"/>
      <c r="F68" s="13"/>
    </row>
    <row r="69" spans="1:7" x14ac:dyDescent="0.25">
      <c r="A69" s="7" t="s">
        <v>31</v>
      </c>
      <c r="B69" s="13">
        <f>(B24/B23)*100</f>
        <v>102.34507244005322</v>
      </c>
      <c r="C69" s="13"/>
      <c r="D69" s="13"/>
      <c r="E69" s="13"/>
      <c r="F69" s="13"/>
      <c r="G69" s="11"/>
    </row>
    <row r="70" spans="1:7" x14ac:dyDescent="0.25">
      <c r="A70" s="7" t="s">
        <v>32</v>
      </c>
      <c r="B70" s="13">
        <f>(B18/B24)*100</f>
        <v>95.143495586712163</v>
      </c>
      <c r="C70" s="13"/>
      <c r="D70" s="13"/>
      <c r="E70" s="13"/>
      <c r="F70" s="13"/>
      <c r="G70" s="11"/>
    </row>
    <row r="71" spans="1:7" ht="15.75" thickBot="1" x14ac:dyDescent="0.3">
      <c r="A71" s="21"/>
      <c r="B71" s="14"/>
      <c r="C71" s="14"/>
      <c r="D71" s="14"/>
      <c r="E71" s="14"/>
      <c r="F71" s="14"/>
    </row>
    <row r="72" spans="1:7" ht="15.75" thickTop="1" x14ac:dyDescent="0.25"/>
    <row r="73" spans="1:7" x14ac:dyDescent="0.25">
      <c r="A73" t="s">
        <v>35</v>
      </c>
    </row>
    <row r="74" spans="1:7" x14ac:dyDescent="0.25">
      <c r="A74" t="s">
        <v>90</v>
      </c>
    </row>
    <row r="75" spans="1:7" x14ac:dyDescent="0.25">
      <c r="A75" t="s">
        <v>91</v>
      </c>
      <c r="B75" s="15"/>
      <c r="C75" s="15"/>
      <c r="D75" s="15"/>
    </row>
    <row r="76" spans="1:7" x14ac:dyDescent="0.25">
      <c r="A76" t="s">
        <v>69</v>
      </c>
    </row>
    <row r="79" spans="1:7" x14ac:dyDescent="0.25">
      <c r="A79" t="s">
        <v>36</v>
      </c>
    </row>
    <row r="80" spans="1:7" x14ac:dyDescent="0.25">
      <c r="A80" t="s">
        <v>37</v>
      </c>
    </row>
    <row r="81" spans="1:1" x14ac:dyDescent="0.25">
      <c r="A81" s="38"/>
    </row>
    <row r="83" spans="1:1" x14ac:dyDescent="0.25">
      <c r="A83" s="9" t="s">
        <v>137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Tercer trimestre Acumulado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Ricardo Murillo</cp:lastModifiedBy>
  <dcterms:created xsi:type="dcterms:W3CDTF">2012-05-29T14:39:16Z</dcterms:created>
  <dcterms:modified xsi:type="dcterms:W3CDTF">2018-05-03T17:52:12Z</dcterms:modified>
</cp:coreProperties>
</file>