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RNC\Indicadores\"/>
    </mc:Choice>
  </mc:AlternateContent>
  <bookViews>
    <workbookView xWindow="0" yWindow="0" windowWidth="15600" windowHeight="9240" activeTab="6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  <sheet name="Observaciones" sheetId="8" r:id="rId8"/>
  </sheets>
  <calcPr calcId="162913"/>
</workbook>
</file>

<file path=xl/calcChain.xml><?xml version="1.0" encoding="utf-8"?>
<calcChain xmlns="http://schemas.openxmlformats.org/spreadsheetml/2006/main">
  <c r="C16" i="1" l="1"/>
  <c r="B29" i="4" l="1"/>
  <c r="B41" i="4" s="1"/>
  <c r="F11" i="7" l="1"/>
  <c r="C11" i="7"/>
  <c r="C18" i="1"/>
  <c r="F41" i="1" l="1"/>
  <c r="D41" i="1"/>
  <c r="C19" i="7" l="1"/>
  <c r="C17" i="7" s="1"/>
  <c r="C13" i="7"/>
  <c r="D66" i="1"/>
  <c r="E66" i="1"/>
  <c r="F66" i="1"/>
  <c r="F65" i="1"/>
  <c r="D63" i="1"/>
  <c r="D64" i="1" s="1"/>
  <c r="E63" i="1"/>
  <c r="E64" i="1" s="1"/>
  <c r="F63" i="1"/>
  <c r="D57" i="1"/>
  <c r="E57" i="1"/>
  <c r="F57" i="1"/>
  <c r="F50" i="1"/>
  <c r="G50" i="1"/>
  <c r="G51" i="1" s="1"/>
  <c r="H50" i="1"/>
  <c r="H51" i="1" s="1"/>
  <c r="F49" i="1"/>
  <c r="F51" i="1" l="1"/>
  <c r="D33" i="6"/>
  <c r="D35" i="6" s="1"/>
  <c r="E33" i="6"/>
  <c r="E35" i="6" s="1"/>
  <c r="F33" i="6"/>
  <c r="F35" i="6" s="1"/>
  <c r="G33" i="6"/>
  <c r="H33" i="6"/>
  <c r="D32" i="6"/>
  <c r="D34" i="6" s="1"/>
  <c r="E32" i="6"/>
  <c r="E34" i="6" s="1"/>
  <c r="F32" i="6"/>
  <c r="F34" i="6" s="1"/>
  <c r="G32" i="6"/>
  <c r="H32" i="6"/>
  <c r="D40" i="1"/>
  <c r="B11" i="1" l="1"/>
  <c r="D66" i="6" l="1"/>
  <c r="F49" i="6"/>
  <c r="E66" i="5"/>
  <c r="D66" i="5"/>
  <c r="F49" i="5"/>
  <c r="D66" i="4"/>
  <c r="F49" i="4"/>
  <c r="D41" i="5"/>
  <c r="F40" i="5"/>
  <c r="C18" i="6" l="1"/>
  <c r="C33" i="6" s="1"/>
  <c r="C18" i="5" l="1"/>
  <c r="C19" i="3" l="1"/>
  <c r="C17" i="3"/>
  <c r="C13" i="3"/>
  <c r="C11" i="3"/>
  <c r="C19" i="2"/>
  <c r="C17" i="2"/>
  <c r="C13" i="2"/>
  <c r="C11" i="2"/>
  <c r="H50" i="4" l="1"/>
  <c r="H51" i="4" s="1"/>
  <c r="B19" i="4" l="1"/>
  <c r="C12" i="1" l="1"/>
  <c r="C12" i="6"/>
  <c r="C12" i="5"/>
  <c r="C49" i="5" s="1"/>
  <c r="C18" i="4"/>
  <c r="C12" i="4"/>
  <c r="C49" i="4" s="1"/>
  <c r="C49" i="6" l="1"/>
  <c r="C35" i="6"/>
  <c r="C49" i="1"/>
  <c r="C44" i="1"/>
  <c r="C66" i="1"/>
  <c r="C50" i="1"/>
  <c r="C63" i="1"/>
  <c r="C65" i="1"/>
  <c r="C62" i="1"/>
  <c r="B29" i="3"/>
  <c r="B29" i="2"/>
  <c r="B29" i="1"/>
  <c r="B41" i="1" s="1"/>
  <c r="B29" i="6"/>
  <c r="B41" i="6" s="1"/>
  <c r="B29" i="5"/>
  <c r="B41" i="5" s="1"/>
  <c r="D41" i="6"/>
  <c r="D40" i="6"/>
  <c r="D40" i="5"/>
  <c r="D41" i="4"/>
  <c r="D40" i="4"/>
  <c r="B29" i="7"/>
  <c r="B40" i="1" l="1"/>
  <c r="C51" i="1"/>
  <c r="B19" i="1"/>
  <c r="G20" i="1" l="1"/>
  <c r="G20" i="6"/>
  <c r="G20" i="5"/>
  <c r="G20" i="4"/>
  <c r="F40" i="1" l="1"/>
  <c r="F41" i="6"/>
  <c r="F40" i="6"/>
  <c r="F41" i="5"/>
  <c r="D40" i="7"/>
  <c r="D40" i="2" l="1"/>
  <c r="C62" i="7"/>
  <c r="C62" i="2" l="1"/>
  <c r="F62" i="1"/>
  <c r="H45" i="1"/>
  <c r="H46" i="1" s="1"/>
  <c r="G45" i="1"/>
  <c r="G46" i="1" s="1"/>
  <c r="F45" i="1"/>
  <c r="F44" i="1"/>
  <c r="F66" i="6"/>
  <c r="E66" i="6"/>
  <c r="F65" i="6"/>
  <c r="F63" i="6"/>
  <c r="E63" i="6"/>
  <c r="E64" i="6" s="1"/>
  <c r="D63" i="6"/>
  <c r="D64" i="6" s="1"/>
  <c r="F62" i="6"/>
  <c r="F57" i="6"/>
  <c r="E57" i="6"/>
  <c r="D57" i="6"/>
  <c r="H50" i="6"/>
  <c r="H51" i="6" s="1"/>
  <c r="G50" i="6"/>
  <c r="G51" i="6" s="1"/>
  <c r="F50" i="6"/>
  <c r="H45" i="6"/>
  <c r="H46" i="6" s="1"/>
  <c r="G45" i="6"/>
  <c r="G46" i="6" s="1"/>
  <c r="F45" i="6"/>
  <c r="F44" i="6"/>
  <c r="F46" i="6" s="1"/>
  <c r="F66" i="5"/>
  <c r="F65" i="5"/>
  <c r="F63" i="5"/>
  <c r="E63" i="5"/>
  <c r="E64" i="5" s="1"/>
  <c r="D63" i="5"/>
  <c r="D64" i="5" s="1"/>
  <c r="F62" i="5"/>
  <c r="F57" i="5"/>
  <c r="E57" i="5"/>
  <c r="D57" i="5"/>
  <c r="H50" i="5"/>
  <c r="H51" i="5" s="1"/>
  <c r="G50" i="5"/>
  <c r="G51" i="5" s="1"/>
  <c r="F50" i="5"/>
  <c r="F51" i="5" s="1"/>
  <c r="H45" i="5"/>
  <c r="H46" i="5" s="1"/>
  <c r="G45" i="5"/>
  <c r="G46" i="5" s="1"/>
  <c r="F45" i="5"/>
  <c r="F44" i="5"/>
  <c r="B17" i="1"/>
  <c r="B13" i="1"/>
  <c r="B19" i="6"/>
  <c r="B13" i="6"/>
  <c r="B11" i="6"/>
  <c r="B40" i="6" s="1"/>
  <c r="B13" i="5"/>
  <c r="B11" i="5"/>
  <c r="B40" i="5" s="1"/>
  <c r="B17" i="4"/>
  <c r="B11" i="4"/>
  <c r="B40" i="4" s="1"/>
  <c r="B13" i="4"/>
  <c r="C62" i="4"/>
  <c r="C65" i="4"/>
  <c r="F64" i="6" l="1"/>
  <c r="F46" i="5"/>
  <c r="F64" i="5" s="1"/>
  <c r="B62" i="4"/>
  <c r="B62" i="1"/>
  <c r="B65" i="4"/>
  <c r="F46" i="1"/>
  <c r="F64" i="1" s="1"/>
  <c r="B65" i="1"/>
  <c r="F51" i="6"/>
  <c r="C10" i="1" l="1"/>
  <c r="C16" i="6"/>
  <c r="C32" i="6" s="1"/>
  <c r="C10" i="6"/>
  <c r="B10" i="6" s="1"/>
  <c r="C33" i="5"/>
  <c r="C16" i="5"/>
  <c r="B16" i="5" s="1"/>
  <c r="C10" i="5"/>
  <c r="B10" i="5" s="1"/>
  <c r="C16" i="4"/>
  <c r="B16" i="4" s="1"/>
  <c r="C45" i="4"/>
  <c r="C10" i="4"/>
  <c r="B10" i="4" s="1"/>
  <c r="D57" i="4"/>
  <c r="E57" i="4"/>
  <c r="F57" i="4"/>
  <c r="C34" i="6" l="1"/>
  <c r="B10" i="1"/>
  <c r="C57" i="1"/>
  <c r="C33" i="1"/>
  <c r="C33" i="4"/>
  <c r="C35" i="4" s="1"/>
  <c r="C32" i="4"/>
  <c r="C34" i="4" s="1"/>
  <c r="C44" i="4"/>
  <c r="C46" i="4" s="1"/>
  <c r="C32" i="5"/>
  <c r="C34" i="5" s="1"/>
  <c r="B12" i="4"/>
  <c r="C57" i="4"/>
  <c r="C35" i="5"/>
  <c r="C32" i="1"/>
  <c r="C34" i="1" s="1"/>
  <c r="B16" i="1"/>
  <c r="C44" i="5"/>
  <c r="C57" i="5"/>
  <c r="B12" i="5"/>
  <c r="C66" i="4"/>
  <c r="C63" i="4"/>
  <c r="B18" i="4"/>
  <c r="C50" i="4"/>
  <c r="B18" i="5"/>
  <c r="C66" i="5"/>
  <c r="C63" i="5"/>
  <c r="B16" i="6"/>
  <c r="B18" i="1"/>
  <c r="B70" i="1" s="1"/>
  <c r="C45" i="1"/>
  <c r="C46" i="1" s="1"/>
  <c r="C64" i="1" s="1"/>
  <c r="B12" i="1"/>
  <c r="C50" i="6"/>
  <c r="B18" i="6"/>
  <c r="B12" i="6"/>
  <c r="C66" i="6"/>
  <c r="C63" i="6"/>
  <c r="C57" i="6"/>
  <c r="C44" i="6"/>
  <c r="B17" i="5"/>
  <c r="C62" i="5"/>
  <c r="C65" i="5"/>
  <c r="C45" i="5"/>
  <c r="C50" i="5"/>
  <c r="C51" i="5" s="1"/>
  <c r="B19" i="5"/>
  <c r="C62" i="6"/>
  <c r="C65" i="6"/>
  <c r="B17" i="6"/>
  <c r="C45" i="6"/>
  <c r="C64" i="4" l="1"/>
  <c r="B49" i="1"/>
  <c r="B49" i="6"/>
  <c r="B49" i="5"/>
  <c r="B49" i="4"/>
  <c r="B57" i="4"/>
  <c r="C35" i="1"/>
  <c r="C59" i="1" s="1"/>
  <c r="C58" i="1"/>
  <c r="C51" i="4"/>
  <c r="B66" i="4"/>
  <c r="C46" i="5"/>
  <c r="C64" i="5" s="1"/>
  <c r="C58" i="6"/>
  <c r="B50" i="5"/>
  <c r="C59" i="4"/>
  <c r="C58" i="4"/>
  <c r="C58" i="5"/>
  <c r="C59" i="5"/>
  <c r="B66" i="5"/>
  <c r="B63" i="5"/>
  <c r="B70" i="5"/>
  <c r="C59" i="6"/>
  <c r="B44" i="5"/>
  <c r="B57" i="5"/>
  <c r="B63" i="4"/>
  <c r="C46" i="6"/>
  <c r="C64" i="6" s="1"/>
  <c r="B45" i="1"/>
  <c r="B50" i="1"/>
  <c r="B66" i="1"/>
  <c r="B63" i="1"/>
  <c r="B57" i="1"/>
  <c r="B44" i="1"/>
  <c r="B70" i="6"/>
  <c r="B50" i="6"/>
  <c r="C51" i="6"/>
  <c r="B63" i="6"/>
  <c r="B66" i="6"/>
  <c r="B57" i="6"/>
  <c r="B44" i="6"/>
  <c r="B45" i="5"/>
  <c r="B62" i="5"/>
  <c r="B65" i="5"/>
  <c r="B45" i="6"/>
  <c r="B65" i="6"/>
  <c r="B62" i="6"/>
  <c r="E20" i="4"/>
  <c r="F20" i="4"/>
  <c r="D20" i="4"/>
  <c r="B46" i="6" l="1"/>
  <c r="B64" i="6" s="1"/>
  <c r="B51" i="1"/>
  <c r="B51" i="5"/>
  <c r="B46" i="5"/>
  <c r="B64" i="5" s="1"/>
  <c r="B46" i="1"/>
  <c r="B64" i="1" s="1"/>
  <c r="C20" i="4"/>
  <c r="B20" i="4" s="1"/>
  <c r="B51" i="6"/>
  <c r="D63" i="4" l="1"/>
  <c r="D64" i="4" s="1"/>
  <c r="E63" i="4"/>
  <c r="E64" i="4" s="1"/>
  <c r="F63" i="4"/>
  <c r="F13" i="7"/>
  <c r="B13" i="7" s="1"/>
  <c r="F12" i="7"/>
  <c r="F10" i="7"/>
  <c r="E12" i="7"/>
  <c r="E10" i="7"/>
  <c r="D12" i="7"/>
  <c r="B41" i="7" s="1"/>
  <c r="D10" i="7"/>
  <c r="F12" i="3"/>
  <c r="F11" i="3"/>
  <c r="F10" i="3"/>
  <c r="E12" i="3"/>
  <c r="E11" i="3"/>
  <c r="E10" i="3"/>
  <c r="D12" i="3"/>
  <c r="B41" i="3" s="1"/>
  <c r="D10" i="3"/>
  <c r="E13" i="3"/>
  <c r="F13" i="3"/>
  <c r="F13" i="2"/>
  <c r="B13" i="2" s="1"/>
  <c r="G13" i="2"/>
  <c r="H13" i="2"/>
  <c r="D57" i="7" l="1"/>
  <c r="F57" i="7"/>
  <c r="E57" i="7"/>
  <c r="C10" i="7"/>
  <c r="B10" i="7" s="1"/>
  <c r="C12" i="3"/>
  <c r="D40" i="3"/>
  <c r="C62" i="3"/>
  <c r="C12" i="7"/>
  <c r="C10" i="3"/>
  <c r="B10" i="3" s="1"/>
  <c r="D41" i="7"/>
  <c r="F41" i="3"/>
  <c r="F41" i="7"/>
  <c r="F40" i="7"/>
  <c r="B11" i="7"/>
  <c r="B40" i="7" s="1"/>
  <c r="F40" i="3"/>
  <c r="D41" i="3"/>
  <c r="D57" i="3"/>
  <c r="F57" i="3"/>
  <c r="E57" i="3"/>
  <c r="F49" i="7"/>
  <c r="B13" i="3"/>
  <c r="F49" i="3"/>
  <c r="F44" i="3"/>
  <c r="B11" i="3"/>
  <c r="B40" i="3" s="1"/>
  <c r="F44" i="7"/>
  <c r="C57" i="7" l="1"/>
  <c r="B12" i="7"/>
  <c r="C49" i="7"/>
  <c r="C44" i="7"/>
  <c r="C49" i="3"/>
  <c r="B12" i="3"/>
  <c r="C57" i="3"/>
  <c r="C44" i="3"/>
  <c r="F11" i="2"/>
  <c r="F12" i="2"/>
  <c r="D12" i="2"/>
  <c r="B41" i="2" s="1"/>
  <c r="E12" i="2"/>
  <c r="E10" i="2"/>
  <c r="D10" i="2"/>
  <c r="F10" i="2"/>
  <c r="B44" i="3" l="1"/>
  <c r="C12" i="2"/>
  <c r="C10" i="2"/>
  <c r="B10" i="2" s="1"/>
  <c r="E57" i="2"/>
  <c r="B44" i="7"/>
  <c r="D41" i="2"/>
  <c r="F40" i="2"/>
  <c r="B11" i="2"/>
  <c r="B40" i="2" s="1"/>
  <c r="F41" i="2"/>
  <c r="F49" i="2"/>
  <c r="F44" i="2"/>
  <c r="F57" i="2"/>
  <c r="D57" i="2"/>
  <c r="B57" i="3"/>
  <c r="B49" i="7"/>
  <c r="B57" i="7"/>
  <c r="B49" i="3"/>
  <c r="D32" i="1"/>
  <c r="D34" i="1" s="1"/>
  <c r="D33" i="1"/>
  <c r="D33" i="5"/>
  <c r="D32" i="5"/>
  <c r="D34" i="5" s="1"/>
  <c r="D33" i="4"/>
  <c r="D35" i="4" s="1"/>
  <c r="D32" i="4"/>
  <c r="D34" i="4" s="1"/>
  <c r="B70" i="4"/>
  <c r="D58" i="1" l="1"/>
  <c r="D59" i="4"/>
  <c r="D35" i="5"/>
  <c r="D59" i="5" s="1"/>
  <c r="D58" i="5"/>
  <c r="D58" i="6"/>
  <c r="B12" i="2"/>
  <c r="C49" i="2"/>
  <c r="C57" i="2"/>
  <c r="C44" i="2"/>
  <c r="D35" i="1"/>
  <c r="D59" i="1" s="1"/>
  <c r="D59" i="6"/>
  <c r="D58" i="4"/>
  <c r="B50" i="4"/>
  <c r="B45" i="4"/>
  <c r="B44" i="4"/>
  <c r="B23" i="4"/>
  <c r="B69" i="4" s="1"/>
  <c r="E20" i="5"/>
  <c r="F20" i="5"/>
  <c r="D20" i="5"/>
  <c r="E20" i="6"/>
  <c r="F20" i="6"/>
  <c r="D20" i="6"/>
  <c r="E20" i="1"/>
  <c r="F20" i="1"/>
  <c r="D20" i="1"/>
  <c r="D18" i="2"/>
  <c r="D16" i="2"/>
  <c r="D32" i="2" s="1"/>
  <c r="D18" i="3"/>
  <c r="D16" i="3"/>
  <c r="D32" i="3" s="1"/>
  <c r="D18" i="7"/>
  <c r="D16" i="7"/>
  <c r="D32" i="7" s="1"/>
  <c r="D34" i="7" s="1"/>
  <c r="C20" i="6" l="1"/>
  <c r="C20" i="5"/>
  <c r="D33" i="3"/>
  <c r="D66" i="3"/>
  <c r="D63" i="7"/>
  <c r="D64" i="7" s="1"/>
  <c r="D66" i="7"/>
  <c r="D33" i="7"/>
  <c r="D33" i="2"/>
  <c r="D66" i="2"/>
  <c r="C20" i="1"/>
  <c r="B20" i="1" s="1"/>
  <c r="D63" i="2"/>
  <c r="D64" i="2" s="1"/>
  <c r="D63" i="3"/>
  <c r="D64" i="3" s="1"/>
  <c r="B20" i="6"/>
  <c r="B54" i="6" s="1"/>
  <c r="B57" i="2"/>
  <c r="B44" i="2"/>
  <c r="B49" i="2"/>
  <c r="B51" i="4"/>
  <c r="D34" i="3"/>
  <c r="D34" i="2"/>
  <c r="B46" i="4"/>
  <c r="B64" i="4" s="1"/>
  <c r="D20" i="7"/>
  <c r="D20" i="2"/>
  <c r="B54" i="4"/>
  <c r="D20" i="3"/>
  <c r="F19" i="2"/>
  <c r="G19" i="2"/>
  <c r="H19" i="2"/>
  <c r="F19" i="3"/>
  <c r="G19" i="3"/>
  <c r="H19" i="3"/>
  <c r="F19" i="7"/>
  <c r="F17" i="7" s="1"/>
  <c r="G19" i="7"/>
  <c r="G17" i="7" s="1"/>
  <c r="H19" i="7"/>
  <c r="D58" i="7" l="1"/>
  <c r="D35" i="7"/>
  <c r="D59" i="7" s="1"/>
  <c r="B19" i="2"/>
  <c r="B19" i="7"/>
  <c r="B20" i="5"/>
  <c r="B54" i="5" s="1"/>
  <c r="B54" i="1"/>
  <c r="D58" i="2"/>
  <c r="C65" i="2"/>
  <c r="B19" i="3"/>
  <c r="D35" i="3"/>
  <c r="D59" i="3" s="1"/>
  <c r="D58" i="3"/>
  <c r="D35" i="2"/>
  <c r="D59" i="2" s="1"/>
  <c r="H17" i="7"/>
  <c r="E18" i="7"/>
  <c r="F18" i="7"/>
  <c r="G18" i="7"/>
  <c r="G33" i="7" s="1"/>
  <c r="H18" i="7"/>
  <c r="F16" i="7"/>
  <c r="F32" i="7" s="1"/>
  <c r="F34" i="7" s="1"/>
  <c r="G16" i="7"/>
  <c r="G32" i="7" s="1"/>
  <c r="H16" i="7"/>
  <c r="H32" i="7" s="1"/>
  <c r="E16" i="7"/>
  <c r="F17" i="3"/>
  <c r="G17" i="3"/>
  <c r="H17" i="3"/>
  <c r="E18" i="3"/>
  <c r="E33" i="3" s="1"/>
  <c r="F18" i="3"/>
  <c r="F33" i="3" s="1"/>
  <c r="G18" i="3"/>
  <c r="H18" i="3"/>
  <c r="F16" i="3"/>
  <c r="F32" i="3" s="1"/>
  <c r="G16" i="3"/>
  <c r="G32" i="3" s="1"/>
  <c r="H16" i="3"/>
  <c r="H32" i="3" s="1"/>
  <c r="E16" i="3"/>
  <c r="F17" i="2"/>
  <c r="G17" i="2"/>
  <c r="H17" i="2"/>
  <c r="E18" i="2"/>
  <c r="E33" i="2" s="1"/>
  <c r="F18" i="2"/>
  <c r="G18" i="2"/>
  <c r="G33" i="2" s="1"/>
  <c r="H18" i="2"/>
  <c r="H33" i="2" s="1"/>
  <c r="F16" i="2"/>
  <c r="F32" i="2" s="1"/>
  <c r="G16" i="2"/>
  <c r="G32" i="2" s="1"/>
  <c r="H16" i="2"/>
  <c r="H32" i="2" s="1"/>
  <c r="E16" i="2"/>
  <c r="G11" i="2"/>
  <c r="H11" i="2"/>
  <c r="G12" i="2"/>
  <c r="H12" i="2"/>
  <c r="G10" i="2"/>
  <c r="H10" i="2"/>
  <c r="G58" i="7" l="1"/>
  <c r="C16" i="7"/>
  <c r="C32" i="7" s="1"/>
  <c r="C34" i="7" s="1"/>
  <c r="E32" i="7"/>
  <c r="E34" i="7" s="1"/>
  <c r="H50" i="7"/>
  <c r="H51" i="7" s="1"/>
  <c r="H33" i="7"/>
  <c r="H58" i="7" s="1"/>
  <c r="F63" i="7"/>
  <c r="F33" i="7"/>
  <c r="E63" i="7"/>
  <c r="E64" i="7" s="1"/>
  <c r="E33" i="7"/>
  <c r="C16" i="2"/>
  <c r="C32" i="2" s="1"/>
  <c r="C34" i="2" s="1"/>
  <c r="E32" i="2"/>
  <c r="G20" i="3"/>
  <c r="G33" i="3"/>
  <c r="H50" i="3"/>
  <c r="H51" i="3" s="1"/>
  <c r="H33" i="3"/>
  <c r="C16" i="3"/>
  <c r="C32" i="3" s="1"/>
  <c r="C34" i="3" s="1"/>
  <c r="E32" i="3"/>
  <c r="F63" i="2"/>
  <c r="F33" i="2"/>
  <c r="C18" i="7"/>
  <c r="E63" i="3"/>
  <c r="E64" i="3" s="1"/>
  <c r="C18" i="3"/>
  <c r="C33" i="3" s="1"/>
  <c r="E63" i="2"/>
  <c r="E64" i="2" s="1"/>
  <c r="C18" i="2"/>
  <c r="C33" i="2" s="1"/>
  <c r="B17" i="2"/>
  <c r="F62" i="3"/>
  <c r="F50" i="3"/>
  <c r="F51" i="3" s="1"/>
  <c r="F63" i="3"/>
  <c r="F62" i="7"/>
  <c r="F62" i="2"/>
  <c r="F66" i="2"/>
  <c r="F50" i="2"/>
  <c r="F51" i="2" s="1"/>
  <c r="F45" i="2"/>
  <c r="F46" i="2" s="1"/>
  <c r="G20" i="2"/>
  <c r="G45" i="2"/>
  <c r="G46" i="2" s="1"/>
  <c r="G50" i="2"/>
  <c r="G51" i="2" s="1"/>
  <c r="H45" i="2"/>
  <c r="H46" i="2" s="1"/>
  <c r="H50" i="2"/>
  <c r="H51" i="2" s="1"/>
  <c r="E66" i="2"/>
  <c r="F65" i="2"/>
  <c r="G45" i="7"/>
  <c r="G46" i="7" s="1"/>
  <c r="H45" i="7"/>
  <c r="H46" i="7" s="1"/>
  <c r="G50" i="3"/>
  <c r="G51" i="3" s="1"/>
  <c r="G45" i="3"/>
  <c r="G46" i="3" s="1"/>
  <c r="H45" i="3"/>
  <c r="H46" i="3" s="1"/>
  <c r="G20" i="7"/>
  <c r="G50" i="7"/>
  <c r="G51" i="7" s="1"/>
  <c r="E66" i="7"/>
  <c r="F50" i="7"/>
  <c r="F51" i="7" s="1"/>
  <c r="F66" i="7"/>
  <c r="E66" i="3"/>
  <c r="F66" i="3"/>
  <c r="F45" i="3"/>
  <c r="F46" i="3" s="1"/>
  <c r="F65" i="3"/>
  <c r="F45" i="7"/>
  <c r="F46" i="7" s="1"/>
  <c r="F65" i="7"/>
  <c r="B17" i="7"/>
  <c r="B17" i="3"/>
  <c r="C65" i="7"/>
  <c r="C65" i="3"/>
  <c r="F20" i="2"/>
  <c r="F20" i="3"/>
  <c r="F20" i="7"/>
  <c r="E20" i="2"/>
  <c r="C20" i="2" s="1"/>
  <c r="E20" i="3"/>
  <c r="E20" i="7"/>
  <c r="C20" i="7" s="1"/>
  <c r="B16" i="7" l="1"/>
  <c r="B32" i="7" s="1"/>
  <c r="F64" i="3"/>
  <c r="F64" i="2"/>
  <c r="F64" i="7"/>
  <c r="B62" i="2"/>
  <c r="B16" i="3"/>
  <c r="B32" i="3" s="1"/>
  <c r="E58" i="7"/>
  <c r="E35" i="7"/>
  <c r="E59" i="7" s="1"/>
  <c r="F58" i="7"/>
  <c r="F35" i="7"/>
  <c r="F59" i="7" s="1"/>
  <c r="C63" i="7"/>
  <c r="C33" i="7"/>
  <c r="B16" i="2"/>
  <c r="B32" i="2" s="1"/>
  <c r="B20" i="7"/>
  <c r="C20" i="3"/>
  <c r="B20" i="3" s="1"/>
  <c r="B65" i="2"/>
  <c r="C63" i="3"/>
  <c r="B65" i="3"/>
  <c r="B62" i="3"/>
  <c r="B65" i="7"/>
  <c r="B62" i="7"/>
  <c r="C63" i="2"/>
  <c r="B20" i="2"/>
  <c r="C66" i="2"/>
  <c r="B18" i="2"/>
  <c r="C50" i="2"/>
  <c r="C51" i="2" s="1"/>
  <c r="C45" i="2"/>
  <c r="C46" i="2" s="1"/>
  <c r="C45" i="3"/>
  <c r="C46" i="3" s="1"/>
  <c r="C50" i="7"/>
  <c r="C51" i="7" s="1"/>
  <c r="B18" i="7"/>
  <c r="C66" i="7"/>
  <c r="B18" i="3"/>
  <c r="B33" i="3" s="1"/>
  <c r="C66" i="3"/>
  <c r="C50" i="3"/>
  <c r="C51" i="3" s="1"/>
  <c r="C45" i="7"/>
  <c r="C46" i="7" s="1"/>
  <c r="C64" i="7" s="1"/>
  <c r="F40" i="4"/>
  <c r="C64" i="3" l="1"/>
  <c r="C64" i="2"/>
  <c r="C58" i="7"/>
  <c r="C35" i="7"/>
  <c r="C59" i="7" s="1"/>
  <c r="B63" i="7"/>
  <c r="B33" i="7"/>
  <c r="B63" i="2"/>
  <c r="B33" i="2"/>
  <c r="B45" i="3"/>
  <c r="B46" i="3" s="1"/>
  <c r="B63" i="3"/>
  <c r="C35" i="2"/>
  <c r="C59" i="2" s="1"/>
  <c r="C58" i="2"/>
  <c r="B66" i="2"/>
  <c r="B50" i="2"/>
  <c r="B51" i="2" s="1"/>
  <c r="B45" i="2"/>
  <c r="B46" i="2" s="1"/>
  <c r="C35" i="3"/>
  <c r="C59" i="3" s="1"/>
  <c r="C58" i="3"/>
  <c r="B54" i="2"/>
  <c r="B54" i="3"/>
  <c r="B50" i="7"/>
  <c r="B51" i="7" s="1"/>
  <c r="B66" i="7"/>
  <c r="B66" i="3"/>
  <c r="B50" i="3"/>
  <c r="B51" i="3" s="1"/>
  <c r="B45" i="7"/>
  <c r="B46" i="7" s="1"/>
  <c r="B54" i="7"/>
  <c r="G45" i="4"/>
  <c r="G46" i="4" s="1"/>
  <c r="B64" i="7" l="1"/>
  <c r="B64" i="2"/>
  <c r="B64" i="3"/>
  <c r="B32" i="5"/>
  <c r="F62" i="4"/>
  <c r="E66" i="4"/>
  <c r="F66" i="4"/>
  <c r="F65" i="4"/>
  <c r="F41" i="4" l="1"/>
  <c r="B33" i="4" l="1"/>
  <c r="B32" i="4"/>
  <c r="B34" i="4" s="1"/>
  <c r="B58" i="4" l="1"/>
  <c r="B24" i="7"/>
  <c r="B70" i="7" s="1"/>
  <c r="B24" i="3"/>
  <c r="B70" i="3" s="1"/>
  <c r="B24" i="2"/>
  <c r="B70" i="2" s="1"/>
  <c r="B23" i="2" l="1"/>
  <c r="B69" i="2" s="1"/>
  <c r="B23" i="7"/>
  <c r="B69" i="7" s="1"/>
  <c r="B23" i="1" l="1"/>
  <c r="B69" i="1" s="1"/>
  <c r="G58" i="3" l="1"/>
  <c r="H58" i="3"/>
  <c r="H58" i="2"/>
  <c r="G58" i="2"/>
  <c r="E35" i="2"/>
  <c r="F35" i="3"/>
  <c r="F35" i="2"/>
  <c r="E35" i="3"/>
  <c r="B23" i="3"/>
  <c r="B69" i="3" s="1"/>
  <c r="B35" i="2"/>
  <c r="B35" i="7" l="1"/>
  <c r="B35" i="3"/>
  <c r="H33" i="1" l="1"/>
  <c r="G33" i="1"/>
  <c r="F33" i="1"/>
  <c r="E33" i="1"/>
  <c r="B33" i="1"/>
  <c r="H32" i="1"/>
  <c r="G32" i="1"/>
  <c r="F32" i="1"/>
  <c r="F34" i="1" s="1"/>
  <c r="E32" i="1"/>
  <c r="E34" i="1" s="1"/>
  <c r="B32" i="1"/>
  <c r="B32" i="6"/>
  <c r="H33" i="5"/>
  <c r="G33" i="5"/>
  <c r="F33" i="5"/>
  <c r="E33" i="5"/>
  <c r="H32" i="5"/>
  <c r="G32" i="5"/>
  <c r="G50" i="4"/>
  <c r="G51" i="4" s="1"/>
  <c r="F50" i="4"/>
  <c r="H45" i="4"/>
  <c r="H46" i="4" s="1"/>
  <c r="F45" i="4"/>
  <c r="F44" i="4"/>
  <c r="H33" i="4"/>
  <c r="G33" i="4"/>
  <c r="F33" i="4"/>
  <c r="E33" i="4"/>
  <c r="B35" i="4"/>
  <c r="B59" i="4" s="1"/>
  <c r="H32" i="4"/>
  <c r="G32" i="4"/>
  <c r="F32" i="4"/>
  <c r="F34" i="4" s="1"/>
  <c r="E32" i="4"/>
  <c r="E34" i="4" s="1"/>
  <c r="E58" i="1" l="1"/>
  <c r="G58" i="1"/>
  <c r="F58" i="1"/>
  <c r="H58" i="1"/>
  <c r="H58" i="6"/>
  <c r="H58" i="5"/>
  <c r="G58" i="6"/>
  <c r="G58" i="5"/>
  <c r="E58" i="6"/>
  <c r="F58" i="6"/>
  <c r="B58" i="1"/>
  <c r="B34" i="1"/>
  <c r="F46" i="4"/>
  <c r="F64" i="4" s="1"/>
  <c r="F35" i="4"/>
  <c r="F59" i="4" s="1"/>
  <c r="F58" i="4"/>
  <c r="B23" i="6"/>
  <c r="B69" i="6" s="1"/>
  <c r="B35" i="1"/>
  <c r="F35" i="1"/>
  <c r="F59" i="1" s="1"/>
  <c r="E35" i="4"/>
  <c r="E59" i="4" s="1"/>
  <c r="E58" i="4"/>
  <c r="B33" i="5"/>
  <c r="B58" i="5" s="1"/>
  <c r="E59" i="6"/>
  <c r="E35" i="1"/>
  <c r="E59" i="1" s="1"/>
  <c r="G58" i="4"/>
  <c r="H58" i="4"/>
  <c r="E35" i="5"/>
  <c r="F51" i="4"/>
  <c r="B34" i="6"/>
  <c r="B33" i="6"/>
  <c r="B58" i="6" s="1"/>
  <c r="F59" i="6"/>
  <c r="B23" i="5"/>
  <c r="B69" i="5" s="1"/>
  <c r="E32" i="5"/>
  <c r="E58" i="5" s="1"/>
  <c r="F35" i="5"/>
  <c r="B59" i="1" l="1"/>
  <c r="B34" i="5"/>
  <c r="E34" i="5"/>
  <c r="E59" i="5" s="1"/>
  <c r="B35" i="5"/>
  <c r="E58" i="3"/>
  <c r="F32" i="5"/>
  <c r="F58" i="5" s="1"/>
  <c r="E58" i="2"/>
  <c r="B35" i="6"/>
  <c r="B59" i="6" s="1"/>
  <c r="B59" i="5" l="1"/>
  <c r="E34" i="3"/>
  <c r="E59" i="3" s="1"/>
  <c r="E34" i="2"/>
  <c r="E59" i="2" s="1"/>
  <c r="B58" i="2"/>
  <c r="F58" i="2"/>
  <c r="F34" i="5"/>
  <c r="F59" i="5" s="1"/>
  <c r="B58" i="7"/>
  <c r="F58" i="3"/>
  <c r="F34" i="3" l="1"/>
  <c r="F59" i="3" s="1"/>
  <c r="F34" i="2"/>
  <c r="F59" i="2" s="1"/>
  <c r="B34" i="7"/>
  <c r="B59" i="7" s="1"/>
  <c r="B34" i="2"/>
  <c r="B59" i="2" s="1"/>
  <c r="B58" i="3"/>
  <c r="B34" i="3" l="1"/>
  <c r="B59" i="3" s="1"/>
</calcChain>
</file>

<file path=xl/sharedStrings.xml><?xml version="1.0" encoding="utf-8"?>
<sst xmlns="http://schemas.openxmlformats.org/spreadsheetml/2006/main" count="519" uniqueCount="138">
  <si>
    <t>Indicador</t>
  </si>
  <si>
    <t>Productos</t>
  </si>
  <si>
    <t>Cuotas SS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</si>
  <si>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</si>
  <si>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</si>
  <si>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</si>
  <si>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</si>
  <si>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</si>
  <si>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</si>
  <si>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</si>
  <si>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</si>
  <si>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</si>
  <si>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</si>
  <si>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</si>
  <si>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</si>
  <si>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</si>
  <si>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</si>
  <si>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</si>
  <si>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</si>
  <si>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</si>
  <si>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</si>
  <si>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</si>
  <si>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</si>
  <si>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</si>
  <si>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</si>
  <si>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</si>
  <si>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</si>
  <si>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</si>
  <si>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</si>
  <si>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</si>
  <si>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</si>
  <si>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</si>
  <si>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</si>
  <si>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</si>
  <si>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</si>
  <si>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</si>
  <si>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</si>
  <si>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</si>
  <si>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</si>
  <si>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</si>
  <si>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</si>
  <si>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</si>
  <si>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</si>
  <si>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</si>
  <si>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</si>
  <si>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</si>
  <si>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</si>
  <si>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En el cuarto Trimestre se incluyen los gastos de aguinaldo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</si>
  <si>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</si>
  <si>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</si>
  <si>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</si>
  <si>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Adultos Mayores</t>
  </si>
  <si>
    <t>Otros</t>
  </si>
  <si>
    <t>n.d.</t>
  </si>
  <si>
    <t>Población objetivo:</t>
  </si>
  <si>
    <t>Pensiones ordinarias: adultos mayores de 64 años pobres sin pensión contributiva ni seguro contributivo.</t>
  </si>
  <si>
    <t>Pensiones parálisis cerebral severa: personas pobres que no pueden hablar, caminar ni mover los brazos o manos (dos de tres opciones)</t>
  </si>
  <si>
    <t>Pensión Especial</t>
  </si>
  <si>
    <t>Total</t>
  </si>
  <si>
    <t>Efectivos 1T 2016</t>
  </si>
  <si>
    <t>IPC (1T 2016)</t>
  </si>
  <si>
    <t>Gasto efectivo real 1T 2016</t>
  </si>
  <si>
    <t>Gasto efectivo real por beneficiario 1T 2016</t>
  </si>
  <si>
    <t>Informes trimestrales RNC 2015 y 2016</t>
  </si>
  <si>
    <t>Metas RNC 2016</t>
  </si>
  <si>
    <t>ENAHO 2015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</si>
  <si>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</si>
  <si>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</si>
  <si>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</si>
  <si>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</si>
  <si>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</si>
  <si>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</si>
  <si>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</si>
  <si>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</si>
  <si>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</si>
  <si>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</si>
  <si>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</si>
  <si>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</si>
  <si>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</si>
  <si>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</si>
  <si>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</si>
  <si>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</si>
  <si>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 2016</t>
  </si>
  <si>
    <t>IPC ( 2016)</t>
  </si>
  <si>
    <t>Gasto efectivo real  2016</t>
  </si>
  <si>
    <t>Gasto efectivo real por beneficiario  2016</t>
  </si>
  <si>
    <t>Indicadores propuestos aplicado a RNC.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</si>
  <si>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</si>
  <si>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</si>
  <si>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</si>
  <si>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</si>
  <si>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</si>
  <si>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</si>
  <si>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</si>
  <si>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RNC 2016 y 2017</t>
  </si>
  <si>
    <t>Metas RNC 2017</t>
  </si>
  <si>
    <t>ENAHO 2016</t>
  </si>
  <si>
    <t>Indicadores propuestos aplicado a RNC.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</si>
  <si>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</si>
  <si>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</si>
  <si>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</si>
  <si>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</si>
  <si>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</si>
  <si>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</si>
  <si>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Informes trimestrales RNC 2016  y 2017</t>
  </si>
  <si>
    <t>Indicadores propuestos aplicado a RNC.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</si>
  <si>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</si>
  <si>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</si>
  <si>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</si>
  <si>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</si>
  <si>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</si>
  <si>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</si>
  <si>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Indicadores propuestos aplicado a RNC.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</si>
  <si>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</si>
  <si>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</si>
  <si>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</si>
  <si>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</si>
  <si>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</si>
  <si>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</si>
  <si>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propuestos aplicado a RNC. Primer Semestre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</si>
  <si>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</si>
  <si>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</si>
  <si>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</si>
  <si>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</si>
  <si>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</si>
  <si>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</si>
  <si>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Indicadores propuestos aplicado a RNC. Tercer trimestre ACUMULADO 2017</t>
  </si>
  <si>
    <t>Indicadores propuestos aplicado a RNC. Año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</si>
  <si>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</si>
  <si>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</si>
  <si>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</si>
  <si>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</si>
  <si>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</si>
  <si>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</si>
  <si>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26/05/2017</t>
  </si>
  <si>
    <t>Fecha de actualización: 12/09/2017</t>
  </si>
  <si>
    <t>Fecha de actualización: 28/11/2017</t>
  </si>
  <si>
    <t>Fecha de actualización: 01/03/2018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</si>
</sst>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#,##0____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 applyFill="1"/>
    <xf numFmtId="166" fontId="0" fillId="0" borderId="0" xfId="0" applyNumberFormat="1"/>
    <xf numFmtId="164" fontId="0" fillId="0" borderId="0" xfId="1" applyFont="1" applyFill="1"/>
    <xf numFmtId="3" fontId="0" fillId="0" borderId="0" xfId="0" applyNumberFormat="1" applyFill="1"/>
    <xf numFmtId="167" fontId="0" fillId="0" borderId="0" xfId="1" applyNumberFormat="1" applyFont="1" applyFill="1"/>
    <xf numFmtId="0" fontId="0" fillId="0" borderId="0" xfId="0" applyFill="1"/>
    <xf numFmtId="2" fontId="0" fillId="0" borderId="0" xfId="0" applyNumberFormat="1"/>
    <xf numFmtId="167" fontId="4" fillId="0" borderId="0" xfId="1" applyNumberFormat="1" applyFont="1" applyAlignment="1">
      <alignment horizontal="center"/>
    </xf>
    <xf numFmtId="0" fontId="0" fillId="0" borderId="2" xfId="0" applyBorder="1" applyAlignment="1"/>
    <xf numFmtId="0" fontId="5" fillId="0" borderId="0" xfId="0" applyFont="1" applyFill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7" fontId="0" fillId="0" borderId="0" xfId="1" applyNumberFormat="1" applyFont="1"/>
    <xf numFmtId="167" fontId="0" fillId="0" borderId="0" xfId="1" applyNumberFormat="1" applyFont="1" applyAlignment="1">
      <alignment horizontal="left" indent="3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4" fillId="0" borderId="0" xfId="0" applyFont="1" applyAlignment="1">
      <alignment horizontal="center"/>
    </xf>
    <xf numFmtId="167" fontId="5" fillId="0" borderId="0" xfId="1" applyNumberFormat="1" applyFont="1" applyFill="1"/>
    <xf numFmtId="3" fontId="6" fillId="0" borderId="0" xfId="0" applyNumberFormat="1" applyFont="1"/>
    <xf numFmtId="166" fontId="0" fillId="0" borderId="0" xfId="0" applyNumberFormat="1" applyFill="1"/>
    <xf numFmtId="0" fontId="5" fillId="0" borderId="0" xfId="0" applyFont="1"/>
    <xf numFmtId="3" fontId="6" fillId="0" borderId="0" xfId="0" applyNumberFormat="1" applyFont="1" applyFill="1"/>
    <xf numFmtId="3" fontId="0" fillId="0" borderId="0" xfId="0" applyNumberFormat="1" applyFont="1"/>
    <xf numFmtId="3" fontId="0" fillId="0" borderId="0" xfId="0" applyNumberFormat="1" applyFont="1" applyFill="1"/>
    <xf numFmtId="2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165" fontId="5" fillId="0" borderId="0" xfId="0" applyNumberFormat="1" applyFont="1" applyFill="1"/>
    <xf numFmtId="0" fontId="0" fillId="0" borderId="3" xfId="0" applyFill="1" applyBorder="1"/>
    <xf numFmtId="167" fontId="0" fillId="0" borderId="0" xfId="1" applyNumberFormat="1" applyFont="1" applyFill="1" applyAlignment="1">
      <alignment horizontal="left" indent="3"/>
    </xf>
    <xf numFmtId="168" fontId="0" fillId="0" borderId="0" xfId="0" applyNumberFormat="1" applyFill="1"/>
    <xf numFmtId="0" fontId="0" fillId="0" borderId="0" xfId="0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5" fontId="6" fillId="0" borderId="0" xfId="0" applyNumberFormat="1" applyFont="1" applyFill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cobertura potencial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(Anual!$B$40,Anual!$D$40,Anual!$F$40)</c:f>
              <c:numCache>
                <c:formatCode>#\ ##0.0____</c:formatCode>
                <c:ptCount val="3"/>
                <c:pt idx="0">
                  <c:v>101.23499172564345</c:v>
                </c:pt>
                <c:pt idx="1">
                  <c:v>103.38952648133979</c:v>
                </c:pt>
                <c:pt idx="2">
                  <c:v>66.680301047120423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F-4D9D-908D-1B7850383094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(Anual!$B$41,Anual!$D$41,Anual!$F$41)</c:f>
              <c:numCache>
                <c:formatCode>#\ ##0.0____</c:formatCode>
                <c:ptCount val="3"/>
                <c:pt idx="0">
                  <c:v>81.469602542804182</c:v>
                </c:pt>
                <c:pt idx="1">
                  <c:v>82.526311315140703</c:v>
                </c:pt>
                <c:pt idx="2">
                  <c:v>64.521978621291439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F-4D9D-908D-1B78503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3987968"/>
        <c:axId val="53875072"/>
      </c:bar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875072"/>
        <c:crosses val="autoZero"/>
        <c:auto val="1"/>
        <c:lblAlgn val="ctr"/>
        <c:lblOffset val="100"/>
        <c:noMultiLvlLbl val="0"/>
      </c:catAx>
      <c:valAx>
        <c:axId val="538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8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resultado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(Anual!$B$44:$C$44,Anual!$F$44:$H$44)</c:f>
              <c:numCache>
                <c:formatCode>#\ ##0.0____</c:formatCode>
                <c:ptCount val="5"/>
                <c:pt idx="0">
                  <c:v>108.50936346167073</c:v>
                </c:pt>
                <c:pt idx="1">
                  <c:v>108.9817139201642</c:v>
                </c:pt>
                <c:pt idx="2">
                  <c:v>96.763178342125698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4-4A96-9D6B-3CE9D5C43B09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(Anual!$B$45:$C$45,Anual!$F$45:$H$45)</c:f>
              <c:numCache>
                <c:formatCode>#\ ##0.0____</c:formatCode>
                <c:ptCount val="5"/>
                <c:pt idx="0">
                  <c:v>102.01681865804395</c:v>
                </c:pt>
                <c:pt idx="1">
                  <c:v>98.837581866099896</c:v>
                </c:pt>
                <c:pt idx="2">
                  <c:v>91.145069490012077</c:v>
                </c:pt>
                <c:pt idx="3">
                  <c:v>112.07289700429924</c:v>
                </c:pt>
                <c:pt idx="4">
                  <c:v>241.41171364490202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4-4A96-9D6B-3CE9D5C43B09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(Anual!$B$46:$C$46,Anual!$F$46:$H$46)</c:f>
              <c:numCache>
                <c:formatCode>#\ ##0.0____</c:formatCode>
                <c:ptCount val="5"/>
                <c:pt idx="0">
                  <c:v>105.26309105985735</c:v>
                </c:pt>
                <c:pt idx="1">
                  <c:v>103.90964789313205</c:v>
                </c:pt>
                <c:pt idx="2">
                  <c:v>93.95412391606888</c:v>
                </c:pt>
                <c:pt idx="3">
                  <c:v>112.07289700429924</c:v>
                </c:pt>
                <c:pt idx="4">
                  <c:v>241.41171364490202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4-4A96-9D6B-3CE9D5C43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3914240"/>
        <c:axId val="53932416"/>
      </c:barChart>
      <c:catAx>
        <c:axId val="5391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32416"/>
        <c:crosses val="autoZero"/>
        <c:auto val="1"/>
        <c:lblAlgn val="ctr"/>
        <c:lblOffset val="100"/>
        <c:noMultiLvlLbl val="0"/>
      </c:catAx>
      <c:valAx>
        <c:axId val="539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1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avance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(Anual!$B$49:$C$49,Anual!$F$49:$H$49)</c:f>
              <c:numCache>
                <c:formatCode>#\ ##0.0____</c:formatCode>
                <c:ptCount val="5"/>
                <c:pt idx="0">
                  <c:v>108.50936346167073</c:v>
                </c:pt>
                <c:pt idx="1">
                  <c:v>108.9817139201642</c:v>
                </c:pt>
                <c:pt idx="2">
                  <c:v>96.763178342125698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1-4319-AE32-F5EE4F6E5E5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(Anual!$B$50:$C$50,Anual!$F$50:$H$50)</c:f>
              <c:numCache>
                <c:formatCode>#\ ##0.0____</c:formatCode>
                <c:ptCount val="5"/>
                <c:pt idx="0">
                  <c:v>102.01681865804395</c:v>
                </c:pt>
                <c:pt idx="1">
                  <c:v>98.837581866099896</c:v>
                </c:pt>
                <c:pt idx="2">
                  <c:v>91.145069490012077</c:v>
                </c:pt>
                <c:pt idx="3">
                  <c:v>112.07289700429924</c:v>
                </c:pt>
                <c:pt idx="4">
                  <c:v>241.41171364490205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1-4319-AE32-F5EE4F6E5E5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(Anual!$B$51:$C$51,Anual!$F$51:$H$51)</c:f>
              <c:numCache>
                <c:formatCode>#\ ##0.0____</c:formatCode>
                <c:ptCount val="5"/>
                <c:pt idx="0">
                  <c:v>105.26309105985735</c:v>
                </c:pt>
                <c:pt idx="1">
                  <c:v>103.90964789313205</c:v>
                </c:pt>
                <c:pt idx="2">
                  <c:v>93.95412391606888</c:v>
                </c:pt>
                <c:pt idx="3">
                  <c:v>112.07289700429924</c:v>
                </c:pt>
                <c:pt idx="4">
                  <c:v>241.41171364490205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1-4319-AE32-F5EE4F6E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5278208"/>
        <c:axId val="55296384"/>
      </c:barChart>
      <c:catAx>
        <c:axId val="5527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96384"/>
        <c:crosses val="autoZero"/>
        <c:auto val="1"/>
        <c:lblAlgn val="ctr"/>
        <c:lblOffset val="100"/>
        <c:noMultiLvlLbl val="0"/>
      </c:catAx>
      <c:valAx>
        <c:axId val="5529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7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transferencia efectiva del gasto (ITG)</a:t>
            </a:r>
            <a:r>
              <a:rPr lang="en-US" baseline="0"/>
              <a:t> 2017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#\ ##0.0____</c:formatCode>
                <c:ptCount val="1"/>
                <c:pt idx="0">
                  <c:v>95.7131731859306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2D0-A671-9A15E62B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333248"/>
        <c:axId val="55334784"/>
      </c:barChart>
      <c:catAx>
        <c:axId val="553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34784"/>
        <c:crosses val="autoZero"/>
        <c:auto val="1"/>
        <c:lblAlgn val="ctr"/>
        <c:lblOffset val="100"/>
        <c:noMultiLvlLbl val="0"/>
      </c:catAx>
      <c:valAx>
        <c:axId val="5533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3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expansión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Anual!$B$57:$H$57</c:f>
              <c:numCache>
                <c:formatCode>#\ ##0.0____</c:formatCode>
                <c:ptCount val="7"/>
                <c:pt idx="0">
                  <c:v>3.8591380927881724</c:v>
                </c:pt>
                <c:pt idx="1">
                  <c:v>3.842896372874316</c:v>
                </c:pt>
                <c:pt idx="2">
                  <c:v>4.3739436347137062</c:v>
                </c:pt>
                <c:pt idx="3">
                  <c:v>2.4165485056847125</c:v>
                </c:pt>
                <c:pt idx="4">
                  <c:v>4.3161027223630466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B-4856-931B-E8FFA52A35FF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Anual!$B$58:$H$58</c:f>
              <c:numCache>
                <c:formatCode>#\ ##0.0____</c:formatCode>
                <c:ptCount val="7"/>
                <c:pt idx="0">
                  <c:v>-2.4836641748891775</c:v>
                </c:pt>
                <c:pt idx="1">
                  <c:v>-3.8170345397635086</c:v>
                </c:pt>
                <c:pt idx="2">
                  <c:v>-3.3378361270330004</c:v>
                </c:pt>
                <c:pt idx="3">
                  <c:v>-5.1048946860754345</c:v>
                </c:pt>
                <c:pt idx="4">
                  <c:v>4.6839959017968891</c:v>
                </c:pt>
                <c:pt idx="5">
                  <c:v>1.6800715683372047</c:v>
                </c:pt>
                <c:pt idx="6">
                  <c:v>-4.3711596940267494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856-931B-E8FFA52A35FF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Anual!$B$59:$H$59</c:f>
              <c:numCache>
                <c:formatCode>#\ ##0.0____</c:formatCode>
                <c:ptCount val="7"/>
                <c:pt idx="0">
                  <c:v>-6.1071200706582562</c:v>
                </c:pt>
                <c:pt idx="1">
                  <c:v>-7.3764611544856145</c:v>
                </c:pt>
                <c:pt idx="2">
                  <c:v>-7.3886062873472325</c:v>
                </c:pt>
                <c:pt idx="3">
                  <c:v>-7.3439725332500094</c:v>
                </c:pt>
                <c:pt idx="4">
                  <c:v>0.35267151459155155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B-4856-931B-E8FFA52A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6446976"/>
        <c:axId val="56448512"/>
      </c:barChart>
      <c:catAx>
        <c:axId val="5644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48512"/>
        <c:crosses val="autoZero"/>
        <c:auto val="1"/>
        <c:lblAlgn val="ctr"/>
        <c:lblOffset val="100"/>
        <c:noMultiLvlLbl val="0"/>
      </c:catAx>
      <c:valAx>
        <c:axId val="564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gasto medio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1271504.6222285596</c:v>
                </c:pt>
                <c:pt idx="1">
                  <c:v>1019425.4505202312</c:v>
                </c:pt>
                <c:pt idx="4">
                  <c:v>3454353.7827015086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A-4B27-8DB5-23B200490592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1195425.4668038436</c:v>
                </c:pt>
                <c:pt idx="1">
                  <c:v>924536.26207411464</c:v>
                </c:pt>
                <c:pt idx="2">
                  <c:v>924565.76403230708</c:v>
                </c:pt>
                <c:pt idx="3">
                  <c:v>924455.50788070855</c:v>
                </c:pt>
                <c:pt idx="4">
                  <c:v>3253792.6198973018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A-4B27-8DB5-23B200490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6478336"/>
        <c:axId val="57549184"/>
      </c:barChart>
      <c:catAx>
        <c:axId val="56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49184"/>
        <c:crosses val="autoZero"/>
        <c:auto val="1"/>
        <c:lblAlgn val="ctr"/>
        <c:lblOffset val="100"/>
        <c:noMultiLvlLbl val="0"/>
      </c:catAx>
      <c:valAx>
        <c:axId val="5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de eficiencia (IE) 2017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(Anual!$B$64:$C$64,Anual!$F$64)</c:f>
              <c:numCache>
                <c:formatCode>#\ ##0.0</c:formatCode>
                <c:ptCount val="3"/>
                <c:pt idx="0">
                  <c:v>98.964783585997949</c:v>
                </c:pt>
                <c:pt idx="1">
                  <c:v>94.237629056179003</c:v>
                </c:pt>
                <c:pt idx="2">
                  <c:v>88.499109887910905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D-4632-8D7A-06D02F0B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82720"/>
        <c:axId val="57584256"/>
      </c:barChart>
      <c:catAx>
        <c:axId val="575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84256"/>
        <c:crosses val="autoZero"/>
        <c:auto val="1"/>
        <c:lblAlgn val="ctr"/>
        <c:lblOffset val="100"/>
        <c:noMultiLvlLbl val="0"/>
      </c:catAx>
      <c:valAx>
        <c:axId val="5758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8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giro de recursos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9865-4593-A5F9-599DE2446203}"/>
              </c:ext>
            </c:extLst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#\ ##0.0____</c:formatCode>
                <c:ptCount val="2"/>
                <c:pt idx="0">
                  <c:v>98.657452371399529</c:v>
                </c:pt>
                <c:pt idx="1">
                  <c:v>103.40508112250657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5-4593-A5F9-599DE2446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637504"/>
        <c:axId val="57651584"/>
      </c:barChart>
      <c:catAx>
        <c:axId val="5763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51584"/>
        <c:crosses val="autoZero"/>
        <c:auto val="1"/>
        <c:lblAlgn val="ctr"/>
        <c:lblOffset val="100"/>
        <c:noMultiLvlLbl val="0"/>
      </c:catAx>
      <c:valAx>
        <c:axId val="5765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3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</xdr:colOff>
      <xdr:row>16</xdr:row>
      <xdr:rowOff>189440</xdr:rowOff>
    </xdr:from>
    <xdr:to>
      <xdr:col>15</xdr:col>
      <xdr:colOff>21166</xdr:colOff>
      <xdr:row>31</xdr:row>
      <xdr:rowOff>75140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761999</xdr:colOff>
      <xdr:row>32</xdr:row>
      <xdr:rowOff>189441</xdr:rowOff>
    </xdr:from>
    <xdr:to>
      <xdr:col>14</xdr:col>
      <xdr:colOff>761999</xdr:colOff>
      <xdr:row>47</xdr:row>
      <xdr:rowOff>75141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48</xdr:row>
      <xdr:rowOff>20108</xdr:rowOff>
    </xdr:from>
    <xdr:to>
      <xdr:col>15</xdr:col>
      <xdr:colOff>0</xdr:colOff>
      <xdr:row>62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10583</xdr:colOff>
      <xdr:row>63</xdr:row>
      <xdr:rowOff>189440</xdr:rowOff>
    </xdr:from>
    <xdr:to>
      <xdr:col>15</xdr:col>
      <xdr:colOff>10583</xdr:colOff>
      <xdr:row>78</xdr:row>
      <xdr:rowOff>53973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3672416</xdr:colOff>
      <xdr:row>84</xdr:row>
      <xdr:rowOff>9524</xdr:rowOff>
    </xdr:from>
    <xdr:to>
      <xdr:col>5</xdr:col>
      <xdr:colOff>201083</xdr:colOff>
      <xdr:row>98</xdr:row>
      <xdr:rowOff>85724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814916</xdr:colOff>
      <xdr:row>83</xdr:row>
      <xdr:rowOff>189440</xdr:rowOff>
    </xdr:from>
    <xdr:to>
      <xdr:col>10</xdr:col>
      <xdr:colOff>603249</xdr:colOff>
      <xdr:row>98</xdr:row>
      <xdr:rowOff>75140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84666</xdr:colOff>
      <xdr:row>83</xdr:row>
      <xdr:rowOff>157690</xdr:rowOff>
    </xdr:from>
    <xdr:to>
      <xdr:col>17</xdr:col>
      <xdr:colOff>84666</xdr:colOff>
      <xdr:row>98</xdr:row>
      <xdr:rowOff>43390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10583</xdr:colOff>
      <xdr:row>101</xdr:row>
      <xdr:rowOff>20108</xdr:rowOff>
    </xdr:from>
    <xdr:to>
      <xdr:col>5</xdr:col>
      <xdr:colOff>211667</xdr:colOff>
      <xdr:row>115</xdr:row>
      <xdr:rowOff>96308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Régimen No Contributivo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gasto efectivo promedio para las Pensiones Ordinarias puede ser más bajo que el programado, debido a que se están reportando todos los beneficiarios (Fodesaf más otras fuentes) pero sólo el gasto Fodesaf. No se puede distinguir entre beneficiarios de acuerdo a la fuente de financiamiento.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último trimestre incluye el pago de aguinaldo.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su mayoría; sin embargo, puede haber entradas y salidas de algunos beneficiarios.</a:t>
          </a:r>
          <a:r>
            <a:rPr lang="es-CR"/>
            <a:t> </a:t>
          </a: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zoomScale="70" zoomScaleNormal="70" workbookViewId="0">
      <selection activeCell="G18" sqref="G18"/>
    </sheetView>
  </sheetViews>
  <sheetFormatPr baseColWidth="10" defaultColWidth="11.42578125" defaultRowHeight="15" x14ac:dyDescent="0.25"/>
  <cols>
    <col min="1" max="1" width="55" style="1" customWidth="1"/>
    <col min="2" max="3" width="20.5703125" style="1" customWidth="1"/>
    <col min="4" max="4" width="19.5703125" style="1" customWidth="1"/>
    <col min="5" max="5" width="17" style="1" customWidth="1"/>
    <col min="6" max="6" width="20.28515625" style="1" customWidth="1"/>
    <col min="7" max="7" width="16.140625" style="1" customWidth="1"/>
    <col min="8" max="8" width="17.5703125" style="1" bestFit="1" customWidth="1"/>
    <col min="9" max="9" width="17.85546875" style="1" bestFit="1" customWidth="1"/>
    <col min="10" max="16384" width="11.42578125" style="1"/>
  </cols>
  <sheetData>
    <row r="1" spans="1:13" x14ac:dyDescent="0.25">
      <c r="F1" s="16"/>
      <c r="G1" s="12"/>
      <c r="H1" s="12"/>
      <c r="I1" s="9"/>
      <c r="J1" s="12"/>
      <c r="K1" s="12"/>
      <c r="L1" s="12"/>
      <c r="M1" s="12"/>
    </row>
    <row r="2" spans="1:13" ht="15.75" x14ac:dyDescent="0.25">
      <c r="A2" s="44" t="s">
        <v>86</v>
      </c>
      <c r="B2" s="44"/>
      <c r="C2" s="44"/>
      <c r="D2" s="44"/>
      <c r="E2" s="44"/>
      <c r="F2" s="44"/>
      <c r="G2" s="44"/>
      <c r="H2" s="44"/>
    </row>
    <row r="3" spans="1:13" x14ac:dyDescent="0.25">
      <c r="I3" s="28"/>
    </row>
    <row r="4" spans="1:13" x14ac:dyDescent="0.25">
      <c r="A4" s="42" t="s">
        <v>0</v>
      </c>
      <c r="B4" s="17"/>
      <c r="C4" s="17"/>
      <c r="D4" s="22"/>
      <c r="E4" s="23" t="s">
        <v>1</v>
      </c>
      <c r="F4" s="15"/>
      <c r="G4" s="42" t="s">
        <v>2</v>
      </c>
      <c r="H4" s="42" t="s">
        <v>3</v>
      </c>
      <c r="I4" s="28"/>
      <c r="J4" s="28"/>
    </row>
    <row r="5" spans="1:13" ht="15.75" thickBot="1" x14ac:dyDescent="0.3">
      <c r="A5" s="43"/>
      <c r="B5" s="18" t="s">
        <v>38</v>
      </c>
      <c r="C5" s="45" t="s">
        <v>39</v>
      </c>
      <c r="D5" s="45"/>
      <c r="E5" s="45"/>
      <c r="F5" s="2" t="s">
        <v>57</v>
      </c>
      <c r="G5" s="43"/>
      <c r="H5" s="43"/>
    </row>
    <row r="6" spans="1:13" ht="15.75" thickTop="1" x14ac:dyDescent="0.25">
      <c r="C6" s="24" t="s">
        <v>58</v>
      </c>
      <c r="D6" s="14" t="s">
        <v>51</v>
      </c>
      <c r="E6" s="14" t="s">
        <v>52</v>
      </c>
    </row>
    <row r="7" spans="1:13" x14ac:dyDescent="0.25">
      <c r="A7" s="3" t="s">
        <v>4</v>
      </c>
    </row>
    <row r="9" spans="1:13" x14ac:dyDescent="0.25">
      <c r="A9" s="1" t="s">
        <v>46</v>
      </c>
    </row>
    <row r="10" spans="1:13" x14ac:dyDescent="0.25">
      <c r="A10" s="4" t="s">
        <v>59</v>
      </c>
      <c r="B10" s="10">
        <f>+C10+F10</f>
        <v>108658.33333333334</v>
      </c>
      <c r="C10" s="10">
        <f>SUM(D10:E10)</f>
        <v>104954.33333333334</v>
      </c>
      <c r="D10" s="10">
        <v>76284.666666666672</v>
      </c>
      <c r="E10" s="5">
        <v>28669.666666666668</v>
      </c>
      <c r="F10" s="5">
        <v>3704</v>
      </c>
      <c r="G10" s="5"/>
    </row>
    <row r="11" spans="1:13" x14ac:dyDescent="0.25">
      <c r="A11" s="4" t="s">
        <v>87</v>
      </c>
      <c r="B11" s="10">
        <f t="shared" ref="B11:B13" si="0">+C11+F11</f>
        <v>104167</v>
      </c>
      <c r="C11" s="10">
        <v>100195</v>
      </c>
      <c r="D11" s="10"/>
      <c r="E11" s="10"/>
      <c r="F11" s="10">
        <v>3972</v>
      </c>
      <c r="G11" s="5"/>
    </row>
    <row r="12" spans="1:13" x14ac:dyDescent="0.25">
      <c r="A12" s="4" t="s">
        <v>88</v>
      </c>
      <c r="B12" s="10">
        <f t="shared" si="0"/>
        <v>112578.00000000001</v>
      </c>
      <c r="C12" s="10">
        <f t="shared" ref="C12" si="1">SUM(D12:E12)</f>
        <v>108698.33333333334</v>
      </c>
      <c r="D12" s="10">
        <v>79482.666666666672</v>
      </c>
      <c r="E12" s="5">
        <v>29215.666666666668</v>
      </c>
      <c r="F12" s="5">
        <v>3879.6666666666665</v>
      </c>
      <c r="G12" s="5"/>
    </row>
    <row r="13" spans="1:13" x14ac:dyDescent="0.25">
      <c r="A13" s="4" t="s">
        <v>89</v>
      </c>
      <c r="B13" s="10">
        <f t="shared" si="0"/>
        <v>105423.08333333333</v>
      </c>
      <c r="C13" s="10">
        <v>101347.58333333333</v>
      </c>
      <c r="D13" s="10"/>
      <c r="E13" s="10"/>
      <c r="F13" s="10">
        <v>4075.5</v>
      </c>
      <c r="G13" s="5"/>
    </row>
    <row r="14" spans="1:13" x14ac:dyDescent="0.25">
      <c r="C14" s="10"/>
    </row>
    <row r="15" spans="1:13" x14ac:dyDescent="0.25">
      <c r="A15" s="34" t="s">
        <v>5</v>
      </c>
      <c r="B15" s="12"/>
      <c r="C15" s="10"/>
      <c r="D15" s="12"/>
      <c r="E15" s="12"/>
      <c r="F15" s="12"/>
      <c r="G15" s="12"/>
      <c r="H15" s="12"/>
    </row>
    <row r="16" spans="1:13" x14ac:dyDescent="0.25">
      <c r="A16" s="33" t="s">
        <v>59</v>
      </c>
      <c r="B16" s="10">
        <f>+C16+F16+G16+H16</f>
        <v>31563110143.619999</v>
      </c>
      <c r="C16" s="10">
        <f t="shared" ref="C16:C20" si="2">SUM(D16:E16)</f>
        <v>23944245938.989998</v>
      </c>
      <c r="D16" s="10">
        <v>17403999005.932964</v>
      </c>
      <c r="E16" s="10">
        <v>6540246933.0570335</v>
      </c>
      <c r="F16" s="10">
        <v>2905927353.1999998</v>
      </c>
      <c r="G16" s="10">
        <v>3462011851.4299998</v>
      </c>
      <c r="H16" s="10">
        <v>1250925000</v>
      </c>
    </row>
    <row r="17" spans="1:8" x14ac:dyDescent="0.25">
      <c r="A17" s="33" t="s">
        <v>87</v>
      </c>
      <c r="B17" s="10">
        <f t="shared" ref="B17:B18" si="3">+C17+F17+G17+H17</f>
        <v>30755609748.709988</v>
      </c>
      <c r="C17" s="10">
        <v>23445630000</v>
      </c>
      <c r="D17" s="10"/>
      <c r="E17" s="10"/>
      <c r="F17" s="10">
        <v>3147126471.7599983</v>
      </c>
      <c r="G17" s="10">
        <v>3555777307.8999901</v>
      </c>
      <c r="H17" s="10">
        <v>607075969.04999995</v>
      </c>
    </row>
    <row r="18" spans="1:8" x14ac:dyDescent="0.25">
      <c r="A18" s="33" t="s">
        <v>88</v>
      </c>
      <c r="B18" s="10">
        <f t="shared" si="3"/>
        <v>32750709601.799999</v>
      </c>
      <c r="C18" s="10">
        <f t="shared" si="2"/>
        <v>24622879753.610001</v>
      </c>
      <c r="D18" s="10">
        <v>18004865032.948242</v>
      </c>
      <c r="E18" s="10">
        <v>6618014720.6617603</v>
      </c>
      <c r="F18" s="10">
        <v>3130106895.1999998</v>
      </c>
      <c r="G18" s="10">
        <v>3518222952.9799995</v>
      </c>
      <c r="H18" s="10">
        <v>1479500000.01</v>
      </c>
    </row>
    <row r="19" spans="1:8" x14ac:dyDescent="0.25">
      <c r="A19" s="33" t="s">
        <v>89</v>
      </c>
      <c r="B19" s="10">
        <f>+C19+F19+G19+H19</f>
        <v>134045937747.91995</v>
      </c>
      <c r="C19" s="10">
        <v>103316305798.72</v>
      </c>
      <c r="D19" s="10"/>
      <c r="E19" s="10"/>
      <c r="F19" s="10">
        <v>14078218841.399998</v>
      </c>
      <c r="G19" s="10">
        <v>14223109231.599958</v>
      </c>
      <c r="H19" s="10">
        <v>2428303876.1999993</v>
      </c>
    </row>
    <row r="20" spans="1:8" x14ac:dyDescent="0.25">
      <c r="A20" s="33" t="s">
        <v>90</v>
      </c>
      <c r="B20" s="29">
        <f>C20+F20+G20</f>
        <v>31271209601.790001</v>
      </c>
      <c r="C20" s="10">
        <f t="shared" si="2"/>
        <v>24622879753.610001</v>
      </c>
      <c r="D20" s="10">
        <f>D18</f>
        <v>18004865032.948242</v>
      </c>
      <c r="E20" s="10">
        <f t="shared" ref="E20:G20" si="4">E18</f>
        <v>6618014720.6617603</v>
      </c>
      <c r="F20" s="10">
        <f t="shared" si="4"/>
        <v>3130106895.1999998</v>
      </c>
      <c r="G20" s="29">
        <f t="shared" si="4"/>
        <v>3518222952.9799995</v>
      </c>
      <c r="H20" s="10"/>
    </row>
    <row r="21" spans="1:8" x14ac:dyDescent="0.25">
      <c r="A21" s="12"/>
      <c r="B21" s="10"/>
      <c r="C21" s="10"/>
      <c r="D21" s="10"/>
      <c r="E21" s="10"/>
      <c r="F21" s="10"/>
      <c r="G21" s="10"/>
      <c r="H21" s="12"/>
    </row>
    <row r="22" spans="1:8" x14ac:dyDescent="0.25">
      <c r="A22" s="34" t="s">
        <v>6</v>
      </c>
      <c r="B22" s="10"/>
      <c r="C22" s="10"/>
      <c r="D22" s="10"/>
      <c r="E22" s="10"/>
      <c r="F22" s="10"/>
      <c r="G22" s="10"/>
      <c r="H22" s="10"/>
    </row>
    <row r="23" spans="1:8" x14ac:dyDescent="0.25">
      <c r="A23" s="33" t="s">
        <v>87</v>
      </c>
      <c r="B23" s="10">
        <f>+B17</f>
        <v>30755609748.709988</v>
      </c>
      <c r="C23" s="10"/>
      <c r="D23" s="10"/>
      <c r="E23" s="10"/>
      <c r="F23" s="10"/>
      <c r="G23" s="10"/>
      <c r="H23" s="10"/>
    </row>
    <row r="24" spans="1:8" x14ac:dyDescent="0.25">
      <c r="A24" s="33" t="s">
        <v>88</v>
      </c>
      <c r="B24" s="10">
        <v>31091943279.75</v>
      </c>
      <c r="C24" s="10"/>
      <c r="D24" s="10"/>
      <c r="E24" s="10"/>
      <c r="F24" s="10"/>
      <c r="G24" s="10"/>
      <c r="H24" s="10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 t="s">
        <v>7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33" t="s">
        <v>60</v>
      </c>
      <c r="B27" s="32">
        <v>0.99</v>
      </c>
      <c r="C27" s="32">
        <v>0.99</v>
      </c>
      <c r="D27" s="32">
        <v>0.99</v>
      </c>
      <c r="E27" s="32">
        <v>0.99</v>
      </c>
      <c r="F27" s="32">
        <v>0.99</v>
      </c>
      <c r="G27" s="32">
        <v>0.99</v>
      </c>
      <c r="H27" s="32">
        <v>0.99</v>
      </c>
    </row>
    <row r="28" spans="1:8" x14ac:dyDescent="0.25">
      <c r="A28" s="33" t="s">
        <v>91</v>
      </c>
      <c r="B28" s="32">
        <v>1</v>
      </c>
      <c r="C28" s="32">
        <v>1</v>
      </c>
      <c r="D28" s="32">
        <v>1</v>
      </c>
      <c r="E28" s="32">
        <v>1</v>
      </c>
      <c r="F28" s="32">
        <v>1</v>
      </c>
      <c r="G28" s="32">
        <v>1</v>
      </c>
      <c r="H28" s="32">
        <v>1</v>
      </c>
    </row>
    <row r="29" spans="1:8" x14ac:dyDescent="0.25">
      <c r="A29" s="33" t="s">
        <v>8</v>
      </c>
      <c r="B29" s="11">
        <f>+D29+F29</f>
        <v>104137</v>
      </c>
      <c r="C29" s="25"/>
      <c r="D29" s="11">
        <v>98025</v>
      </c>
      <c r="E29" s="11" t="s">
        <v>53</v>
      </c>
      <c r="F29" s="11">
        <v>6112</v>
      </c>
      <c r="G29" s="11"/>
      <c r="H29" s="11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35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61</v>
      </c>
      <c r="B32" s="10">
        <f>B16/B27</f>
        <v>31881929438</v>
      </c>
      <c r="C32" s="10">
        <f t="shared" ref="C32:D32" si="5">C16/C27</f>
        <v>24186107009.080807</v>
      </c>
      <c r="D32" s="10">
        <f t="shared" si="5"/>
        <v>17579796975.689861</v>
      </c>
      <c r="E32" s="10">
        <f t="shared" ref="E32:H32" si="6">E16/E27</f>
        <v>6606310033.3909426</v>
      </c>
      <c r="F32" s="10">
        <f t="shared" si="6"/>
        <v>2935280154.7474747</v>
      </c>
      <c r="G32" s="10">
        <f t="shared" si="6"/>
        <v>3496981668.1111112</v>
      </c>
      <c r="H32" s="10">
        <f t="shared" si="6"/>
        <v>1263560606.060606</v>
      </c>
    </row>
    <row r="33" spans="1:8" x14ac:dyDescent="0.25">
      <c r="A33" s="12" t="s">
        <v>92</v>
      </c>
      <c r="B33" s="10">
        <f>B18/B28</f>
        <v>32750709601.799999</v>
      </c>
      <c r="C33" s="10">
        <f t="shared" ref="C33:D33" si="7">C18/C28</f>
        <v>24622879753.610001</v>
      </c>
      <c r="D33" s="10">
        <f t="shared" si="7"/>
        <v>18004865032.948242</v>
      </c>
      <c r="E33" s="10">
        <f t="shared" ref="E33:H33" si="8">E18/E28</f>
        <v>6618014720.6617603</v>
      </c>
      <c r="F33" s="10">
        <f t="shared" si="8"/>
        <v>3130106895.1999998</v>
      </c>
      <c r="G33" s="10">
        <f t="shared" si="8"/>
        <v>3518222952.9799995</v>
      </c>
      <c r="H33" s="10">
        <f t="shared" si="8"/>
        <v>1479500000.01</v>
      </c>
    </row>
    <row r="34" spans="1:8" x14ac:dyDescent="0.25">
      <c r="A34" s="12" t="s">
        <v>62</v>
      </c>
      <c r="B34" s="10">
        <f>B32/B10</f>
        <v>293414.48980443284</v>
      </c>
      <c r="C34" s="10">
        <f t="shared" ref="C34:D34" si="9">C32/C10</f>
        <v>230444.10117175538</v>
      </c>
      <c r="D34" s="10">
        <f t="shared" si="9"/>
        <v>230449.94156566885</v>
      </c>
      <c r="E34" s="10">
        <f t="shared" ref="E34:F34" si="10">E32/E10</f>
        <v>230428.56096655963</v>
      </c>
      <c r="F34" s="10">
        <f t="shared" si="10"/>
        <v>792462.244802234</v>
      </c>
      <c r="G34" s="10"/>
      <c r="H34" s="10"/>
    </row>
    <row r="35" spans="1:8" x14ac:dyDescent="0.25">
      <c r="A35" s="12" t="s">
        <v>93</v>
      </c>
      <c r="B35" s="10">
        <f>B33/B12</f>
        <v>290915.71711879759</v>
      </c>
      <c r="C35" s="10">
        <f t="shared" ref="C35:D35" si="11">C33/C12</f>
        <v>226524.90611886105</v>
      </c>
      <c r="D35" s="10">
        <f t="shared" si="11"/>
        <v>226525.67896918708</v>
      </c>
      <c r="E35" s="10">
        <f t="shared" ref="E35:F35" si="12">E33/E12</f>
        <v>226522.80354131095</v>
      </c>
      <c r="F35" s="10">
        <f t="shared" si="12"/>
        <v>806797.89377094246</v>
      </c>
      <c r="G35" s="10"/>
      <c r="H35" s="10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35" t="s">
        <v>10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11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12</v>
      </c>
      <c r="B40" s="7">
        <f>(B11/B29)*100</f>
        <v>100.02880820457666</v>
      </c>
      <c r="C40" s="7"/>
      <c r="D40" s="7">
        <f>(C11)/D29*100</f>
        <v>102.21372098954349</v>
      </c>
      <c r="E40" s="7"/>
      <c r="F40" s="7">
        <f>(F11)/F29*100</f>
        <v>64.986910994764401</v>
      </c>
      <c r="G40" s="7"/>
      <c r="H40" s="12"/>
    </row>
    <row r="41" spans="1:8" x14ac:dyDescent="0.25">
      <c r="A41" s="12" t="s">
        <v>13</v>
      </c>
      <c r="B41" s="39">
        <f>((D12+F12)/B29)*100</f>
        <v>80.050638421822541</v>
      </c>
      <c r="C41" s="36"/>
      <c r="D41" s="7">
        <f>(D12)/D29*100</f>
        <v>81.084077191192733</v>
      </c>
      <c r="E41" s="7"/>
      <c r="F41" s="7">
        <f t="shared" ref="F41" si="13">(F12)/F29*100</f>
        <v>63.476221640488653</v>
      </c>
      <c r="G41" s="7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14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15</v>
      </c>
      <c r="B44" s="7">
        <f>B12/B11*100</f>
        <v>108.07453416149069</v>
      </c>
      <c r="C44" s="7">
        <f>C12/C11*100</f>
        <v>108.4867841043299</v>
      </c>
      <c r="D44" s="7"/>
      <c r="E44" s="7"/>
      <c r="F44" s="7">
        <f>F12/F11*100</f>
        <v>97.675394427660294</v>
      </c>
      <c r="G44" s="7"/>
      <c r="H44" s="7"/>
    </row>
    <row r="45" spans="1:8" x14ac:dyDescent="0.25">
      <c r="A45" s="12" t="s">
        <v>16</v>
      </c>
      <c r="B45" s="7">
        <f>B18/B17*100</f>
        <v>106.48694618442313</v>
      </c>
      <c r="C45" s="7">
        <f>C18/C17*100</f>
        <v>105.02119053149777</v>
      </c>
      <c r="D45" s="7"/>
      <c r="E45" s="7"/>
      <c r="F45" s="7">
        <f>F18/F17*100</f>
        <v>99.459202650013594</v>
      </c>
      <c r="G45" s="7">
        <f>G18/G17*100</f>
        <v>98.94384963769933</v>
      </c>
      <c r="H45" s="7">
        <f>H18/H17*100</f>
        <v>243.70920205015489</v>
      </c>
    </row>
    <row r="46" spans="1:8" x14ac:dyDescent="0.25">
      <c r="A46" s="12" t="s">
        <v>17</v>
      </c>
      <c r="B46" s="7">
        <f>AVERAGE(B44:B45)</f>
        <v>107.28074017295691</v>
      </c>
      <c r="C46" s="7">
        <f>AVERAGE(C44:C45)</f>
        <v>106.75398731791384</v>
      </c>
      <c r="D46" s="7"/>
      <c r="E46" s="7"/>
      <c r="F46" s="7">
        <f t="shared" ref="F46:H46" si="14">AVERAGE(F44:F45)</f>
        <v>98.567298538836951</v>
      </c>
      <c r="G46" s="7">
        <f>AVERAGE(G44:G45)</f>
        <v>98.94384963769933</v>
      </c>
      <c r="H46" s="7">
        <f t="shared" si="14"/>
        <v>243.70920205015489</v>
      </c>
    </row>
    <row r="47" spans="1:8" x14ac:dyDescent="0.25">
      <c r="A47" s="12"/>
      <c r="B47" s="7"/>
      <c r="C47" s="7"/>
      <c r="D47" s="7"/>
      <c r="E47" s="7"/>
      <c r="F47" s="7"/>
      <c r="G47" s="7"/>
      <c r="H47" s="7"/>
    </row>
    <row r="48" spans="1:8" x14ac:dyDescent="0.25">
      <c r="A48" s="12" t="s">
        <v>18</v>
      </c>
      <c r="B48" s="12"/>
      <c r="C48" s="12"/>
      <c r="D48" s="12"/>
      <c r="E48" s="12"/>
      <c r="F48" s="12"/>
      <c r="G48" s="12"/>
      <c r="H48" s="12"/>
    </row>
    <row r="49" spans="1:9" x14ac:dyDescent="0.25">
      <c r="A49" s="12" t="s">
        <v>19</v>
      </c>
      <c r="B49" s="7">
        <f>B12/(B13)*100</f>
        <v>106.78685961407885</v>
      </c>
      <c r="C49" s="7">
        <f t="shared" ref="C49:F49" si="15">C12/(C13)*100</f>
        <v>107.25300965078104</v>
      </c>
      <c r="D49" s="7"/>
      <c r="E49" s="7"/>
      <c r="F49" s="7">
        <f t="shared" si="15"/>
        <v>95.194863615916248</v>
      </c>
      <c r="G49" s="7"/>
      <c r="H49" s="7"/>
      <c r="I49" s="28"/>
    </row>
    <row r="50" spans="1:9" x14ac:dyDescent="0.25">
      <c r="A50" s="12" t="s">
        <v>20</v>
      </c>
      <c r="B50" s="7">
        <f>B18/B19*100</f>
        <v>24.432452151880451</v>
      </c>
      <c r="C50" s="7">
        <f>C18/C19*100</f>
        <v>23.832520494470735</v>
      </c>
      <c r="D50" s="7"/>
      <c r="E50" s="7"/>
      <c r="F50" s="7">
        <f>F18/F19*100</f>
        <v>22.233685457390777</v>
      </c>
      <c r="G50" s="7">
        <f>G18/G19*100</f>
        <v>24.73596240942484</v>
      </c>
      <c r="H50" s="7">
        <f>H18/H19*100</f>
        <v>60.927300512538729</v>
      </c>
    </row>
    <row r="51" spans="1:9" x14ac:dyDescent="0.25">
      <c r="A51" s="12" t="s">
        <v>21</v>
      </c>
      <c r="B51" s="7">
        <f>(B49+B50)/2</f>
        <v>65.609655882979652</v>
      </c>
      <c r="C51" s="7">
        <f t="shared" ref="C51" si="16">(C49+C50)/2</f>
        <v>65.542765072625883</v>
      </c>
      <c r="D51" s="7"/>
      <c r="E51" s="7"/>
      <c r="F51" s="7">
        <f t="shared" ref="F51" si="17">(F49+F50)/2</f>
        <v>58.714274536653512</v>
      </c>
      <c r="G51" s="7">
        <f>AVERAGE(G49:G50)</f>
        <v>24.73596240942484</v>
      </c>
      <c r="H51" s="7">
        <f t="shared" ref="H51" si="18">AVERAGE(H49:H50)</f>
        <v>60.927300512538729</v>
      </c>
    </row>
    <row r="52" spans="1:9" x14ac:dyDescent="0.25">
      <c r="A52" s="12"/>
      <c r="B52" s="12"/>
      <c r="C52" s="12"/>
      <c r="D52" s="12"/>
      <c r="E52" s="12"/>
      <c r="F52" s="12"/>
      <c r="G52" s="12"/>
      <c r="H52" s="12"/>
    </row>
    <row r="53" spans="1:9" x14ac:dyDescent="0.25">
      <c r="A53" s="12" t="s">
        <v>33</v>
      </c>
      <c r="B53" s="12"/>
      <c r="C53" s="12"/>
      <c r="D53" s="12"/>
      <c r="E53" s="12"/>
      <c r="F53" s="12"/>
      <c r="G53" s="12"/>
      <c r="H53" s="12"/>
    </row>
    <row r="54" spans="1:9" x14ac:dyDescent="0.25">
      <c r="A54" s="12" t="s">
        <v>22</v>
      </c>
      <c r="B54" s="7">
        <f>(B20/B18)*100</f>
        <v>95.482540628894697</v>
      </c>
      <c r="C54" s="7"/>
      <c r="D54" s="7"/>
      <c r="E54" s="7"/>
      <c r="F54" s="7"/>
      <c r="G54" s="7"/>
      <c r="H54" s="7"/>
    </row>
    <row r="55" spans="1:9" x14ac:dyDescent="0.25">
      <c r="A55" s="12"/>
      <c r="B55" s="12"/>
      <c r="C55" s="12"/>
      <c r="D55" s="12"/>
      <c r="E55" s="12"/>
      <c r="F55" s="12"/>
      <c r="G55" s="12"/>
      <c r="H55" s="12"/>
    </row>
    <row r="56" spans="1:9" x14ac:dyDescent="0.25">
      <c r="A56" s="12" t="s">
        <v>23</v>
      </c>
      <c r="B56" s="12"/>
      <c r="C56" s="12"/>
      <c r="D56" s="12"/>
      <c r="E56" s="12"/>
      <c r="F56" s="12"/>
      <c r="G56" s="12"/>
      <c r="H56" s="12"/>
    </row>
    <row r="57" spans="1:9" x14ac:dyDescent="0.25">
      <c r="A57" s="12" t="s">
        <v>24</v>
      </c>
      <c r="B57" s="7">
        <f>((B12/B10)-1)*100</f>
        <v>3.6073318506020469</v>
      </c>
      <c r="C57" s="7">
        <f>((C12/C10)-1)*100</f>
        <v>3.5672657632049409</v>
      </c>
      <c r="D57" s="7">
        <f t="shared" ref="D57:F57" si="19">((D12/D10)-1)*100</f>
        <v>4.192192402142858</v>
      </c>
      <c r="E57" s="7">
        <f t="shared" si="19"/>
        <v>1.9044518596891047</v>
      </c>
      <c r="F57" s="7">
        <f t="shared" si="19"/>
        <v>4.7426205903527752</v>
      </c>
      <c r="G57" s="7"/>
      <c r="H57" s="7"/>
    </row>
    <row r="58" spans="1:9" x14ac:dyDescent="0.25">
      <c r="A58" s="12" t="s">
        <v>25</v>
      </c>
      <c r="B58" s="7">
        <f>((B33/B32)-1)*100</f>
        <v>2.7249924302401363</v>
      </c>
      <c r="C58" s="7">
        <f>((C33/C32)-1)*100</f>
        <v>1.8058827919896547</v>
      </c>
      <c r="D58" s="7">
        <f t="shared" ref="D58" si="20">((D33/D32)-1)*100</f>
        <v>2.4179349616277435</v>
      </c>
      <c r="E58" s="7">
        <f t="shared" ref="E58:G58" si="21">((E33/E32)-1)*100</f>
        <v>0.17717435620880906</v>
      </c>
      <c r="F58" s="7">
        <f t="shared" si="21"/>
        <v>6.6374155167920001</v>
      </c>
      <c r="G58" s="7">
        <f t="shared" si="21"/>
        <v>0.60741767858227824</v>
      </c>
      <c r="H58" s="7">
        <f>((H33/H32)-1)*100</f>
        <v>17.089753583140489</v>
      </c>
    </row>
    <row r="59" spans="1:9" x14ac:dyDescent="0.25">
      <c r="A59" s="12" t="s">
        <v>26</v>
      </c>
      <c r="B59" s="7">
        <f>((B35/B34)-1)*100</f>
        <v>-0.85161870748126089</v>
      </c>
      <c r="C59" s="7">
        <f>((C35/C34)-1)*100</f>
        <v>-1.7007139835500729</v>
      </c>
      <c r="D59" s="7">
        <f t="shared" ref="D59:F59" si="22">((D35/D34)-1)*100</f>
        <v>-1.7028698596408653</v>
      </c>
      <c r="E59" s="7">
        <f t="shared" si="22"/>
        <v>-1.6949970996935071</v>
      </c>
      <c r="F59" s="7">
        <f t="shared" si="22"/>
        <v>1.8090008783050671</v>
      </c>
      <c r="G59" s="7"/>
      <c r="H59" s="7"/>
    </row>
    <row r="60" spans="1:9" x14ac:dyDescent="0.25">
      <c r="A60" s="12"/>
      <c r="B60" s="7"/>
      <c r="C60" s="7"/>
      <c r="D60" s="7"/>
      <c r="E60" s="7"/>
      <c r="F60" s="7"/>
      <c r="G60" s="7"/>
      <c r="H60" s="7"/>
    </row>
    <row r="61" spans="1:9" x14ac:dyDescent="0.25">
      <c r="A61" s="12" t="s">
        <v>27</v>
      </c>
      <c r="B61" s="12"/>
      <c r="C61" s="12"/>
      <c r="D61" s="12"/>
      <c r="E61" s="12"/>
      <c r="F61" s="12"/>
      <c r="G61" s="12"/>
      <c r="H61" s="12"/>
    </row>
    <row r="62" spans="1:9" x14ac:dyDescent="0.25">
      <c r="A62" s="12" t="s">
        <v>34</v>
      </c>
      <c r="B62" s="10">
        <f>B17/(B11*3)</f>
        <v>98417.636259435923</v>
      </c>
      <c r="C62" s="10">
        <f>C17/(C11*3)</f>
        <v>78000</v>
      </c>
      <c r="D62" s="10"/>
      <c r="E62" s="10"/>
      <c r="F62" s="10">
        <f t="shared" ref="F62" si="23">F17/(F11*3)</f>
        <v>264109.30444444431</v>
      </c>
      <c r="G62" s="10"/>
      <c r="H62" s="10"/>
    </row>
    <row r="63" spans="1:9" x14ac:dyDescent="0.25">
      <c r="A63" s="12" t="s">
        <v>35</v>
      </c>
      <c r="B63" s="10">
        <f>B18/(B12*3)</f>
        <v>96971.905706265854</v>
      </c>
      <c r="C63" s="10">
        <f>C18/(C12*3)</f>
        <v>75508.302039620365</v>
      </c>
      <c r="D63" s="10">
        <f t="shared" ref="D63:F63" si="24">D18/(D12*3)</f>
        <v>75508.559656395708</v>
      </c>
      <c r="E63" s="10">
        <f t="shared" si="24"/>
        <v>75507.601180436977</v>
      </c>
      <c r="F63" s="10">
        <f t="shared" si="24"/>
        <v>268932.63125698082</v>
      </c>
      <c r="G63" s="10"/>
      <c r="H63" s="10"/>
    </row>
    <row r="64" spans="1:9" x14ac:dyDescent="0.25">
      <c r="A64" s="12" t="s">
        <v>28</v>
      </c>
      <c r="B64" s="7">
        <f>(B63/B62)*B46</f>
        <v>105.70481283178513</v>
      </c>
      <c r="C64" s="7">
        <f t="shared" ref="C64:F64" si="25">(C63/C62)*C46</f>
        <v>103.34374767095949</v>
      </c>
      <c r="D64" s="7" t="e">
        <f t="shared" si="25"/>
        <v>#DIV/0!</v>
      </c>
      <c r="E64" s="7" t="e">
        <f t="shared" si="25"/>
        <v>#DIV/0!</v>
      </c>
      <c r="F64" s="7">
        <f t="shared" si="25"/>
        <v>100.36739526349314</v>
      </c>
      <c r="G64" s="7"/>
      <c r="H64" s="7"/>
    </row>
    <row r="65" spans="1:9" x14ac:dyDescent="0.25">
      <c r="A65" s="7" t="s">
        <v>36</v>
      </c>
      <c r="B65" s="10">
        <f>B17/B11</f>
        <v>295252.90877830778</v>
      </c>
      <c r="C65" s="10">
        <f>C17/C11</f>
        <v>234000</v>
      </c>
      <c r="D65" s="10"/>
      <c r="E65" s="10"/>
      <c r="F65" s="10">
        <f t="shared" ref="F65" si="26">F17/F11</f>
        <v>792327.91333333286</v>
      </c>
      <c r="G65" s="7"/>
      <c r="H65" s="7"/>
    </row>
    <row r="66" spans="1:9" x14ac:dyDescent="0.25">
      <c r="A66" s="7" t="s">
        <v>37</v>
      </c>
      <c r="B66" s="10">
        <f>B18/B12</f>
        <v>290915.71711879759</v>
      </c>
      <c r="C66" s="10">
        <f>C18/C12</f>
        <v>226524.90611886105</v>
      </c>
      <c r="D66" s="29">
        <f>D18/D12</f>
        <v>226525.67896918708</v>
      </c>
      <c r="E66" s="10">
        <f t="shared" ref="E66:F66" si="27">E18/E12</f>
        <v>226522.80354131095</v>
      </c>
      <c r="F66" s="10">
        <f t="shared" si="27"/>
        <v>806797.89377094246</v>
      </c>
      <c r="G66" s="7"/>
      <c r="H66" s="7"/>
      <c r="I66" s="28"/>
    </row>
    <row r="67" spans="1:9" x14ac:dyDescent="0.25">
      <c r="A67" s="12"/>
      <c r="B67" s="7"/>
      <c r="C67" s="7"/>
      <c r="D67" s="7"/>
      <c r="E67" s="7"/>
      <c r="F67" s="7"/>
      <c r="G67" s="7"/>
      <c r="H67" s="7"/>
    </row>
    <row r="68" spans="1:9" x14ac:dyDescent="0.25">
      <c r="A68" s="12" t="s">
        <v>29</v>
      </c>
      <c r="B68" s="7"/>
      <c r="C68" s="7"/>
      <c r="D68" s="7"/>
      <c r="E68" s="7"/>
      <c r="F68" s="7"/>
      <c r="G68" s="7"/>
      <c r="H68" s="7"/>
    </row>
    <row r="69" spans="1:9" x14ac:dyDescent="0.25">
      <c r="A69" s="12" t="s">
        <v>30</v>
      </c>
      <c r="B69" s="7">
        <f>(B24/B23)*100</f>
        <v>101.09356808006098</v>
      </c>
      <c r="C69" s="7"/>
      <c r="D69" s="7"/>
      <c r="E69" s="7"/>
      <c r="F69" s="7"/>
      <c r="G69" s="7"/>
      <c r="H69" s="7"/>
    </row>
    <row r="70" spans="1:9" x14ac:dyDescent="0.25">
      <c r="A70" s="12" t="s">
        <v>31</v>
      </c>
      <c r="B70" s="7">
        <f>(B18/B24)*100</f>
        <v>105.33503585519</v>
      </c>
      <c r="C70" s="7"/>
      <c r="D70" s="7"/>
      <c r="E70" s="7"/>
      <c r="F70" s="7"/>
      <c r="G70" s="7"/>
      <c r="H70" s="7"/>
    </row>
    <row r="71" spans="1:9" ht="15.75" thickBot="1" x14ac:dyDescent="0.3">
      <c r="A71" s="37"/>
      <c r="B71" s="37"/>
      <c r="C71" s="37"/>
      <c r="D71" s="37"/>
      <c r="E71" s="37"/>
      <c r="F71" s="37"/>
      <c r="G71" s="37"/>
      <c r="H71" s="37"/>
    </row>
    <row r="72" spans="1:9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9" x14ac:dyDescent="0.25">
      <c r="A73" s="12" t="s">
        <v>32</v>
      </c>
      <c r="B73" s="12"/>
      <c r="C73" s="12"/>
      <c r="D73" s="12"/>
      <c r="E73" s="12"/>
      <c r="F73" s="12"/>
      <c r="G73" s="12"/>
      <c r="H73" s="12"/>
    </row>
    <row r="74" spans="1:9" x14ac:dyDescent="0.25">
      <c r="A74" s="12" t="s">
        <v>94</v>
      </c>
      <c r="B74" s="12"/>
      <c r="C74" s="12"/>
      <c r="D74" s="12"/>
      <c r="E74" s="12"/>
      <c r="F74" s="12"/>
      <c r="G74" s="12"/>
      <c r="H74" s="12"/>
    </row>
    <row r="75" spans="1:9" x14ac:dyDescent="0.25">
      <c r="A75" s="12" t="s">
        <v>95</v>
      </c>
      <c r="B75" s="27"/>
      <c r="C75" s="27"/>
      <c r="D75" s="27"/>
      <c r="E75" s="27"/>
      <c r="F75" s="27"/>
      <c r="G75" s="12"/>
      <c r="H75" s="12"/>
    </row>
    <row r="76" spans="1:9" x14ac:dyDescent="0.25">
      <c r="A76" s="12" t="s">
        <v>96</v>
      </c>
      <c r="B76" s="12"/>
      <c r="C76" s="12"/>
      <c r="D76" s="12"/>
      <c r="E76" s="12"/>
      <c r="F76" s="12"/>
      <c r="G76" s="12"/>
      <c r="H76" s="12"/>
    </row>
    <row r="77" spans="1:9" x14ac:dyDescent="0.25">
      <c r="A77" s="12"/>
      <c r="B77" s="12"/>
      <c r="C77" s="12"/>
      <c r="D77" s="12"/>
      <c r="E77" s="12"/>
      <c r="F77" s="12"/>
      <c r="G77" s="12"/>
      <c r="H77" s="12"/>
    </row>
    <row r="78" spans="1:9" x14ac:dyDescent="0.25">
      <c r="A78" s="12" t="s">
        <v>48</v>
      </c>
      <c r="B78" s="12"/>
      <c r="C78" s="12"/>
      <c r="D78" s="12"/>
      <c r="E78" s="12"/>
      <c r="F78" s="12"/>
      <c r="G78" s="12"/>
      <c r="H78" s="12"/>
    </row>
    <row r="79" spans="1:9" x14ac:dyDescent="0.25">
      <c r="A79" s="12" t="s">
        <v>50</v>
      </c>
      <c r="B79" s="12"/>
      <c r="C79" s="12"/>
      <c r="D79" s="12"/>
      <c r="E79" s="12"/>
      <c r="F79" s="12"/>
      <c r="G79" s="12"/>
      <c r="H79" s="12"/>
    </row>
    <row r="80" spans="1:9" x14ac:dyDescent="0.25">
      <c r="A80" s="12" t="s">
        <v>49</v>
      </c>
      <c r="B80" s="12"/>
      <c r="C80" s="12"/>
      <c r="D80" s="12"/>
      <c r="E80" s="12"/>
      <c r="F80" s="12"/>
      <c r="G80" s="12"/>
      <c r="H80" s="12"/>
    </row>
    <row r="81" spans="1:8" x14ac:dyDescent="0.25">
      <c r="A81" s="11" t="s">
        <v>54</v>
      </c>
      <c r="B81" s="12"/>
      <c r="C81" s="12"/>
      <c r="D81" s="12"/>
      <c r="E81" s="12"/>
      <c r="F81" s="12"/>
      <c r="G81" s="12"/>
      <c r="H81" s="12"/>
    </row>
    <row r="82" spans="1:8" x14ac:dyDescent="0.25">
      <c r="A82" s="38" t="s">
        <v>55</v>
      </c>
      <c r="B82" s="12"/>
      <c r="C82" s="12"/>
      <c r="D82" s="12"/>
      <c r="E82" s="12"/>
      <c r="F82" s="12"/>
      <c r="G82" s="12"/>
      <c r="H82" s="12"/>
    </row>
    <row r="83" spans="1:8" x14ac:dyDescent="0.25">
      <c r="A83" s="38" t="s">
        <v>56</v>
      </c>
      <c r="B83" s="12"/>
      <c r="C83" s="12"/>
      <c r="D83" s="12"/>
      <c r="E83" s="12"/>
      <c r="F83" s="12"/>
      <c r="G83" s="12"/>
      <c r="H83" s="12"/>
    </row>
    <row r="84" spans="1:8" x14ac:dyDescent="0.25">
      <c r="A84" s="12"/>
      <c r="B84" s="12"/>
      <c r="C84" s="12"/>
      <c r="D84" s="12"/>
      <c r="E84" s="12"/>
      <c r="F84" s="12"/>
      <c r="G84" s="12"/>
      <c r="H84" s="12"/>
    </row>
    <row r="85" spans="1:8" x14ac:dyDescent="0.25">
      <c r="A85" s="12" t="s">
        <v>134</v>
      </c>
      <c r="B85" s="12"/>
      <c r="C85" s="12"/>
      <c r="D85" s="12"/>
      <c r="E85" s="12"/>
      <c r="F85" s="12"/>
      <c r="G85" s="12"/>
      <c r="H85" s="12"/>
    </row>
    <row r="86" spans="1:8" x14ac:dyDescent="0.25">
      <c r="A86" s="12"/>
      <c r="B86" s="12"/>
      <c r="C86" s="12"/>
      <c r="D86" s="12"/>
      <c r="E86" s="12"/>
      <c r="F86" s="12"/>
      <c r="G86" s="12"/>
      <c r="H86" s="12"/>
    </row>
    <row r="87" spans="1:8" x14ac:dyDescent="0.25">
      <c r="A87" s="12"/>
      <c r="B87" s="12"/>
      <c r="C87" s="12"/>
      <c r="D87" s="12"/>
      <c r="E87" s="12"/>
      <c r="F87" s="12"/>
      <c r="G87" s="12"/>
      <c r="H87" s="12"/>
    </row>
    <row r="88" spans="1:8" x14ac:dyDescent="0.25">
      <c r="A88" s="12"/>
      <c r="B88" s="12"/>
      <c r="C88" s="12"/>
      <c r="D88" s="12"/>
      <c r="E88" s="12"/>
      <c r="F88" s="12"/>
      <c r="G88" s="12"/>
      <c r="H88" s="12"/>
    </row>
    <row r="89" spans="1:8" x14ac:dyDescent="0.25">
      <c r="A89" s="12"/>
      <c r="B89" s="12"/>
      <c r="C89" s="12"/>
      <c r="D89" s="12"/>
      <c r="E89" s="12"/>
      <c r="F89" s="12"/>
      <c r="G89" s="12"/>
      <c r="H89" s="12"/>
    </row>
    <row r="148" spans="2:6" x14ac:dyDescent="0.25">
      <c r="B148" s="13"/>
      <c r="C148" s="13"/>
      <c r="D148" s="13"/>
      <c r="E148" s="13"/>
      <c r="F148" s="13"/>
    </row>
    <row r="149" spans="2:6" x14ac:dyDescent="0.25">
      <c r="B149" s="13"/>
      <c r="C149" s="13"/>
      <c r="D149" s="13"/>
      <c r="E149" s="13"/>
      <c r="F149" s="13"/>
    </row>
  </sheetData>
  <mergeCells count="5">
    <mergeCell ref="A4:A5"/>
    <mergeCell ref="A2:H2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5"/>
  <sheetViews>
    <sheetView zoomScale="70" zoomScaleNormal="70" workbookViewId="0">
      <selection activeCell="G18" sqref="G18"/>
    </sheetView>
  </sheetViews>
  <sheetFormatPr baseColWidth="10" defaultColWidth="11.42578125" defaultRowHeight="15" x14ac:dyDescent="0.25"/>
  <cols>
    <col min="1" max="1" width="55.140625" style="1" customWidth="1"/>
    <col min="2" max="2" width="20.85546875" style="1" customWidth="1"/>
    <col min="3" max="3" width="20.140625" style="1" customWidth="1"/>
    <col min="4" max="4" width="16.140625" style="1" customWidth="1"/>
    <col min="5" max="5" width="17" style="1" bestFit="1" customWidth="1"/>
    <col min="6" max="6" width="16.42578125" style="1" bestFit="1" customWidth="1"/>
    <col min="7" max="7" width="19" style="1" customWidth="1"/>
    <col min="8" max="8" width="17.5703125" style="1" bestFit="1" customWidth="1"/>
    <col min="9" max="9" width="11.42578125" style="1"/>
    <col min="10" max="12" width="13.5703125" style="1" bestFit="1" customWidth="1"/>
    <col min="13" max="14" width="11.5703125" style="1" bestFit="1" customWidth="1"/>
    <col min="15" max="16384" width="11.42578125" style="1"/>
  </cols>
  <sheetData>
    <row r="2" spans="1:8" ht="15.75" x14ac:dyDescent="0.25">
      <c r="A2" s="44" t="s">
        <v>97</v>
      </c>
      <c r="B2" s="44"/>
      <c r="C2" s="44"/>
      <c r="D2" s="44"/>
      <c r="E2" s="44"/>
      <c r="F2" s="44"/>
      <c r="G2" s="44"/>
      <c r="H2" s="44"/>
    </row>
    <row r="4" spans="1:8" x14ac:dyDescent="0.25">
      <c r="A4" s="42" t="s">
        <v>0</v>
      </c>
      <c r="B4" s="42" t="s">
        <v>38</v>
      </c>
      <c r="C4" s="22"/>
      <c r="D4" s="22"/>
      <c r="E4" s="23" t="s">
        <v>1</v>
      </c>
      <c r="F4" s="15"/>
      <c r="G4" s="42" t="s">
        <v>2</v>
      </c>
      <c r="H4" s="42" t="s">
        <v>3</v>
      </c>
    </row>
    <row r="5" spans="1:8" ht="15.75" thickBot="1" x14ac:dyDescent="0.3">
      <c r="A5" s="43"/>
      <c r="B5" s="43"/>
      <c r="C5" s="45" t="s">
        <v>39</v>
      </c>
      <c r="D5" s="45"/>
      <c r="E5" s="45"/>
      <c r="F5" s="21" t="s">
        <v>57</v>
      </c>
      <c r="G5" s="43"/>
      <c r="H5" s="43"/>
    </row>
    <row r="6" spans="1:8" ht="15.75" thickTop="1" x14ac:dyDescent="0.25">
      <c r="C6" s="24" t="s">
        <v>58</v>
      </c>
      <c r="D6" s="14" t="s">
        <v>51</v>
      </c>
      <c r="E6" s="14" t="s">
        <v>52</v>
      </c>
    </row>
    <row r="7" spans="1:8" x14ac:dyDescent="0.25">
      <c r="A7" s="35" t="s">
        <v>4</v>
      </c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 t="s">
        <v>46</v>
      </c>
      <c r="B9" s="12"/>
      <c r="C9" s="12"/>
      <c r="D9" s="12"/>
      <c r="E9" s="12"/>
      <c r="F9" s="12"/>
      <c r="G9" s="12"/>
      <c r="H9" s="12"/>
    </row>
    <row r="10" spans="1:8" x14ac:dyDescent="0.25">
      <c r="A10" s="33" t="s">
        <v>66</v>
      </c>
      <c r="B10" s="10">
        <f>+C10+F10</f>
        <v>109573</v>
      </c>
      <c r="C10" s="10">
        <f>SUM(D10:E10)</f>
        <v>105813.66666666667</v>
      </c>
      <c r="D10" s="10">
        <v>77033.666666666672</v>
      </c>
      <c r="E10" s="10">
        <v>28780</v>
      </c>
      <c r="F10" s="10">
        <v>3759.3333333333335</v>
      </c>
      <c r="G10" s="10"/>
      <c r="H10" s="10"/>
    </row>
    <row r="11" spans="1:8" x14ac:dyDescent="0.25">
      <c r="A11" s="33" t="s">
        <v>98</v>
      </c>
      <c r="B11" s="10">
        <f t="shared" ref="B11:B12" si="0">+C11+F11</f>
        <v>105106</v>
      </c>
      <c r="C11" s="10">
        <v>101065</v>
      </c>
      <c r="D11" s="10"/>
      <c r="E11" s="10"/>
      <c r="F11" s="10">
        <v>4041</v>
      </c>
      <c r="G11" s="10"/>
      <c r="H11" s="12"/>
    </row>
    <row r="12" spans="1:8" x14ac:dyDescent="0.25">
      <c r="A12" s="33" t="s">
        <v>99</v>
      </c>
      <c r="B12" s="10">
        <f t="shared" si="0"/>
        <v>113772</v>
      </c>
      <c r="C12" s="10">
        <f t="shared" ref="C12" si="1">SUM(D12:E12)</f>
        <v>109847.66666666667</v>
      </c>
      <c r="D12" s="10">
        <v>80434</v>
      </c>
      <c r="E12" s="10">
        <v>29413.666666666668</v>
      </c>
      <c r="F12" s="10">
        <v>3924.3333333333335</v>
      </c>
      <c r="G12" s="10"/>
      <c r="H12" s="12"/>
    </row>
    <row r="13" spans="1:8" x14ac:dyDescent="0.25">
      <c r="A13" s="33" t="s">
        <v>89</v>
      </c>
      <c r="B13" s="10">
        <f>+C13+F13</f>
        <v>105423.08333333333</v>
      </c>
      <c r="C13" s="10">
        <v>101347.58333333333</v>
      </c>
      <c r="D13" s="10"/>
      <c r="E13" s="10"/>
      <c r="F13" s="10">
        <v>4075.5</v>
      </c>
      <c r="G13" s="10"/>
      <c r="H13" s="12"/>
    </row>
    <row r="14" spans="1:8" x14ac:dyDescent="0.25">
      <c r="A14" s="12"/>
      <c r="B14" s="12"/>
      <c r="C14" s="10"/>
      <c r="D14" s="12"/>
      <c r="E14" s="12"/>
      <c r="F14" s="12"/>
      <c r="G14" s="12"/>
      <c r="H14" s="12"/>
    </row>
    <row r="15" spans="1:8" x14ac:dyDescent="0.25">
      <c r="A15" s="34" t="s">
        <v>5</v>
      </c>
      <c r="B15" s="12"/>
      <c r="C15" s="10"/>
      <c r="D15" s="12"/>
      <c r="E15" s="12"/>
      <c r="F15" s="12"/>
      <c r="G15" s="12"/>
      <c r="H15" s="12"/>
    </row>
    <row r="16" spans="1:8" x14ac:dyDescent="0.25">
      <c r="A16" s="33" t="s">
        <v>66</v>
      </c>
      <c r="B16" s="10">
        <f>+C16+F16+G16+H16</f>
        <v>33992442441.499996</v>
      </c>
      <c r="C16" s="10">
        <f t="shared" ref="C16" si="2">SUM(D16:E16)</f>
        <v>24917288981.989998</v>
      </c>
      <c r="D16" s="10">
        <v>18140089363.201321</v>
      </c>
      <c r="E16" s="10">
        <v>6777199618.7886791</v>
      </c>
      <c r="F16" s="10">
        <v>3024707948.0999999</v>
      </c>
      <c r="G16" s="10">
        <v>3794520511.4099998</v>
      </c>
      <c r="H16" s="11">
        <v>2255925000</v>
      </c>
    </row>
    <row r="17" spans="1:9" x14ac:dyDescent="0.25">
      <c r="A17" s="33" t="s">
        <v>98</v>
      </c>
      <c r="B17" s="10">
        <f t="shared" ref="B17:B19" si="3">+C17+F17+G17+H17</f>
        <v>31013860374.729988</v>
      </c>
      <c r="C17" s="10">
        <v>23649210000</v>
      </c>
      <c r="D17" s="10"/>
      <c r="E17" s="10"/>
      <c r="F17" s="10">
        <v>3201797097.7799997</v>
      </c>
      <c r="G17" s="10">
        <v>3555777307.8999901</v>
      </c>
      <c r="H17" s="10">
        <v>607075969.04999995</v>
      </c>
    </row>
    <row r="18" spans="1:9" x14ac:dyDescent="0.25">
      <c r="A18" s="33" t="s">
        <v>99</v>
      </c>
      <c r="B18" s="10">
        <f t="shared" si="3"/>
        <v>31976410308.490002</v>
      </c>
      <c r="C18" s="27">
        <f>D18+E18</f>
        <v>23427099971.5</v>
      </c>
      <c r="D18" s="10">
        <v>17153976594.201683</v>
      </c>
      <c r="E18" s="10">
        <v>6273123377.298317</v>
      </c>
      <c r="F18" s="10">
        <v>3171448972.4499998</v>
      </c>
      <c r="G18" s="10">
        <v>3954151364.5300007</v>
      </c>
      <c r="H18" s="11">
        <v>1423710000.0099998</v>
      </c>
    </row>
    <row r="19" spans="1:9" x14ac:dyDescent="0.25">
      <c r="A19" s="33" t="s">
        <v>89</v>
      </c>
      <c r="B19" s="10">
        <f t="shared" si="3"/>
        <v>134045937747.91995</v>
      </c>
      <c r="C19" s="10">
        <v>103316305798.72</v>
      </c>
      <c r="D19" s="10"/>
      <c r="E19" s="10"/>
      <c r="F19" s="10">
        <v>14078218841.399998</v>
      </c>
      <c r="G19" s="10">
        <v>14223109231.599958</v>
      </c>
      <c r="H19" s="10">
        <v>2428303876.1999993</v>
      </c>
    </row>
    <row r="20" spans="1:9" x14ac:dyDescent="0.25">
      <c r="A20" s="33" t="s">
        <v>100</v>
      </c>
      <c r="B20" s="29">
        <f>C20+F20+G20</f>
        <v>30552700308.480003</v>
      </c>
      <c r="C20" s="29">
        <f t="shared" ref="C20" si="4">SUM(D20:E20)</f>
        <v>23427099971.5</v>
      </c>
      <c r="D20" s="10">
        <f>+D18</f>
        <v>17153976594.201683</v>
      </c>
      <c r="E20" s="10">
        <f t="shared" ref="E20:G20" si="5">+E18</f>
        <v>6273123377.298317</v>
      </c>
      <c r="F20" s="10">
        <f t="shared" si="5"/>
        <v>3171448972.4499998</v>
      </c>
      <c r="G20" s="29">
        <f t="shared" si="5"/>
        <v>3954151364.5300007</v>
      </c>
      <c r="H20" s="10"/>
      <c r="I20" s="28"/>
    </row>
    <row r="21" spans="1:9" x14ac:dyDescent="0.25">
      <c r="A21" s="12"/>
      <c r="B21" s="10"/>
      <c r="C21" s="10"/>
      <c r="D21" s="10"/>
      <c r="E21" s="10"/>
      <c r="F21" s="10"/>
      <c r="G21" s="10"/>
      <c r="H21" s="12"/>
    </row>
    <row r="22" spans="1:9" x14ac:dyDescent="0.25">
      <c r="A22" s="34" t="s">
        <v>6</v>
      </c>
      <c r="B22" s="10"/>
      <c r="C22" s="10"/>
      <c r="D22" s="10"/>
      <c r="E22" s="10"/>
      <c r="F22" s="10"/>
      <c r="G22" s="10"/>
      <c r="H22" s="10"/>
    </row>
    <row r="23" spans="1:9" x14ac:dyDescent="0.25">
      <c r="A23" s="33" t="s">
        <v>98</v>
      </c>
      <c r="B23" s="10">
        <f>B17</f>
        <v>31013860374.729988</v>
      </c>
      <c r="C23" s="10"/>
      <c r="D23" s="10"/>
      <c r="E23" s="10"/>
      <c r="F23" s="10"/>
      <c r="G23" s="10"/>
      <c r="H23" s="10"/>
    </row>
    <row r="24" spans="1:9" x14ac:dyDescent="0.25">
      <c r="A24" s="33" t="s">
        <v>99</v>
      </c>
      <c r="B24" s="10">
        <v>34612941114.5</v>
      </c>
      <c r="C24" s="10"/>
      <c r="D24" s="10"/>
      <c r="E24" s="10"/>
      <c r="F24" s="10"/>
      <c r="G24" s="10"/>
      <c r="H24" s="10"/>
    </row>
    <row r="25" spans="1:9" x14ac:dyDescent="0.25">
      <c r="A25" s="12"/>
      <c r="B25" s="12"/>
      <c r="C25" s="12"/>
      <c r="D25" s="12"/>
      <c r="E25" s="12"/>
      <c r="F25" s="12"/>
      <c r="G25" s="12"/>
      <c r="H25" s="12"/>
    </row>
    <row r="26" spans="1:9" x14ac:dyDescent="0.25">
      <c r="A26" s="12" t="s">
        <v>7</v>
      </c>
      <c r="B26" s="12"/>
      <c r="C26" s="12"/>
      <c r="D26" s="12"/>
      <c r="E26" s="12"/>
      <c r="F26" s="12"/>
      <c r="G26" s="12"/>
      <c r="H26" s="12"/>
    </row>
    <row r="27" spans="1:9" x14ac:dyDescent="0.25">
      <c r="A27" s="33" t="s">
        <v>67</v>
      </c>
      <c r="B27" s="32">
        <v>0.99</v>
      </c>
      <c r="C27" s="32">
        <v>0.99</v>
      </c>
      <c r="D27" s="32">
        <v>0.99</v>
      </c>
      <c r="E27" s="32">
        <v>0.99</v>
      </c>
      <c r="F27" s="32">
        <v>0.99</v>
      </c>
      <c r="G27" s="32">
        <v>0.99</v>
      </c>
      <c r="H27" s="32">
        <v>0.99</v>
      </c>
    </row>
    <row r="28" spans="1:9" x14ac:dyDescent="0.25">
      <c r="A28" s="33" t="s">
        <v>101</v>
      </c>
      <c r="B28" s="32">
        <v>1.01</v>
      </c>
      <c r="C28" s="32">
        <v>1.01</v>
      </c>
      <c r="D28" s="32">
        <v>1.01</v>
      </c>
      <c r="E28" s="32">
        <v>1.01</v>
      </c>
      <c r="F28" s="32">
        <v>1.01</v>
      </c>
      <c r="G28" s="32">
        <v>1.01</v>
      </c>
      <c r="H28" s="32">
        <v>1.01</v>
      </c>
    </row>
    <row r="29" spans="1:9" x14ac:dyDescent="0.25">
      <c r="A29" s="33" t="s">
        <v>8</v>
      </c>
      <c r="B29" s="11">
        <f>+D29+F29</f>
        <v>104137</v>
      </c>
      <c r="C29" s="25"/>
      <c r="D29" s="11">
        <v>98025</v>
      </c>
      <c r="E29" s="11" t="s">
        <v>53</v>
      </c>
      <c r="F29" s="11">
        <v>6112</v>
      </c>
      <c r="G29" s="11"/>
      <c r="H29" s="11"/>
    </row>
    <row r="30" spans="1:9" x14ac:dyDescent="0.25">
      <c r="A30" s="12"/>
      <c r="B30" s="12"/>
      <c r="C30" s="12"/>
      <c r="D30" s="12"/>
      <c r="E30" s="12"/>
      <c r="F30" s="12"/>
      <c r="G30" s="12"/>
      <c r="H30" s="12"/>
    </row>
    <row r="31" spans="1:9" x14ac:dyDescent="0.25">
      <c r="A31" s="35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68</v>
      </c>
      <c r="B32" s="10">
        <f t="shared" ref="B32:H32" si="6">B16/B27</f>
        <v>34335800445.959591</v>
      </c>
      <c r="C32" s="10">
        <f t="shared" ref="C32" si="7">C16/C27</f>
        <v>25168978769.686867</v>
      </c>
      <c r="D32" s="10">
        <f t="shared" si="6"/>
        <v>18323322589.092243</v>
      </c>
      <c r="E32" s="10">
        <f t="shared" si="6"/>
        <v>6845656180.5946255</v>
      </c>
      <c r="F32" s="10">
        <f t="shared" si="6"/>
        <v>3055260553.6363635</v>
      </c>
      <c r="G32" s="10">
        <f t="shared" si="6"/>
        <v>3832849001.4242425</v>
      </c>
      <c r="H32" s="10">
        <f t="shared" si="6"/>
        <v>2278712121.212121</v>
      </c>
    </row>
    <row r="33" spans="1:14" x14ac:dyDescent="0.25">
      <c r="A33" s="12" t="s">
        <v>102</v>
      </c>
      <c r="B33" s="10">
        <f>B18/B28</f>
        <v>31659812186.623764</v>
      </c>
      <c r="C33" s="10">
        <f>C18/C28</f>
        <v>23195148486.633663</v>
      </c>
      <c r="D33" s="10">
        <f t="shared" ref="D33" si="8">D18/D28</f>
        <v>16984135241.783844</v>
      </c>
      <c r="E33" s="10">
        <f>E18/E28</f>
        <v>6211013244.8498192</v>
      </c>
      <c r="F33" s="10">
        <f>F18/F28</f>
        <v>3140048487.5742574</v>
      </c>
      <c r="G33" s="10">
        <f>G18/G28</f>
        <v>3915001351.0198026</v>
      </c>
      <c r="H33" s="10">
        <f>H18/H28</f>
        <v>1409613861.3960392</v>
      </c>
    </row>
    <row r="34" spans="1:14" x14ac:dyDescent="0.25">
      <c r="A34" s="12" t="s">
        <v>69</v>
      </c>
      <c r="B34" s="10">
        <f>B32/B10</f>
        <v>313360.04714628228</v>
      </c>
      <c r="C34" s="10">
        <f>C32/C10</f>
        <v>237861.32323505974</v>
      </c>
      <c r="D34" s="10">
        <f>D32/D10</f>
        <v>237861.2284986942</v>
      </c>
      <c r="E34" s="10">
        <f>E32/E10</f>
        <v>237861.57681009817</v>
      </c>
      <c r="F34" s="10">
        <f>F32/F10</f>
        <v>812713.39429944055</v>
      </c>
      <c r="G34" s="10"/>
      <c r="H34" s="10"/>
    </row>
    <row r="35" spans="1:14" x14ac:dyDescent="0.25">
      <c r="A35" s="12" t="s">
        <v>103</v>
      </c>
      <c r="B35" s="10">
        <f>B33/B12</f>
        <v>278274.19915817393</v>
      </c>
      <c r="C35" s="10">
        <f>C33/C12</f>
        <v>211157.40725762947</v>
      </c>
      <c r="D35" s="10">
        <f>D33/D12</f>
        <v>211156.16830922052</v>
      </c>
      <c r="E35" s="10">
        <f>E33/E12</f>
        <v>211160.79526013369</v>
      </c>
      <c r="F35" s="10">
        <f>F33/F12</f>
        <v>800148.25980827073</v>
      </c>
      <c r="G35" s="10"/>
      <c r="H35" s="10"/>
    </row>
    <row r="36" spans="1:14" x14ac:dyDescent="0.25">
      <c r="A36" s="12"/>
      <c r="B36" s="12"/>
      <c r="C36" s="12"/>
      <c r="D36" s="12"/>
      <c r="E36" s="12"/>
      <c r="F36" s="12"/>
      <c r="G36" s="12"/>
      <c r="H36" s="12"/>
    </row>
    <row r="37" spans="1:14" x14ac:dyDescent="0.25">
      <c r="A37" s="35" t="s">
        <v>10</v>
      </c>
      <c r="B37" s="12"/>
      <c r="C37" s="12"/>
      <c r="D37" s="12"/>
      <c r="E37" s="12"/>
      <c r="F37" s="12"/>
      <c r="G37" s="12"/>
      <c r="H37" s="12"/>
    </row>
    <row r="38" spans="1:14" x14ac:dyDescent="0.25">
      <c r="A38" s="12"/>
      <c r="B38" s="12"/>
      <c r="C38" s="12"/>
      <c r="D38" s="12"/>
      <c r="E38" s="12"/>
      <c r="F38" s="12"/>
      <c r="G38" s="12"/>
      <c r="H38" s="12"/>
    </row>
    <row r="39" spans="1:14" x14ac:dyDescent="0.25">
      <c r="A39" s="12" t="s">
        <v>11</v>
      </c>
      <c r="B39" s="12"/>
      <c r="C39" s="12"/>
      <c r="D39" s="12"/>
      <c r="E39" s="12"/>
      <c r="F39" s="12"/>
      <c r="G39" s="12"/>
      <c r="H39" s="12"/>
    </row>
    <row r="40" spans="1:14" x14ac:dyDescent="0.25">
      <c r="A40" s="12" t="s">
        <v>12</v>
      </c>
      <c r="B40" s="7">
        <f>(B11/B29)*100</f>
        <v>100.93050500782623</v>
      </c>
      <c r="C40" s="7"/>
      <c r="D40" s="7">
        <f>(C11)/D29*100</f>
        <v>103.10124968120378</v>
      </c>
      <c r="E40" s="7"/>
      <c r="F40" s="7">
        <f>(F11)/F29*100</f>
        <v>66.115837696335078</v>
      </c>
      <c r="G40" s="7"/>
      <c r="H40" s="12"/>
      <c r="J40" s="13"/>
      <c r="K40" s="13"/>
      <c r="L40" s="13"/>
      <c r="M40" s="13"/>
      <c r="N40" s="13"/>
    </row>
    <row r="41" spans="1:14" x14ac:dyDescent="0.25">
      <c r="A41" s="12" t="s">
        <v>13</v>
      </c>
      <c r="B41" s="7">
        <f>((D12+F12)/B29)*100</f>
        <v>81.007070813767754</v>
      </c>
      <c r="C41" s="36"/>
      <c r="D41" s="7">
        <f>(D12)/D29*100</f>
        <v>82.054577913797502</v>
      </c>
      <c r="E41" s="7"/>
      <c r="F41" s="7">
        <f t="shared" ref="F41" si="9">(F12)/F29*100</f>
        <v>64.207024432809774</v>
      </c>
      <c r="G41" s="7"/>
      <c r="H41" s="12"/>
      <c r="J41" s="13"/>
      <c r="K41" s="13"/>
      <c r="L41" s="13"/>
      <c r="M41" s="13"/>
      <c r="N41" s="13"/>
    </row>
    <row r="42" spans="1:14" x14ac:dyDescent="0.25">
      <c r="A42" s="12"/>
      <c r="B42" s="12"/>
      <c r="C42" s="12"/>
      <c r="D42" s="12"/>
      <c r="E42" s="12"/>
      <c r="F42" s="12"/>
      <c r="G42" s="12"/>
      <c r="H42" s="12"/>
      <c r="J42" s="13"/>
      <c r="K42" s="13"/>
      <c r="L42" s="13"/>
      <c r="M42" s="13"/>
      <c r="N42" s="13"/>
    </row>
    <row r="43" spans="1:14" x14ac:dyDescent="0.25">
      <c r="A43" s="12" t="s">
        <v>14</v>
      </c>
      <c r="B43" s="12"/>
      <c r="C43" s="12"/>
      <c r="D43" s="12"/>
      <c r="E43" s="12"/>
      <c r="F43" s="12"/>
      <c r="G43" s="12"/>
      <c r="H43" s="12"/>
      <c r="J43" s="13"/>
      <c r="K43" s="13"/>
      <c r="L43" s="13"/>
      <c r="M43" s="13"/>
      <c r="N43" s="13"/>
    </row>
    <row r="44" spans="1:14" x14ac:dyDescent="0.25">
      <c r="A44" s="12" t="s">
        <v>15</v>
      </c>
      <c r="B44" s="7">
        <f>B12/B11*100</f>
        <v>108.24500979963085</v>
      </c>
      <c r="C44" s="7">
        <f>C12/C11*100</f>
        <v>108.69011692145321</v>
      </c>
      <c r="D44" s="7"/>
      <c r="E44" s="7"/>
      <c r="F44" s="7">
        <f>F12/F11*100</f>
        <v>97.112925843438092</v>
      </c>
      <c r="G44" s="7"/>
      <c r="H44" s="12"/>
      <c r="J44" s="13"/>
      <c r="K44" s="13"/>
      <c r="L44" s="13"/>
      <c r="M44" s="13"/>
      <c r="N44" s="13"/>
    </row>
    <row r="45" spans="1:14" x14ac:dyDescent="0.25">
      <c r="A45" s="12" t="s">
        <v>16</v>
      </c>
      <c r="B45" s="7">
        <f>B18/B17*100</f>
        <v>103.10361213383257</v>
      </c>
      <c r="C45" s="7">
        <f>C18/C17*100</f>
        <v>99.060814173073851</v>
      </c>
      <c r="D45" s="7"/>
      <c r="E45" s="7"/>
      <c r="F45" s="7">
        <f>F18/F17*100</f>
        <v>99.052153387513471</v>
      </c>
      <c r="G45" s="7">
        <f>G18/G17*100</f>
        <v>111.20357160008108</v>
      </c>
      <c r="H45" s="7">
        <f>H18/H17*100</f>
        <v>234.51924842914349</v>
      </c>
      <c r="J45" s="13"/>
      <c r="K45" s="13"/>
      <c r="L45" s="13"/>
      <c r="M45" s="13"/>
      <c r="N45" s="13"/>
    </row>
    <row r="46" spans="1:14" x14ac:dyDescent="0.25">
      <c r="A46" s="12" t="s">
        <v>17</v>
      </c>
      <c r="B46" s="7">
        <f>AVERAGE(B44:B45)</f>
        <v>105.67431096673171</v>
      </c>
      <c r="C46" s="7">
        <f>AVERAGE(C44:C45)</f>
        <v>103.87546554726353</v>
      </c>
      <c r="D46" s="7"/>
      <c r="E46" s="7"/>
      <c r="F46" s="7">
        <f t="shared" ref="F46:H46" si="10">AVERAGE(F44:F45)</f>
        <v>98.082539615475781</v>
      </c>
      <c r="G46" s="7">
        <f>AVERAGE(G44:G45)</f>
        <v>111.20357160008108</v>
      </c>
      <c r="H46" s="7">
        <f t="shared" si="10"/>
        <v>234.51924842914349</v>
      </c>
      <c r="J46" s="13"/>
      <c r="K46" s="13"/>
      <c r="L46" s="13"/>
      <c r="M46" s="13"/>
      <c r="N46" s="13"/>
    </row>
    <row r="47" spans="1:14" x14ac:dyDescent="0.25">
      <c r="A47" s="12"/>
      <c r="B47" s="7"/>
      <c r="C47" s="7"/>
      <c r="D47" s="7"/>
      <c r="E47" s="7"/>
      <c r="F47" s="7"/>
      <c r="G47" s="7"/>
      <c r="H47" s="7"/>
      <c r="J47" s="13"/>
      <c r="K47" s="13"/>
      <c r="L47" s="13"/>
      <c r="M47" s="13"/>
      <c r="N47" s="13"/>
    </row>
    <row r="48" spans="1:14" x14ac:dyDescent="0.25">
      <c r="A48" s="12" t="s">
        <v>18</v>
      </c>
      <c r="B48" s="12"/>
      <c r="C48" s="12"/>
      <c r="D48" s="12"/>
      <c r="E48" s="12"/>
      <c r="F48" s="12"/>
      <c r="G48" s="12"/>
      <c r="H48" s="12"/>
      <c r="J48" s="13"/>
      <c r="K48" s="13"/>
      <c r="L48" s="13"/>
      <c r="M48" s="13"/>
      <c r="N48" s="13"/>
    </row>
    <row r="49" spans="1:14" x14ac:dyDescent="0.25">
      <c r="A49" s="12" t="s">
        <v>19</v>
      </c>
      <c r="B49" s="7">
        <f>B12/(B13)*100</f>
        <v>107.91943889581425</v>
      </c>
      <c r="C49" s="7">
        <f t="shared" ref="C49:F49" si="11">C12/(C13)*100</f>
        <v>108.38706070116785</v>
      </c>
      <c r="D49" s="7"/>
      <c r="E49" s="7"/>
      <c r="F49" s="7">
        <f t="shared" si="11"/>
        <v>96.290843659264709</v>
      </c>
      <c r="G49" s="7"/>
      <c r="H49" s="7"/>
      <c r="I49" s="28"/>
      <c r="J49" s="13"/>
      <c r="K49" s="13"/>
      <c r="L49" s="13"/>
      <c r="M49" s="13"/>
      <c r="N49" s="13"/>
    </row>
    <row r="50" spans="1:14" x14ac:dyDescent="0.25">
      <c r="A50" s="12" t="s">
        <v>20</v>
      </c>
      <c r="B50" s="7">
        <f>B18/B19*100</f>
        <v>23.854814883404547</v>
      </c>
      <c r="C50" s="7">
        <f>C18/C19*100</f>
        <v>22.675123534846946</v>
      </c>
      <c r="D50" s="7"/>
      <c r="E50" s="7"/>
      <c r="F50" s="7">
        <f>F18/F19*100</f>
        <v>22.527345313909166</v>
      </c>
      <c r="G50" s="7">
        <f>G18/G19*100</f>
        <v>27.800892900020273</v>
      </c>
      <c r="H50" s="7">
        <f>H18/H19*100</f>
        <v>58.629812107285886</v>
      </c>
      <c r="J50" s="13"/>
      <c r="K50" s="13"/>
      <c r="L50" s="13"/>
      <c r="M50" s="13"/>
      <c r="N50" s="13"/>
    </row>
    <row r="51" spans="1:14" x14ac:dyDescent="0.25">
      <c r="A51" s="12" t="s">
        <v>21</v>
      </c>
      <c r="B51" s="7">
        <f>(B49+B50)/2</f>
        <v>65.887126889609405</v>
      </c>
      <c r="C51" s="7">
        <f t="shared" ref="C51" si="12">(C49+C50)/2</f>
        <v>65.531092118007393</v>
      </c>
      <c r="D51" s="7"/>
      <c r="E51" s="7"/>
      <c r="F51" s="7">
        <f t="shared" ref="F51" si="13">(F49+F50)/2</f>
        <v>59.409094486586937</v>
      </c>
      <c r="G51" s="7">
        <f>AVERAGE(G49:G50)</f>
        <v>27.800892900020273</v>
      </c>
      <c r="H51" s="7">
        <f t="shared" ref="H51" si="14">AVERAGE(H49:H50)</f>
        <v>58.629812107285886</v>
      </c>
      <c r="J51" s="13"/>
      <c r="K51" s="13"/>
      <c r="L51" s="13"/>
      <c r="M51" s="13"/>
      <c r="N51" s="13"/>
    </row>
    <row r="52" spans="1:14" x14ac:dyDescent="0.25">
      <c r="A52" s="12"/>
      <c r="B52" s="12"/>
      <c r="C52" s="12"/>
      <c r="D52" s="12"/>
      <c r="E52" s="12"/>
      <c r="F52" s="12"/>
      <c r="G52" s="12"/>
      <c r="H52" s="12"/>
      <c r="J52" s="13"/>
      <c r="K52" s="13"/>
      <c r="L52" s="13"/>
      <c r="M52" s="13"/>
      <c r="N52" s="13"/>
    </row>
    <row r="53" spans="1:14" x14ac:dyDescent="0.25">
      <c r="A53" s="12" t="s">
        <v>33</v>
      </c>
      <c r="B53" s="12"/>
      <c r="C53" s="12"/>
      <c r="D53" s="12"/>
      <c r="E53" s="12"/>
      <c r="F53" s="12"/>
      <c r="G53" s="12"/>
      <c r="H53" s="12"/>
      <c r="J53" s="13"/>
      <c r="K53" s="13"/>
      <c r="L53" s="13"/>
      <c r="M53" s="13"/>
      <c r="N53" s="13"/>
    </row>
    <row r="54" spans="1:14" x14ac:dyDescent="0.25">
      <c r="A54" s="12" t="s">
        <v>22</v>
      </c>
      <c r="B54" s="7">
        <f>(B20/B18)*100</f>
        <v>95.547624057000576</v>
      </c>
      <c r="C54" s="7"/>
      <c r="D54" s="7"/>
      <c r="E54" s="7"/>
      <c r="F54" s="7"/>
      <c r="G54" s="7"/>
      <c r="H54" s="7"/>
      <c r="J54" s="13"/>
      <c r="K54" s="13"/>
      <c r="L54" s="13"/>
      <c r="M54" s="13"/>
      <c r="N54" s="13"/>
    </row>
    <row r="55" spans="1:14" x14ac:dyDescent="0.25">
      <c r="A55" s="12"/>
      <c r="B55" s="12"/>
      <c r="C55" s="12"/>
      <c r="D55" s="12"/>
      <c r="E55" s="12"/>
      <c r="F55" s="12"/>
      <c r="G55" s="12"/>
      <c r="H55" s="12"/>
      <c r="J55" s="13"/>
      <c r="K55" s="13"/>
      <c r="L55" s="13"/>
      <c r="M55" s="13"/>
      <c r="N55" s="13"/>
    </row>
    <row r="56" spans="1:14" x14ac:dyDescent="0.25">
      <c r="A56" s="12" t="s">
        <v>23</v>
      </c>
      <c r="B56" s="12"/>
      <c r="C56" s="12"/>
      <c r="D56" s="12"/>
      <c r="E56" s="12"/>
      <c r="F56" s="12"/>
      <c r="G56" s="12"/>
      <c r="H56" s="12"/>
      <c r="J56" s="13"/>
      <c r="K56" s="13"/>
      <c r="L56" s="13"/>
      <c r="M56" s="13"/>
      <c r="N56" s="13"/>
    </row>
    <row r="57" spans="1:14" x14ac:dyDescent="0.25">
      <c r="A57" s="12" t="s">
        <v>24</v>
      </c>
      <c r="B57" s="7">
        <f>((B12/B10)-1)*100</f>
        <v>3.8321484307265452</v>
      </c>
      <c r="C57" s="7">
        <f>((C12/C10)-1)*100</f>
        <v>3.8123619822266086</v>
      </c>
      <c r="D57" s="7">
        <f t="shared" ref="D57:F57" si="15">((D12/D10)-1)*100</f>
        <v>4.4140873470906561</v>
      </c>
      <c r="E57" s="7">
        <f t="shared" si="15"/>
        <v>2.2017604818160841</v>
      </c>
      <c r="F57" s="7">
        <f t="shared" si="15"/>
        <v>4.3890760773186654</v>
      </c>
      <c r="G57" s="7"/>
      <c r="H57" s="7"/>
      <c r="J57" s="13"/>
      <c r="K57" s="13"/>
      <c r="L57" s="13"/>
      <c r="M57" s="13"/>
      <c r="N57" s="13"/>
    </row>
    <row r="58" spans="1:14" x14ac:dyDescent="0.25">
      <c r="A58" s="12" t="s">
        <v>25</v>
      </c>
      <c r="B58" s="7">
        <f>((B33/B32)-1)*100</f>
        <v>-7.7935805327955299</v>
      </c>
      <c r="C58" s="7">
        <f>((C33/C32)-1)*100</f>
        <v>-7.8423137510468033</v>
      </c>
      <c r="D58" s="7">
        <f t="shared" ref="D58:G58" si="16">((D33/D32)-1)*100</f>
        <v>-7.3086490771363088</v>
      </c>
      <c r="E58" s="7">
        <f t="shared" si="16"/>
        <v>-9.270739268849459</v>
      </c>
      <c r="F58" s="7">
        <f t="shared" si="16"/>
        <v>2.7751457674200397</v>
      </c>
      <c r="G58" s="7">
        <f t="shared" si="16"/>
        <v>2.1433755821070211</v>
      </c>
      <c r="H58" s="7">
        <f>((H33/H32)-1)*100</f>
        <v>-38.139888392474084</v>
      </c>
      <c r="J58" s="13"/>
      <c r="K58" s="13"/>
      <c r="L58" s="13"/>
      <c r="M58" s="13"/>
      <c r="N58" s="13"/>
    </row>
    <row r="59" spans="1:14" x14ac:dyDescent="0.25">
      <c r="A59" s="12" t="s">
        <v>26</v>
      </c>
      <c r="B59" s="7">
        <f>((B35/B34)-1)*100</f>
        <v>-11.196656468375377</v>
      </c>
      <c r="C59" s="7">
        <f>((C35/C34)-1)*100</f>
        <v>-11.226674271479132</v>
      </c>
      <c r="D59" s="7">
        <f t="shared" ref="D59:F59" si="17">((D35/D34)-1)*100</f>
        <v>-11.227159784731489</v>
      </c>
      <c r="E59" s="7">
        <f t="shared" si="17"/>
        <v>-11.22534455040698</v>
      </c>
      <c r="F59" s="7">
        <f t="shared" si="17"/>
        <v>-1.5460720321954335</v>
      </c>
      <c r="G59" s="7"/>
      <c r="H59" s="7"/>
      <c r="J59" s="13"/>
      <c r="K59" s="13"/>
      <c r="L59" s="13"/>
      <c r="M59" s="13"/>
      <c r="N59" s="13"/>
    </row>
    <row r="60" spans="1:14" x14ac:dyDescent="0.25">
      <c r="A60" s="12"/>
      <c r="B60" s="7"/>
      <c r="C60" s="7"/>
      <c r="D60" s="7"/>
      <c r="E60" s="7"/>
      <c r="F60" s="7"/>
      <c r="G60" s="7"/>
      <c r="H60" s="7"/>
      <c r="J60" s="13"/>
      <c r="K60" s="13"/>
      <c r="L60" s="13"/>
      <c r="M60" s="13"/>
      <c r="N60" s="13"/>
    </row>
    <row r="61" spans="1:14" x14ac:dyDescent="0.25">
      <c r="A61" s="12" t="s">
        <v>27</v>
      </c>
      <c r="B61" s="12"/>
      <c r="C61" s="12"/>
      <c r="D61" s="12"/>
      <c r="E61" s="12"/>
      <c r="F61" s="12"/>
      <c r="G61" s="12"/>
      <c r="H61" s="12"/>
      <c r="J61" s="13"/>
      <c r="K61" s="13"/>
      <c r="L61" s="13"/>
      <c r="M61" s="13"/>
      <c r="N61" s="13"/>
    </row>
    <row r="62" spans="1:14" x14ac:dyDescent="0.25">
      <c r="A62" s="12" t="s">
        <v>34</v>
      </c>
      <c r="B62" s="10">
        <f>B17/(B11*3)</f>
        <v>98357.405459662899</v>
      </c>
      <c r="C62" s="10">
        <f>C17/(C11*3)</f>
        <v>78000</v>
      </c>
      <c r="D62" s="10"/>
      <c r="E62" s="10"/>
      <c r="F62" s="10">
        <f t="shared" ref="F62" si="18">F17/(F11*3)</f>
        <v>264109.30444444442</v>
      </c>
      <c r="G62" s="10"/>
      <c r="H62" s="10"/>
      <c r="J62" s="13"/>
      <c r="K62" s="13"/>
      <c r="L62" s="13"/>
      <c r="M62" s="13"/>
      <c r="N62" s="13"/>
    </row>
    <row r="63" spans="1:14" x14ac:dyDescent="0.25">
      <c r="A63" s="12" t="s">
        <v>35</v>
      </c>
      <c r="B63" s="10">
        <f>B18/(B12*3)</f>
        <v>93685.647049918553</v>
      </c>
      <c r="C63" s="10">
        <f>C18/(C12*3)</f>
        <v>71089.660443401925</v>
      </c>
      <c r="D63" s="10">
        <f t="shared" ref="D63:F63" si="19">D18/(D12*3)</f>
        <v>71089.243330770914</v>
      </c>
      <c r="E63" s="10">
        <f t="shared" si="19"/>
        <v>71090.801070911679</v>
      </c>
      <c r="F63" s="10">
        <f t="shared" si="19"/>
        <v>269383.24746878451</v>
      </c>
      <c r="G63" s="10"/>
      <c r="H63" s="10"/>
      <c r="J63" s="13"/>
      <c r="K63" s="13"/>
      <c r="L63" s="13"/>
      <c r="M63" s="13"/>
      <c r="N63" s="13"/>
    </row>
    <row r="64" spans="1:14" x14ac:dyDescent="0.25">
      <c r="A64" s="12" t="s">
        <v>28</v>
      </c>
      <c r="B64" s="7">
        <f>(B63/B62)*B46</f>
        <v>100.65501578864537</v>
      </c>
      <c r="C64" s="7">
        <f t="shared" ref="C64:F64" si="20">(C63/C62)*C46</f>
        <v>94.672712489169996</v>
      </c>
      <c r="D64" s="7" t="e">
        <f t="shared" si="20"/>
        <v>#DIV/0!</v>
      </c>
      <c r="E64" s="7" t="e">
        <f t="shared" si="20"/>
        <v>#DIV/0!</v>
      </c>
      <c r="F64" s="7">
        <f t="shared" si="20"/>
        <v>100.04112917256354</v>
      </c>
      <c r="G64" s="7"/>
      <c r="H64" s="7"/>
      <c r="J64" s="13"/>
      <c r="K64" s="13"/>
      <c r="L64" s="13"/>
      <c r="M64" s="13"/>
      <c r="N64" s="13"/>
    </row>
    <row r="65" spans="1:14" x14ac:dyDescent="0.25">
      <c r="A65" s="7" t="s">
        <v>36</v>
      </c>
      <c r="B65" s="10">
        <f>B17/B11</f>
        <v>295072.2163789887</v>
      </c>
      <c r="C65" s="10">
        <f>C17/C11</f>
        <v>234000</v>
      </c>
      <c r="D65" s="10"/>
      <c r="E65" s="10"/>
      <c r="F65" s="10">
        <f t="shared" ref="F65" si="21">F17/F11</f>
        <v>792327.91333333321</v>
      </c>
      <c r="G65" s="7"/>
      <c r="H65" s="7"/>
      <c r="J65" s="13"/>
      <c r="K65" s="13"/>
      <c r="L65" s="13"/>
      <c r="M65" s="13"/>
      <c r="N65" s="13"/>
    </row>
    <row r="66" spans="1:14" x14ac:dyDescent="0.25">
      <c r="A66" s="7" t="s">
        <v>37</v>
      </c>
      <c r="B66" s="10">
        <f>B18/B12</f>
        <v>281056.94114975567</v>
      </c>
      <c r="C66" s="10">
        <f>C18/C12</f>
        <v>213268.98133020577</v>
      </c>
      <c r="D66" s="10">
        <f>D18/D12</f>
        <v>213267.72999231273</v>
      </c>
      <c r="E66" s="10">
        <f>E18/E12</f>
        <v>213272.40321273502</v>
      </c>
      <c r="F66" s="10">
        <f t="shared" ref="F66" si="22">F18/F12</f>
        <v>808149.74240635347</v>
      </c>
      <c r="G66" s="7"/>
      <c r="H66" s="7"/>
      <c r="I66" s="28"/>
      <c r="J66" s="13"/>
      <c r="K66" s="13"/>
      <c r="L66" s="13"/>
      <c r="M66" s="13"/>
      <c r="N66" s="13"/>
    </row>
    <row r="67" spans="1:14" x14ac:dyDescent="0.25">
      <c r="A67" s="12"/>
      <c r="B67" s="7"/>
      <c r="C67" s="7"/>
      <c r="D67" s="7"/>
      <c r="E67" s="7"/>
      <c r="F67" s="7"/>
      <c r="G67" s="7"/>
      <c r="H67" s="7"/>
      <c r="J67" s="13"/>
      <c r="K67" s="13"/>
      <c r="L67" s="13"/>
      <c r="M67" s="13"/>
      <c r="N67" s="13"/>
    </row>
    <row r="68" spans="1:14" x14ac:dyDescent="0.25">
      <c r="A68" s="12" t="s">
        <v>29</v>
      </c>
      <c r="B68" s="7"/>
      <c r="C68" s="7"/>
      <c r="D68" s="7"/>
      <c r="E68" s="7"/>
      <c r="F68" s="7"/>
      <c r="G68" s="7"/>
      <c r="H68" s="7"/>
      <c r="J68" s="13"/>
      <c r="K68" s="13"/>
      <c r="L68" s="13"/>
      <c r="M68" s="13"/>
      <c r="N68" s="13"/>
    </row>
    <row r="69" spans="1:14" x14ac:dyDescent="0.25">
      <c r="A69" s="12" t="s">
        <v>30</v>
      </c>
      <c r="B69" s="7">
        <f>(B24/B23)*100</f>
        <v>111.6047492839767</v>
      </c>
      <c r="C69" s="7"/>
      <c r="D69" s="7"/>
      <c r="E69" s="7"/>
      <c r="F69" s="7"/>
      <c r="G69" s="7"/>
      <c r="H69" s="7"/>
      <c r="J69" s="13"/>
      <c r="K69" s="13"/>
      <c r="L69" s="13"/>
      <c r="M69" s="13"/>
      <c r="N69" s="13"/>
    </row>
    <row r="70" spans="1:14" x14ac:dyDescent="0.25">
      <c r="A70" s="12" t="s">
        <v>31</v>
      </c>
      <c r="B70" s="7">
        <f>(B18/B24)*100</f>
        <v>92.382817752214919</v>
      </c>
      <c r="C70" s="7"/>
      <c r="D70" s="7"/>
      <c r="E70" s="7"/>
      <c r="F70" s="7"/>
      <c r="G70" s="7"/>
      <c r="H70" s="7"/>
      <c r="J70" s="13"/>
      <c r="K70" s="13"/>
      <c r="L70" s="13"/>
      <c r="M70" s="13"/>
      <c r="N70" s="13"/>
    </row>
    <row r="71" spans="1:14" ht="15.75" thickBot="1" x14ac:dyDescent="0.3">
      <c r="A71" s="37"/>
      <c r="B71" s="37"/>
      <c r="C71" s="37"/>
      <c r="D71" s="37"/>
      <c r="E71" s="37"/>
      <c r="F71" s="37"/>
      <c r="G71" s="37"/>
      <c r="H71" s="37"/>
    </row>
    <row r="72" spans="1:14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14" x14ac:dyDescent="0.25">
      <c r="A73" s="12" t="s">
        <v>32</v>
      </c>
      <c r="B73" s="12"/>
      <c r="C73" s="12"/>
      <c r="D73" s="12"/>
      <c r="E73" s="12"/>
      <c r="F73" s="12"/>
      <c r="G73" s="12"/>
      <c r="H73" s="12"/>
    </row>
    <row r="74" spans="1:14" x14ac:dyDescent="0.25">
      <c r="A74" s="12" t="s">
        <v>104</v>
      </c>
      <c r="B74" s="12"/>
      <c r="C74" s="12"/>
      <c r="D74" s="12"/>
      <c r="E74" s="12"/>
      <c r="F74" s="12"/>
      <c r="G74" s="12"/>
      <c r="H74" s="12"/>
    </row>
    <row r="75" spans="1:14" x14ac:dyDescent="0.25">
      <c r="A75" s="12" t="s">
        <v>95</v>
      </c>
      <c r="B75" s="27"/>
      <c r="C75" s="27"/>
      <c r="D75" s="27"/>
      <c r="E75" s="27"/>
      <c r="F75" s="27"/>
      <c r="G75" s="12"/>
      <c r="H75" s="12"/>
    </row>
    <row r="76" spans="1:14" x14ac:dyDescent="0.25">
      <c r="A76" s="12" t="s">
        <v>96</v>
      </c>
      <c r="B76" s="12"/>
      <c r="C76" s="12"/>
      <c r="D76" s="12"/>
      <c r="E76" s="12"/>
      <c r="F76" s="12"/>
      <c r="G76" s="12"/>
      <c r="H76" s="12"/>
    </row>
    <row r="77" spans="1:14" x14ac:dyDescent="0.25">
      <c r="A77" s="12"/>
      <c r="B77" s="12"/>
      <c r="C77" s="12"/>
      <c r="D77" s="12"/>
      <c r="E77" s="12"/>
      <c r="F77" s="12"/>
      <c r="G77" s="12"/>
      <c r="H77" s="12"/>
    </row>
    <row r="78" spans="1:14" x14ac:dyDescent="0.25">
      <c r="A78" s="12" t="s">
        <v>48</v>
      </c>
      <c r="B78" s="12"/>
      <c r="C78" s="12"/>
      <c r="D78" s="12"/>
      <c r="E78" s="12"/>
      <c r="F78" s="12"/>
      <c r="G78" s="12"/>
      <c r="H78" s="12"/>
    </row>
    <row r="79" spans="1:14" x14ac:dyDescent="0.25">
      <c r="A79" s="12" t="s">
        <v>50</v>
      </c>
      <c r="B79" s="12"/>
      <c r="C79" s="12"/>
      <c r="D79" s="12"/>
      <c r="E79" s="12"/>
      <c r="F79" s="12"/>
      <c r="G79" s="12"/>
      <c r="H79" s="12"/>
    </row>
    <row r="80" spans="1:14" x14ac:dyDescent="0.25">
      <c r="A80" s="12" t="s">
        <v>49</v>
      </c>
      <c r="B80" s="12"/>
      <c r="C80" s="12"/>
      <c r="D80" s="12"/>
      <c r="E80" s="12"/>
      <c r="F80" s="12"/>
      <c r="G80" s="12"/>
      <c r="H80" s="12"/>
    </row>
    <row r="81" spans="1:8" x14ac:dyDescent="0.25">
      <c r="A81" s="11" t="s">
        <v>54</v>
      </c>
      <c r="B81" s="12"/>
      <c r="C81" s="12"/>
      <c r="D81" s="12"/>
      <c r="E81" s="12"/>
      <c r="F81" s="12"/>
      <c r="G81" s="12"/>
      <c r="H81" s="12"/>
    </row>
    <row r="82" spans="1:8" x14ac:dyDescent="0.25">
      <c r="A82" s="38" t="s">
        <v>55</v>
      </c>
      <c r="B82" s="12"/>
      <c r="C82" s="12"/>
      <c r="D82" s="12"/>
      <c r="E82" s="12"/>
      <c r="F82" s="12"/>
      <c r="G82" s="12"/>
      <c r="H82" s="12"/>
    </row>
    <row r="83" spans="1:8" x14ac:dyDescent="0.25">
      <c r="A83" s="38" t="s">
        <v>56</v>
      </c>
      <c r="B83" s="12"/>
      <c r="C83" s="12"/>
      <c r="D83" s="12"/>
      <c r="E83" s="12"/>
      <c r="F83" s="12"/>
      <c r="G83" s="12"/>
      <c r="H83" s="12"/>
    </row>
    <row r="84" spans="1:8" x14ac:dyDescent="0.25">
      <c r="A84" s="12"/>
      <c r="B84" s="12"/>
      <c r="C84" s="12"/>
      <c r="D84" s="12"/>
      <c r="E84" s="12"/>
      <c r="F84" s="12"/>
      <c r="G84" s="12"/>
      <c r="H84" s="12"/>
    </row>
    <row r="85" spans="1:8" x14ac:dyDescent="0.25">
      <c r="A85" s="11" t="s">
        <v>135</v>
      </c>
      <c r="B85" s="12"/>
      <c r="C85" s="12"/>
      <c r="D85" s="12"/>
      <c r="E85" s="12"/>
      <c r="F85" s="12"/>
      <c r="G85" s="12"/>
      <c r="H85" s="12"/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="80" zoomScaleNormal="80" workbookViewId="0">
      <selection activeCell="G18" sqref="G18"/>
    </sheetView>
  </sheetViews>
  <sheetFormatPr baseColWidth="10" defaultColWidth="11.42578125" defaultRowHeight="15" x14ac:dyDescent="0.25"/>
  <cols>
    <col min="1" max="1" width="55.140625" style="1" customWidth="1"/>
    <col min="2" max="2" width="20.42578125" style="1" customWidth="1"/>
    <col min="3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4" t="s">
        <v>105</v>
      </c>
      <c r="B2" s="44"/>
      <c r="C2" s="44"/>
      <c r="D2" s="44"/>
      <c r="E2" s="44"/>
      <c r="F2" s="44"/>
      <c r="G2" s="44"/>
      <c r="H2" s="44"/>
    </row>
    <row r="4" spans="1:8" x14ac:dyDescent="0.25">
      <c r="A4" s="42" t="s">
        <v>0</v>
      </c>
      <c r="B4" s="42" t="s">
        <v>38</v>
      </c>
      <c r="C4" s="22"/>
      <c r="D4" s="46" t="s">
        <v>1</v>
      </c>
      <c r="E4" s="46"/>
      <c r="F4" s="47"/>
      <c r="G4" s="42" t="s">
        <v>2</v>
      </c>
      <c r="H4" s="42" t="s">
        <v>3</v>
      </c>
    </row>
    <row r="5" spans="1:8" ht="15.75" thickBot="1" x14ac:dyDescent="0.3">
      <c r="A5" s="43"/>
      <c r="B5" s="43"/>
      <c r="C5" s="45" t="s">
        <v>39</v>
      </c>
      <c r="D5" s="45"/>
      <c r="E5" s="45"/>
      <c r="F5" s="21" t="s">
        <v>57</v>
      </c>
      <c r="G5" s="43"/>
      <c r="H5" s="43"/>
    </row>
    <row r="6" spans="1:8" ht="15.75" thickTop="1" x14ac:dyDescent="0.25">
      <c r="C6" s="24" t="s">
        <v>58</v>
      </c>
      <c r="D6" s="14" t="s">
        <v>51</v>
      </c>
      <c r="E6" s="14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70</v>
      </c>
      <c r="B10" s="10">
        <f>+C10+F10</f>
        <v>110637.33333333334</v>
      </c>
      <c r="C10" s="10">
        <f>SUM(D10:E10)</f>
        <v>106825.66666666667</v>
      </c>
      <c r="D10" s="5">
        <v>77912</v>
      </c>
      <c r="E10" s="5">
        <v>28913.666666666668</v>
      </c>
      <c r="F10" s="5">
        <v>3811.6666666666665</v>
      </c>
      <c r="G10" s="5"/>
    </row>
    <row r="11" spans="1:8" x14ac:dyDescent="0.25">
      <c r="A11" s="4" t="s">
        <v>106</v>
      </c>
      <c r="B11" s="10">
        <f t="shared" ref="B11:B13" si="0">+C11+F11</f>
        <v>106045</v>
      </c>
      <c r="C11" s="10">
        <v>101935</v>
      </c>
      <c r="D11" s="10"/>
      <c r="E11" s="10"/>
      <c r="F11" s="10">
        <v>4110</v>
      </c>
      <c r="G11" s="5"/>
    </row>
    <row r="12" spans="1:8" x14ac:dyDescent="0.25">
      <c r="A12" s="4" t="s">
        <v>107</v>
      </c>
      <c r="B12" s="10">
        <f t="shared" si="0"/>
        <v>114993.33333333334</v>
      </c>
      <c r="C12" s="10">
        <f t="shared" ref="C12" si="1">SUM(D12:E12)</f>
        <v>111030.66666666667</v>
      </c>
      <c r="D12" s="5">
        <v>81347.666666666672</v>
      </c>
      <c r="E12" s="5">
        <v>29683</v>
      </c>
      <c r="F12" s="5">
        <v>3962.6666666666665</v>
      </c>
      <c r="G12" s="5"/>
    </row>
    <row r="13" spans="1:8" x14ac:dyDescent="0.25">
      <c r="A13" s="4" t="s">
        <v>89</v>
      </c>
      <c r="B13" s="10">
        <f t="shared" si="0"/>
        <v>105423.08333333333</v>
      </c>
      <c r="C13" s="10">
        <v>101347.58333333333</v>
      </c>
      <c r="D13" s="10"/>
      <c r="E13" s="10"/>
      <c r="F13" s="10">
        <v>4075.5</v>
      </c>
      <c r="G13" s="5"/>
    </row>
    <row r="14" spans="1:8" x14ac:dyDescent="0.25">
      <c r="C14" s="10"/>
    </row>
    <row r="15" spans="1:8" x14ac:dyDescent="0.25">
      <c r="A15" s="6" t="s">
        <v>5</v>
      </c>
      <c r="C15" s="10"/>
    </row>
    <row r="16" spans="1:8" x14ac:dyDescent="0.25">
      <c r="A16" s="4" t="s">
        <v>70</v>
      </c>
      <c r="B16" s="5">
        <f>+C16+F16+G16+H16</f>
        <v>32397407783.279999</v>
      </c>
      <c r="C16" s="10">
        <f t="shared" ref="C16" si="2">SUM(D16:E16)</f>
        <v>24286210846.420002</v>
      </c>
      <c r="D16" s="10">
        <v>17713374476.759422</v>
      </c>
      <c r="E16" s="10">
        <v>6572836369.6605797</v>
      </c>
      <c r="F16" s="10">
        <v>3023361135.1499996</v>
      </c>
      <c r="G16" s="10">
        <v>3836910801.71</v>
      </c>
      <c r="H16" s="11">
        <v>1250925000</v>
      </c>
    </row>
    <row r="17" spans="1:9" x14ac:dyDescent="0.25">
      <c r="A17" s="4" t="s">
        <v>106</v>
      </c>
      <c r="B17" s="5">
        <f t="shared" ref="B17:B19" si="3">+C17+F17+G17+H17</f>
        <v>31304199282.316658</v>
      </c>
      <c r="C17" s="10">
        <v>23852790000</v>
      </c>
      <c r="D17" s="5"/>
      <c r="E17" s="10"/>
      <c r="F17" s="10">
        <v>3288556005.3666668</v>
      </c>
      <c r="G17" s="10">
        <v>3555777307.8999901</v>
      </c>
      <c r="H17" s="10">
        <v>607075969.04999995</v>
      </c>
    </row>
    <row r="18" spans="1:9" s="12" customFormat="1" x14ac:dyDescent="0.25">
      <c r="A18" s="33" t="s">
        <v>107</v>
      </c>
      <c r="B18" s="10">
        <f t="shared" si="3"/>
        <v>33581258044.060001</v>
      </c>
      <c r="C18" s="10">
        <f>D18+E18</f>
        <v>24883328562.400002</v>
      </c>
      <c r="D18" s="10">
        <v>18230937775.940075</v>
      </c>
      <c r="E18" s="10">
        <v>6652390786.4599266</v>
      </c>
      <c r="F18" s="10">
        <v>3225759147</v>
      </c>
      <c r="G18" s="10">
        <v>3992670334.6499996</v>
      </c>
      <c r="H18" s="11">
        <v>1479500000.0099998</v>
      </c>
    </row>
    <row r="19" spans="1:9" ht="13.5" customHeight="1" x14ac:dyDescent="0.25">
      <c r="A19" s="4" t="s">
        <v>89</v>
      </c>
      <c r="B19" s="5">
        <f t="shared" si="3"/>
        <v>134045937747.91995</v>
      </c>
      <c r="C19" s="10">
        <v>103316305798.72</v>
      </c>
      <c r="D19" s="10"/>
      <c r="E19" s="10"/>
      <c r="F19" s="10">
        <v>14078218841.399998</v>
      </c>
      <c r="G19" s="10">
        <v>14223109231.599958</v>
      </c>
      <c r="H19" s="10">
        <v>2428303876.1999993</v>
      </c>
    </row>
    <row r="20" spans="1:9" x14ac:dyDescent="0.25">
      <c r="A20" s="33" t="s">
        <v>108</v>
      </c>
      <c r="B20" s="29">
        <f>C20+F20+G20</f>
        <v>32101758044.050003</v>
      </c>
      <c r="C20" s="29">
        <f t="shared" ref="C20" si="4">SUM(D20:E20)</f>
        <v>24883328562.400002</v>
      </c>
      <c r="D20" s="10">
        <f>+D18</f>
        <v>18230937775.940075</v>
      </c>
      <c r="E20" s="10">
        <f t="shared" ref="E20:G20" si="5">+E18</f>
        <v>6652390786.4599266</v>
      </c>
      <c r="F20" s="10">
        <f t="shared" si="5"/>
        <v>3225759147</v>
      </c>
      <c r="G20" s="29">
        <f t="shared" si="5"/>
        <v>3992670334.6499996</v>
      </c>
      <c r="H20" s="10"/>
      <c r="I20" s="28"/>
    </row>
    <row r="21" spans="1:9" x14ac:dyDescent="0.25">
      <c r="A21" s="12"/>
      <c r="B21" s="10"/>
      <c r="C21" s="10"/>
      <c r="D21" s="10"/>
      <c r="E21" s="10"/>
      <c r="F21" s="10"/>
      <c r="G21" s="10"/>
      <c r="H21" s="12"/>
    </row>
    <row r="22" spans="1:9" x14ac:dyDescent="0.25">
      <c r="A22" s="34" t="s">
        <v>6</v>
      </c>
      <c r="B22" s="10"/>
      <c r="C22" s="10"/>
      <c r="D22" s="10"/>
      <c r="E22" s="10"/>
      <c r="F22" s="10"/>
      <c r="G22" s="10"/>
      <c r="H22" s="10"/>
    </row>
    <row r="23" spans="1:9" x14ac:dyDescent="0.25">
      <c r="A23" s="33" t="s">
        <v>106</v>
      </c>
      <c r="B23" s="10">
        <f>B17</f>
        <v>31304199282.316658</v>
      </c>
      <c r="C23" s="10"/>
      <c r="D23" s="10"/>
      <c r="E23" s="10"/>
      <c r="F23" s="10"/>
      <c r="G23" s="10"/>
      <c r="H23" s="10"/>
    </row>
    <row r="24" spans="1:9" x14ac:dyDescent="0.25">
      <c r="A24" s="33" t="s">
        <v>107</v>
      </c>
      <c r="B24" s="10">
        <v>25478616029.43</v>
      </c>
      <c r="C24" s="10"/>
      <c r="D24" s="10"/>
      <c r="E24" s="10"/>
      <c r="F24" s="10"/>
      <c r="G24" s="10"/>
      <c r="H24" s="10"/>
    </row>
    <row r="25" spans="1:9" x14ac:dyDescent="0.25">
      <c r="A25" s="12"/>
      <c r="B25" s="12"/>
      <c r="C25" s="12"/>
      <c r="D25" s="12"/>
      <c r="E25" s="12"/>
      <c r="F25" s="12"/>
      <c r="G25" s="12"/>
      <c r="H25" s="12"/>
    </row>
    <row r="26" spans="1:9" x14ac:dyDescent="0.25">
      <c r="A26" s="12" t="s">
        <v>7</v>
      </c>
      <c r="B26" s="12"/>
      <c r="C26" s="12"/>
      <c r="D26" s="12"/>
      <c r="E26" s="12"/>
      <c r="F26" s="12"/>
      <c r="G26" s="12"/>
      <c r="H26" s="12"/>
    </row>
    <row r="27" spans="1:9" x14ac:dyDescent="0.25">
      <c r="A27" s="33" t="s">
        <v>71</v>
      </c>
      <c r="B27" s="32">
        <v>0.99</v>
      </c>
      <c r="C27" s="32">
        <v>0.99</v>
      </c>
      <c r="D27" s="32">
        <v>0.99</v>
      </c>
      <c r="E27" s="32">
        <v>0.99</v>
      </c>
      <c r="F27" s="32">
        <v>0.99</v>
      </c>
      <c r="G27" s="32">
        <v>0.99</v>
      </c>
      <c r="H27" s="32">
        <v>0.99</v>
      </c>
    </row>
    <row r="28" spans="1:9" x14ac:dyDescent="0.25">
      <c r="A28" s="33" t="s">
        <v>109</v>
      </c>
      <c r="B28" s="32">
        <v>1.01</v>
      </c>
      <c r="C28" s="32">
        <v>1.01</v>
      </c>
      <c r="D28" s="32">
        <v>1.01</v>
      </c>
      <c r="E28" s="32">
        <v>1.01</v>
      </c>
      <c r="F28" s="32">
        <v>1.01</v>
      </c>
      <c r="G28" s="32">
        <v>1.01</v>
      </c>
      <c r="H28" s="32">
        <v>1.01</v>
      </c>
    </row>
    <row r="29" spans="1:9" x14ac:dyDescent="0.25">
      <c r="A29" s="33" t="s">
        <v>8</v>
      </c>
      <c r="B29" s="11">
        <f>+D29+F29</f>
        <v>104137</v>
      </c>
      <c r="C29" s="25"/>
      <c r="D29" s="11">
        <v>98025</v>
      </c>
      <c r="E29" s="11" t="s">
        <v>53</v>
      </c>
      <c r="F29" s="11">
        <v>6112</v>
      </c>
      <c r="G29" s="11"/>
      <c r="H29" s="11"/>
    </row>
    <row r="30" spans="1:9" x14ac:dyDescent="0.25">
      <c r="A30" s="12"/>
      <c r="B30" s="12"/>
      <c r="C30" s="12"/>
      <c r="D30" s="12"/>
      <c r="E30" s="12"/>
      <c r="F30" s="12"/>
      <c r="G30" s="12"/>
      <c r="H30" s="12"/>
    </row>
    <row r="31" spans="1:9" x14ac:dyDescent="0.25">
      <c r="A31" s="35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72</v>
      </c>
      <c r="B32" s="10">
        <f t="shared" ref="B32:H32" si="6">B16/B27</f>
        <v>32724654326.545452</v>
      </c>
      <c r="C32" s="10">
        <f t="shared" si="6"/>
        <v>24531526107.494953</v>
      </c>
      <c r="D32" s="10">
        <f t="shared" si="6"/>
        <v>17892297451.272144</v>
      </c>
      <c r="E32" s="10">
        <f t="shared" si="6"/>
        <v>6639228656.2228079</v>
      </c>
      <c r="F32" s="10">
        <f t="shared" si="6"/>
        <v>3053900136.515151</v>
      </c>
      <c r="G32" s="10">
        <f t="shared" si="6"/>
        <v>3875667476.4747477</v>
      </c>
      <c r="H32" s="10">
        <f t="shared" si="6"/>
        <v>1263560606.060606</v>
      </c>
    </row>
    <row r="33" spans="1:8" x14ac:dyDescent="0.25">
      <c r="A33" s="12" t="s">
        <v>110</v>
      </c>
      <c r="B33" s="10">
        <f t="shared" ref="B33:H33" si="7">B18/B28</f>
        <v>33248770340.653465</v>
      </c>
      <c r="C33" s="10">
        <f t="shared" si="7"/>
        <v>24636958972.673267</v>
      </c>
      <c r="D33" s="10">
        <f t="shared" si="7"/>
        <v>18050433441.524826</v>
      </c>
      <c r="E33" s="10">
        <f t="shared" si="7"/>
        <v>6586525531.1484423</v>
      </c>
      <c r="F33" s="10">
        <f t="shared" si="7"/>
        <v>3193820937.6237621</v>
      </c>
      <c r="G33" s="10">
        <f t="shared" si="7"/>
        <v>3953138945.1980195</v>
      </c>
      <c r="H33" s="10">
        <f t="shared" si="7"/>
        <v>1464851485.1584156</v>
      </c>
    </row>
    <row r="34" spans="1:8" x14ac:dyDescent="0.25">
      <c r="A34" s="12" t="s">
        <v>73</v>
      </c>
      <c r="B34" s="10">
        <f>B32/B10</f>
        <v>295783.10811189818</v>
      </c>
      <c r="C34" s="10">
        <f t="shared" ref="C34:F34" si="8">C32/C10</f>
        <v>229640.74901626279</v>
      </c>
      <c r="D34" s="10">
        <f t="shared" si="8"/>
        <v>229647.51837036843</v>
      </c>
      <c r="E34" s="10">
        <f t="shared" si="8"/>
        <v>229622.50802582887</v>
      </c>
      <c r="F34" s="10">
        <f t="shared" si="8"/>
        <v>801198.11189728498</v>
      </c>
      <c r="G34" s="10"/>
      <c r="H34" s="10"/>
    </row>
    <row r="35" spans="1:8" x14ac:dyDescent="0.25">
      <c r="A35" s="12" t="s">
        <v>111</v>
      </c>
      <c r="B35" s="10">
        <f>B33/B12</f>
        <v>289136.50362908107</v>
      </c>
      <c r="C35" s="10">
        <f t="shared" ref="C35:F35" si="9">C33/C12</f>
        <v>221893.28148985805</v>
      </c>
      <c r="D35" s="10">
        <f t="shared" si="9"/>
        <v>221892.4547091065</v>
      </c>
      <c r="E35" s="10">
        <f t="shared" si="9"/>
        <v>221895.54732164682</v>
      </c>
      <c r="F35" s="10">
        <f t="shared" si="9"/>
        <v>805977.6928727529</v>
      </c>
      <c r="G35" s="10"/>
      <c r="H35" s="10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35" t="s">
        <v>10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11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12</v>
      </c>
      <c r="B40" s="7">
        <f>(B11/B29)*100</f>
        <v>101.83220181107579</v>
      </c>
      <c r="C40" s="7"/>
      <c r="D40" s="7">
        <f>(C11)/D29*100</f>
        <v>103.98877837286406</v>
      </c>
      <c r="E40" s="7"/>
      <c r="F40" s="7">
        <f>(F11)/F29*100</f>
        <v>67.244764397905755</v>
      </c>
      <c r="G40" s="7"/>
      <c r="H40" s="12"/>
    </row>
    <row r="41" spans="1:8" x14ac:dyDescent="0.25">
      <c r="A41" s="12" t="s">
        <v>13</v>
      </c>
      <c r="B41" s="7">
        <f>((D12+F12)/B29)*100</f>
        <v>81.921251172333882</v>
      </c>
      <c r="C41" s="36"/>
      <c r="D41" s="7">
        <f>(D12)/D29*100</f>
        <v>82.98665306469438</v>
      </c>
      <c r="E41" s="7"/>
      <c r="F41" s="7">
        <f t="shared" ref="F41" si="10">(F12)/F29*100</f>
        <v>64.83420593368237</v>
      </c>
      <c r="G41" s="7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14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15</v>
      </c>
      <c r="B44" s="7">
        <f>B12/B11*100</f>
        <v>108.43824162698226</v>
      </c>
      <c r="C44" s="7">
        <f>C12/C11*100</f>
        <v>108.92300649106457</v>
      </c>
      <c r="D44" s="7"/>
      <c r="E44" s="7"/>
      <c r="F44" s="7">
        <f>F12/F11*100</f>
        <v>96.415247364152464</v>
      </c>
      <c r="G44" s="7"/>
      <c r="H44" s="12"/>
    </row>
    <row r="45" spans="1:8" x14ac:dyDescent="0.25">
      <c r="A45" s="12" t="s">
        <v>16</v>
      </c>
      <c r="B45" s="7">
        <f>B18/B17*100</f>
        <v>107.27397222720091</v>
      </c>
      <c r="C45" s="7">
        <f>C18/C17*100</f>
        <v>104.32041099762334</v>
      </c>
      <c r="D45" s="7"/>
      <c r="E45" s="7"/>
      <c r="F45" s="7">
        <f>F18/F17*100</f>
        <v>98.090442788135974</v>
      </c>
      <c r="G45" s="7">
        <f>G18/G17*100</f>
        <v>112.28685007296014</v>
      </c>
      <c r="H45" s="7">
        <f>H18/H17*100</f>
        <v>243.70920205015483</v>
      </c>
    </row>
    <row r="46" spans="1:8" x14ac:dyDescent="0.25">
      <c r="A46" s="12" t="s">
        <v>17</v>
      </c>
      <c r="B46" s="7">
        <f>AVERAGE(B44:B45)</f>
        <v>107.85610692709159</v>
      </c>
      <c r="C46" s="7">
        <f>AVERAGE(C44:C45)</f>
        <v>106.62170874434395</v>
      </c>
      <c r="D46" s="7"/>
      <c r="E46" s="7"/>
      <c r="F46" s="7">
        <f t="shared" ref="F46:H46" si="11">AVERAGE(F44:F45)</f>
        <v>97.252845076144212</v>
      </c>
      <c r="G46" s="7">
        <f>AVERAGE(G44:G45)</f>
        <v>112.28685007296014</v>
      </c>
      <c r="H46" s="7">
        <f t="shared" si="11"/>
        <v>243.70920205015483</v>
      </c>
    </row>
    <row r="47" spans="1:8" x14ac:dyDescent="0.25">
      <c r="A47" s="12"/>
      <c r="B47" s="7"/>
      <c r="C47" s="7"/>
      <c r="D47" s="7"/>
      <c r="E47" s="7"/>
      <c r="F47" s="7"/>
      <c r="G47" s="7"/>
      <c r="H47" s="7"/>
    </row>
    <row r="48" spans="1:8" x14ac:dyDescent="0.25">
      <c r="A48" s="12" t="s">
        <v>18</v>
      </c>
      <c r="B48" s="12"/>
      <c r="C48" s="12"/>
      <c r="D48" s="12"/>
      <c r="E48" s="12"/>
      <c r="F48" s="12"/>
      <c r="G48" s="12"/>
      <c r="H48" s="12"/>
    </row>
    <row r="49" spans="1:9" s="12" customFormat="1" x14ac:dyDescent="0.25">
      <c r="A49" s="12" t="s">
        <v>19</v>
      </c>
      <c r="B49" s="7">
        <f>B12/(B13)*100</f>
        <v>109.07794545312264</v>
      </c>
      <c r="C49" s="7">
        <f t="shared" ref="C49:F49" si="12">C12/(C13)*100</f>
        <v>109.55433076434153</v>
      </c>
      <c r="D49" s="7"/>
      <c r="E49" s="7"/>
      <c r="F49" s="7">
        <f t="shared" si="12"/>
        <v>97.231423547213012</v>
      </c>
      <c r="G49" s="7"/>
      <c r="H49" s="7"/>
      <c r="I49" s="16"/>
    </row>
    <row r="50" spans="1:9" x14ac:dyDescent="0.25">
      <c r="A50" s="12" t="s">
        <v>20</v>
      </c>
      <c r="B50" s="7">
        <f>B18/B19*100</f>
        <v>25.052052011610549</v>
      </c>
      <c r="C50" s="7">
        <f>C18/C19*100</f>
        <v>24.084609268625517</v>
      </c>
      <c r="D50" s="7"/>
      <c r="E50" s="7"/>
      <c r="F50" s="7">
        <f>F18/F19*100</f>
        <v>22.913119786957488</v>
      </c>
      <c r="G50" s="7">
        <f>G18/G19*100</f>
        <v>28.071712518240034</v>
      </c>
      <c r="H50" s="7">
        <f>H18/H19*100</f>
        <v>60.927300512538721</v>
      </c>
    </row>
    <row r="51" spans="1:9" x14ac:dyDescent="0.25">
      <c r="A51" s="12" t="s">
        <v>21</v>
      </c>
      <c r="B51" s="7">
        <f>(B49+B50)/2</f>
        <v>67.06499873236659</v>
      </c>
      <c r="C51" s="7">
        <f t="shared" ref="C51" si="13">(C49+C50)/2</f>
        <v>66.819470016483521</v>
      </c>
      <c r="D51" s="7"/>
      <c r="E51" s="7"/>
      <c r="F51" s="7">
        <f t="shared" ref="F51" si="14">(F49+F50)/2</f>
        <v>60.072271667085246</v>
      </c>
      <c r="G51" s="7">
        <f>AVERAGE(G49:G50)</f>
        <v>28.071712518240034</v>
      </c>
      <c r="H51" s="7">
        <f t="shared" ref="H51" si="15">AVERAGE(H49:H50)</f>
        <v>60.927300512538721</v>
      </c>
    </row>
    <row r="52" spans="1:9" x14ac:dyDescent="0.25">
      <c r="A52" s="12"/>
      <c r="B52" s="12"/>
      <c r="C52" s="12"/>
      <c r="D52" s="12"/>
      <c r="E52" s="12"/>
      <c r="F52" s="12"/>
      <c r="G52" s="12"/>
      <c r="H52" s="12"/>
    </row>
    <row r="53" spans="1:9" x14ac:dyDescent="0.25">
      <c r="A53" s="12" t="s">
        <v>33</v>
      </c>
      <c r="B53" s="12"/>
      <c r="C53" s="12"/>
      <c r="D53" s="12"/>
      <c r="E53" s="12"/>
      <c r="F53" s="12"/>
      <c r="G53" s="12"/>
      <c r="H53" s="12"/>
    </row>
    <row r="54" spans="1:9" x14ac:dyDescent="0.25">
      <c r="A54" s="12" t="s">
        <v>22</v>
      </c>
      <c r="B54" s="7">
        <f>(B20/B18)*100</f>
        <v>95.594268689788706</v>
      </c>
      <c r="C54" s="7"/>
      <c r="D54" s="7"/>
      <c r="E54" s="7"/>
      <c r="F54" s="7"/>
      <c r="G54" s="7"/>
      <c r="H54" s="7"/>
    </row>
    <row r="55" spans="1:9" x14ac:dyDescent="0.25">
      <c r="A55" s="12"/>
      <c r="B55" s="12"/>
      <c r="C55" s="12"/>
      <c r="D55" s="12"/>
      <c r="E55" s="12"/>
      <c r="F55" s="12"/>
      <c r="G55" s="12"/>
      <c r="H55" s="12"/>
    </row>
    <row r="56" spans="1:9" x14ac:dyDescent="0.25">
      <c r="A56" s="12" t="s">
        <v>23</v>
      </c>
      <c r="B56" s="12"/>
      <c r="C56" s="12"/>
      <c r="D56" s="12"/>
      <c r="E56" s="12"/>
      <c r="F56" s="12"/>
      <c r="G56" s="12"/>
      <c r="H56" s="12"/>
    </row>
    <row r="57" spans="1:9" x14ac:dyDescent="0.25">
      <c r="A57" s="12" t="s">
        <v>24</v>
      </c>
      <c r="B57" s="7">
        <f>((B12/B10)-1)*100</f>
        <v>3.9371881703584188</v>
      </c>
      <c r="C57" s="7">
        <f>((C12/C10)-1)*100</f>
        <v>3.9363199231146062</v>
      </c>
      <c r="D57" s="7">
        <f t="shared" ref="D57:F57" si="16">((D12/D10)-1)*100</f>
        <v>4.4096758736352104</v>
      </c>
      <c r="E57" s="7">
        <f t="shared" si="16"/>
        <v>2.6607947798618747</v>
      </c>
      <c r="F57" s="7">
        <f t="shared" si="16"/>
        <v>3.9615216440752166</v>
      </c>
      <c r="G57" s="7"/>
      <c r="H57" s="7"/>
    </row>
    <row r="58" spans="1:9" x14ac:dyDescent="0.25">
      <c r="A58" s="12" t="s">
        <v>25</v>
      </c>
      <c r="B58" s="7">
        <f>((B33/B32)-1)*100</f>
        <v>1.6015937368752065</v>
      </c>
      <c r="C58" s="7">
        <f>((C33/C32)-1)*100</f>
        <v>0.42978518627956319</v>
      </c>
      <c r="D58" s="7">
        <f t="shared" ref="D58:G58" si="17">((D33/D32)-1)*100</f>
        <v>0.88382160358864148</v>
      </c>
      <c r="E58" s="7">
        <f t="shared" si="17"/>
        <v>-0.79381397754644256</v>
      </c>
      <c r="F58" s="7">
        <f t="shared" si="17"/>
        <v>4.5817084663507313</v>
      </c>
      <c r="G58" s="7">
        <f t="shared" si="17"/>
        <v>1.9989193911377212</v>
      </c>
      <c r="H58" s="7">
        <f>((H33/H32)-1)*100</f>
        <v>15.930449092218279</v>
      </c>
    </row>
    <row r="59" spans="1:9" x14ac:dyDescent="0.25">
      <c r="A59" s="12" t="s">
        <v>26</v>
      </c>
      <c r="B59" s="7">
        <f>((B35/B34)-1)*100</f>
        <v>-2.2471210493543947</v>
      </c>
      <c r="C59" s="7">
        <f>((C35/C34)-1)*100</f>
        <v>-3.3737337818281032</v>
      </c>
      <c r="D59" s="7">
        <f t="shared" ref="D59:F59" si="18">((D35/D34)-1)*100</f>
        <v>-3.3769420703056774</v>
      </c>
      <c r="E59" s="7">
        <f t="shared" si="18"/>
        <v>-3.3650711206903439</v>
      </c>
      <c r="F59" s="7">
        <f t="shared" si="18"/>
        <v>0.5965541985801126</v>
      </c>
      <c r="G59" s="7"/>
      <c r="H59" s="7"/>
    </row>
    <row r="60" spans="1:9" x14ac:dyDescent="0.25">
      <c r="A60" s="12"/>
      <c r="B60" s="7"/>
      <c r="C60" s="7"/>
      <c r="D60" s="7"/>
      <c r="E60" s="7"/>
      <c r="F60" s="7"/>
      <c r="G60" s="7"/>
      <c r="H60" s="7"/>
    </row>
    <row r="61" spans="1:9" x14ac:dyDescent="0.25">
      <c r="A61" s="12" t="s">
        <v>27</v>
      </c>
      <c r="B61" s="12"/>
      <c r="C61" s="12"/>
      <c r="D61" s="12"/>
      <c r="E61" s="12"/>
      <c r="F61" s="12"/>
      <c r="G61" s="12"/>
      <c r="H61" s="12"/>
    </row>
    <row r="62" spans="1:9" x14ac:dyDescent="0.25">
      <c r="A62" s="12" t="s">
        <v>34</v>
      </c>
      <c r="B62" s="10">
        <f>B17/(B11*3)</f>
        <v>98399.10504130843</v>
      </c>
      <c r="C62" s="10">
        <f>C17/(C11*3)</f>
        <v>78000</v>
      </c>
      <c r="D62" s="10"/>
      <c r="E62" s="10"/>
      <c r="F62" s="10">
        <f t="shared" ref="F62" si="19">F17/(F11*3)</f>
        <v>266711.76037037041</v>
      </c>
      <c r="G62" s="10"/>
      <c r="H62" s="10"/>
    </row>
    <row r="63" spans="1:9" x14ac:dyDescent="0.25">
      <c r="A63" s="12" t="s">
        <v>35</v>
      </c>
      <c r="B63" s="10">
        <f>B18/(B12*3)</f>
        <v>97342.622888457307</v>
      </c>
      <c r="C63" s="10">
        <f>C18/(C12*3)</f>
        <v>74704.071434918893</v>
      </c>
      <c r="D63" s="10">
        <f t="shared" ref="D63:F63" si="20">D18/(D12*3)</f>
        <v>74703.793085399186</v>
      </c>
      <c r="E63" s="10">
        <f t="shared" si="20"/>
        <v>74704.834264954421</v>
      </c>
      <c r="F63" s="10">
        <f t="shared" si="20"/>
        <v>271345.82326716016</v>
      </c>
      <c r="G63" s="10"/>
      <c r="H63" s="10"/>
    </row>
    <row r="64" spans="1:9" x14ac:dyDescent="0.25">
      <c r="A64" s="12" t="s">
        <v>28</v>
      </c>
      <c r="B64" s="7">
        <f>(B63/B62)*B46</f>
        <v>106.69808773579265</v>
      </c>
      <c r="C64" s="7">
        <f t="shared" ref="C64:F64" si="21">(C63/C62)*C46</f>
        <v>102.11635572500752</v>
      </c>
      <c r="D64" s="7" t="e">
        <f t="shared" si="21"/>
        <v>#DIV/0!</v>
      </c>
      <c r="E64" s="7" t="e">
        <f t="shared" si="21"/>
        <v>#DIV/0!</v>
      </c>
      <c r="F64" s="7">
        <f t="shared" si="21"/>
        <v>98.942593590978234</v>
      </c>
      <c r="G64" s="7"/>
      <c r="H64" s="7"/>
    </row>
    <row r="65" spans="1:9" x14ac:dyDescent="0.25">
      <c r="A65" s="7" t="s">
        <v>36</v>
      </c>
      <c r="B65" s="10">
        <f>B17/B11</f>
        <v>295197.31512392528</v>
      </c>
      <c r="C65" s="10">
        <f>C17/C11</f>
        <v>234000</v>
      </c>
      <c r="D65" s="10"/>
      <c r="E65" s="10"/>
      <c r="F65" s="10">
        <f t="shared" ref="F65" si="22">F17/F11</f>
        <v>800135.28111111117</v>
      </c>
      <c r="G65" s="7"/>
      <c r="H65" s="7"/>
    </row>
    <row r="66" spans="1:9" x14ac:dyDescent="0.25">
      <c r="A66" s="7" t="s">
        <v>37</v>
      </c>
      <c r="B66" s="10">
        <f>B18/B12</f>
        <v>292027.86866537191</v>
      </c>
      <c r="C66" s="10">
        <f>C18/C12</f>
        <v>224112.21430475664</v>
      </c>
      <c r="D66" s="10">
        <f>D18/D12</f>
        <v>224111.37925619757</v>
      </c>
      <c r="E66" s="10">
        <f t="shared" ref="E66:F66" si="23">E18/E12</f>
        <v>224114.50279486328</v>
      </c>
      <c r="F66" s="10">
        <f t="shared" si="23"/>
        <v>814037.46980148053</v>
      </c>
      <c r="G66" s="7"/>
      <c r="H66" s="7"/>
      <c r="I66" s="28"/>
    </row>
    <row r="67" spans="1:9" x14ac:dyDescent="0.25">
      <c r="A67" s="12"/>
      <c r="B67" s="7"/>
      <c r="C67" s="7"/>
      <c r="D67" s="7"/>
      <c r="E67" s="7"/>
      <c r="F67" s="7"/>
      <c r="G67" s="7"/>
      <c r="H67" s="7"/>
    </row>
    <row r="68" spans="1:9" x14ac:dyDescent="0.25">
      <c r="A68" s="12" t="s">
        <v>29</v>
      </c>
      <c r="B68" s="7"/>
      <c r="C68" s="7"/>
      <c r="D68" s="7"/>
      <c r="E68" s="7"/>
      <c r="F68" s="7"/>
      <c r="G68" s="7"/>
      <c r="H68" s="7"/>
    </row>
    <row r="69" spans="1:9" x14ac:dyDescent="0.25">
      <c r="A69" s="12" t="s">
        <v>30</v>
      </c>
      <c r="B69" s="7">
        <f>(B24/B23)*100</f>
        <v>81.390409636903073</v>
      </c>
      <c r="C69" s="7"/>
      <c r="D69" s="7"/>
      <c r="E69" s="7"/>
      <c r="F69" s="7"/>
      <c r="G69" s="7"/>
      <c r="H69" s="7"/>
    </row>
    <row r="70" spans="1:9" x14ac:dyDescent="0.25">
      <c r="A70" s="12" t="s">
        <v>31</v>
      </c>
      <c r="B70" s="7">
        <f>(B18/B24)*100</f>
        <v>131.8017352483775</v>
      </c>
      <c r="C70" s="7"/>
      <c r="D70" s="7"/>
      <c r="E70" s="7"/>
      <c r="F70" s="7"/>
      <c r="G70" s="7"/>
      <c r="H70" s="7"/>
    </row>
    <row r="71" spans="1:9" ht="15.75" thickBot="1" x14ac:dyDescent="0.3">
      <c r="A71" s="37"/>
      <c r="B71" s="37"/>
      <c r="C71" s="37"/>
      <c r="D71" s="37"/>
      <c r="E71" s="37"/>
      <c r="F71" s="37"/>
      <c r="G71" s="37"/>
      <c r="H71" s="37"/>
    </row>
    <row r="72" spans="1:9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9" x14ac:dyDescent="0.25">
      <c r="A73" s="12" t="s">
        <v>32</v>
      </c>
      <c r="B73" s="12"/>
      <c r="C73" s="12"/>
      <c r="D73" s="12"/>
      <c r="E73" s="12"/>
      <c r="F73" s="12"/>
      <c r="G73" s="12"/>
      <c r="H73" s="12"/>
    </row>
    <row r="74" spans="1:9" x14ac:dyDescent="0.25">
      <c r="A74" s="12" t="s">
        <v>94</v>
      </c>
      <c r="B74" s="12"/>
      <c r="C74" s="12"/>
      <c r="D74" s="12"/>
      <c r="E74" s="12"/>
      <c r="F74" s="12"/>
      <c r="G74" s="12"/>
      <c r="H74" s="12"/>
    </row>
    <row r="75" spans="1:9" x14ac:dyDescent="0.25">
      <c r="A75" s="12" t="s">
        <v>95</v>
      </c>
      <c r="B75" s="27"/>
      <c r="C75" s="27"/>
      <c r="D75" s="27"/>
      <c r="E75" s="27"/>
      <c r="F75" s="27"/>
      <c r="G75" s="12"/>
      <c r="H75" s="12"/>
    </row>
    <row r="76" spans="1:9" x14ac:dyDescent="0.25">
      <c r="A76" s="12" t="s">
        <v>96</v>
      </c>
      <c r="B76" s="12"/>
      <c r="C76" s="12"/>
      <c r="D76" s="12"/>
      <c r="E76" s="12"/>
      <c r="F76" s="12"/>
      <c r="G76" s="12"/>
      <c r="H76" s="12"/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19" t="s">
        <v>54</v>
      </c>
    </row>
    <row r="82" spans="1:1" x14ac:dyDescent="0.25">
      <c r="A82" s="20" t="s">
        <v>55</v>
      </c>
    </row>
    <row r="83" spans="1:1" x14ac:dyDescent="0.25">
      <c r="A83" s="20" t="s">
        <v>56</v>
      </c>
    </row>
    <row r="85" spans="1:1" x14ac:dyDescent="0.25">
      <c r="A85" s="11" t="s">
        <v>136</v>
      </c>
    </row>
  </sheetData>
  <mergeCells count="7">
    <mergeCell ref="A2:H2"/>
    <mergeCell ref="A4:A5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opLeftCell="A46" zoomScale="90" zoomScaleNormal="90" workbookViewId="0">
      <selection activeCell="K19" sqref="K19"/>
    </sheetView>
  </sheetViews>
  <sheetFormatPr baseColWidth="10" defaultColWidth="11.42578125" defaultRowHeight="15" x14ac:dyDescent="0.25"/>
  <cols>
    <col min="1" max="1" width="55.140625" style="1" customWidth="1"/>
    <col min="2" max="2" width="21" style="1" customWidth="1"/>
    <col min="3" max="3" width="27" style="1" customWidth="1"/>
    <col min="4" max="4" width="22.28515625" style="1" customWidth="1"/>
    <col min="5" max="5" width="17" style="1" bestFit="1" customWidth="1"/>
    <col min="6" max="6" width="20.7109375" style="1" customWidth="1"/>
    <col min="7" max="7" width="21.28515625" style="1" customWidth="1"/>
    <col min="8" max="8" width="17.5703125" style="1" bestFit="1" customWidth="1"/>
    <col min="9" max="16384" width="11.42578125" style="1"/>
  </cols>
  <sheetData>
    <row r="2" spans="1:8" ht="15.75" x14ac:dyDescent="0.25">
      <c r="A2" s="44" t="s">
        <v>112</v>
      </c>
      <c r="B2" s="44"/>
      <c r="C2" s="44"/>
      <c r="D2" s="44"/>
      <c r="E2" s="44"/>
      <c r="F2" s="44"/>
      <c r="G2" s="44"/>
      <c r="H2" s="44"/>
    </row>
    <row r="4" spans="1:8" x14ac:dyDescent="0.25">
      <c r="A4" s="42" t="s">
        <v>0</v>
      </c>
      <c r="B4" s="42" t="s">
        <v>38</v>
      </c>
      <c r="C4" s="22"/>
      <c r="D4" s="46" t="s">
        <v>1</v>
      </c>
      <c r="E4" s="46"/>
      <c r="F4" s="47"/>
      <c r="G4" s="42" t="s">
        <v>2</v>
      </c>
      <c r="H4" s="42" t="s">
        <v>3</v>
      </c>
    </row>
    <row r="5" spans="1:8" ht="15.75" thickBot="1" x14ac:dyDescent="0.3">
      <c r="A5" s="43"/>
      <c r="B5" s="43"/>
      <c r="C5" s="45" t="s">
        <v>39</v>
      </c>
      <c r="D5" s="45"/>
      <c r="E5" s="45"/>
      <c r="F5" s="21" t="s">
        <v>57</v>
      </c>
      <c r="G5" s="43"/>
      <c r="H5" s="43"/>
    </row>
    <row r="6" spans="1:8" ht="15.75" thickTop="1" x14ac:dyDescent="0.25">
      <c r="C6" s="24" t="s">
        <v>58</v>
      </c>
      <c r="D6" s="14" t="s">
        <v>51</v>
      </c>
      <c r="E6" s="14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74</v>
      </c>
      <c r="B10" s="10">
        <f>+C10+F10</f>
        <v>111704.66666666667</v>
      </c>
      <c r="C10" s="10">
        <f>SUM(D10:E10)</f>
        <v>107858</v>
      </c>
      <c r="D10" s="10">
        <v>78795</v>
      </c>
      <c r="E10" s="5">
        <v>29063</v>
      </c>
      <c r="F10" s="5">
        <v>3846.6666666666665</v>
      </c>
      <c r="G10" s="5"/>
    </row>
    <row r="11" spans="1:8" x14ac:dyDescent="0.25">
      <c r="A11" s="4" t="s">
        <v>113</v>
      </c>
      <c r="B11" s="10">
        <f>C11+F11</f>
        <v>106374</v>
      </c>
      <c r="C11" s="10">
        <v>102195</v>
      </c>
      <c r="E11" s="10"/>
      <c r="F11" s="10">
        <v>4179</v>
      </c>
      <c r="G11" s="5"/>
    </row>
    <row r="12" spans="1:8" x14ac:dyDescent="0.25">
      <c r="A12" s="4" t="s">
        <v>114</v>
      </c>
      <c r="B12" s="10">
        <f t="shared" ref="B12:B13" si="0">+C12+F12</f>
        <v>116232.33333333333</v>
      </c>
      <c r="C12" s="10">
        <f t="shared" ref="C12" si="1">SUM(D12:E12)</f>
        <v>112224.66666666666</v>
      </c>
      <c r="D12" s="10">
        <v>82321.333333333328</v>
      </c>
      <c r="E12" s="5">
        <v>29903.333333333332</v>
      </c>
      <c r="F12" s="5">
        <v>4007.6666666666665</v>
      </c>
      <c r="G12" s="5"/>
    </row>
    <row r="13" spans="1:8" x14ac:dyDescent="0.25">
      <c r="A13" s="4" t="s">
        <v>89</v>
      </c>
      <c r="B13" s="10">
        <f t="shared" si="0"/>
        <v>105423.08333333333</v>
      </c>
      <c r="C13" s="10">
        <v>101347.58333333333</v>
      </c>
      <c r="D13" s="10"/>
      <c r="E13" s="10"/>
      <c r="F13" s="10">
        <v>4075.5</v>
      </c>
      <c r="G13" s="5"/>
    </row>
    <row r="14" spans="1:8" x14ac:dyDescent="0.25">
      <c r="C14" s="10"/>
    </row>
    <row r="15" spans="1:8" x14ac:dyDescent="0.25">
      <c r="A15" s="6" t="s">
        <v>5</v>
      </c>
      <c r="C15" s="10"/>
    </row>
    <row r="16" spans="1:8" x14ac:dyDescent="0.25">
      <c r="A16" s="4" t="s">
        <v>74</v>
      </c>
      <c r="B16" s="5">
        <f>+C16+F16+G16+H16</f>
        <v>39502463034.609993</v>
      </c>
      <c r="C16" s="10">
        <f>D16+E16</f>
        <v>30917721478.769997</v>
      </c>
      <c r="D16" s="5">
        <v>22587090911.453117</v>
      </c>
      <c r="E16" s="10">
        <v>8330630567.3168793</v>
      </c>
      <c r="F16" s="10">
        <v>3060744787.4000001</v>
      </c>
      <c r="G16" s="10">
        <v>4272991765.1300001</v>
      </c>
      <c r="H16" s="11">
        <v>1251005003.3099999</v>
      </c>
    </row>
    <row r="17" spans="1:9" x14ac:dyDescent="0.25">
      <c r="A17" s="4" t="s">
        <v>113</v>
      </c>
      <c r="B17" s="5">
        <f t="shared" ref="B17:B18" si="2">+C17+F17+G17+H17</f>
        <v>40972268342.16333</v>
      </c>
      <c r="C17" s="10">
        <v>32368675798.720001</v>
      </c>
      <c r="D17" s="5"/>
      <c r="E17" s="10"/>
      <c r="F17" s="10">
        <v>4440739266.4933329</v>
      </c>
      <c r="G17" s="10">
        <v>3555777307.8999901</v>
      </c>
      <c r="H17" s="11">
        <v>607075969.04999995</v>
      </c>
    </row>
    <row r="18" spans="1:9" x14ac:dyDescent="0.25">
      <c r="A18" s="4" t="s">
        <v>114</v>
      </c>
      <c r="B18" s="30">
        <f t="shared" si="2"/>
        <v>38441023276.420006</v>
      </c>
      <c r="C18" s="31">
        <f>D18+E18</f>
        <v>29182030037.330002</v>
      </c>
      <c r="D18" s="30">
        <v>21404277879.802536</v>
      </c>
      <c r="E18" s="31">
        <v>7777752157.5274639</v>
      </c>
      <c r="F18" s="31">
        <v>3304287331.3000002</v>
      </c>
      <c r="G18" s="31">
        <v>4475205907.7799997</v>
      </c>
      <c r="H18" s="11">
        <v>1479500000.0099998</v>
      </c>
      <c r="I18" s="28"/>
    </row>
    <row r="19" spans="1:9" x14ac:dyDescent="0.25">
      <c r="A19" s="33" t="s">
        <v>89</v>
      </c>
      <c r="B19" s="10">
        <f>+C19+F19+G19+H19</f>
        <v>134045937747.91995</v>
      </c>
      <c r="C19" s="10">
        <v>103316305798.72</v>
      </c>
      <c r="D19" s="10"/>
      <c r="E19" s="10"/>
      <c r="F19" s="10">
        <v>14078218841.399998</v>
      </c>
      <c r="G19" s="10">
        <v>14223109231.599958</v>
      </c>
      <c r="H19" s="10">
        <v>2428303876.1999993</v>
      </c>
    </row>
    <row r="20" spans="1:9" x14ac:dyDescent="0.25">
      <c r="A20" s="33" t="s">
        <v>115</v>
      </c>
      <c r="B20" s="29">
        <f>C20+F20+G20</f>
        <v>36961523276.410004</v>
      </c>
      <c r="C20" s="10">
        <f t="shared" ref="C20" si="3">SUM(D20:E20)</f>
        <v>29182030037.330002</v>
      </c>
      <c r="D20" s="10">
        <f>+D18</f>
        <v>21404277879.802536</v>
      </c>
      <c r="E20" s="10">
        <f t="shared" ref="E20:G20" si="4">+E18</f>
        <v>7777752157.5274639</v>
      </c>
      <c r="F20" s="10">
        <f t="shared" si="4"/>
        <v>3304287331.3000002</v>
      </c>
      <c r="G20" s="29">
        <f t="shared" si="4"/>
        <v>4475205907.7799997</v>
      </c>
      <c r="H20" s="10"/>
    </row>
    <row r="21" spans="1:9" x14ac:dyDescent="0.25">
      <c r="A21" s="12"/>
      <c r="B21" s="10"/>
      <c r="C21" s="10"/>
      <c r="D21" s="10"/>
      <c r="E21" s="10"/>
      <c r="F21" s="10"/>
      <c r="G21" s="10"/>
      <c r="H21" s="12"/>
    </row>
    <row r="22" spans="1:9" x14ac:dyDescent="0.25">
      <c r="A22" s="34" t="s">
        <v>6</v>
      </c>
      <c r="B22" s="10"/>
      <c r="C22" s="10"/>
      <c r="D22" s="10"/>
      <c r="E22" s="10"/>
      <c r="F22" s="10"/>
      <c r="G22" s="10"/>
      <c r="H22" s="10"/>
    </row>
    <row r="23" spans="1:9" x14ac:dyDescent="0.25">
      <c r="A23" s="33" t="s">
        <v>113</v>
      </c>
      <c r="B23" s="10">
        <f>B17</f>
        <v>40972268342.16333</v>
      </c>
      <c r="C23" s="10"/>
      <c r="D23" s="10"/>
      <c r="E23" s="10"/>
      <c r="F23" s="10"/>
      <c r="G23" s="10"/>
      <c r="H23" s="10"/>
    </row>
    <row r="24" spans="1:9" x14ac:dyDescent="0.25">
      <c r="A24" s="33" t="s">
        <v>114</v>
      </c>
      <c r="B24" s="10">
        <v>41062806765.769997</v>
      </c>
      <c r="C24" s="10"/>
      <c r="D24" s="10"/>
      <c r="E24" s="10"/>
      <c r="F24" s="10"/>
      <c r="G24" s="10"/>
      <c r="H24" s="10"/>
    </row>
    <row r="25" spans="1:9" x14ac:dyDescent="0.25">
      <c r="A25" s="12"/>
      <c r="B25" s="12"/>
      <c r="C25" s="12"/>
      <c r="D25" s="12"/>
      <c r="E25" s="12"/>
      <c r="F25" s="12"/>
      <c r="G25" s="12"/>
      <c r="H25" s="12"/>
    </row>
    <row r="26" spans="1:9" x14ac:dyDescent="0.25">
      <c r="A26" s="12" t="s">
        <v>7</v>
      </c>
      <c r="B26" s="12"/>
      <c r="C26" s="12"/>
      <c r="D26" s="12"/>
      <c r="E26" s="12"/>
      <c r="F26" s="12"/>
      <c r="G26" s="12"/>
      <c r="H26" s="12"/>
    </row>
    <row r="27" spans="1:9" x14ac:dyDescent="0.25">
      <c r="A27" s="33" t="s">
        <v>75</v>
      </c>
      <c r="B27" s="32">
        <v>0.99</v>
      </c>
      <c r="C27" s="32">
        <v>0.99</v>
      </c>
      <c r="D27" s="32">
        <v>0.99</v>
      </c>
      <c r="E27" s="32">
        <v>0.99</v>
      </c>
      <c r="F27" s="32">
        <v>0.99</v>
      </c>
      <c r="G27" s="32">
        <v>0.99</v>
      </c>
      <c r="H27" s="32">
        <v>0.99</v>
      </c>
    </row>
    <row r="28" spans="1:9" x14ac:dyDescent="0.25">
      <c r="A28" s="33" t="s">
        <v>116</v>
      </c>
      <c r="B28" s="32">
        <v>1.02</v>
      </c>
      <c r="C28" s="32">
        <v>1.02</v>
      </c>
      <c r="D28" s="32">
        <v>1.02</v>
      </c>
      <c r="E28" s="32">
        <v>1.02</v>
      </c>
      <c r="F28" s="32">
        <v>1.02</v>
      </c>
      <c r="G28" s="32">
        <v>1.02</v>
      </c>
      <c r="H28" s="32">
        <v>1.02</v>
      </c>
      <c r="I28" s="32"/>
    </row>
    <row r="29" spans="1:9" x14ac:dyDescent="0.25">
      <c r="A29" s="33" t="s">
        <v>8</v>
      </c>
      <c r="B29" s="11">
        <f>+D29+F29</f>
        <v>104137</v>
      </c>
      <c r="C29" s="25"/>
      <c r="D29" s="11">
        <v>98025</v>
      </c>
      <c r="E29" s="11" t="s">
        <v>53</v>
      </c>
      <c r="F29" s="11">
        <v>6112</v>
      </c>
      <c r="G29" s="11"/>
      <c r="H29" s="11"/>
    </row>
    <row r="30" spans="1:9" x14ac:dyDescent="0.25">
      <c r="A30" s="12"/>
      <c r="B30" s="12"/>
      <c r="C30" s="12"/>
      <c r="D30" s="12"/>
      <c r="E30" s="12"/>
      <c r="F30" s="12"/>
      <c r="G30" s="12"/>
      <c r="H30" s="12"/>
    </row>
    <row r="31" spans="1:9" x14ac:dyDescent="0.25">
      <c r="A31" s="35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76</v>
      </c>
      <c r="B32" s="10">
        <f>B16/B27</f>
        <v>39901477812.737366</v>
      </c>
      <c r="C32" s="10">
        <f>C16/C27</f>
        <v>31230021695.727268</v>
      </c>
      <c r="D32" s="10">
        <f>D16/D27</f>
        <v>22815243344.902138</v>
      </c>
      <c r="E32" s="10">
        <f t="shared" ref="E32:H32" si="5">E16/E27</f>
        <v>8414778350.8251305</v>
      </c>
      <c r="F32" s="10">
        <f t="shared" si="5"/>
        <v>3091661401.4141417</v>
      </c>
      <c r="G32" s="10">
        <f t="shared" si="5"/>
        <v>4316153298.1111116</v>
      </c>
      <c r="H32" s="10">
        <f t="shared" si="5"/>
        <v>1263641417.4848485</v>
      </c>
    </row>
    <row r="33" spans="1:8" x14ac:dyDescent="0.25">
      <c r="A33" s="12" t="s">
        <v>117</v>
      </c>
      <c r="B33" s="10">
        <f>B18/B28</f>
        <v>37687277721.9804</v>
      </c>
      <c r="C33" s="10">
        <f>C18/C28</f>
        <v>28609833369.931374</v>
      </c>
      <c r="D33" s="10">
        <f>D18/D28</f>
        <v>20984586156.669151</v>
      </c>
      <c r="E33" s="10">
        <f t="shared" ref="E33:H33" si="6">E18/E28</f>
        <v>7625247213.2622194</v>
      </c>
      <c r="F33" s="10">
        <f t="shared" si="6"/>
        <v>3239497383.6274509</v>
      </c>
      <c r="G33" s="10">
        <f t="shared" si="6"/>
        <v>4387456772.333333</v>
      </c>
      <c r="H33" s="10">
        <f t="shared" si="6"/>
        <v>1450490196.0882351</v>
      </c>
    </row>
    <row r="34" spans="1:8" x14ac:dyDescent="0.25">
      <c r="A34" s="12" t="s">
        <v>77</v>
      </c>
      <c r="B34" s="10">
        <f>B32/B10</f>
        <v>357205.11061373766</v>
      </c>
      <c r="C34" s="10">
        <f>C32/C10</f>
        <v>289547.5689863271</v>
      </c>
      <c r="D34" s="10">
        <f>D32/D10</f>
        <v>289551.91756966989</v>
      </c>
      <c r="E34" s="10">
        <f t="shared" ref="E34:F34" si="7">E32/E10</f>
        <v>289535.77919778175</v>
      </c>
      <c r="F34" s="10">
        <f t="shared" si="7"/>
        <v>803724.80106086878</v>
      </c>
      <c r="G34" s="10"/>
      <c r="H34" s="10"/>
    </row>
    <row r="35" spans="1:8" x14ac:dyDescent="0.25">
      <c r="A35" s="12" t="s">
        <v>118</v>
      </c>
      <c r="B35" s="10">
        <f>B33/B12</f>
        <v>324240.91163944971</v>
      </c>
      <c r="C35" s="10">
        <f>C33/C12</f>
        <v>254933.55622885679</v>
      </c>
      <c r="D35" s="10">
        <f>D33/D12</f>
        <v>254910.66904491122</v>
      </c>
      <c r="E35" s="10">
        <f t="shared" ref="E35:F35" si="8">E33/E12</f>
        <v>254996.56269966179</v>
      </c>
      <c r="F35" s="10">
        <f t="shared" si="8"/>
        <v>808325.05621578253</v>
      </c>
      <c r="G35" s="10"/>
      <c r="H35" s="10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35" t="s">
        <v>10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11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12</v>
      </c>
      <c r="B40" s="7">
        <f>(B11/B29)*100</f>
        <v>102.14813178793321</v>
      </c>
      <c r="C40" s="7"/>
      <c r="D40" s="7">
        <f>C11/D29*100</f>
        <v>104.25401683244071</v>
      </c>
      <c r="E40" s="7"/>
      <c r="F40" s="7">
        <f>(F11)/F29*100</f>
        <v>68.373691099476446</v>
      </c>
      <c r="G40" s="7"/>
      <c r="H40" s="12"/>
    </row>
    <row r="41" spans="1:8" x14ac:dyDescent="0.25">
      <c r="A41" s="12" t="s">
        <v>13</v>
      </c>
      <c r="B41" s="7">
        <f>((D12+F12)/B29)*100</f>
        <v>82.899449763292594</v>
      </c>
      <c r="C41" s="36"/>
      <c r="D41" s="7">
        <f>(D12)/D29*100</f>
        <v>83.979937090878181</v>
      </c>
      <c r="E41" s="7"/>
      <c r="F41" s="7">
        <f>(F12)/F29*100</f>
        <v>65.570462478184993</v>
      </c>
      <c r="G41" s="7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14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15</v>
      </c>
      <c r="B44" s="7">
        <f>B12/B11*100</f>
        <v>109.26761552008321</v>
      </c>
      <c r="C44" s="7">
        <f>C12/C11*100</f>
        <v>109.81424401063326</v>
      </c>
      <c r="D44" s="7"/>
      <c r="E44" s="7"/>
      <c r="F44" s="7">
        <f>F12/F11*100</f>
        <v>95.900135598628054</v>
      </c>
      <c r="G44" s="7"/>
      <c r="H44" s="12"/>
    </row>
    <row r="45" spans="1:8" x14ac:dyDescent="0.25">
      <c r="A45" s="12" t="s">
        <v>16</v>
      </c>
      <c r="B45" s="7">
        <f>B18/B17*100</f>
        <v>93.822052895376316</v>
      </c>
      <c r="C45" s="7">
        <f>C18/C17*100</f>
        <v>90.155155616480272</v>
      </c>
      <c r="D45" s="7"/>
      <c r="E45" s="7"/>
      <c r="F45" s="7">
        <f>F18/F17*100</f>
        <v>74.408496716567157</v>
      </c>
      <c r="G45" s="7">
        <f>G18/G17*100</f>
        <v>125.85731670645639</v>
      </c>
      <c r="H45" s="7">
        <f>H18/H17*100</f>
        <v>243.70920205015483</v>
      </c>
    </row>
    <row r="46" spans="1:8" x14ac:dyDescent="0.25">
      <c r="A46" s="12" t="s">
        <v>17</v>
      </c>
      <c r="B46" s="7">
        <f>AVERAGE(B44:B45)</f>
        <v>101.54483420772976</v>
      </c>
      <c r="C46" s="7">
        <f>AVERAGE(C44:C45)</f>
        <v>99.984699813556773</v>
      </c>
      <c r="D46" s="7"/>
      <c r="E46" s="7"/>
      <c r="F46" s="7">
        <f t="shared" ref="F46:H46" si="9">AVERAGE(F44:F45)</f>
        <v>85.154316157597606</v>
      </c>
      <c r="G46" s="7">
        <f>AVERAGE(G44:G45)</f>
        <v>125.85731670645639</v>
      </c>
      <c r="H46" s="7">
        <f t="shared" si="9"/>
        <v>243.70920205015483</v>
      </c>
    </row>
    <row r="47" spans="1:8" x14ac:dyDescent="0.25">
      <c r="A47" s="12"/>
      <c r="B47" s="7"/>
      <c r="C47" s="7"/>
      <c r="D47" s="7"/>
      <c r="E47" s="7"/>
      <c r="F47" s="7"/>
      <c r="G47" s="7"/>
      <c r="H47" s="7"/>
    </row>
    <row r="48" spans="1:8" x14ac:dyDescent="0.25">
      <c r="A48" s="12" t="s">
        <v>18</v>
      </c>
      <c r="B48" s="12"/>
      <c r="C48" s="12"/>
      <c r="D48" s="12"/>
      <c r="E48" s="12"/>
      <c r="F48" s="12"/>
      <c r="G48" s="12"/>
      <c r="H48" s="12"/>
    </row>
    <row r="49" spans="1:8" x14ac:dyDescent="0.25">
      <c r="A49" s="12" t="s">
        <v>19</v>
      </c>
      <c r="B49" s="7">
        <f>B12/B13*100</f>
        <v>110.25320988366715</v>
      </c>
      <c r="C49" s="7">
        <f t="shared" ref="C49:F49" si="10">C12/C13*100</f>
        <v>110.73245456436635</v>
      </c>
      <c r="D49" s="7"/>
      <c r="E49" s="7"/>
      <c r="F49" s="7">
        <f t="shared" si="10"/>
        <v>98.335582546108853</v>
      </c>
      <c r="G49" s="7"/>
      <c r="H49" s="7"/>
    </row>
    <row r="50" spans="1:8" x14ac:dyDescent="0.25">
      <c r="A50" s="12" t="s">
        <v>20</v>
      </c>
      <c r="B50" s="7">
        <f>B18/B19*100</f>
        <v>28.677499611148427</v>
      </c>
      <c r="C50" s="7">
        <f t="shared" ref="C50:H50" si="11">C18/C19*100</f>
        <v>28.245328568156701</v>
      </c>
      <c r="D50" s="7"/>
      <c r="E50" s="7"/>
      <c r="F50" s="7">
        <f t="shared" si="11"/>
        <v>23.470918931754635</v>
      </c>
      <c r="G50" s="7">
        <f t="shared" si="11"/>
        <v>31.464329176614104</v>
      </c>
      <c r="H50" s="7">
        <f t="shared" si="11"/>
        <v>60.927300512538721</v>
      </c>
    </row>
    <row r="51" spans="1:8" x14ac:dyDescent="0.25">
      <c r="A51" s="12" t="s">
        <v>21</v>
      </c>
      <c r="B51" s="7">
        <f>(B49+B50)/2</f>
        <v>69.465354747407787</v>
      </c>
      <c r="C51" s="7">
        <f t="shared" ref="C51:F51" si="12">(C49+C50)/2</f>
        <v>69.488891566261529</v>
      </c>
      <c r="D51" s="7"/>
      <c r="E51" s="7"/>
      <c r="F51" s="7">
        <f t="shared" si="12"/>
        <v>60.903250738931746</v>
      </c>
      <c r="G51" s="7">
        <f>AVERAGE(G49:G50)</f>
        <v>31.464329176614104</v>
      </c>
      <c r="H51" s="7">
        <f>AVERAGE(H49:H50)</f>
        <v>60.927300512538721</v>
      </c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 t="s">
        <v>33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12" t="s">
        <v>22</v>
      </c>
      <c r="B54" s="7">
        <f>(B20/B18)*100</f>
        <v>96.15124709513772</v>
      </c>
      <c r="C54" s="7"/>
      <c r="D54" s="7"/>
      <c r="E54" s="7"/>
      <c r="F54" s="7"/>
      <c r="G54" s="7"/>
      <c r="H54" s="7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 t="s">
        <v>23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12" t="s">
        <v>24</v>
      </c>
      <c r="B57" s="7">
        <f>((B12/B10)-1)*100</f>
        <v>4.053247551579453</v>
      </c>
      <c r="C57" s="7">
        <f t="shared" ref="C57:F57" si="13">((C12/C10)-1)*100</f>
        <v>4.0485329476410259</v>
      </c>
      <c r="D57" s="7">
        <f t="shared" si="13"/>
        <v>4.4753262685872652</v>
      </c>
      <c r="E57" s="7">
        <f t="shared" si="13"/>
        <v>2.8914197891935833</v>
      </c>
      <c r="F57" s="7">
        <f t="shared" si="13"/>
        <v>4.1854419410745303</v>
      </c>
      <c r="G57" s="7"/>
      <c r="H57" s="7"/>
    </row>
    <row r="58" spans="1:8" x14ac:dyDescent="0.25">
      <c r="A58" s="12" t="s">
        <v>25</v>
      </c>
      <c r="B58" s="7">
        <f>((B33/B32)-1)*100</f>
        <v>-5.5491681314373427</v>
      </c>
      <c r="C58" s="7">
        <f t="shared" ref="C58:H58" si="14">((C33/C32)-1)*100</f>
        <v>-8.3899663961949038</v>
      </c>
      <c r="D58" s="7">
        <f t="shared" si="14"/>
        <v>-8.0238337174783236</v>
      </c>
      <c r="E58" s="7">
        <f t="shared" si="14"/>
        <v>-9.3826730146194688</v>
      </c>
      <c r="F58" s="7">
        <f t="shared" si="14"/>
        <v>4.781764980656944</v>
      </c>
      <c r="G58" s="7">
        <f t="shared" si="14"/>
        <v>1.6520144048967511</v>
      </c>
      <c r="H58" s="7">
        <f t="shared" si="14"/>
        <v>14.786534852212307</v>
      </c>
    </row>
    <row r="59" spans="1:8" x14ac:dyDescent="0.25">
      <c r="A59" s="12" t="s">
        <v>26</v>
      </c>
      <c r="B59" s="7">
        <f>((B35/B34)-1)*100</f>
        <v>-9.2283671187262666</v>
      </c>
      <c r="C59" s="7">
        <f t="shared" ref="C59:F59" si="15">((C35/C34)-1)*100</f>
        <v>-11.954516792750159</v>
      </c>
      <c r="D59" s="7">
        <f t="shared" si="15"/>
        <v>-11.963743433480644</v>
      </c>
      <c r="E59" s="7">
        <f t="shared" si="15"/>
        <v>-11.929170409894741</v>
      </c>
      <c r="F59" s="7">
        <f t="shared" si="15"/>
        <v>0.57236695307170127</v>
      </c>
      <c r="G59" s="7"/>
      <c r="H59" s="7"/>
    </row>
    <row r="60" spans="1:8" x14ac:dyDescent="0.25">
      <c r="A60" s="12"/>
      <c r="B60" s="7"/>
      <c r="C60" s="7"/>
      <c r="D60" s="7"/>
      <c r="E60" s="7"/>
      <c r="F60" s="7"/>
      <c r="G60" s="7"/>
      <c r="H60" s="7"/>
    </row>
    <row r="61" spans="1:8" x14ac:dyDescent="0.25">
      <c r="A61" s="12" t="s">
        <v>27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12" t="s">
        <v>34</v>
      </c>
      <c r="B62" s="10">
        <f>B17/(B11*3)</f>
        <v>128390.61030628829</v>
      </c>
      <c r="C62" s="10">
        <f>C17/(C11*3)</f>
        <v>105578.14569766949</v>
      </c>
      <c r="D62" s="10"/>
      <c r="E62" s="10"/>
      <c r="F62" s="10">
        <f t="shared" ref="F62:F63" si="16">F17/(F11*3)</f>
        <v>354210.67771343485</v>
      </c>
      <c r="G62" s="10"/>
      <c r="H62" s="10"/>
    </row>
    <row r="63" spans="1:8" x14ac:dyDescent="0.25">
      <c r="A63" s="12" t="s">
        <v>35</v>
      </c>
      <c r="B63" s="10">
        <f>B18/(B12*3)</f>
        <v>110241.90995741289</v>
      </c>
      <c r="C63" s="10">
        <f t="shared" ref="C63:E63" si="17">C18/(C12*3)</f>
        <v>86677.409117811301</v>
      </c>
      <c r="D63" s="10">
        <f t="shared" si="17"/>
        <v>86669.627475269823</v>
      </c>
      <c r="E63" s="10">
        <f t="shared" si="17"/>
        <v>86698.831317885008</v>
      </c>
      <c r="F63" s="10">
        <f t="shared" si="16"/>
        <v>274830.51911336608</v>
      </c>
      <c r="G63" s="10"/>
      <c r="H63" s="10"/>
    </row>
    <row r="64" spans="1:8" x14ac:dyDescent="0.25">
      <c r="A64" s="12" t="s">
        <v>28</v>
      </c>
      <c r="B64" s="7">
        <f>(B63/B62)*B46</f>
        <v>87.190928080047328</v>
      </c>
      <c r="C64" s="7">
        <f t="shared" ref="C64:F64" si="18">(C63/C62)*C46</f>
        <v>82.085309170688646</v>
      </c>
      <c r="D64" s="7" t="e">
        <f t="shared" si="18"/>
        <v>#DIV/0!</v>
      </c>
      <c r="E64" s="7" t="e">
        <f t="shared" si="18"/>
        <v>#DIV/0!</v>
      </c>
      <c r="F64" s="7">
        <f t="shared" si="18"/>
        <v>66.070862305483217</v>
      </c>
      <c r="G64" s="7"/>
      <c r="H64" s="7"/>
    </row>
    <row r="65" spans="1:8" x14ac:dyDescent="0.25">
      <c r="A65" s="7" t="s">
        <v>36</v>
      </c>
      <c r="B65" s="10">
        <f>B17/B11</f>
        <v>385171.83091886487</v>
      </c>
      <c r="C65" s="10">
        <f t="shared" ref="C65:F65" si="19">C17/C11</f>
        <v>316734.43709300848</v>
      </c>
      <c r="D65" s="10"/>
      <c r="E65" s="10"/>
      <c r="F65" s="10">
        <f t="shared" si="19"/>
        <v>1062632.0331403045</v>
      </c>
      <c r="G65" s="7"/>
      <c r="H65" s="7"/>
    </row>
    <row r="66" spans="1:8" x14ac:dyDescent="0.25">
      <c r="A66" s="7" t="s">
        <v>37</v>
      </c>
      <c r="B66" s="10">
        <f>B18/B12</f>
        <v>330725.72987223871</v>
      </c>
      <c r="C66" s="10">
        <f t="shared" ref="C66:F66" si="20">C18/C12</f>
        <v>260032.22735343393</v>
      </c>
      <c r="D66" s="10">
        <f t="shared" si="20"/>
        <v>260008.88242580948</v>
      </c>
      <c r="E66" s="10">
        <f t="shared" si="20"/>
        <v>260096.49395365504</v>
      </c>
      <c r="F66" s="10">
        <f t="shared" si="20"/>
        <v>824491.5573400982</v>
      </c>
      <c r="G66" s="7"/>
      <c r="H66" s="7"/>
    </row>
    <row r="67" spans="1:8" x14ac:dyDescent="0.25">
      <c r="A67" s="12"/>
      <c r="B67" s="7"/>
      <c r="C67" s="7"/>
      <c r="D67" s="7"/>
      <c r="E67" s="7"/>
      <c r="F67" s="7"/>
      <c r="G67" s="7"/>
      <c r="H67" s="7"/>
    </row>
    <row r="68" spans="1:8" x14ac:dyDescent="0.25">
      <c r="A68" s="12" t="s">
        <v>29</v>
      </c>
      <c r="B68" s="7"/>
      <c r="C68" s="7"/>
      <c r="D68" s="7"/>
      <c r="E68" s="7"/>
      <c r="F68" s="7"/>
      <c r="G68" s="7"/>
      <c r="H68" s="7"/>
    </row>
    <row r="69" spans="1:8" x14ac:dyDescent="0.25">
      <c r="A69" s="12" t="s">
        <v>30</v>
      </c>
      <c r="B69" s="7">
        <f>(B24/B23)*100</f>
        <v>100.22097488684436</v>
      </c>
      <c r="C69" s="7"/>
      <c r="D69" s="7"/>
      <c r="E69" s="7"/>
      <c r="F69" s="7"/>
      <c r="G69" s="7"/>
      <c r="H69" s="7"/>
    </row>
    <row r="70" spans="1:8" x14ac:dyDescent="0.25">
      <c r="A70" s="12" t="s">
        <v>31</v>
      </c>
      <c r="B70" s="7">
        <f>(B18/B24)*100</f>
        <v>93.615186842182666</v>
      </c>
      <c r="C70" s="7"/>
      <c r="D70" s="7"/>
      <c r="E70" s="7"/>
      <c r="F70" s="7"/>
      <c r="G70" s="7"/>
      <c r="H70" s="7"/>
    </row>
    <row r="71" spans="1:8" ht="15.75" thickBot="1" x14ac:dyDescent="0.3">
      <c r="A71" s="37"/>
      <c r="B71" s="37"/>
      <c r="C71" s="37"/>
      <c r="D71" s="37"/>
      <c r="E71" s="37"/>
      <c r="F71" s="37"/>
      <c r="G71" s="37"/>
      <c r="H71" s="37"/>
    </row>
    <row r="72" spans="1:8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4" spans="1:8" x14ac:dyDescent="0.25">
      <c r="A74" s="1" t="s">
        <v>32</v>
      </c>
    </row>
    <row r="75" spans="1:8" x14ac:dyDescent="0.25">
      <c r="A75" s="1" t="s">
        <v>94</v>
      </c>
      <c r="B75" s="8"/>
      <c r="C75" s="8"/>
      <c r="D75" s="8"/>
      <c r="E75" s="8"/>
      <c r="F75" s="8"/>
    </row>
    <row r="76" spans="1:8" x14ac:dyDescent="0.25">
      <c r="A76" s="1" t="s">
        <v>95</v>
      </c>
    </row>
    <row r="77" spans="1:8" x14ac:dyDescent="0.25">
      <c r="A77" s="1" t="s">
        <v>96</v>
      </c>
    </row>
    <row r="79" spans="1:8" x14ac:dyDescent="0.25">
      <c r="A79" s="1" t="s">
        <v>48</v>
      </c>
    </row>
    <row r="80" spans="1:8" x14ac:dyDescent="0.25">
      <c r="A80" s="1" t="s">
        <v>50</v>
      </c>
    </row>
    <row r="81" spans="1:1" x14ac:dyDescent="0.25">
      <c r="A81" s="1" t="s">
        <v>49</v>
      </c>
    </row>
    <row r="82" spans="1:1" x14ac:dyDescent="0.25">
      <c r="A82" s="1" t="s">
        <v>47</v>
      </c>
    </row>
    <row r="83" spans="1:1" x14ac:dyDescent="0.25">
      <c r="A83" s="19" t="s">
        <v>54</v>
      </c>
    </row>
    <row r="84" spans="1:1" x14ac:dyDescent="0.25">
      <c r="A84" s="20" t="s">
        <v>55</v>
      </c>
    </row>
    <row r="85" spans="1:1" x14ac:dyDescent="0.25">
      <c r="A85" s="20" t="s">
        <v>56</v>
      </c>
    </row>
    <row r="87" spans="1:1" x14ac:dyDescent="0.25">
      <c r="A87" s="11" t="s">
        <v>137</v>
      </c>
    </row>
  </sheetData>
  <mergeCells count="7">
    <mergeCell ref="A4:A5"/>
    <mergeCell ref="A2:H2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61" zoomScale="90" zoomScaleNormal="90" workbookViewId="0">
      <selection activeCell="J22" sqref="J22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4" t="s">
        <v>119</v>
      </c>
      <c r="B2" s="44"/>
      <c r="C2" s="44"/>
      <c r="D2" s="44"/>
      <c r="E2" s="44"/>
      <c r="F2" s="44"/>
      <c r="G2" s="44"/>
      <c r="H2" s="44"/>
    </row>
    <row r="4" spans="1:8" x14ac:dyDescent="0.25">
      <c r="A4" s="42" t="s">
        <v>0</v>
      </c>
      <c r="B4" s="42" t="s">
        <v>38</v>
      </c>
      <c r="C4" s="22"/>
      <c r="D4" s="22"/>
      <c r="E4" s="23" t="s">
        <v>1</v>
      </c>
      <c r="F4" s="15"/>
      <c r="G4" s="42" t="s">
        <v>2</v>
      </c>
      <c r="H4" s="42" t="s">
        <v>3</v>
      </c>
    </row>
    <row r="5" spans="1:8" ht="15.75" thickBot="1" x14ac:dyDescent="0.3">
      <c r="A5" s="43"/>
      <c r="B5" s="43"/>
      <c r="C5" s="45" t="s">
        <v>39</v>
      </c>
      <c r="D5" s="45"/>
      <c r="E5" s="45"/>
      <c r="F5" s="21" t="s">
        <v>57</v>
      </c>
      <c r="G5" s="43"/>
      <c r="H5" s="43"/>
    </row>
    <row r="6" spans="1:8" ht="15.75" thickTop="1" x14ac:dyDescent="0.25">
      <c r="C6" s="24" t="s">
        <v>58</v>
      </c>
      <c r="D6" s="14" t="s">
        <v>51</v>
      </c>
      <c r="E6" s="14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78</v>
      </c>
      <c r="B10" s="10">
        <f>+C10+F10</f>
        <v>109115.66666666667</v>
      </c>
      <c r="C10" s="10">
        <f>SUM(D10:E10)</f>
        <v>105384</v>
      </c>
      <c r="D10" s="10">
        <f>(+'I Trimestre'!D10+'II Trimestre'!D10)/2</f>
        <v>76659.166666666672</v>
      </c>
      <c r="E10" s="5">
        <f>(+'I Trimestre'!E10+'II Trimestre'!E10)/2</f>
        <v>28724.833333333336</v>
      </c>
      <c r="F10" s="5">
        <f>(+'I Trimestre'!F10+'II Trimestre'!F10)/2</f>
        <v>3731.666666666667</v>
      </c>
      <c r="G10" s="5">
        <f>+'I Trimestre'!G10+'II Trimestre'!G10/2</f>
        <v>0</v>
      </c>
      <c r="H10" s="5">
        <f>+'I Trimestre'!H10+'II Trimestre'!H10/2</f>
        <v>0</v>
      </c>
    </row>
    <row r="11" spans="1:8" x14ac:dyDescent="0.25">
      <c r="A11" s="4" t="s">
        <v>120</v>
      </c>
      <c r="B11" s="10">
        <f t="shared" ref="B11:B13" si="0">+C11+F11</f>
        <v>104636.5</v>
      </c>
      <c r="C11" s="10">
        <f>('I Trimestre'!C11+'II Trimestre'!C11)/2</f>
        <v>100630</v>
      </c>
      <c r="D11" s="10"/>
      <c r="E11" s="5"/>
      <c r="F11" s="5">
        <f>(+'I Trimestre'!F11+'II Trimestre'!F11)/2</f>
        <v>4006.5</v>
      </c>
      <c r="G11" s="5">
        <f>+'I Trimestre'!G11+'II Trimestre'!G11/2</f>
        <v>0</v>
      </c>
      <c r="H11" s="5">
        <f>+'I Trimestre'!H11+'II Trimestre'!H11/2</f>
        <v>0</v>
      </c>
    </row>
    <row r="12" spans="1:8" x14ac:dyDescent="0.25">
      <c r="A12" s="4" t="s">
        <v>121</v>
      </c>
      <c r="B12" s="10">
        <f t="shared" si="0"/>
        <v>113175.00000000001</v>
      </c>
      <c r="C12" s="10">
        <f t="shared" ref="C12" si="1">SUM(D12:E12)</f>
        <v>109273.00000000001</v>
      </c>
      <c r="D12" s="10">
        <f>(+'I Trimestre'!D12+'II Trimestre'!D12)/2</f>
        <v>79958.333333333343</v>
      </c>
      <c r="E12" s="5">
        <f>(+'I Trimestre'!E12+'II Trimestre'!E12)/2</f>
        <v>29314.666666666668</v>
      </c>
      <c r="F12" s="5">
        <f>(+'I Trimestre'!F12+'II Trimestre'!F12)/2</f>
        <v>3902</v>
      </c>
      <c r="G12" s="5">
        <f>+'I Trimestre'!G12+'II Trimestre'!G12/2</f>
        <v>0</v>
      </c>
      <c r="H12" s="5">
        <f>+'I Trimestre'!H12+'II Trimestre'!H12/2</f>
        <v>0</v>
      </c>
    </row>
    <row r="13" spans="1:8" x14ac:dyDescent="0.25">
      <c r="A13" s="4" t="s">
        <v>89</v>
      </c>
      <c r="B13" s="10">
        <f t="shared" si="0"/>
        <v>105423.08333333333</v>
      </c>
      <c r="C13" s="10">
        <f>'II Trimestre'!C13</f>
        <v>101347.58333333333</v>
      </c>
      <c r="D13" s="10"/>
      <c r="E13" s="10"/>
      <c r="F13" s="10">
        <f>'II Trimestre'!F13</f>
        <v>4075.5</v>
      </c>
      <c r="G13" s="10">
        <f>'II Trimestre'!G13</f>
        <v>0</v>
      </c>
      <c r="H13" s="10">
        <f>'II Trimestre'!H13</f>
        <v>0</v>
      </c>
    </row>
    <row r="14" spans="1:8" x14ac:dyDescent="0.25">
      <c r="C14" s="10"/>
    </row>
    <row r="15" spans="1:8" x14ac:dyDescent="0.25">
      <c r="A15" s="6" t="s">
        <v>5</v>
      </c>
      <c r="C15" s="10"/>
    </row>
    <row r="16" spans="1:8" x14ac:dyDescent="0.25">
      <c r="A16" s="4" t="s">
        <v>78</v>
      </c>
      <c r="B16" s="5">
        <f>+C16+F16+G16+H16</f>
        <v>65555552585.119995</v>
      </c>
      <c r="C16" s="10">
        <f t="shared" ref="C16:C20" si="2">SUM(D16:E16)</f>
        <v>48861534920.979996</v>
      </c>
      <c r="D16" s="5">
        <f>+'I Trimestre'!D16+'II Trimestre'!D16</f>
        <v>35544088369.134285</v>
      </c>
      <c r="E16" s="10">
        <f>+'I Trimestre'!E16+'II Trimestre'!E16</f>
        <v>13317446551.845713</v>
      </c>
      <c r="F16" s="10">
        <f>+'I Trimestre'!F16+'II Trimestre'!F16</f>
        <v>5930635301.2999992</v>
      </c>
      <c r="G16" s="10">
        <f>+'I Trimestre'!G16+'II Trimestre'!G16</f>
        <v>7256532362.8400002</v>
      </c>
      <c r="H16" s="10">
        <f>+'I Trimestre'!H16+'II Trimestre'!H16</f>
        <v>3506850000</v>
      </c>
    </row>
    <row r="17" spans="1:8" x14ac:dyDescent="0.25">
      <c r="A17" s="4" t="s">
        <v>120</v>
      </c>
      <c r="B17" s="5">
        <f t="shared" ref="B17:B19" si="3">+C17+F17+G17+H17</f>
        <v>61769470123.43998</v>
      </c>
      <c r="C17" s="10">
        <f>'I Trimestre'!C17+'II Trimestre'!C17</f>
        <v>47094840000</v>
      </c>
      <c r="D17" s="5"/>
      <c r="E17" s="10"/>
      <c r="F17" s="10">
        <f>+'I Trimestre'!F17+'II Trimestre'!F17</f>
        <v>6348923569.5399981</v>
      </c>
      <c r="G17" s="10">
        <f>+'I Trimestre'!G17+'II Trimestre'!G17</f>
        <v>7111554615.7999802</v>
      </c>
      <c r="H17" s="10">
        <f>+'I Trimestre'!H17+'II Trimestre'!H17</f>
        <v>1214151938.0999999</v>
      </c>
    </row>
    <row r="18" spans="1:8" x14ac:dyDescent="0.25">
      <c r="A18" s="4" t="s">
        <v>121</v>
      </c>
      <c r="B18" s="5">
        <f t="shared" si="3"/>
        <v>64727119910.290001</v>
      </c>
      <c r="C18" s="10">
        <f t="shared" si="2"/>
        <v>48049979725.110001</v>
      </c>
      <c r="D18" s="5">
        <f>+'I Trimestre'!D18+'II Trimestre'!D18</f>
        <v>35158841627.149925</v>
      </c>
      <c r="E18" s="10">
        <f>+'I Trimestre'!E18+'II Trimestre'!E18</f>
        <v>12891138097.960077</v>
      </c>
      <c r="F18" s="10">
        <f>+'I Trimestre'!F18+'II Trimestre'!F18</f>
        <v>6301555867.6499996</v>
      </c>
      <c r="G18" s="10">
        <f>+'I Trimestre'!G18+'II Trimestre'!G18</f>
        <v>7472374317.5100002</v>
      </c>
      <c r="H18" s="10">
        <f>+'I Trimestre'!H18+'II Trimestre'!H18</f>
        <v>2903210000.0199995</v>
      </c>
    </row>
    <row r="19" spans="1:8" x14ac:dyDescent="0.25">
      <c r="A19" s="4" t="s">
        <v>89</v>
      </c>
      <c r="B19" s="5">
        <f t="shared" si="3"/>
        <v>134045937747.91995</v>
      </c>
      <c r="C19" s="10">
        <f>'II Trimestre'!C19</f>
        <v>103316305798.72</v>
      </c>
      <c r="D19" s="5"/>
      <c r="E19" s="10"/>
      <c r="F19" s="10">
        <f>+'II Trimestre'!F19</f>
        <v>14078218841.399998</v>
      </c>
      <c r="G19" s="10">
        <f>+'II Trimestre'!G19</f>
        <v>14223109231.599958</v>
      </c>
      <c r="H19" s="10">
        <f>+'II Trimestre'!H19</f>
        <v>2428303876.1999993</v>
      </c>
    </row>
    <row r="20" spans="1:8" x14ac:dyDescent="0.25">
      <c r="A20" s="4" t="s">
        <v>122</v>
      </c>
      <c r="B20" s="26">
        <f>+C20+F20+G20</f>
        <v>61823909910.270004</v>
      </c>
      <c r="C20" s="10">
        <f t="shared" si="2"/>
        <v>48049979725.110001</v>
      </c>
      <c r="D20" s="5">
        <f>+D18</f>
        <v>35158841627.149925</v>
      </c>
      <c r="E20" s="10">
        <f>+E18</f>
        <v>12891138097.960077</v>
      </c>
      <c r="F20" s="10">
        <f t="shared" ref="F20:G20" si="4">+F18</f>
        <v>6301555867.6499996</v>
      </c>
      <c r="G20" s="10">
        <f t="shared" si="4"/>
        <v>7472374317.5100002</v>
      </c>
      <c r="H20" s="10"/>
    </row>
    <row r="21" spans="1:8" x14ac:dyDescent="0.25">
      <c r="A21" s="12"/>
      <c r="B21" s="10"/>
      <c r="C21" s="10"/>
      <c r="D21" s="10"/>
      <c r="E21" s="10"/>
      <c r="F21" s="10"/>
      <c r="G21" s="10"/>
      <c r="H21" s="12"/>
    </row>
    <row r="22" spans="1:8" x14ac:dyDescent="0.25">
      <c r="A22" s="34" t="s">
        <v>6</v>
      </c>
      <c r="B22" s="10"/>
      <c r="C22" s="10"/>
      <c r="D22" s="10"/>
      <c r="E22" s="10"/>
      <c r="F22" s="10"/>
      <c r="G22" s="10"/>
      <c r="H22" s="10"/>
    </row>
    <row r="23" spans="1:8" x14ac:dyDescent="0.25">
      <c r="A23" s="33" t="s">
        <v>120</v>
      </c>
      <c r="B23" s="10">
        <f>B17</f>
        <v>61769470123.43998</v>
      </c>
      <c r="C23" s="10"/>
      <c r="D23" s="10"/>
      <c r="E23" s="10"/>
      <c r="F23" s="10"/>
      <c r="G23" s="10"/>
      <c r="H23" s="10"/>
    </row>
    <row r="24" spans="1:8" x14ac:dyDescent="0.25">
      <c r="A24" s="33" t="s">
        <v>121</v>
      </c>
      <c r="B24" s="10">
        <f>+'I Trimestre'!B24+'II Trimestre'!B24</f>
        <v>65704884394.25</v>
      </c>
      <c r="C24" s="10"/>
      <c r="D24" s="10"/>
      <c r="E24" s="10"/>
      <c r="F24" s="10"/>
      <c r="G24" s="10"/>
      <c r="H24" s="10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 t="s">
        <v>7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33" t="s">
        <v>79</v>
      </c>
      <c r="B27" s="32">
        <v>1</v>
      </c>
      <c r="C27" s="32">
        <v>1</v>
      </c>
      <c r="D27" s="32">
        <v>1</v>
      </c>
      <c r="E27" s="32">
        <v>1</v>
      </c>
      <c r="F27" s="32">
        <v>1</v>
      </c>
      <c r="G27" s="32">
        <v>1</v>
      </c>
      <c r="H27" s="32">
        <v>1</v>
      </c>
    </row>
    <row r="28" spans="1:8" x14ac:dyDescent="0.25">
      <c r="A28" s="33" t="s">
        <v>123</v>
      </c>
      <c r="B28" s="32">
        <v>0.99</v>
      </c>
      <c r="C28" s="32">
        <v>0.99</v>
      </c>
      <c r="D28" s="32">
        <v>0.99</v>
      </c>
      <c r="E28" s="32">
        <v>0.99</v>
      </c>
      <c r="F28" s="32">
        <v>0.99</v>
      </c>
      <c r="G28" s="32">
        <v>0.99</v>
      </c>
      <c r="H28" s="32">
        <v>0.99</v>
      </c>
    </row>
    <row r="29" spans="1:8" x14ac:dyDescent="0.25">
      <c r="A29" s="33" t="s">
        <v>8</v>
      </c>
      <c r="B29" s="11">
        <f>+D29+F29</f>
        <v>104137</v>
      </c>
      <c r="C29" s="25"/>
      <c r="D29" s="11">
        <v>98025</v>
      </c>
      <c r="E29" s="11" t="s">
        <v>53</v>
      </c>
      <c r="F29" s="11">
        <v>6112</v>
      </c>
      <c r="G29" s="11"/>
      <c r="H29" s="11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35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80</v>
      </c>
      <c r="B32" s="10">
        <f>B16/B27</f>
        <v>65555552585.119995</v>
      </c>
      <c r="C32" s="10">
        <f>C16/C27</f>
        <v>48861534920.979996</v>
      </c>
      <c r="D32" s="10">
        <f>D16/D27</f>
        <v>35544088369.134285</v>
      </c>
      <c r="E32" s="10">
        <f t="shared" ref="E32:H32" si="5">E16/E27</f>
        <v>13317446551.845713</v>
      </c>
      <c r="F32" s="10">
        <f t="shared" si="5"/>
        <v>5930635301.2999992</v>
      </c>
      <c r="G32" s="10">
        <f t="shared" si="5"/>
        <v>7256532362.8400002</v>
      </c>
      <c r="H32" s="10">
        <f t="shared" si="5"/>
        <v>3506850000</v>
      </c>
    </row>
    <row r="33" spans="1:8" x14ac:dyDescent="0.25">
      <c r="A33" s="12" t="s">
        <v>124</v>
      </c>
      <c r="B33" s="10">
        <f>B18/B28</f>
        <v>65380929202.313133</v>
      </c>
      <c r="C33" s="10">
        <f t="shared" ref="C33:H33" si="6">C18/C28</f>
        <v>48535333055.666664</v>
      </c>
      <c r="D33" s="10">
        <f t="shared" si="6"/>
        <v>35513981441.565582</v>
      </c>
      <c r="E33" s="10">
        <f t="shared" si="6"/>
        <v>13021351614.101088</v>
      </c>
      <c r="F33" s="10">
        <f t="shared" si="6"/>
        <v>6365207947.121212</v>
      </c>
      <c r="G33" s="10">
        <f t="shared" si="6"/>
        <v>7547852845.969697</v>
      </c>
      <c r="H33" s="10">
        <f t="shared" si="6"/>
        <v>2932535353.5555549</v>
      </c>
    </row>
    <row r="34" spans="1:8" x14ac:dyDescent="0.25">
      <c r="A34" s="12" t="s">
        <v>81</v>
      </c>
      <c r="B34" s="10">
        <f>B32/B10</f>
        <v>600789.55284563464</v>
      </c>
      <c r="C34" s="10">
        <f>C32/C10</f>
        <v>463652.30889869423</v>
      </c>
      <c r="D34" s="10">
        <f>D32/D10</f>
        <v>463663.90237046167</v>
      </c>
      <c r="E34" s="10">
        <f t="shared" ref="E34:F34" si="7">E32/E10</f>
        <v>463621.36891466891</v>
      </c>
      <c r="F34" s="10">
        <f t="shared" si="7"/>
        <v>1589272.5237963374</v>
      </c>
      <c r="G34" s="10"/>
      <c r="H34" s="10"/>
    </row>
    <row r="35" spans="1:8" x14ac:dyDescent="0.25">
      <c r="A35" s="12" t="s">
        <v>125</v>
      </c>
      <c r="B35" s="10">
        <f>B33/B12</f>
        <v>577697.62935553899</v>
      </c>
      <c r="C35" s="10">
        <f>C33/C12</f>
        <v>444165.83287423843</v>
      </c>
      <c r="D35" s="10">
        <f>D33/D12</f>
        <v>444156.09932129958</v>
      </c>
      <c r="E35" s="10">
        <f t="shared" ref="E35:F35" si="8">E33/E12</f>
        <v>444192.38199653488</v>
      </c>
      <c r="F35" s="10">
        <f t="shared" si="8"/>
        <v>1631268.0541058974</v>
      </c>
      <c r="G35" s="10"/>
      <c r="H35" s="10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35" t="s">
        <v>10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11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12</v>
      </c>
      <c r="B40" s="7">
        <f>(B11/B29)*100</f>
        <v>100.47965660620144</v>
      </c>
      <c r="C40" s="7"/>
      <c r="D40" s="7">
        <f>(C11)/D29*100</f>
        <v>102.65748533537362</v>
      </c>
      <c r="E40" s="7"/>
      <c r="F40" s="7">
        <f>(F11)/F29*100</f>
        <v>65.551374345549746</v>
      </c>
      <c r="G40" s="7"/>
      <c r="H40" s="12"/>
    </row>
    <row r="41" spans="1:8" x14ac:dyDescent="0.25">
      <c r="A41" s="12" t="s">
        <v>13</v>
      </c>
      <c r="B41" s="7">
        <f>((D12+F12)/B29)*100</f>
        <v>80.528854617795147</v>
      </c>
      <c r="C41" s="36"/>
      <c r="D41" s="7">
        <f>(D12)/D29*100</f>
        <v>81.569327552495125</v>
      </c>
      <c r="E41" s="7"/>
      <c r="F41" s="7">
        <f t="shared" ref="F41" si="9">(F12)/F29*100</f>
        <v>63.841623036649217</v>
      </c>
      <c r="G41" s="7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14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15</v>
      </c>
      <c r="B44" s="7">
        <f>B12/B11*100</f>
        <v>108.16015443941647</v>
      </c>
      <c r="C44" s="7">
        <f>C12/C11*100</f>
        <v>108.58888999304384</v>
      </c>
      <c r="D44" s="7"/>
      <c r="E44" s="7"/>
      <c r="F44" s="7">
        <f>F12/F11*100</f>
        <v>97.391738425059287</v>
      </c>
      <c r="G44" s="7"/>
      <c r="H44" s="12"/>
    </row>
    <row r="45" spans="1:8" x14ac:dyDescent="0.25">
      <c r="A45" s="12" t="s">
        <v>16</v>
      </c>
      <c r="B45" s="7">
        <f>B18/B17*100</f>
        <v>104.78820650547829</v>
      </c>
      <c r="C45" s="7">
        <f>C18/C17*100</f>
        <v>102.02811969445061</v>
      </c>
      <c r="D45" s="7"/>
      <c r="E45" s="7"/>
      <c r="F45" s="7">
        <f>F18/F17*100</f>
        <v>99.253925466716069</v>
      </c>
      <c r="G45" s="7">
        <f>G18/G17*100</f>
        <v>105.07371061889022</v>
      </c>
      <c r="H45" s="7">
        <f>H18/H17*100</f>
        <v>239.11422523964916</v>
      </c>
    </row>
    <row r="46" spans="1:8" x14ac:dyDescent="0.25">
      <c r="A46" s="12" t="s">
        <v>17</v>
      </c>
      <c r="B46" s="7">
        <f>AVERAGE(B44:B45)</f>
        <v>106.47418047244739</v>
      </c>
      <c r="C46" s="7">
        <f>AVERAGE(C44:C45)</f>
        <v>105.30850484374722</v>
      </c>
      <c r="D46" s="7"/>
      <c r="E46" s="7"/>
      <c r="F46" s="7">
        <f t="shared" ref="F46:H46" si="10">AVERAGE(F44:F45)</f>
        <v>98.322831945887685</v>
      </c>
      <c r="G46" s="7">
        <f>AVERAGE(G44:G45)</f>
        <v>105.07371061889022</v>
      </c>
      <c r="H46" s="7">
        <f t="shared" si="10"/>
        <v>239.11422523964916</v>
      </c>
    </row>
    <row r="47" spans="1:8" x14ac:dyDescent="0.25">
      <c r="A47" s="12"/>
      <c r="B47" s="7"/>
      <c r="C47" s="7"/>
      <c r="D47" s="7"/>
      <c r="E47" s="7"/>
      <c r="F47" s="7"/>
      <c r="G47" s="7"/>
      <c r="H47" s="7"/>
    </row>
    <row r="48" spans="1:8" x14ac:dyDescent="0.25">
      <c r="A48" s="12" t="s">
        <v>18</v>
      </c>
      <c r="B48" s="12"/>
      <c r="C48" s="12"/>
      <c r="D48" s="12"/>
      <c r="E48" s="12"/>
      <c r="F48" s="12"/>
      <c r="G48" s="12"/>
      <c r="H48" s="12"/>
    </row>
    <row r="49" spans="1:8" x14ac:dyDescent="0.25">
      <c r="A49" s="12" t="s">
        <v>19</v>
      </c>
      <c r="B49" s="7">
        <f>B12/B13*100</f>
        <v>107.35314925494654</v>
      </c>
      <c r="C49" s="7">
        <f>C12/C13*100</f>
        <v>107.82003517597445</v>
      </c>
      <c r="D49" s="7"/>
      <c r="E49" s="7"/>
      <c r="F49" s="7">
        <f>F12/F13*100</f>
        <v>95.742853637590471</v>
      </c>
      <c r="G49" s="7"/>
      <c r="H49" s="7"/>
    </row>
    <row r="50" spans="1:8" x14ac:dyDescent="0.25">
      <c r="A50" s="12" t="s">
        <v>20</v>
      </c>
      <c r="B50" s="7">
        <f>B18/B19*100</f>
        <v>48.287267035284998</v>
      </c>
      <c r="C50" s="7">
        <f>C18/C19*100</f>
        <v>46.507644029317682</v>
      </c>
      <c r="D50" s="7"/>
      <c r="E50" s="7"/>
      <c r="F50" s="7">
        <f>F18/F19*100</f>
        <v>44.76103077129995</v>
      </c>
      <c r="G50" s="7">
        <f>G18/G19*100</f>
        <v>52.536855309445109</v>
      </c>
      <c r="H50" s="7">
        <f>H18/H19*100</f>
        <v>119.55711261982461</v>
      </c>
    </row>
    <row r="51" spans="1:8" x14ac:dyDescent="0.25">
      <c r="A51" s="12" t="s">
        <v>21</v>
      </c>
      <c r="B51" s="7">
        <f>(B49+B50)/2</f>
        <v>77.820208145115771</v>
      </c>
      <c r="C51" s="7">
        <f t="shared" ref="C51" si="11">(C49+C50)/2</f>
        <v>77.163839602646064</v>
      </c>
      <c r="D51" s="7"/>
      <c r="E51" s="7"/>
      <c r="F51" s="7">
        <f t="shared" ref="F51" si="12">(F49+F50)/2</f>
        <v>70.251942204445214</v>
      </c>
      <c r="G51" s="7">
        <f>AVERAGE(G49:G50)</f>
        <v>52.536855309445109</v>
      </c>
      <c r="H51" s="7">
        <f t="shared" ref="H51" si="13">AVERAGE(H49:H50)</f>
        <v>119.55711261982461</v>
      </c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 t="s">
        <v>33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12" t="s">
        <v>22</v>
      </c>
      <c r="B54" s="7">
        <f>(B20/B18)*100</f>
        <v>95.514693062129496</v>
      </c>
      <c r="C54" s="7"/>
      <c r="D54" s="7"/>
      <c r="E54" s="7"/>
      <c r="F54" s="7"/>
      <c r="G54" s="7"/>
      <c r="H54" s="7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 t="s">
        <v>23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12" t="s">
        <v>24</v>
      </c>
      <c r="B57" s="7">
        <f>((B12/B10)-1)*100</f>
        <v>3.7202112742747095</v>
      </c>
      <c r="C57" s="7">
        <f>((C12/C10)-1)*100</f>
        <v>3.6903135200789583</v>
      </c>
      <c r="D57" s="7">
        <f t="shared" ref="D57:F57" si="14">((D12/D10)-1)*100</f>
        <v>4.303681881923227</v>
      </c>
      <c r="E57" s="7">
        <f t="shared" si="14"/>
        <v>2.0533916645875561</v>
      </c>
      <c r="F57" s="7">
        <f t="shared" si="14"/>
        <v>4.5645377400625131</v>
      </c>
      <c r="G57" s="7"/>
      <c r="H57" s="7"/>
    </row>
    <row r="58" spans="1:8" x14ac:dyDescent="0.25">
      <c r="A58" s="12" t="s">
        <v>25</v>
      </c>
      <c r="B58" s="7">
        <f>((B33/B32)-1)*100</f>
        <v>-0.26637466380917685</v>
      </c>
      <c r="C58" s="7">
        <f>((C33/C32)-1)*100</f>
        <v>-0.66760462159216605</v>
      </c>
      <c r="D58" s="7">
        <f t="shared" ref="D58:G58" si="15">((D33/D32)-1)*100</f>
        <v>-8.470305175937165E-2</v>
      </c>
      <c r="E58" s="7">
        <f t="shared" si="15"/>
        <v>-2.2233611870857373</v>
      </c>
      <c r="F58" s="7">
        <f t="shared" si="15"/>
        <v>7.3275901103875718</v>
      </c>
      <c r="G58" s="7">
        <f t="shared" si="15"/>
        <v>4.0145963466175827</v>
      </c>
      <c r="H58" s="7">
        <f>((H33/H32)-1)*100</f>
        <v>-16.376937891396704</v>
      </c>
    </row>
    <row r="59" spans="1:8" x14ac:dyDescent="0.25">
      <c r="A59" s="12" t="s">
        <v>26</v>
      </c>
      <c r="B59" s="7">
        <f>((B35/B34)-1)*100</f>
        <v>-3.8435960446916773</v>
      </c>
      <c r="C59" s="7">
        <f>((C35/C34)-1)*100</f>
        <v>-4.2028208747071023</v>
      </c>
      <c r="D59" s="7">
        <f t="shared" ref="D59:F59" si="16">((D35/D34)-1)*100</f>
        <v>-4.207315460493966</v>
      </c>
      <c r="E59" s="7">
        <f t="shared" si="16"/>
        <v>-4.1907013396766057</v>
      </c>
      <c r="F59" s="7">
        <f t="shared" si="16"/>
        <v>2.6424373215264696</v>
      </c>
      <c r="G59" s="7"/>
      <c r="H59" s="7"/>
    </row>
    <row r="60" spans="1:8" x14ac:dyDescent="0.25">
      <c r="A60" s="12"/>
      <c r="B60" s="7"/>
      <c r="C60" s="7"/>
      <c r="D60" s="7"/>
      <c r="E60" s="7"/>
      <c r="F60" s="7"/>
      <c r="G60" s="7"/>
      <c r="H60" s="7"/>
    </row>
    <row r="61" spans="1:8" x14ac:dyDescent="0.25">
      <c r="A61" s="12" t="s">
        <v>27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12" t="s">
        <v>34</v>
      </c>
      <c r="B62" s="29">
        <f>B17/(B11*6)</f>
        <v>98387.385732894327</v>
      </c>
      <c r="C62" s="29">
        <f t="shared" ref="C62:F62" si="17">C17/(C11*6)</f>
        <v>78000</v>
      </c>
      <c r="D62" s="29"/>
      <c r="E62" s="29"/>
      <c r="F62" s="29">
        <f t="shared" si="17"/>
        <v>264109.30444444437</v>
      </c>
      <c r="G62" s="10"/>
      <c r="H62" s="10"/>
    </row>
    <row r="63" spans="1:8" x14ac:dyDescent="0.25">
      <c r="A63" s="12" t="s">
        <v>35</v>
      </c>
      <c r="B63" s="29">
        <f>B18/(B12*6)</f>
        <v>95320.108843663926</v>
      </c>
      <c r="C63" s="29">
        <f t="shared" ref="C63:F63" si="18">C18/(C12*6)</f>
        <v>73287.362424249339</v>
      </c>
      <c r="D63" s="29">
        <f t="shared" si="18"/>
        <v>73285.75638801443</v>
      </c>
      <c r="E63" s="29">
        <f t="shared" si="18"/>
        <v>73291.743029428253</v>
      </c>
      <c r="F63" s="29">
        <f t="shared" si="18"/>
        <v>269159.22892747307</v>
      </c>
      <c r="G63" s="10"/>
      <c r="H63" s="10"/>
    </row>
    <row r="64" spans="1:8" x14ac:dyDescent="0.25">
      <c r="A64" s="12" t="s">
        <v>28</v>
      </c>
      <c r="B64" s="7">
        <f>(B63/B62)*B46</f>
        <v>103.15479363611543</v>
      </c>
      <c r="C64" s="7">
        <f t="shared" ref="C64:F64" si="19">(C63/C62)*C46</f>
        <v>98.945930267173324</v>
      </c>
      <c r="D64" s="7" t="e">
        <f t="shared" si="19"/>
        <v>#DIV/0!</v>
      </c>
      <c r="E64" s="7" t="e">
        <f t="shared" si="19"/>
        <v>#DIV/0!</v>
      </c>
      <c r="F64" s="7">
        <f t="shared" si="19"/>
        <v>100.20282204062779</v>
      </c>
      <c r="G64" s="7"/>
      <c r="H64" s="7"/>
    </row>
    <row r="65" spans="1:9" s="12" customFormat="1" x14ac:dyDescent="0.25">
      <c r="A65" s="7" t="s">
        <v>40</v>
      </c>
      <c r="B65" s="10">
        <f>B17/B11</f>
        <v>590324.3143973659</v>
      </c>
      <c r="C65" s="10">
        <f>C17/C11</f>
        <v>468000</v>
      </c>
      <c r="D65" s="10"/>
      <c r="E65" s="10"/>
      <c r="F65" s="10">
        <f t="shared" ref="F65" si="20">F17/F11</f>
        <v>1584655.8266666662</v>
      </c>
      <c r="G65" s="7"/>
      <c r="H65" s="7"/>
    </row>
    <row r="66" spans="1:9" s="12" customFormat="1" x14ac:dyDescent="0.25">
      <c r="A66" s="7" t="s">
        <v>41</v>
      </c>
      <c r="B66" s="10">
        <f>B18/B12</f>
        <v>571920.65306198364</v>
      </c>
      <c r="C66" s="10">
        <f>C18/C12</f>
        <v>439724.17454549606</v>
      </c>
      <c r="D66" s="10">
        <f>D18/D12</f>
        <v>439714.53832808655</v>
      </c>
      <c r="E66" s="10">
        <f t="shared" ref="E66:F66" si="21">E18/E12</f>
        <v>439750.45817656955</v>
      </c>
      <c r="F66" s="10">
        <f t="shared" si="21"/>
        <v>1614955.3735648384</v>
      </c>
      <c r="G66" s="7"/>
      <c r="H66" s="7"/>
      <c r="I66" s="28"/>
    </row>
    <row r="67" spans="1:9" x14ac:dyDescent="0.25">
      <c r="A67" s="12"/>
      <c r="B67" s="7"/>
      <c r="C67" s="7"/>
      <c r="D67" s="7"/>
      <c r="E67" s="7"/>
      <c r="F67" s="7"/>
      <c r="G67" s="7"/>
      <c r="H67" s="7"/>
    </row>
    <row r="68" spans="1:9" x14ac:dyDescent="0.25">
      <c r="A68" s="12" t="s">
        <v>29</v>
      </c>
      <c r="B68" s="7"/>
      <c r="C68" s="7"/>
      <c r="D68" s="7"/>
      <c r="E68" s="7"/>
      <c r="F68" s="7"/>
      <c r="G68" s="7"/>
      <c r="H68" s="7"/>
    </row>
    <row r="69" spans="1:9" x14ac:dyDescent="0.25">
      <c r="A69" s="12" t="s">
        <v>30</v>
      </c>
      <c r="B69" s="7">
        <f>(B24/B23)*100</f>
        <v>106.37113166576546</v>
      </c>
      <c r="C69" s="7"/>
      <c r="D69" s="7"/>
      <c r="E69" s="7"/>
      <c r="F69" s="7"/>
      <c r="G69" s="7"/>
      <c r="H69" s="7"/>
    </row>
    <row r="70" spans="1:9" x14ac:dyDescent="0.25">
      <c r="A70" s="12" t="s">
        <v>31</v>
      </c>
      <c r="B70" s="7">
        <f>(B18/B24)*100</f>
        <v>98.511884629317507</v>
      </c>
      <c r="C70" s="7"/>
      <c r="D70" s="7"/>
      <c r="E70" s="7"/>
      <c r="F70" s="7"/>
      <c r="G70" s="7"/>
      <c r="H70" s="7"/>
    </row>
    <row r="71" spans="1:9" ht="15.75" thickBot="1" x14ac:dyDescent="0.3">
      <c r="A71" s="37"/>
      <c r="B71" s="37"/>
      <c r="C71" s="37"/>
      <c r="D71" s="37"/>
      <c r="E71" s="37"/>
      <c r="F71" s="37"/>
      <c r="G71" s="37"/>
      <c r="H71" s="37"/>
    </row>
    <row r="72" spans="1:9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9" x14ac:dyDescent="0.25">
      <c r="A73" s="1" t="s">
        <v>32</v>
      </c>
    </row>
    <row r="74" spans="1:9" x14ac:dyDescent="0.25">
      <c r="A74" s="1" t="s">
        <v>94</v>
      </c>
    </row>
    <row r="75" spans="1:9" x14ac:dyDescent="0.25">
      <c r="A75" s="1" t="s">
        <v>95</v>
      </c>
      <c r="B75" s="8"/>
      <c r="C75" s="8"/>
      <c r="D75" s="8"/>
      <c r="E75" s="8"/>
      <c r="F75" s="8"/>
    </row>
    <row r="76" spans="1:9" x14ac:dyDescent="0.25">
      <c r="A76" s="1" t="s">
        <v>96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19" t="s">
        <v>54</v>
      </c>
    </row>
    <row r="82" spans="1:1" x14ac:dyDescent="0.25">
      <c r="A82" s="20" t="s">
        <v>55</v>
      </c>
    </row>
    <row r="83" spans="1:1" x14ac:dyDescent="0.25">
      <c r="A83" s="20" t="s">
        <v>56</v>
      </c>
    </row>
    <row r="85" spans="1:1" x14ac:dyDescent="0.25">
      <c r="A85" s="11" t="s">
        <v>135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workbookViewId="0">
      <selection activeCell="A85" sqref="A85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4" t="s">
        <v>126</v>
      </c>
      <c r="B2" s="44"/>
      <c r="C2" s="44"/>
      <c r="D2" s="44"/>
      <c r="E2" s="44"/>
      <c r="F2" s="44"/>
      <c r="G2" s="44"/>
      <c r="H2" s="44"/>
    </row>
    <row r="4" spans="1:8" x14ac:dyDescent="0.25">
      <c r="A4" s="42" t="s">
        <v>0</v>
      </c>
      <c r="B4" s="42" t="s">
        <v>38</v>
      </c>
      <c r="C4" s="22"/>
      <c r="D4" s="22"/>
      <c r="E4" s="23" t="s">
        <v>1</v>
      </c>
      <c r="F4" s="15"/>
      <c r="G4" s="42" t="s">
        <v>2</v>
      </c>
      <c r="H4" s="42" t="s">
        <v>3</v>
      </c>
    </row>
    <row r="5" spans="1:8" ht="15.75" thickBot="1" x14ac:dyDescent="0.3">
      <c r="A5" s="43"/>
      <c r="B5" s="43"/>
      <c r="C5" s="45" t="s">
        <v>39</v>
      </c>
      <c r="D5" s="45"/>
      <c r="E5" s="45"/>
      <c r="F5" s="21" t="s">
        <v>57</v>
      </c>
      <c r="G5" s="43"/>
      <c r="H5" s="43"/>
    </row>
    <row r="6" spans="1:8" ht="15.75" thickTop="1" x14ac:dyDescent="0.25">
      <c r="C6" s="24" t="s">
        <v>58</v>
      </c>
      <c r="D6" s="14" t="s">
        <v>51</v>
      </c>
      <c r="E6" s="14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70</v>
      </c>
      <c r="B10" s="10">
        <f>+C10+F10</f>
        <v>109622.88888888889</v>
      </c>
      <c r="C10" s="10">
        <f>SUM(D10:E10)</f>
        <v>105864.55555555556</v>
      </c>
      <c r="D10" s="10">
        <f>(+'I Trimestre'!D10+'II Trimestre'!D10+'III Trimestre'!D10)/3</f>
        <v>77076.777777777781</v>
      </c>
      <c r="E10" s="5">
        <f>(+'I Trimestre'!E10+'II Trimestre'!E10+'III Trimestre'!E10)/3</f>
        <v>28787.777777777781</v>
      </c>
      <c r="F10" s="5">
        <f>(+'I Trimestre'!F10+'II Trimestre'!F10+'III Trimestre'!F10)/3</f>
        <v>3758.3333333333335</v>
      </c>
      <c r="G10" s="5"/>
      <c r="H10" s="5"/>
    </row>
    <row r="11" spans="1:8" x14ac:dyDescent="0.25">
      <c r="A11" s="4" t="s">
        <v>106</v>
      </c>
      <c r="B11" s="10">
        <f t="shared" ref="B11:B13" si="0">+C11+F11</f>
        <v>105106</v>
      </c>
      <c r="C11" s="10">
        <f>('I Trimestre'!C11+'II Trimestre'!C11+'III Trimestre'!C11)/3</f>
        <v>101065</v>
      </c>
      <c r="D11" s="10"/>
      <c r="E11" s="5">
        <f>(+'I Trimestre'!E11+'II Trimestre'!E11+'III Trimestre'!E11)/3</f>
        <v>0</v>
      </c>
      <c r="F11" s="5">
        <f>(+'I Trimestre'!F11+'II Trimestre'!F11+'III Trimestre'!F11)/3</f>
        <v>4041</v>
      </c>
      <c r="G11" s="5"/>
      <c r="H11" s="5"/>
    </row>
    <row r="12" spans="1:8" x14ac:dyDescent="0.25">
      <c r="A12" s="4" t="s">
        <v>107</v>
      </c>
      <c r="B12" s="10">
        <f t="shared" si="0"/>
        <v>113781.11111111112</v>
      </c>
      <c r="C12" s="10">
        <f t="shared" ref="C12" si="1">SUM(D12:E12)</f>
        <v>109858.88888888891</v>
      </c>
      <c r="D12" s="10">
        <f>(+'I Trimestre'!D12+'II Trimestre'!D12+'III Trimestre'!D12)/3</f>
        <v>80421.444444444453</v>
      </c>
      <c r="E12" s="5">
        <f>(+'I Trimestre'!E12+'II Trimestre'!E12+'III Trimestre'!E12)/3</f>
        <v>29437.444444444449</v>
      </c>
      <c r="F12" s="5">
        <f>(+'I Trimestre'!F12+'II Trimestre'!F12+'III Trimestre'!F12)/3</f>
        <v>3922.2222222222222</v>
      </c>
      <c r="G12" s="5"/>
      <c r="H12" s="5"/>
    </row>
    <row r="13" spans="1:8" x14ac:dyDescent="0.25">
      <c r="A13" s="4" t="s">
        <v>89</v>
      </c>
      <c r="B13" s="10">
        <f t="shared" si="0"/>
        <v>105423.08333333333</v>
      </c>
      <c r="C13" s="10">
        <f>'III Trimestre'!C13</f>
        <v>101347.58333333333</v>
      </c>
      <c r="D13" s="10"/>
      <c r="E13" s="10">
        <f>'III Trimestre'!E13</f>
        <v>0</v>
      </c>
      <c r="F13" s="10">
        <f>'III Trimestre'!F13</f>
        <v>4075.5</v>
      </c>
      <c r="G13" s="10"/>
      <c r="H13" s="10"/>
    </row>
    <row r="14" spans="1:8" x14ac:dyDescent="0.25">
      <c r="C14" s="10"/>
    </row>
    <row r="15" spans="1:8" x14ac:dyDescent="0.25">
      <c r="A15" s="6" t="s">
        <v>5</v>
      </c>
      <c r="C15" s="10"/>
    </row>
    <row r="16" spans="1:8" x14ac:dyDescent="0.25">
      <c r="A16" s="4" t="s">
        <v>70</v>
      </c>
      <c r="B16" s="5">
        <f>+C16+F16+G16+H16</f>
        <v>97952960368.399994</v>
      </c>
      <c r="C16" s="10">
        <f t="shared" ref="C16:C20" si="2">SUM(D16:E16)</f>
        <v>73147745767.399994</v>
      </c>
      <c r="D16" s="5">
        <f>+'I Trimestre'!D16+'II Trimestre'!D16+'III Trimestre'!D16</f>
        <v>53257462845.893707</v>
      </c>
      <c r="E16" s="10">
        <f>+'I Trimestre'!E16+'II Trimestre'!E16+'III Trimestre'!E16</f>
        <v>19890282921.506294</v>
      </c>
      <c r="F16" s="10">
        <f>+'I Trimestre'!F16+'II Trimestre'!F16+'III Trimestre'!F16</f>
        <v>8953996436.4499989</v>
      </c>
      <c r="G16" s="10">
        <f>+'I Trimestre'!G16+'II Trimestre'!G16+'III Trimestre'!G16</f>
        <v>11093443164.549999</v>
      </c>
      <c r="H16" s="10">
        <f>+'I Trimestre'!H16+'II Trimestre'!H16+'III Trimestre'!H16</f>
        <v>4757775000</v>
      </c>
    </row>
    <row r="17" spans="1:9" x14ac:dyDescent="0.25">
      <c r="A17" s="4" t="s">
        <v>106</v>
      </c>
      <c r="B17" s="5">
        <f t="shared" ref="B17:B19" si="3">+C17+F17+G17+H17</f>
        <v>93073669405.756622</v>
      </c>
      <c r="C17" s="10">
        <f>'I Trimestre'!C17+'II Trimestre'!C17+'III Trimestre'!C17</f>
        <v>70947630000</v>
      </c>
      <c r="D17" s="5"/>
      <c r="E17" s="10"/>
      <c r="F17" s="10">
        <f>+'I Trimestre'!F17+'II Trimestre'!F17+'III Trimestre'!F17</f>
        <v>9637479574.9066658</v>
      </c>
      <c r="G17" s="10">
        <f>+'I Trimestre'!G17+'II Trimestre'!G17+'III Trimestre'!G17</f>
        <v>10667331923.69997</v>
      </c>
      <c r="H17" s="10">
        <f>+'I Trimestre'!H17+'II Trimestre'!H17+'III Trimestre'!H17</f>
        <v>1821227907.1499999</v>
      </c>
    </row>
    <row r="18" spans="1:9" x14ac:dyDescent="0.25">
      <c r="A18" s="4" t="s">
        <v>107</v>
      </c>
      <c r="B18" s="5">
        <f t="shared" si="3"/>
        <v>98308377954.350006</v>
      </c>
      <c r="C18" s="10">
        <f t="shared" si="2"/>
        <v>72933308287.51001</v>
      </c>
      <c r="D18" s="5">
        <f>+'I Trimestre'!D18+'II Trimestre'!D18+'III Trimestre'!D18</f>
        <v>53389779403.089996</v>
      </c>
      <c r="E18" s="10">
        <f>+'I Trimestre'!E18+'II Trimestre'!E18+'III Trimestre'!E18</f>
        <v>19543528884.420006</v>
      </c>
      <c r="F18" s="10">
        <f>+'I Trimestre'!F18+'II Trimestre'!F18+'III Trimestre'!F18</f>
        <v>9527315014.6499996</v>
      </c>
      <c r="G18" s="10">
        <f>+'I Trimestre'!G18+'II Trimestre'!G18+'III Trimestre'!G18</f>
        <v>11465044652.16</v>
      </c>
      <c r="H18" s="10">
        <f>+'I Trimestre'!H18+'II Trimestre'!H18+'III Trimestre'!H18</f>
        <v>4382710000.0299988</v>
      </c>
    </row>
    <row r="19" spans="1:9" x14ac:dyDescent="0.25">
      <c r="A19" s="4" t="s">
        <v>89</v>
      </c>
      <c r="B19" s="5">
        <f t="shared" si="3"/>
        <v>134045937747.91995</v>
      </c>
      <c r="C19" s="10">
        <f>'III Trimestre'!C19</f>
        <v>103316305798.72</v>
      </c>
      <c r="D19" s="10"/>
      <c r="E19" s="10"/>
      <c r="F19" s="10">
        <f>+'III Trimestre'!F19</f>
        <v>14078218841.399998</v>
      </c>
      <c r="G19" s="10">
        <f>+'III Trimestre'!G19</f>
        <v>14223109231.599958</v>
      </c>
      <c r="H19" s="10">
        <f>+'III Trimestre'!H19</f>
        <v>2428303876.1999993</v>
      </c>
    </row>
    <row r="20" spans="1:9" x14ac:dyDescent="0.25">
      <c r="A20" s="33" t="s">
        <v>108</v>
      </c>
      <c r="B20" s="29">
        <f>+C20+F20+G20</f>
        <v>93925667954.320007</v>
      </c>
      <c r="C20" s="10">
        <f t="shared" si="2"/>
        <v>72933308287.51001</v>
      </c>
      <c r="D20" s="10">
        <f>+D18</f>
        <v>53389779403.089996</v>
      </c>
      <c r="E20" s="10">
        <f>+E18</f>
        <v>19543528884.420006</v>
      </c>
      <c r="F20" s="10">
        <f t="shared" ref="F20:G20" si="4">+F18</f>
        <v>9527315014.6499996</v>
      </c>
      <c r="G20" s="10">
        <f t="shared" si="4"/>
        <v>11465044652.16</v>
      </c>
      <c r="H20" s="10"/>
    </row>
    <row r="21" spans="1:9" x14ac:dyDescent="0.25">
      <c r="A21" s="12"/>
      <c r="B21" s="10"/>
      <c r="C21" s="10"/>
      <c r="D21" s="10"/>
      <c r="E21" s="10"/>
      <c r="F21" s="10"/>
      <c r="G21" s="10"/>
      <c r="H21" s="12"/>
    </row>
    <row r="22" spans="1:9" x14ac:dyDescent="0.25">
      <c r="A22" s="34" t="s">
        <v>6</v>
      </c>
      <c r="B22" s="10"/>
      <c r="C22" s="10"/>
      <c r="D22" s="10"/>
      <c r="E22" s="10"/>
      <c r="F22" s="10"/>
      <c r="G22" s="10"/>
      <c r="H22" s="10"/>
    </row>
    <row r="23" spans="1:9" x14ac:dyDescent="0.25">
      <c r="A23" s="33" t="s">
        <v>106</v>
      </c>
      <c r="B23" s="10">
        <f>B17</f>
        <v>93073669405.756622</v>
      </c>
      <c r="C23" s="10"/>
      <c r="D23" s="10"/>
      <c r="E23" s="10"/>
      <c r="F23" s="10"/>
      <c r="G23" s="10"/>
      <c r="H23" s="10"/>
    </row>
    <row r="24" spans="1:9" x14ac:dyDescent="0.25">
      <c r="A24" s="33" t="s">
        <v>107</v>
      </c>
      <c r="B24" s="10">
        <f>+'I Trimestre'!B24+'II Trimestre'!B24+'III Trimestre'!B24</f>
        <v>91183500423.679993</v>
      </c>
      <c r="C24" s="10"/>
      <c r="D24" s="10"/>
      <c r="E24" s="10"/>
      <c r="F24" s="10"/>
      <c r="G24" s="10"/>
      <c r="H24" s="10"/>
    </row>
    <row r="25" spans="1:9" x14ac:dyDescent="0.25">
      <c r="A25" s="12"/>
      <c r="B25" s="12"/>
      <c r="C25" s="12"/>
      <c r="D25" s="12"/>
      <c r="E25" s="12"/>
      <c r="F25" s="12"/>
      <c r="G25" s="12"/>
      <c r="H25" s="12"/>
    </row>
    <row r="26" spans="1:9" x14ac:dyDescent="0.25">
      <c r="A26" s="12" t="s">
        <v>7</v>
      </c>
      <c r="B26" s="12"/>
      <c r="C26" s="12"/>
      <c r="D26" s="12"/>
      <c r="E26" s="12"/>
      <c r="F26" s="12"/>
      <c r="G26" s="12"/>
      <c r="H26" s="12"/>
    </row>
    <row r="27" spans="1:9" x14ac:dyDescent="0.25">
      <c r="A27" s="33" t="s">
        <v>71</v>
      </c>
      <c r="B27" s="40">
        <v>0.99</v>
      </c>
      <c r="C27" s="40">
        <v>0.99</v>
      </c>
      <c r="D27" s="40">
        <v>0.99</v>
      </c>
      <c r="E27" s="40">
        <v>0.99</v>
      </c>
      <c r="F27" s="40">
        <v>0.99</v>
      </c>
      <c r="G27" s="40">
        <v>0.99</v>
      </c>
      <c r="H27" s="40">
        <v>0.99</v>
      </c>
    </row>
    <row r="28" spans="1:9" x14ac:dyDescent="0.25">
      <c r="A28" s="33" t="s">
        <v>109</v>
      </c>
      <c r="B28" s="41">
        <v>1.01</v>
      </c>
      <c r="C28" s="41">
        <v>1.01</v>
      </c>
      <c r="D28" s="41">
        <v>1.01</v>
      </c>
      <c r="E28" s="41">
        <v>1.01</v>
      </c>
      <c r="F28" s="41">
        <v>1.01</v>
      </c>
      <c r="G28" s="41">
        <v>1.01</v>
      </c>
      <c r="H28" s="41">
        <v>1.01</v>
      </c>
      <c r="I28" s="28"/>
    </row>
    <row r="29" spans="1:9" x14ac:dyDescent="0.25">
      <c r="A29" s="33" t="s">
        <v>8</v>
      </c>
      <c r="B29" s="11">
        <f>+D29+F29</f>
        <v>104137</v>
      </c>
      <c r="C29" s="25"/>
      <c r="D29" s="11">
        <v>98025</v>
      </c>
      <c r="E29" s="11" t="s">
        <v>53</v>
      </c>
      <c r="F29" s="11">
        <v>6112</v>
      </c>
      <c r="G29" s="11"/>
      <c r="H29" s="11"/>
    </row>
    <row r="30" spans="1:9" x14ac:dyDescent="0.25">
      <c r="A30" s="12"/>
      <c r="B30" s="12"/>
      <c r="C30" s="12"/>
      <c r="D30" s="12"/>
      <c r="E30" s="12"/>
      <c r="F30" s="12"/>
      <c r="G30" s="12"/>
      <c r="H30" s="12"/>
    </row>
    <row r="31" spans="1:9" x14ac:dyDescent="0.25">
      <c r="A31" s="35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72</v>
      </c>
      <c r="B32" s="10">
        <f>B16/B27</f>
        <v>98942384210.505051</v>
      </c>
      <c r="C32" s="10">
        <f t="shared" ref="C32:H32" si="5">C16/C27</f>
        <v>73886611886.262619</v>
      </c>
      <c r="D32" s="10">
        <f t="shared" si="5"/>
        <v>53795417016.054253</v>
      </c>
      <c r="E32" s="10">
        <f t="shared" si="5"/>
        <v>20091194870.208378</v>
      </c>
      <c r="F32" s="10">
        <f t="shared" si="5"/>
        <v>9044440844.8989887</v>
      </c>
      <c r="G32" s="10">
        <f t="shared" si="5"/>
        <v>11205498146.010099</v>
      </c>
      <c r="H32" s="10">
        <f t="shared" si="5"/>
        <v>4805833333.333333</v>
      </c>
    </row>
    <row r="33" spans="1:8" x14ac:dyDescent="0.25">
      <c r="A33" s="12" t="s">
        <v>110</v>
      </c>
      <c r="B33" s="10">
        <f>B18/B28</f>
        <v>97335027677.574265</v>
      </c>
      <c r="C33" s="10">
        <f t="shared" ref="C33:H33" si="6">C18/C28</f>
        <v>72211196324.267334</v>
      </c>
      <c r="D33" s="10">
        <f t="shared" si="6"/>
        <v>52861167725.83168</v>
      </c>
      <c r="E33" s="10">
        <f t="shared" si="6"/>
        <v>19350028598.43565</v>
      </c>
      <c r="F33" s="10">
        <f t="shared" si="6"/>
        <v>9432985163.0198021</v>
      </c>
      <c r="G33" s="10">
        <f t="shared" si="6"/>
        <v>11351529358.574257</v>
      </c>
      <c r="H33" s="10">
        <f t="shared" si="6"/>
        <v>4339316831.7128696</v>
      </c>
    </row>
    <row r="34" spans="1:8" x14ac:dyDescent="0.25">
      <c r="A34" s="12" t="s">
        <v>73</v>
      </c>
      <c r="B34" s="10">
        <f>B32/B10</f>
        <v>902570.48699738842</v>
      </c>
      <c r="C34" s="10">
        <f>C32/C10</f>
        <v>697935.31459628558</v>
      </c>
      <c r="D34" s="10">
        <f>D32/D10</f>
        <v>697945.84785515198</v>
      </c>
      <c r="E34" s="10">
        <f t="shared" ref="E34:F34" si="7">E32/E10</f>
        <v>697907.11270938814</v>
      </c>
      <c r="F34" s="10">
        <f t="shared" si="7"/>
        <v>2406503.1072901962</v>
      </c>
      <c r="G34" s="10"/>
      <c r="H34" s="10"/>
    </row>
    <row r="35" spans="1:8" x14ac:dyDescent="0.25">
      <c r="A35" s="12" t="s">
        <v>111</v>
      </c>
      <c r="B35" s="10">
        <f>B33/B12</f>
        <v>855458.57943436061</v>
      </c>
      <c r="C35" s="10">
        <f>C33/C12</f>
        <v>657308.6352375329</v>
      </c>
      <c r="D35" s="10">
        <f>D33/D12</f>
        <v>657301.89368021663</v>
      </c>
      <c r="E35" s="10">
        <f t="shared" ref="E35:F35" si="8">E33/E12</f>
        <v>657327.05279338418</v>
      </c>
      <c r="F35" s="10">
        <f t="shared" si="8"/>
        <v>2405010.3815064654</v>
      </c>
      <c r="G35" s="10"/>
      <c r="H35" s="10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35" t="s">
        <v>10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 t="s">
        <v>11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12" t="s">
        <v>12</v>
      </c>
      <c r="B40" s="7">
        <f>(B11/B29)*100</f>
        <v>100.93050500782623</v>
      </c>
      <c r="C40" s="7"/>
      <c r="D40" s="7">
        <f>(C11)/D29*100</f>
        <v>103.10124968120378</v>
      </c>
      <c r="E40" s="7"/>
      <c r="F40" s="7">
        <f>(F11)/F29*100</f>
        <v>66.115837696335078</v>
      </c>
      <c r="G40" s="7"/>
      <c r="H40" s="12"/>
    </row>
    <row r="41" spans="1:8" x14ac:dyDescent="0.25">
      <c r="A41" s="12" t="s">
        <v>13</v>
      </c>
      <c r="B41" s="7">
        <f>((D12+F12)/B29)*100</f>
        <v>80.992986802641397</v>
      </c>
      <c r="C41" s="36"/>
      <c r="D41" s="7">
        <f>(D12)/D29*100</f>
        <v>82.041769389894881</v>
      </c>
      <c r="E41" s="7"/>
      <c r="F41" s="7">
        <f t="shared" ref="F41" si="9">(F12)/F29*100</f>
        <v>64.172484002326939</v>
      </c>
      <c r="G41" s="7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 t="s">
        <v>14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12" t="s">
        <v>15</v>
      </c>
      <c r="B44" s="7">
        <f>B12/B11*100</f>
        <v>108.25367829725336</v>
      </c>
      <c r="C44" s="7">
        <f>C12/C11*100</f>
        <v>108.70122088644823</v>
      </c>
      <c r="D44" s="7"/>
      <c r="E44" s="7"/>
      <c r="F44" s="7">
        <f>F12/F11*100</f>
        <v>97.060683549176503</v>
      </c>
      <c r="G44" s="7"/>
      <c r="H44" s="12"/>
    </row>
    <row r="45" spans="1:8" x14ac:dyDescent="0.25">
      <c r="A45" s="12" t="s">
        <v>16</v>
      </c>
      <c r="B45" s="7">
        <f>B18/B17*100</f>
        <v>105.62426364192494</v>
      </c>
      <c r="C45" s="7">
        <f>C18/C17*100</f>
        <v>102.79879438891759</v>
      </c>
      <c r="D45" s="7"/>
      <c r="E45" s="7"/>
      <c r="F45" s="7">
        <f>F18/F17*100</f>
        <v>98.856915240126639</v>
      </c>
      <c r="G45" s="7">
        <f>G18/G17*100</f>
        <v>107.47809043691352</v>
      </c>
      <c r="H45" s="7">
        <f>H18/H17*100</f>
        <v>240.64588417648437</v>
      </c>
    </row>
    <row r="46" spans="1:8" x14ac:dyDescent="0.25">
      <c r="A46" s="12" t="s">
        <v>17</v>
      </c>
      <c r="B46" s="7">
        <f>AVERAGE(B44:B45)</f>
        <v>106.93897096958915</v>
      </c>
      <c r="C46" s="7">
        <f>AVERAGE(C44:C45)</f>
        <v>105.7500076376829</v>
      </c>
      <c r="D46" s="7"/>
      <c r="E46" s="7"/>
      <c r="F46" s="7">
        <f t="shared" ref="F46:H46" si="10">AVERAGE(F44:F45)</f>
        <v>97.958799394651578</v>
      </c>
      <c r="G46" s="7">
        <f>AVERAGE(G44:G45)</f>
        <v>107.47809043691352</v>
      </c>
      <c r="H46" s="7">
        <f t="shared" si="10"/>
        <v>240.64588417648437</v>
      </c>
    </row>
    <row r="47" spans="1:8" x14ac:dyDescent="0.25">
      <c r="A47" s="12"/>
      <c r="B47" s="7"/>
      <c r="C47" s="7"/>
      <c r="D47" s="7"/>
      <c r="E47" s="7"/>
      <c r="F47" s="7"/>
      <c r="G47" s="7"/>
      <c r="H47" s="7"/>
    </row>
    <row r="48" spans="1:8" x14ac:dyDescent="0.25">
      <c r="A48" s="12" t="s">
        <v>18</v>
      </c>
      <c r="B48" s="12"/>
      <c r="C48" s="12"/>
      <c r="D48" s="12"/>
      <c r="E48" s="12"/>
      <c r="F48" s="12"/>
      <c r="G48" s="12"/>
      <c r="H48" s="12"/>
    </row>
    <row r="49" spans="1:8" x14ac:dyDescent="0.25">
      <c r="A49" s="12" t="s">
        <v>19</v>
      </c>
      <c r="B49" s="7">
        <f>B12/B13*100</f>
        <v>107.92808132100524</v>
      </c>
      <c r="C49" s="7">
        <f>C12/C13*100</f>
        <v>108.39813370543014</v>
      </c>
      <c r="D49" s="7"/>
      <c r="E49" s="7"/>
      <c r="F49" s="7">
        <f>F12/F13*100</f>
        <v>96.239043607464652</v>
      </c>
      <c r="G49" s="7"/>
      <c r="H49" s="7"/>
    </row>
    <row r="50" spans="1:8" x14ac:dyDescent="0.25">
      <c r="A50" s="12" t="s">
        <v>20</v>
      </c>
      <c r="B50" s="7">
        <f>B18/B19*100</f>
        <v>73.33931904689554</v>
      </c>
      <c r="C50" s="7">
        <f>C18/C19*100</f>
        <v>70.592253297943202</v>
      </c>
      <c r="D50" s="7"/>
      <c r="E50" s="7"/>
      <c r="F50" s="7">
        <f>F18/F19*100</f>
        <v>67.674150558257423</v>
      </c>
      <c r="G50" s="7">
        <f>G18/G19*100</f>
        <v>80.608567827685135</v>
      </c>
      <c r="H50" s="7">
        <f>H18/H19*100</f>
        <v>180.4844131323633</v>
      </c>
    </row>
    <row r="51" spans="1:8" x14ac:dyDescent="0.25">
      <c r="A51" s="12" t="s">
        <v>21</v>
      </c>
      <c r="B51" s="7">
        <f>(B49+B50)/2</f>
        <v>90.633700183950396</v>
      </c>
      <c r="C51" s="7">
        <f t="shared" ref="C51" si="11">(C49+C50)/2</f>
        <v>89.495193501686671</v>
      </c>
      <c r="D51" s="7"/>
      <c r="E51" s="7"/>
      <c r="F51" s="7">
        <f t="shared" ref="F51" si="12">(F49+F50)/2</f>
        <v>81.956597082861038</v>
      </c>
      <c r="G51" s="7">
        <f>AVERAGE(G49:G50)</f>
        <v>80.608567827685135</v>
      </c>
      <c r="H51" s="7">
        <f t="shared" ref="H51" si="13">AVERAGE(H49:H50)</f>
        <v>180.4844131323633</v>
      </c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 t="s">
        <v>33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12" t="s">
        <v>22</v>
      </c>
      <c r="B54" s="7">
        <f>(B20/B18)*100</f>
        <v>95.541875381094044</v>
      </c>
      <c r="C54" s="7"/>
      <c r="D54" s="7"/>
      <c r="E54" s="7"/>
      <c r="F54" s="7"/>
      <c r="G54" s="7"/>
      <c r="H54" s="7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 t="s">
        <v>23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12" t="s">
        <v>24</v>
      </c>
      <c r="B57" s="7">
        <f>((B12/B10)-1)*100</f>
        <v>3.7932062038949832</v>
      </c>
      <c r="C57" s="7">
        <f>((C12/C10)-1)*100</f>
        <v>3.7730601260940411</v>
      </c>
      <c r="D57" s="7">
        <f t="shared" ref="D57:F57" si="14">((D12/D10)-1)*100</f>
        <v>4.3393960711613833</v>
      </c>
      <c r="E57" s="7">
        <f t="shared" si="14"/>
        <v>2.2567447605079449</v>
      </c>
      <c r="F57" s="7">
        <f t="shared" si="14"/>
        <v>4.3606799704360544</v>
      </c>
      <c r="G57" s="7"/>
      <c r="H57" s="7"/>
    </row>
    <row r="58" spans="1:8" x14ac:dyDescent="0.25">
      <c r="A58" s="12" t="s">
        <v>25</v>
      </c>
      <c r="B58" s="7">
        <f>((B33/B32)-1)*100</f>
        <v>-1.6245379022917561</v>
      </c>
      <c r="C58" s="7">
        <f>((C33/C32)-1)*100</f>
        <v>-2.2675495860797312</v>
      </c>
      <c r="D58" s="7">
        <f t="shared" ref="D58:G58" si="15">((D33/D32)-1)*100</f>
        <v>-1.7366707835795081</v>
      </c>
      <c r="E58" s="7">
        <f t="shared" si="15"/>
        <v>-3.6890104175523408</v>
      </c>
      <c r="F58" s="7">
        <f t="shared" si="15"/>
        <v>4.2959462589658104</v>
      </c>
      <c r="G58" s="7">
        <f t="shared" si="15"/>
        <v>1.303210358534157</v>
      </c>
      <c r="H58" s="7">
        <f>((H33/H32)-1)*100</f>
        <v>-9.7072967217713853</v>
      </c>
    </row>
    <row r="59" spans="1:8" x14ac:dyDescent="0.25">
      <c r="A59" s="12" t="s">
        <v>26</v>
      </c>
      <c r="B59" s="7">
        <f>((B35/B34)-1)*100</f>
        <v>-5.2197482902146097</v>
      </c>
      <c r="C59" s="7">
        <f>((C35/C34)-1)*100</f>
        <v>-5.8209806136909403</v>
      </c>
      <c r="D59" s="7">
        <f t="shared" ref="D59:F59" si="16">((D35/D34)-1)*100</f>
        <v>-5.8233678586723787</v>
      </c>
      <c r="E59" s="7">
        <f t="shared" si="16"/>
        <v>-5.8145359428227632</v>
      </c>
      <c r="F59" s="7">
        <f t="shared" si="16"/>
        <v>-6.2028832591520811E-2</v>
      </c>
      <c r="G59" s="7"/>
      <c r="H59" s="7"/>
    </row>
    <row r="60" spans="1:8" x14ac:dyDescent="0.25">
      <c r="A60" s="12"/>
      <c r="B60" s="7"/>
      <c r="C60" s="7"/>
      <c r="D60" s="7"/>
      <c r="E60" s="7"/>
      <c r="F60" s="7"/>
      <c r="G60" s="7"/>
      <c r="H60" s="7"/>
    </row>
    <row r="61" spans="1:8" x14ac:dyDescent="0.25">
      <c r="A61" s="12" t="s">
        <v>27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12" t="s">
        <v>34</v>
      </c>
      <c r="B62" s="29">
        <f>B17/(B11*9)</f>
        <v>98391.327068500817</v>
      </c>
      <c r="C62" s="29">
        <f t="shared" ref="C62:F62" si="17">C17/(C11*9)</f>
        <v>78000</v>
      </c>
      <c r="D62" s="29"/>
      <c r="E62" s="29"/>
      <c r="F62" s="29">
        <f t="shared" si="17"/>
        <v>264991.60204863112</v>
      </c>
      <c r="G62" s="10"/>
      <c r="H62" s="10"/>
    </row>
    <row r="63" spans="1:8" x14ac:dyDescent="0.25">
      <c r="A63" s="12" t="s">
        <v>35</v>
      </c>
      <c r="B63" s="29">
        <f>B18/(B12*9)</f>
        <v>96001.462803189352</v>
      </c>
      <c r="C63" s="29">
        <f t="shared" ref="C63:F63" si="18">C18/(C12*9)</f>
        <v>73764.635732212031</v>
      </c>
      <c r="D63" s="29">
        <f t="shared" si="18"/>
        <v>73763.879179668758</v>
      </c>
      <c r="E63" s="29">
        <f t="shared" si="18"/>
        <v>73766.702591257548</v>
      </c>
      <c r="F63" s="29">
        <f t="shared" si="18"/>
        <v>269895.60948016995</v>
      </c>
      <c r="G63" s="10"/>
      <c r="H63" s="10"/>
    </row>
    <row r="64" spans="1:8" x14ac:dyDescent="0.25">
      <c r="A64" s="12" t="s">
        <v>28</v>
      </c>
      <c r="B64" s="7">
        <f>(B63/B62)*B46</f>
        <v>104.34148973924177</v>
      </c>
      <c r="C64" s="7">
        <f t="shared" ref="C64:F64" si="19">(C63/C62)*C46</f>
        <v>100.00783066759384</v>
      </c>
      <c r="D64" s="7" t="e">
        <f t="shared" si="19"/>
        <v>#DIV/0!</v>
      </c>
      <c r="E64" s="7" t="e">
        <f t="shared" si="19"/>
        <v>#DIV/0!</v>
      </c>
      <c r="F64" s="7">
        <f t="shared" si="19"/>
        <v>99.771651864322791</v>
      </c>
      <c r="G64" s="7"/>
      <c r="H64" s="7"/>
    </row>
    <row r="65" spans="1:9" x14ac:dyDescent="0.25">
      <c r="A65" s="7" t="s">
        <v>42</v>
      </c>
      <c r="B65" s="10">
        <f>B17/B11</f>
        <v>885521.94361650734</v>
      </c>
      <c r="C65" s="10">
        <f>C17/C11</f>
        <v>702000</v>
      </c>
      <c r="D65" s="10"/>
      <c r="E65" s="10"/>
      <c r="F65" s="10">
        <f t="shared" ref="F65" si="20">F17/F11</f>
        <v>2384924.4184376802</v>
      </c>
      <c r="G65" s="7"/>
      <c r="H65" s="7"/>
    </row>
    <row r="66" spans="1:9" x14ac:dyDescent="0.25">
      <c r="A66" s="7" t="s">
        <v>43</v>
      </c>
      <c r="B66" s="10">
        <f>B18/B12</f>
        <v>864013.16522870422</v>
      </c>
      <c r="C66" s="10">
        <f>C18/C12</f>
        <v>663881.72158990824</v>
      </c>
      <c r="D66" s="10">
        <f>D18/D12</f>
        <v>663874.9126170188</v>
      </c>
      <c r="E66" s="10">
        <f t="shared" ref="E66:F66" si="21">E18/E12</f>
        <v>663900.32332131802</v>
      </c>
      <c r="F66" s="10">
        <f t="shared" si="21"/>
        <v>2429060.4853215297</v>
      </c>
      <c r="G66" s="7"/>
      <c r="H66" s="7"/>
      <c r="I66" s="28"/>
    </row>
    <row r="67" spans="1:9" x14ac:dyDescent="0.25">
      <c r="A67" s="12"/>
      <c r="B67" s="7"/>
      <c r="C67" s="7"/>
      <c r="D67" s="7"/>
      <c r="E67" s="7"/>
      <c r="F67" s="7"/>
      <c r="G67" s="7"/>
      <c r="H67" s="7"/>
    </row>
    <row r="68" spans="1:9" x14ac:dyDescent="0.25">
      <c r="A68" s="12" t="s">
        <v>29</v>
      </c>
      <c r="B68" s="7"/>
      <c r="C68" s="7"/>
      <c r="D68" s="7"/>
      <c r="E68" s="7"/>
      <c r="F68" s="7"/>
      <c r="G68" s="7"/>
      <c r="H68" s="7"/>
    </row>
    <row r="69" spans="1:9" x14ac:dyDescent="0.25">
      <c r="A69" s="12" t="s">
        <v>30</v>
      </c>
      <c r="B69" s="7">
        <f>(B24/B23)*100</f>
        <v>97.969168945261629</v>
      </c>
      <c r="C69" s="7"/>
      <c r="D69" s="7"/>
      <c r="E69" s="7"/>
      <c r="F69" s="7"/>
      <c r="G69" s="7"/>
      <c r="H69" s="7"/>
    </row>
    <row r="70" spans="1:9" x14ac:dyDescent="0.25">
      <c r="A70" s="12" t="s">
        <v>31</v>
      </c>
      <c r="B70" s="7">
        <f>(B18/B24)*100</f>
        <v>107.81377935433997</v>
      </c>
      <c r="C70" s="7"/>
      <c r="D70" s="7"/>
      <c r="E70" s="7"/>
      <c r="F70" s="7"/>
      <c r="G70" s="7"/>
      <c r="H70" s="7"/>
    </row>
    <row r="71" spans="1:9" ht="15.75" thickBot="1" x14ac:dyDescent="0.3">
      <c r="A71" s="37"/>
      <c r="B71" s="37"/>
      <c r="C71" s="37"/>
      <c r="D71" s="37"/>
      <c r="E71" s="37"/>
      <c r="F71" s="37"/>
      <c r="G71" s="37"/>
      <c r="H71" s="37"/>
    </row>
    <row r="72" spans="1:9" ht="15.75" thickTop="1" x14ac:dyDescent="0.25">
      <c r="A72" s="12"/>
      <c r="B72" s="12"/>
      <c r="C72" s="12"/>
      <c r="D72" s="12"/>
      <c r="E72" s="12"/>
      <c r="F72" s="12"/>
      <c r="G72" s="12"/>
      <c r="H72" s="12"/>
    </row>
    <row r="73" spans="1:9" x14ac:dyDescent="0.25">
      <c r="A73" s="12" t="s">
        <v>32</v>
      </c>
      <c r="B73" s="12"/>
      <c r="C73" s="12"/>
      <c r="D73" s="12"/>
      <c r="E73" s="12"/>
      <c r="F73" s="12"/>
      <c r="G73" s="12"/>
      <c r="H73" s="12"/>
    </row>
    <row r="74" spans="1:9" x14ac:dyDescent="0.25">
      <c r="A74" s="12" t="s">
        <v>94</v>
      </c>
      <c r="B74" s="12"/>
      <c r="C74" s="12"/>
      <c r="D74" s="12"/>
      <c r="E74" s="12"/>
      <c r="F74" s="12"/>
      <c r="G74" s="12"/>
      <c r="H74" s="12"/>
    </row>
    <row r="75" spans="1:9" x14ac:dyDescent="0.25">
      <c r="A75" s="12" t="s">
        <v>95</v>
      </c>
      <c r="B75" s="27"/>
      <c r="C75" s="27"/>
      <c r="D75" s="27"/>
      <c r="E75" s="27"/>
      <c r="F75" s="27"/>
      <c r="G75" s="12"/>
      <c r="H75" s="12"/>
    </row>
    <row r="76" spans="1:9" x14ac:dyDescent="0.25">
      <c r="A76" s="1" t="s">
        <v>96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19" t="s">
        <v>54</v>
      </c>
    </row>
    <row r="82" spans="1:1" x14ac:dyDescent="0.25">
      <c r="A82" s="20" t="s">
        <v>55</v>
      </c>
    </row>
    <row r="83" spans="1:1" x14ac:dyDescent="0.25">
      <c r="A83" s="20" t="s">
        <v>56</v>
      </c>
    </row>
    <row r="85" spans="1:1" x14ac:dyDescent="0.25">
      <c r="A85" s="11" t="s">
        <v>136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abSelected="1" zoomScale="90" zoomScaleNormal="90" workbookViewId="0">
      <selection activeCell="F109" sqref="F109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4" t="s">
        <v>127</v>
      </c>
      <c r="B2" s="44"/>
      <c r="C2" s="44"/>
      <c r="D2" s="44"/>
      <c r="E2" s="44"/>
      <c r="F2" s="44"/>
      <c r="G2" s="44"/>
      <c r="H2" s="44"/>
    </row>
    <row r="4" spans="1:8" x14ac:dyDescent="0.25">
      <c r="A4" s="42" t="s">
        <v>0</v>
      </c>
      <c r="B4" s="42" t="s">
        <v>38</v>
      </c>
      <c r="C4" s="22"/>
      <c r="D4" s="22"/>
      <c r="E4" s="23" t="s">
        <v>1</v>
      </c>
      <c r="F4" s="15"/>
      <c r="G4" s="42" t="s">
        <v>2</v>
      </c>
      <c r="H4" s="42" t="s">
        <v>3</v>
      </c>
    </row>
    <row r="5" spans="1:8" ht="15.75" thickBot="1" x14ac:dyDescent="0.3">
      <c r="A5" s="43"/>
      <c r="B5" s="43"/>
      <c r="C5" s="45" t="s">
        <v>39</v>
      </c>
      <c r="D5" s="45"/>
      <c r="E5" s="45"/>
      <c r="F5" s="21" t="s">
        <v>57</v>
      </c>
      <c r="G5" s="43"/>
      <c r="H5" s="43"/>
    </row>
    <row r="6" spans="1:8" ht="15.75" thickTop="1" x14ac:dyDescent="0.25">
      <c r="C6" s="24" t="s">
        <v>58</v>
      </c>
      <c r="D6" s="14" t="s">
        <v>51</v>
      </c>
      <c r="E6" s="14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82</v>
      </c>
      <c r="B10" s="10">
        <f>+C10+F10</f>
        <v>110143.33333333336</v>
      </c>
      <c r="C10" s="10">
        <f>SUM(D10:E10)</f>
        <v>106362.91666666669</v>
      </c>
      <c r="D10" s="10">
        <f>(+'I Trimestre'!D10+'II Trimestre'!D10+'III Trimestre'!D10+'IV Trimestre'!D10)/4</f>
        <v>77506.333333333343</v>
      </c>
      <c r="E10" s="5">
        <f>(+'I Trimestre'!E10+'II Trimestre'!E10+'III Trimestre'!E10+'IV Trimestre'!E10)/4</f>
        <v>28856.583333333336</v>
      </c>
      <c r="F10" s="5">
        <f>(+'I Trimestre'!F10+'II Trimestre'!F10+'III Trimestre'!F10+'IV Trimestre'!F10)/4</f>
        <v>3780.4166666666665</v>
      </c>
      <c r="G10" s="5"/>
      <c r="H10" s="5"/>
    </row>
    <row r="11" spans="1:8" x14ac:dyDescent="0.25">
      <c r="A11" s="4" t="s">
        <v>128</v>
      </c>
      <c r="B11" s="10">
        <f>+C11+F11</f>
        <v>105423.08333333333</v>
      </c>
      <c r="C11" s="10">
        <f>'IV Trimestre'!C13</f>
        <v>101347.58333333333</v>
      </c>
      <c r="D11" s="5"/>
      <c r="E11" s="5"/>
      <c r="F11" s="5">
        <f>'IV Trimestre'!F13</f>
        <v>4075.5</v>
      </c>
      <c r="G11" s="5"/>
      <c r="H11" s="5"/>
    </row>
    <row r="12" spans="1:8" x14ac:dyDescent="0.25">
      <c r="A12" s="4" t="s">
        <v>129</v>
      </c>
      <c r="B12" s="10">
        <f t="shared" ref="B12" si="0">+C12+F12</f>
        <v>114393.91666666667</v>
      </c>
      <c r="C12" s="10">
        <f t="shared" ref="C12" si="1">SUM(D12:E12)</f>
        <v>110450.33333333334</v>
      </c>
      <c r="D12" s="10">
        <f>(+'I Trimestre'!D12+'II Trimestre'!D12+'III Trimestre'!D12+'IV Trimestre'!D12)/4</f>
        <v>80896.416666666672</v>
      </c>
      <c r="E12" s="5">
        <f>(+'I Trimestre'!E12+'II Trimestre'!E12+'III Trimestre'!E12+'IV Trimestre'!E12)/4</f>
        <v>29553.916666666668</v>
      </c>
      <c r="F12" s="5">
        <f>(+'I Trimestre'!F12+'II Trimestre'!F12+'III Trimestre'!F12+'IV Trimestre'!F12)/4</f>
        <v>3943.583333333333</v>
      </c>
      <c r="G12" s="5"/>
      <c r="H12" s="5"/>
    </row>
    <row r="13" spans="1:8" x14ac:dyDescent="0.25">
      <c r="A13" s="4" t="s">
        <v>89</v>
      </c>
      <c r="B13" s="10">
        <f>+C13+F13</f>
        <v>105423.08333333333</v>
      </c>
      <c r="C13" s="10">
        <f>'IV Trimestre'!C13</f>
        <v>101347.58333333333</v>
      </c>
      <c r="D13" s="10"/>
      <c r="E13" s="10"/>
      <c r="F13" s="10">
        <f>'IV Trimestre'!F13</f>
        <v>4075.5</v>
      </c>
      <c r="G13" s="5"/>
    </row>
    <row r="14" spans="1:8" x14ac:dyDescent="0.25">
      <c r="C14" s="10"/>
    </row>
    <row r="15" spans="1:8" x14ac:dyDescent="0.25">
      <c r="A15" s="6" t="s">
        <v>5</v>
      </c>
      <c r="C15" s="10"/>
    </row>
    <row r="16" spans="1:8" x14ac:dyDescent="0.25">
      <c r="A16" s="4" t="s">
        <v>82</v>
      </c>
      <c r="B16" s="5">
        <f>+C16+F16+G16+H16</f>
        <v>137455423403.01001</v>
      </c>
      <c r="C16" s="10">
        <f t="shared" ref="C16:C18" si="2">SUM(D16:E16)</f>
        <v>104065467246.17001</v>
      </c>
      <c r="D16" s="5">
        <f>+'I Trimestre'!D16+'II Trimestre'!D16+'III Trimestre'!D16+'IV Trimestre'!D16</f>
        <v>75844553757.346832</v>
      </c>
      <c r="E16" s="10">
        <f>+'I Trimestre'!E16+'II Trimestre'!E16+'III Trimestre'!E16+'IV Trimestre'!E16</f>
        <v>28220913488.823174</v>
      </c>
      <c r="F16" s="10">
        <f>+'I Trimestre'!F16+'II Trimestre'!F16+'III Trimestre'!F16+'IV Trimestre'!F16</f>
        <v>12014741223.849998</v>
      </c>
      <c r="G16" s="10">
        <f>+'I Trimestre'!G16+'II Trimestre'!G16+'III Trimestre'!G16+'IV Trimestre'!G16</f>
        <v>15366434929.68</v>
      </c>
      <c r="H16" s="10">
        <f>+'I Trimestre'!H16+'II Trimestre'!H16+'III Trimestre'!H16+'IV Trimestre'!H16</f>
        <v>6008780003.3099995</v>
      </c>
    </row>
    <row r="17" spans="1:8" x14ac:dyDescent="0.25">
      <c r="A17" s="4" t="s">
        <v>128</v>
      </c>
      <c r="B17" s="5">
        <f t="shared" ref="B17:B18" si="3">+C17+F17+G17+H17</f>
        <v>134045937747.91995</v>
      </c>
      <c r="C17" s="10">
        <f>C19</f>
        <v>103316305798.72</v>
      </c>
      <c r="D17" s="5"/>
      <c r="E17" s="10"/>
      <c r="F17" s="10">
        <f>F19</f>
        <v>14078218841.399998</v>
      </c>
      <c r="G17" s="10">
        <f>G19</f>
        <v>14223109231.599958</v>
      </c>
      <c r="H17" s="10">
        <f>+'I Trimestre'!H17+'II Trimestre'!H17+'III Trimestre'!H17+'IV Trimestre'!H17</f>
        <v>2428303876.1999998</v>
      </c>
    </row>
    <row r="18" spans="1:8" x14ac:dyDescent="0.25">
      <c r="A18" s="4" t="s">
        <v>129</v>
      </c>
      <c r="B18" s="5">
        <f t="shared" si="3"/>
        <v>136749401230.76999</v>
      </c>
      <c r="C18" s="10">
        <f t="shared" si="2"/>
        <v>102115338324.84</v>
      </c>
      <c r="D18" s="5">
        <f>+'I Trimestre'!D18+'II Trimestre'!D18+'III Trimestre'!D18+'IV Trimestre'!D18</f>
        <v>74794057282.892532</v>
      </c>
      <c r="E18" s="10">
        <f>+'I Trimestre'!E18+'II Trimestre'!E18+'III Trimestre'!E18+'IV Trimestre'!E18</f>
        <v>27321281041.947472</v>
      </c>
      <c r="F18" s="10">
        <f>+'I Trimestre'!F18+'II Trimestre'!F18+'III Trimestre'!F18+'IV Trimestre'!F18</f>
        <v>12831602345.950001</v>
      </c>
      <c r="G18" s="10">
        <f>+'I Trimestre'!G18+'II Trimestre'!G18+'III Trimestre'!G18+'IV Trimestre'!G18</f>
        <v>15940250559.939999</v>
      </c>
      <c r="H18" s="10">
        <f>+'I Trimestre'!H18+'II Trimestre'!H18+'III Trimestre'!H18+'IV Trimestre'!H18</f>
        <v>5862210000.039999</v>
      </c>
    </row>
    <row r="19" spans="1:8" x14ac:dyDescent="0.25">
      <c r="A19" s="4" t="s">
        <v>89</v>
      </c>
      <c r="B19" s="5">
        <f>+C19+F19+G19+H19</f>
        <v>134045937747.91995</v>
      </c>
      <c r="C19" s="10">
        <f>'IV Trimestre'!C19</f>
        <v>103316305798.72</v>
      </c>
      <c r="D19" s="5"/>
      <c r="E19" s="10"/>
      <c r="F19" s="10">
        <f>+'IV Trimestre'!F19</f>
        <v>14078218841.399998</v>
      </c>
      <c r="G19" s="10">
        <f>+'IV Trimestre'!G19</f>
        <v>14223109231.599958</v>
      </c>
      <c r="H19" s="10">
        <f>+'IV Trimestre'!H19</f>
        <v>2428303876.1999993</v>
      </c>
    </row>
    <row r="20" spans="1:8" x14ac:dyDescent="0.25">
      <c r="A20" s="4" t="s">
        <v>130</v>
      </c>
      <c r="B20" s="26">
        <f>C20+F20+G20</f>
        <v>130887191230.73</v>
      </c>
      <c r="C20" s="10">
        <f>SUM(D20:E20)</f>
        <v>102115338324.84</v>
      </c>
      <c r="D20" s="5">
        <f>+D18</f>
        <v>74794057282.892532</v>
      </c>
      <c r="E20" s="10">
        <f>+E18</f>
        <v>27321281041.947472</v>
      </c>
      <c r="F20" s="10">
        <f t="shared" ref="F20:G20" si="4">+F18</f>
        <v>12831602345.950001</v>
      </c>
      <c r="G20" s="10">
        <f t="shared" si="4"/>
        <v>15940250559.939999</v>
      </c>
      <c r="H20" s="10"/>
    </row>
    <row r="21" spans="1:8" x14ac:dyDescent="0.25">
      <c r="A21" s="12"/>
      <c r="B21" s="10"/>
      <c r="C21" s="10"/>
      <c r="D21" s="10"/>
      <c r="E21" s="10"/>
      <c r="F21" s="10"/>
      <c r="G21" s="10"/>
      <c r="H21" s="12"/>
    </row>
    <row r="22" spans="1:8" x14ac:dyDescent="0.25">
      <c r="A22" s="34" t="s">
        <v>6</v>
      </c>
      <c r="B22" s="10"/>
      <c r="C22" s="10"/>
      <c r="D22" s="10"/>
      <c r="E22" s="10"/>
      <c r="F22" s="10"/>
      <c r="G22" s="10"/>
      <c r="H22" s="10"/>
    </row>
    <row r="23" spans="1:8" x14ac:dyDescent="0.25">
      <c r="A23" s="33" t="s">
        <v>128</v>
      </c>
      <c r="B23" s="10">
        <f>B17</f>
        <v>134045937747.91995</v>
      </c>
      <c r="C23" s="10"/>
      <c r="D23" s="10"/>
      <c r="E23" s="10"/>
      <c r="F23" s="10"/>
      <c r="G23" s="10"/>
      <c r="H23" s="10"/>
    </row>
    <row r="24" spans="1:8" x14ac:dyDescent="0.25">
      <c r="A24" s="33" t="s">
        <v>129</v>
      </c>
      <c r="B24" s="10">
        <f>+'I Trimestre'!B24+'II Trimestre'!B24+'III Trimestre'!B24+'IV Trimestre'!B24</f>
        <v>132246307189.44998</v>
      </c>
      <c r="C24" s="10"/>
      <c r="D24" s="10"/>
      <c r="E24" s="10"/>
      <c r="F24" s="10"/>
      <c r="G24" s="10"/>
      <c r="H24" s="10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 t="s">
        <v>7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33" t="s">
        <v>83</v>
      </c>
      <c r="B27" s="12">
        <v>0.99</v>
      </c>
      <c r="C27" s="12">
        <v>0.99</v>
      </c>
      <c r="D27" s="12">
        <v>0.99</v>
      </c>
      <c r="E27" s="12">
        <v>0.99</v>
      </c>
      <c r="F27" s="12">
        <v>0.99</v>
      </c>
      <c r="G27" s="12">
        <v>0.99</v>
      </c>
      <c r="H27" s="12">
        <v>0.99</v>
      </c>
    </row>
    <row r="28" spans="1:8" x14ac:dyDescent="0.25">
      <c r="A28" s="33" t="s">
        <v>131</v>
      </c>
      <c r="B28" s="12">
        <v>1.01</v>
      </c>
      <c r="C28" s="12">
        <v>1.01</v>
      </c>
      <c r="D28" s="12">
        <v>1.01</v>
      </c>
      <c r="E28" s="12">
        <v>1.01</v>
      </c>
      <c r="F28" s="12">
        <v>1.01</v>
      </c>
      <c r="G28" s="12">
        <v>1.01</v>
      </c>
      <c r="H28" s="12">
        <v>1.01</v>
      </c>
    </row>
    <row r="29" spans="1:8" x14ac:dyDescent="0.25">
      <c r="A29" s="33" t="s">
        <v>8</v>
      </c>
      <c r="B29" s="11">
        <f>+D29+F29</f>
        <v>104137</v>
      </c>
      <c r="C29" s="25"/>
      <c r="D29" s="11">
        <v>98025</v>
      </c>
      <c r="E29" s="11" t="s">
        <v>53</v>
      </c>
      <c r="F29" s="11">
        <v>6112</v>
      </c>
      <c r="G29" s="9"/>
      <c r="H29" s="9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35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84</v>
      </c>
      <c r="B32" s="10">
        <f>B16/B27</f>
        <v>138843862023.24243</v>
      </c>
      <c r="C32" s="10">
        <f t="shared" ref="C32:H32" si="5">C16/C27</f>
        <v>105116633581.98991</v>
      </c>
      <c r="D32" s="10">
        <f t="shared" si="5"/>
        <v>76610660360.95639</v>
      </c>
      <c r="E32" s="10">
        <f t="shared" si="5"/>
        <v>28505973221.033508</v>
      </c>
      <c r="F32" s="10">
        <f t="shared" si="5"/>
        <v>12136102246.313129</v>
      </c>
      <c r="G32" s="10">
        <f t="shared" si="5"/>
        <v>15521651444.121212</v>
      </c>
      <c r="H32" s="10">
        <f t="shared" si="5"/>
        <v>6069474750.818181</v>
      </c>
    </row>
    <row r="33" spans="1:9" x14ac:dyDescent="0.25">
      <c r="A33" s="12" t="s">
        <v>132</v>
      </c>
      <c r="B33" s="10">
        <f>B18/B28</f>
        <v>135395446763.1386</v>
      </c>
      <c r="C33" s="10">
        <f t="shared" ref="C33:H33" si="6">C18/C28</f>
        <v>101104295371.12871</v>
      </c>
      <c r="D33" s="10">
        <f t="shared" si="6"/>
        <v>74053522062.269836</v>
      </c>
      <c r="E33" s="10">
        <f t="shared" si="6"/>
        <v>27050773308.858883</v>
      </c>
      <c r="F33" s="10">
        <f t="shared" si="6"/>
        <v>12704556778.168318</v>
      </c>
      <c r="G33" s="10">
        <f t="shared" si="6"/>
        <v>15782426296.970295</v>
      </c>
      <c r="H33" s="10">
        <f t="shared" si="6"/>
        <v>5804168316.8712864</v>
      </c>
    </row>
    <row r="34" spans="1:9" x14ac:dyDescent="0.25">
      <c r="A34" s="12" t="s">
        <v>85</v>
      </c>
      <c r="B34" s="10">
        <f>B32/B10</f>
        <v>1260574.3608925557</v>
      </c>
      <c r="C34" s="10">
        <f t="shared" ref="C34:F34" si="7">C32/C10</f>
        <v>988282.72932207631</v>
      </c>
      <c r="D34" s="10">
        <f t="shared" si="7"/>
        <v>988443.87376029114</v>
      </c>
      <c r="E34" s="10">
        <f t="shared" si="7"/>
        <v>987849.90903982648</v>
      </c>
      <c r="F34" s="10">
        <f t="shared" si="7"/>
        <v>3210255.1957623181</v>
      </c>
      <c r="G34" s="10"/>
      <c r="H34" s="10"/>
    </row>
    <row r="35" spans="1:9" x14ac:dyDescent="0.25">
      <c r="A35" s="12" t="s">
        <v>133</v>
      </c>
      <c r="B35" s="10">
        <f>B33/B12</f>
        <v>1183589.5710929143</v>
      </c>
      <c r="C35" s="10">
        <f t="shared" ref="C35:F35" si="8">C33/C12</f>
        <v>915382.43769714318</v>
      </c>
      <c r="D35" s="10">
        <f t="shared" si="8"/>
        <v>915411.64755673974</v>
      </c>
      <c r="E35" s="10">
        <f t="shared" si="8"/>
        <v>915302.48305020644</v>
      </c>
      <c r="F35" s="10">
        <f t="shared" si="8"/>
        <v>3221576.8513834672</v>
      </c>
      <c r="G35" s="10"/>
      <c r="H35" s="10"/>
    </row>
    <row r="36" spans="1:9" x14ac:dyDescent="0.25">
      <c r="A36" s="12"/>
      <c r="B36" s="12"/>
      <c r="C36" s="12"/>
      <c r="D36" s="12"/>
      <c r="E36" s="12"/>
      <c r="F36" s="12"/>
      <c r="G36" s="12"/>
      <c r="H36" s="12"/>
    </row>
    <row r="37" spans="1:9" x14ac:dyDescent="0.25">
      <c r="A37" s="35" t="s">
        <v>10</v>
      </c>
      <c r="B37" s="12"/>
      <c r="C37" s="12"/>
      <c r="D37" s="12"/>
      <c r="E37" s="12"/>
      <c r="F37" s="12"/>
      <c r="G37" s="12"/>
      <c r="H37" s="12"/>
    </row>
    <row r="38" spans="1:9" x14ac:dyDescent="0.25">
      <c r="A38" s="12"/>
      <c r="B38" s="12"/>
      <c r="C38" s="12"/>
      <c r="D38" s="12"/>
      <c r="E38" s="12"/>
      <c r="F38" s="12"/>
      <c r="G38" s="12"/>
      <c r="H38" s="12"/>
    </row>
    <row r="39" spans="1:9" x14ac:dyDescent="0.25">
      <c r="A39" s="12" t="s">
        <v>11</v>
      </c>
      <c r="B39" s="12"/>
      <c r="C39" s="12"/>
      <c r="D39" s="12"/>
      <c r="E39" s="12"/>
      <c r="F39" s="12"/>
      <c r="G39" s="12"/>
      <c r="H39" s="12"/>
    </row>
    <row r="40" spans="1:9" x14ac:dyDescent="0.25">
      <c r="A40" s="12" t="s">
        <v>12</v>
      </c>
      <c r="B40" s="7">
        <f>(B11/B29)*100</f>
        <v>101.23499172564345</v>
      </c>
      <c r="C40" s="7"/>
      <c r="D40" s="7">
        <f>(C11)/D29*100</f>
        <v>103.38952648133979</v>
      </c>
      <c r="E40" s="7"/>
      <c r="F40" s="7">
        <f>(F11)/F29*100</f>
        <v>66.680301047120423</v>
      </c>
      <c r="G40" s="7"/>
      <c r="H40" s="12"/>
      <c r="I40" s="16"/>
    </row>
    <row r="41" spans="1:9" x14ac:dyDescent="0.25">
      <c r="A41" s="12" t="s">
        <v>13</v>
      </c>
      <c r="B41" s="7">
        <f>((D12+F12)/B29)*100</f>
        <v>81.469602542804182</v>
      </c>
      <c r="C41" s="36"/>
      <c r="D41" s="7">
        <f>(D12)/D29*100</f>
        <v>82.526311315140703</v>
      </c>
      <c r="E41" s="7"/>
      <c r="F41" s="7">
        <f>(F12)/F29*100</f>
        <v>64.521978621291439</v>
      </c>
      <c r="G41" s="7"/>
      <c r="H41" s="12"/>
      <c r="I41" s="16"/>
    </row>
    <row r="42" spans="1:9" x14ac:dyDescent="0.25">
      <c r="A42" s="12"/>
      <c r="B42" s="12"/>
      <c r="C42" s="12"/>
      <c r="D42" s="12"/>
      <c r="E42" s="12"/>
      <c r="F42" s="12"/>
      <c r="G42" s="12"/>
      <c r="H42" s="12"/>
    </row>
    <row r="43" spans="1:9" x14ac:dyDescent="0.25">
      <c r="A43" s="12" t="s">
        <v>14</v>
      </c>
      <c r="B43" s="12"/>
      <c r="C43" s="12"/>
      <c r="D43" s="12"/>
      <c r="E43" s="12"/>
      <c r="F43" s="12"/>
      <c r="G43" s="12"/>
      <c r="H43" s="12"/>
    </row>
    <row r="44" spans="1:9" x14ac:dyDescent="0.25">
      <c r="A44" s="12" t="s">
        <v>15</v>
      </c>
      <c r="B44" s="7">
        <f>B12/B11*100</f>
        <v>108.50936346167073</v>
      </c>
      <c r="C44" s="7">
        <f>C12/C11*100</f>
        <v>108.9817139201642</v>
      </c>
      <c r="D44" s="7"/>
      <c r="E44" s="7"/>
      <c r="F44" s="7">
        <f>F12/F11*100</f>
        <v>96.763178342125698</v>
      </c>
      <c r="G44" s="7"/>
      <c r="H44" s="12"/>
    </row>
    <row r="45" spans="1:9" x14ac:dyDescent="0.25">
      <c r="A45" s="12" t="s">
        <v>16</v>
      </c>
      <c r="B45" s="7">
        <f>B18/B17*100</f>
        <v>102.01681865804395</v>
      </c>
      <c r="C45" s="7">
        <f>C18/C17*100</f>
        <v>98.837581866099896</v>
      </c>
      <c r="D45" s="7"/>
      <c r="E45" s="7"/>
      <c r="F45" s="7">
        <f>F18/F17*100</f>
        <v>91.145069490012077</v>
      </c>
      <c r="G45" s="7">
        <f>G18/G17*100</f>
        <v>112.07289700429924</v>
      </c>
      <c r="H45" s="7">
        <f>H18/H17*100</f>
        <v>241.41171364490202</v>
      </c>
    </row>
    <row r="46" spans="1:9" x14ac:dyDescent="0.25">
      <c r="A46" s="12" t="s">
        <v>17</v>
      </c>
      <c r="B46" s="7">
        <f>AVERAGE(B44:B45)</f>
        <v>105.26309105985735</v>
      </c>
      <c r="C46" s="7">
        <f>AVERAGE(C44:C45)</f>
        <v>103.90964789313205</v>
      </c>
      <c r="D46" s="7"/>
      <c r="E46" s="7"/>
      <c r="F46" s="7">
        <f t="shared" ref="F46:H46" si="9">AVERAGE(F44:F45)</f>
        <v>93.95412391606888</v>
      </c>
      <c r="G46" s="7">
        <f>AVERAGE(G44:G45)</f>
        <v>112.07289700429924</v>
      </c>
      <c r="H46" s="7">
        <f t="shared" si="9"/>
        <v>241.41171364490202</v>
      </c>
    </row>
    <row r="47" spans="1:9" x14ac:dyDescent="0.25">
      <c r="A47" s="12"/>
      <c r="B47" s="7"/>
      <c r="C47" s="7"/>
      <c r="D47" s="7"/>
      <c r="E47" s="7"/>
      <c r="F47" s="7"/>
      <c r="G47" s="7"/>
      <c r="H47" s="7"/>
    </row>
    <row r="48" spans="1:9" x14ac:dyDescent="0.25">
      <c r="A48" s="12" t="s">
        <v>18</v>
      </c>
      <c r="B48" s="12"/>
      <c r="C48" s="12"/>
      <c r="D48" s="12"/>
      <c r="E48" s="12"/>
      <c r="F48" s="12"/>
      <c r="G48" s="12"/>
      <c r="H48" s="12"/>
    </row>
    <row r="49" spans="1:16" x14ac:dyDescent="0.25">
      <c r="A49" s="12" t="s">
        <v>19</v>
      </c>
      <c r="B49" s="7">
        <f>B12/B13*100</f>
        <v>108.50936346167073</v>
      </c>
      <c r="C49" s="7">
        <f>C12/C13*100</f>
        <v>108.9817139201642</v>
      </c>
      <c r="D49" s="7"/>
      <c r="E49" s="7"/>
      <c r="F49" s="7">
        <f>F12/F13*100</f>
        <v>96.763178342125698</v>
      </c>
      <c r="G49" s="7"/>
      <c r="H49" s="7"/>
    </row>
    <row r="50" spans="1:16" x14ac:dyDescent="0.25">
      <c r="A50" s="12" t="s">
        <v>20</v>
      </c>
      <c r="B50" s="7">
        <f>B18/B19*100</f>
        <v>102.01681865804395</v>
      </c>
      <c r="C50" s="7">
        <f>C18/C19*100</f>
        <v>98.837581866099896</v>
      </c>
      <c r="D50" s="7"/>
      <c r="E50" s="7"/>
      <c r="F50" s="7">
        <f>F18/F19*100</f>
        <v>91.145069490012077</v>
      </c>
      <c r="G50" s="7">
        <f>G18/G19*100</f>
        <v>112.07289700429924</v>
      </c>
      <c r="H50" s="7">
        <f>H18/H19*100</f>
        <v>241.41171364490205</v>
      </c>
    </row>
    <row r="51" spans="1:16" x14ac:dyDescent="0.25">
      <c r="A51" s="12" t="s">
        <v>21</v>
      </c>
      <c r="B51" s="7">
        <f>(B49+B50)/2</f>
        <v>105.26309105985735</v>
      </c>
      <c r="C51" s="7">
        <f>(C49+C50)/2</f>
        <v>103.90964789313205</v>
      </c>
      <c r="D51" s="7"/>
      <c r="E51" s="7"/>
      <c r="F51" s="7">
        <f>(F49+F50)/2</f>
        <v>93.95412391606888</v>
      </c>
      <c r="G51" s="48">
        <f>AVERAGE(G49:G50)</f>
        <v>112.07289700429924</v>
      </c>
      <c r="H51" s="48">
        <f t="shared" ref="H51" si="10">AVERAGE(H49:H50)</f>
        <v>241.41171364490205</v>
      </c>
      <c r="I51" s="16"/>
      <c r="J51" s="12"/>
      <c r="K51" s="12"/>
      <c r="L51" s="12"/>
      <c r="M51" s="12"/>
      <c r="N51" s="12"/>
      <c r="O51" s="12"/>
      <c r="P51" s="12"/>
    </row>
    <row r="52" spans="1:16" x14ac:dyDescent="0.25">
      <c r="A52" s="12"/>
      <c r="B52" s="12"/>
      <c r="C52" s="12"/>
      <c r="D52" s="12"/>
      <c r="E52" s="12"/>
      <c r="F52" s="12"/>
      <c r="G52" s="12"/>
      <c r="H52" s="12"/>
    </row>
    <row r="53" spans="1:16" x14ac:dyDescent="0.25">
      <c r="A53" s="12" t="s">
        <v>33</v>
      </c>
      <c r="B53" s="12"/>
      <c r="C53" s="12"/>
      <c r="D53" s="12"/>
      <c r="E53" s="12"/>
      <c r="F53" s="12"/>
      <c r="G53" s="12"/>
      <c r="H53" s="12"/>
    </row>
    <row r="54" spans="1:16" x14ac:dyDescent="0.25">
      <c r="A54" s="12" t="s">
        <v>22</v>
      </c>
      <c r="B54" s="7">
        <f>(B20/B18)*100</f>
        <v>95.7131731859306</v>
      </c>
      <c r="C54" s="7"/>
      <c r="D54" s="7"/>
      <c r="E54" s="7"/>
      <c r="F54" s="7"/>
      <c r="G54" s="7"/>
      <c r="H54" s="7"/>
    </row>
    <row r="55" spans="1:16" x14ac:dyDescent="0.25">
      <c r="A55" s="12"/>
      <c r="B55" s="12"/>
      <c r="C55" s="12"/>
      <c r="D55" s="12"/>
      <c r="E55" s="12"/>
      <c r="F55" s="12"/>
      <c r="G55" s="12"/>
      <c r="H55" s="12"/>
    </row>
    <row r="56" spans="1:16" x14ac:dyDescent="0.25">
      <c r="A56" s="12" t="s">
        <v>23</v>
      </c>
      <c r="B56" s="12"/>
      <c r="C56" s="12"/>
      <c r="D56" s="12"/>
      <c r="E56" s="12"/>
      <c r="F56" s="12"/>
      <c r="G56" s="12"/>
      <c r="H56" s="12"/>
    </row>
    <row r="57" spans="1:16" x14ac:dyDescent="0.25">
      <c r="A57" s="12" t="s">
        <v>24</v>
      </c>
      <c r="B57" s="7">
        <f>((B12/B10)-1)*100</f>
        <v>3.8591380927881724</v>
      </c>
      <c r="C57" s="7">
        <f t="shared" ref="C57:F57" si="11">((C12/C10)-1)*100</f>
        <v>3.842896372874316</v>
      </c>
      <c r="D57" s="7">
        <f t="shared" si="11"/>
        <v>4.3739436347137062</v>
      </c>
      <c r="E57" s="7">
        <f t="shared" si="11"/>
        <v>2.4165485056847125</v>
      </c>
      <c r="F57" s="7">
        <f t="shared" si="11"/>
        <v>4.3161027223630466</v>
      </c>
      <c r="G57" s="7"/>
      <c r="H57" s="7"/>
    </row>
    <row r="58" spans="1:16" x14ac:dyDescent="0.25">
      <c r="A58" s="12" t="s">
        <v>25</v>
      </c>
      <c r="B58" s="7">
        <f>((B33/B32)-1)*100</f>
        <v>-2.4836641748891775</v>
      </c>
      <c r="C58" s="7">
        <f t="shared" ref="C58:H58" si="12">((C33/C32)-1)*100</f>
        <v>-3.8170345397635086</v>
      </c>
      <c r="D58" s="7">
        <f t="shared" si="12"/>
        <v>-3.3378361270330004</v>
      </c>
      <c r="E58" s="7">
        <f t="shared" si="12"/>
        <v>-5.1048946860754345</v>
      </c>
      <c r="F58" s="7">
        <f t="shared" si="12"/>
        <v>4.6839959017968891</v>
      </c>
      <c r="G58" s="7">
        <f t="shared" si="12"/>
        <v>1.6800715683372047</v>
      </c>
      <c r="H58" s="7">
        <f t="shared" si="12"/>
        <v>-4.3711596940267494</v>
      </c>
    </row>
    <row r="59" spans="1:16" x14ac:dyDescent="0.25">
      <c r="A59" s="12" t="s">
        <v>26</v>
      </c>
      <c r="B59" s="7">
        <f>((B35/B34)-1)*100</f>
        <v>-6.1071200706582562</v>
      </c>
      <c r="C59" s="7">
        <f t="shared" ref="C59:F59" si="13">((C35/C34)-1)*100</f>
        <v>-7.3764611544856145</v>
      </c>
      <c r="D59" s="7">
        <f t="shared" si="13"/>
        <v>-7.3886062873472325</v>
      </c>
      <c r="E59" s="7">
        <f t="shared" si="13"/>
        <v>-7.3439725332500094</v>
      </c>
      <c r="F59" s="7">
        <f t="shared" si="13"/>
        <v>0.35267151459155155</v>
      </c>
      <c r="G59" s="7"/>
      <c r="H59" s="7"/>
    </row>
    <row r="60" spans="1:16" x14ac:dyDescent="0.25">
      <c r="A60" s="12"/>
      <c r="B60" s="7"/>
      <c r="C60" s="7"/>
      <c r="D60" s="7"/>
      <c r="E60" s="7"/>
      <c r="F60" s="7"/>
      <c r="G60" s="7"/>
      <c r="H60" s="7"/>
    </row>
    <row r="61" spans="1:16" x14ac:dyDescent="0.25">
      <c r="A61" s="12" t="s">
        <v>27</v>
      </c>
      <c r="B61" s="12"/>
      <c r="C61" s="12"/>
      <c r="D61" s="12"/>
      <c r="E61" s="12"/>
      <c r="F61" s="12"/>
      <c r="G61" s="12"/>
      <c r="H61" s="12"/>
    </row>
    <row r="62" spans="1:16" x14ac:dyDescent="0.25">
      <c r="A62" s="12" t="s">
        <v>34</v>
      </c>
      <c r="B62" s="10">
        <f>B17/(B11*12)</f>
        <v>105958.71851904663</v>
      </c>
      <c r="C62" s="10">
        <f t="shared" ref="C62:F62" si="14">C17/(C11*12)</f>
        <v>84952.120876685934</v>
      </c>
      <c r="D62" s="10"/>
      <c r="E62" s="10"/>
      <c r="F62" s="10">
        <f t="shared" si="14"/>
        <v>287862.8152251257</v>
      </c>
      <c r="G62" s="10"/>
      <c r="H62" s="10"/>
    </row>
    <row r="63" spans="1:16" x14ac:dyDescent="0.25">
      <c r="A63" s="12" t="s">
        <v>35</v>
      </c>
      <c r="B63" s="10">
        <f>B18/(B12*12)</f>
        <v>99618.788900320302</v>
      </c>
      <c r="C63" s="10">
        <f t="shared" ref="C63:F63" si="15">C18/(C12*12)</f>
        <v>77044.68850617623</v>
      </c>
      <c r="D63" s="10">
        <f t="shared" si="15"/>
        <v>77047.147002692262</v>
      </c>
      <c r="E63" s="10">
        <f t="shared" si="15"/>
        <v>77037.958990059051</v>
      </c>
      <c r="F63" s="10">
        <f t="shared" si="15"/>
        <v>271149.3849914418</v>
      </c>
      <c r="G63" s="10"/>
      <c r="H63" s="10"/>
    </row>
    <row r="64" spans="1:16" x14ac:dyDescent="0.25">
      <c r="A64" s="12" t="s">
        <v>28</v>
      </c>
      <c r="B64" s="27">
        <f>(B63/B62)*B46</f>
        <v>98.964783585997949</v>
      </c>
      <c r="C64" s="27">
        <f t="shared" ref="C64:F64" si="16">(C63/C62)*C46</f>
        <v>94.237629056179003</v>
      </c>
      <c r="D64" s="27" t="e">
        <f t="shared" si="16"/>
        <v>#DIV/0!</v>
      </c>
      <c r="E64" s="27" t="e">
        <f t="shared" si="16"/>
        <v>#DIV/0!</v>
      </c>
      <c r="F64" s="27">
        <f t="shared" si="16"/>
        <v>88.499109887910905</v>
      </c>
      <c r="G64" s="7"/>
      <c r="H64" s="7"/>
    </row>
    <row r="65" spans="1:8" x14ac:dyDescent="0.25">
      <c r="A65" s="7" t="s">
        <v>44</v>
      </c>
      <c r="B65" s="10">
        <f>B17/B11</f>
        <v>1271504.6222285596</v>
      </c>
      <c r="C65" s="10">
        <f>C17/C11</f>
        <v>1019425.4505202312</v>
      </c>
      <c r="D65" s="10"/>
      <c r="E65" s="10"/>
      <c r="F65" s="10">
        <f t="shared" ref="F65" si="17">F17/F11</f>
        <v>3454353.7827015086</v>
      </c>
      <c r="G65" s="7"/>
      <c r="H65" s="7"/>
    </row>
    <row r="66" spans="1:8" x14ac:dyDescent="0.25">
      <c r="A66" s="7" t="s">
        <v>45</v>
      </c>
      <c r="B66" s="10">
        <f>B18/B12</f>
        <v>1195425.4668038436</v>
      </c>
      <c r="C66" s="10">
        <f>C18/C12</f>
        <v>924536.26207411464</v>
      </c>
      <c r="D66" s="10">
        <f>D18/(D12)</f>
        <v>924565.76403230708</v>
      </c>
      <c r="E66" s="10">
        <f t="shared" ref="E66:F66" si="18">E18/E12</f>
        <v>924455.50788070855</v>
      </c>
      <c r="F66" s="10">
        <f t="shared" si="18"/>
        <v>3253792.6198973018</v>
      </c>
      <c r="G66" s="7"/>
      <c r="H66" s="7"/>
    </row>
    <row r="67" spans="1:8" x14ac:dyDescent="0.25">
      <c r="A67" s="12"/>
      <c r="B67" s="7"/>
      <c r="C67" s="7"/>
      <c r="D67" s="7"/>
      <c r="E67" s="7"/>
      <c r="F67" s="7"/>
      <c r="G67" s="7"/>
      <c r="H67" s="7"/>
    </row>
    <row r="68" spans="1:8" x14ac:dyDescent="0.25">
      <c r="A68" s="12" t="s">
        <v>29</v>
      </c>
      <c r="B68" s="7"/>
      <c r="C68" s="7"/>
      <c r="D68" s="7"/>
      <c r="E68" s="7"/>
      <c r="F68" s="7"/>
      <c r="G68" s="7"/>
      <c r="H68" s="7"/>
    </row>
    <row r="69" spans="1:8" x14ac:dyDescent="0.25">
      <c r="A69" s="12" t="s">
        <v>30</v>
      </c>
      <c r="B69" s="7">
        <f>(B24/B23)*100</f>
        <v>98.657452371399529</v>
      </c>
      <c r="C69" s="7"/>
      <c r="D69" s="7"/>
      <c r="E69" s="7"/>
      <c r="F69" s="7"/>
      <c r="G69" s="7"/>
      <c r="H69" s="7"/>
    </row>
    <row r="70" spans="1:8" x14ac:dyDescent="0.25">
      <c r="A70" s="12" t="s">
        <v>31</v>
      </c>
      <c r="B70" s="7">
        <f>(B18/B24)*100</f>
        <v>103.40508112250657</v>
      </c>
      <c r="C70" s="7"/>
      <c r="D70" s="7"/>
      <c r="E70" s="7"/>
      <c r="F70" s="7"/>
      <c r="G70" s="7"/>
      <c r="H70" s="7"/>
    </row>
    <row r="71" spans="1:8" ht="15.75" thickBot="1" x14ac:dyDescent="0.3">
      <c r="A71" s="37"/>
      <c r="B71" s="37"/>
      <c r="C71" s="37"/>
      <c r="D71" s="37"/>
      <c r="E71" s="37"/>
      <c r="F71" s="37"/>
      <c r="G71" s="37"/>
      <c r="H71" s="37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63</v>
      </c>
    </row>
    <row r="75" spans="1:8" x14ac:dyDescent="0.25">
      <c r="A75" s="1" t="s">
        <v>64</v>
      </c>
      <c r="B75" s="8"/>
      <c r="C75" s="8"/>
      <c r="D75" s="8"/>
      <c r="E75" s="8"/>
      <c r="F75" s="8"/>
    </row>
    <row r="76" spans="1:8" x14ac:dyDescent="0.25">
      <c r="A76" s="1" t="s">
        <v>65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19" t="s">
        <v>54</v>
      </c>
    </row>
    <row r="82" spans="1:1" x14ac:dyDescent="0.25">
      <c r="A82" s="20" t="s">
        <v>55</v>
      </c>
    </row>
    <row r="83" spans="1:1" x14ac:dyDescent="0.25">
      <c r="A83" s="20" t="s">
        <v>56</v>
      </c>
    </row>
    <row r="85" spans="1:1" x14ac:dyDescent="0.25">
      <c r="A85" s="11" t="s">
        <v>137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Observaciones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2012-04-23T14:39:07Z</dcterms:created>
  <dcterms:modified xsi:type="dcterms:W3CDTF">2018-03-02T17:22:07Z</dcterms:modified>
</cp:coreProperties>
</file>