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9240" firstSheet="2" activeTab="6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3 Trimestre Acumulado" sheetId="6" r:id="rId6"/>
    <sheet name="Anual" sheetId="7" r:id="rId7"/>
    <sheet name="Hoja1" sheetId="8" r:id="rId8"/>
  </sheets>
  <calcPr calcId="125725"/>
</workbook>
</file>

<file path=xl/calcChain.xml><?xml version="1.0" encoding="utf-8"?>
<calcChain xmlns="http://schemas.openxmlformats.org/spreadsheetml/2006/main">
  <c r="C16" i="7"/>
  <c r="C17" i="4"/>
  <c r="C16"/>
  <c r="C17" i="1" l="1"/>
  <c r="C16"/>
  <c r="C17" i="3" l="1"/>
  <c r="C16"/>
  <c r="C13" i="2" l="1"/>
  <c r="C16"/>
  <c r="C17" l="1"/>
  <c r="C24" i="4"/>
  <c r="C21" i="7"/>
  <c r="D22"/>
  <c r="D24" s="1"/>
  <c r="C22" i="6"/>
  <c r="C67" s="1"/>
  <c r="C21"/>
  <c r="C49" s="1"/>
  <c r="C12"/>
  <c r="D22"/>
  <c r="D49" s="1"/>
  <c r="E22"/>
  <c r="B14"/>
  <c r="D21"/>
  <c r="E21"/>
  <c r="B12"/>
  <c r="C22" i="5"/>
  <c r="C67" s="1"/>
  <c r="C21"/>
  <c r="C12"/>
  <c r="C66" s="1"/>
  <c r="C49"/>
  <c r="D22"/>
  <c r="E22"/>
  <c r="B14"/>
  <c r="D21"/>
  <c r="B21" s="1"/>
  <c r="B27" s="1"/>
  <c r="B74" s="1"/>
  <c r="E21"/>
  <c r="C67" i="4"/>
  <c r="C66"/>
  <c r="C48"/>
  <c r="C49"/>
  <c r="B22"/>
  <c r="B14"/>
  <c r="B67"/>
  <c r="B21"/>
  <c r="B70" s="1"/>
  <c r="B12"/>
  <c r="B48"/>
  <c r="C67" i="1"/>
  <c r="C66"/>
  <c r="C48"/>
  <c r="C49"/>
  <c r="C50"/>
  <c r="C69" s="1"/>
  <c r="B22"/>
  <c r="B14"/>
  <c r="B21"/>
  <c r="B27" s="1"/>
  <c r="B74" s="1"/>
  <c r="B12"/>
  <c r="B49"/>
  <c r="C67" i="3"/>
  <c r="C66"/>
  <c r="C48"/>
  <c r="C49"/>
  <c r="B22"/>
  <c r="B75" s="1"/>
  <c r="B14"/>
  <c r="B45" s="1"/>
  <c r="B21"/>
  <c r="B12"/>
  <c r="B70" s="1"/>
  <c r="B48"/>
  <c r="C67" i="2"/>
  <c r="C66"/>
  <c r="C48"/>
  <c r="C49"/>
  <c r="B22"/>
  <c r="B49" s="1"/>
  <c r="B14"/>
  <c r="B67"/>
  <c r="B21"/>
  <c r="B27" s="1"/>
  <c r="B74" s="1"/>
  <c r="B12"/>
  <c r="B48" s="1"/>
  <c r="B13" i="4"/>
  <c r="C13" i="1"/>
  <c r="B13" s="1"/>
  <c r="C13" i="3"/>
  <c r="B14" i="7"/>
  <c r="B15" i="4"/>
  <c r="B16"/>
  <c r="B17"/>
  <c r="B44"/>
  <c r="C61" i="7"/>
  <c r="C17"/>
  <c r="C53"/>
  <c r="C70" i="4"/>
  <c r="C61"/>
  <c r="C54"/>
  <c r="D54"/>
  <c r="D55"/>
  <c r="E54"/>
  <c r="E55" s="1"/>
  <c r="D49"/>
  <c r="D50"/>
  <c r="E49"/>
  <c r="E50" s="1"/>
  <c r="C37"/>
  <c r="D37"/>
  <c r="E37"/>
  <c r="E39" s="1"/>
  <c r="C36"/>
  <c r="C38" s="1"/>
  <c r="D36"/>
  <c r="D38"/>
  <c r="E36"/>
  <c r="E38" s="1"/>
  <c r="C62"/>
  <c r="E62"/>
  <c r="C37" i="2"/>
  <c r="B20"/>
  <c r="C61" i="6"/>
  <c r="D20"/>
  <c r="D36" s="1"/>
  <c r="E20"/>
  <c r="E36"/>
  <c r="E38" s="1"/>
  <c r="C61" i="5"/>
  <c r="D61"/>
  <c r="E61"/>
  <c r="E20"/>
  <c r="E36"/>
  <c r="E38" s="1"/>
  <c r="C37" i="1"/>
  <c r="D37"/>
  <c r="E37"/>
  <c r="C36"/>
  <c r="C38" s="1"/>
  <c r="D36"/>
  <c r="E36"/>
  <c r="B15"/>
  <c r="C17" i="6"/>
  <c r="B17" s="1"/>
  <c r="C16"/>
  <c r="C53" s="1"/>
  <c r="B11" i="1"/>
  <c r="C37" i="3"/>
  <c r="C39" s="1"/>
  <c r="D37"/>
  <c r="D62" s="1"/>
  <c r="E37"/>
  <c r="C36"/>
  <c r="D36"/>
  <c r="D38" s="1"/>
  <c r="E36"/>
  <c r="E62" s="1"/>
  <c r="C16" i="5"/>
  <c r="B16" s="1"/>
  <c r="C17"/>
  <c r="B17" s="1"/>
  <c r="C36" i="2"/>
  <c r="C38" s="1"/>
  <c r="D36"/>
  <c r="D38" s="1"/>
  <c r="E36"/>
  <c r="B10" i="7"/>
  <c r="B61"/>
  <c r="B10" i="6"/>
  <c r="B61" s="1"/>
  <c r="B11" i="3"/>
  <c r="B10" i="5"/>
  <c r="C70" i="3"/>
  <c r="C70" i="1"/>
  <c r="C70" i="2"/>
  <c r="B20" i="3"/>
  <c r="B36" s="1"/>
  <c r="B20" i="1"/>
  <c r="B36" s="1"/>
  <c r="B20" i="4"/>
  <c r="B36" s="1"/>
  <c r="B38" s="1"/>
  <c r="B36" i="2"/>
  <c r="C53" i="5"/>
  <c r="C53" i="4"/>
  <c r="C53" i="1"/>
  <c r="C53" i="3"/>
  <c r="C53" i="2"/>
  <c r="B17" i="7"/>
  <c r="B16"/>
  <c r="B53" s="1"/>
  <c r="B16" i="6"/>
  <c r="B53"/>
  <c r="B17" i="1"/>
  <c r="B16"/>
  <c r="B17" i="3"/>
  <c r="B16"/>
  <c r="B17" i="2"/>
  <c r="B13" i="3"/>
  <c r="E54" i="1"/>
  <c r="E54" i="3"/>
  <c r="E54" i="2"/>
  <c r="C15" i="7"/>
  <c r="C11"/>
  <c r="D38" i="1"/>
  <c r="E38"/>
  <c r="D39"/>
  <c r="E39"/>
  <c r="E39" i="3"/>
  <c r="E38" i="2"/>
  <c r="D37"/>
  <c r="D62" s="1"/>
  <c r="D39"/>
  <c r="E37"/>
  <c r="E39"/>
  <c r="D39" i="4"/>
  <c r="D63" s="1"/>
  <c r="B11"/>
  <c r="C15" i="6"/>
  <c r="B15" s="1"/>
  <c r="C11"/>
  <c r="B11" s="1"/>
  <c r="C24" i="1"/>
  <c r="B24" s="1"/>
  <c r="B58" s="1"/>
  <c r="C11" i="5"/>
  <c r="C71" i="4"/>
  <c r="C68"/>
  <c r="C71" i="1"/>
  <c r="C68"/>
  <c r="C61"/>
  <c r="D54"/>
  <c r="C54"/>
  <c r="C55" s="1"/>
  <c r="E49"/>
  <c r="D49"/>
  <c r="C71" i="3"/>
  <c r="C68"/>
  <c r="C61"/>
  <c r="D54"/>
  <c r="C54"/>
  <c r="E49"/>
  <c r="D49"/>
  <c r="C71" i="2"/>
  <c r="C12" i="7"/>
  <c r="C48" s="1"/>
  <c r="B11" i="2"/>
  <c r="B11" i="5"/>
  <c r="B11" i="7"/>
  <c r="C15" i="5"/>
  <c r="B15" s="1"/>
  <c r="C61" i="2"/>
  <c r="C24" i="3"/>
  <c r="B24" s="1"/>
  <c r="B58" s="1"/>
  <c r="B15"/>
  <c r="C68" i="2"/>
  <c r="C24"/>
  <c r="B15"/>
  <c r="B15" i="7"/>
  <c r="E62" i="2"/>
  <c r="E37" i="6"/>
  <c r="E39" s="1"/>
  <c r="E23"/>
  <c r="E37" i="5"/>
  <c r="E39" s="1"/>
  <c r="E23"/>
  <c r="E54" s="1"/>
  <c r="E20" i="7"/>
  <c r="E36" s="1"/>
  <c r="E22"/>
  <c r="E37" s="1"/>
  <c r="E39" s="1"/>
  <c r="E23"/>
  <c r="E54"/>
  <c r="E55" s="1"/>
  <c r="B37" i="4"/>
  <c r="B23"/>
  <c r="B54" s="1"/>
  <c r="B37" i="1"/>
  <c r="B23"/>
  <c r="B54" s="1"/>
  <c r="B37" i="3"/>
  <c r="B39" s="1"/>
  <c r="B23"/>
  <c r="B37" i="2"/>
  <c r="B23"/>
  <c r="B54" s="1"/>
  <c r="B75" i="4"/>
  <c r="B54" i="3"/>
  <c r="B75" i="1"/>
  <c r="E49" i="5"/>
  <c r="E49" i="2"/>
  <c r="E21" i="7"/>
  <c r="E49" s="1"/>
  <c r="E50" s="1"/>
  <c r="C23"/>
  <c r="D23"/>
  <c r="B23" s="1"/>
  <c r="C23" i="6"/>
  <c r="D23"/>
  <c r="B23"/>
  <c r="C23" i="5"/>
  <c r="C54" s="1"/>
  <c r="C55" s="1"/>
  <c r="D23"/>
  <c r="B23"/>
  <c r="D37"/>
  <c r="D39" s="1"/>
  <c r="D20"/>
  <c r="D36" s="1"/>
  <c r="C20"/>
  <c r="C36" s="1"/>
  <c r="C38" s="1"/>
  <c r="D37" i="6"/>
  <c r="D39" s="1"/>
  <c r="C20"/>
  <c r="D21" i="7"/>
  <c r="C22"/>
  <c r="C67" s="1"/>
  <c r="D20"/>
  <c r="D36" s="1"/>
  <c r="D38" s="1"/>
  <c r="C20"/>
  <c r="C36" s="1"/>
  <c r="D49"/>
  <c r="D50" s="1"/>
  <c r="C71" i="5"/>
  <c r="C71" i="6"/>
  <c r="C36"/>
  <c r="C38" s="1"/>
  <c r="B20"/>
  <c r="B36" s="1"/>
  <c r="C37" i="5"/>
  <c r="C39" s="1"/>
  <c r="C37" i="6"/>
  <c r="C39" s="1"/>
  <c r="B21" i="7"/>
  <c r="B27" s="1"/>
  <c r="D54" i="6"/>
  <c r="B22" i="7"/>
  <c r="B37" s="1"/>
  <c r="B39" s="1"/>
  <c r="D54" i="5"/>
  <c r="C54" i="6"/>
  <c r="C24"/>
  <c r="B24" s="1"/>
  <c r="B24" i="4"/>
  <c r="B58" s="1"/>
  <c r="B10"/>
  <c r="B61" s="1"/>
  <c r="B10" i="1"/>
  <c r="B10" i="3"/>
  <c r="B24" i="2"/>
  <c r="B58"/>
  <c r="B16"/>
  <c r="B53" s="1"/>
  <c r="B10"/>
  <c r="B61" s="1"/>
  <c r="B53" i="4"/>
  <c r="B70" i="1"/>
  <c r="B44"/>
  <c r="B53"/>
  <c r="B53" i="3"/>
  <c r="B71" i="2"/>
  <c r="B45" i="4"/>
  <c r="B71"/>
  <c r="B61" i="3"/>
  <c r="B45" i="7"/>
  <c r="B71" i="1"/>
  <c r="B61"/>
  <c r="B45"/>
  <c r="B45" i="6"/>
  <c r="B61" i="5"/>
  <c r="B45"/>
  <c r="C54" i="2"/>
  <c r="B28" i="5"/>
  <c r="B28" i="6"/>
  <c r="B28" i="7"/>
  <c r="B75" s="1"/>
  <c r="C38" i="3"/>
  <c r="C62"/>
  <c r="C39" i="4"/>
  <c r="C39" i="2"/>
  <c r="D54"/>
  <c r="C62" i="1"/>
  <c r="C39"/>
  <c r="D62"/>
  <c r="B45" i="2"/>
  <c r="B75"/>
  <c r="D49"/>
  <c r="B27" i="4"/>
  <c r="B74" s="1"/>
  <c r="B27" i="3"/>
  <c r="B74" s="1"/>
  <c r="B62" i="2"/>
  <c r="B39"/>
  <c r="B39" i="1"/>
  <c r="B49" i="7" l="1"/>
  <c r="B71"/>
  <c r="C55" i="4"/>
  <c r="C50"/>
  <c r="C69" s="1"/>
  <c r="C63"/>
  <c r="B55"/>
  <c r="D62"/>
  <c r="B62"/>
  <c r="E63"/>
  <c r="C62" i="6"/>
  <c r="B74" i="7"/>
  <c r="B67" i="1"/>
  <c r="B22" i="6"/>
  <c r="B48" i="1"/>
  <c r="C63"/>
  <c r="B62"/>
  <c r="B50"/>
  <c r="E62"/>
  <c r="C55" i="6"/>
  <c r="B55" i="1"/>
  <c r="B38"/>
  <c r="B63" s="1"/>
  <c r="C63" i="2"/>
  <c r="B49" i="4"/>
  <c r="B50" s="1"/>
  <c r="B55" i="2"/>
  <c r="E54" i="6"/>
  <c r="D39" i="3"/>
  <c r="C50" i="2"/>
  <c r="C69" s="1"/>
  <c r="B21" i="6"/>
  <c r="B39" i="4"/>
  <c r="B63" s="1"/>
  <c r="B54" i="7"/>
  <c r="B55" s="1"/>
  <c r="B67"/>
  <c r="C24"/>
  <c r="B24" s="1"/>
  <c r="B58" s="1"/>
  <c r="D49" i="5"/>
  <c r="B20"/>
  <c r="B36" s="1"/>
  <c r="D37" i="7"/>
  <c r="D54"/>
  <c r="D55" s="1"/>
  <c r="C54"/>
  <c r="C55" s="1"/>
  <c r="E38" i="3"/>
  <c r="C55" i="2"/>
  <c r="B66" i="1"/>
  <c r="B69" s="1"/>
  <c r="B66" i="4"/>
  <c r="C49" i="7"/>
  <c r="C50" s="1"/>
  <c r="C71"/>
  <c r="B38" i="2"/>
  <c r="B63" s="1"/>
  <c r="B20" i="7"/>
  <c r="B36" s="1"/>
  <c r="B38" s="1"/>
  <c r="B63" s="1"/>
  <c r="E49" i="6"/>
  <c r="C62" i="2"/>
  <c r="C68" i="6"/>
  <c r="C68" i="7"/>
  <c r="C37"/>
  <c r="C39" s="1"/>
  <c r="E62" i="6"/>
  <c r="E62" i="5"/>
  <c r="C55" i="3"/>
  <c r="B53" i="5"/>
  <c r="C13" i="7"/>
  <c r="B13" s="1"/>
  <c r="B50" i="2"/>
  <c r="B67" i="3"/>
  <c r="B75" i="6"/>
  <c r="B71"/>
  <c r="B67"/>
  <c r="B37"/>
  <c r="B39" s="1"/>
  <c r="B58"/>
  <c r="B54"/>
  <c r="B55" s="1"/>
  <c r="C63"/>
  <c r="C63" i="5"/>
  <c r="C62"/>
  <c r="B71" i="3"/>
  <c r="C24" i="5"/>
  <c r="B24" s="1"/>
  <c r="C68"/>
  <c r="B49" i="3"/>
  <c r="B22" i="5"/>
  <c r="B50" i="3"/>
  <c r="C50"/>
  <c r="C69" s="1"/>
  <c r="B55"/>
  <c r="B49" i="6"/>
  <c r="B27"/>
  <c r="B74" s="1"/>
  <c r="B66"/>
  <c r="C70"/>
  <c r="B66" i="3"/>
  <c r="B44"/>
  <c r="C63"/>
  <c r="B38" i="6"/>
  <c r="B38" i="5"/>
  <c r="D38"/>
  <c r="D62"/>
  <c r="E38" i="7"/>
  <c r="E63" s="1"/>
  <c r="E62"/>
  <c r="B38" i="3"/>
  <c r="B63" s="1"/>
  <c r="B62"/>
  <c r="B62" i="7"/>
  <c r="C38"/>
  <c r="C63" s="1"/>
  <c r="D38" i="6"/>
  <c r="D62"/>
  <c r="B12" i="5"/>
  <c r="B66" s="1"/>
  <c r="C70"/>
  <c r="C48"/>
  <c r="C50" s="1"/>
  <c r="C69" s="1"/>
  <c r="C48" i="6"/>
  <c r="C50" s="1"/>
  <c r="B70"/>
  <c r="B66" i="2"/>
  <c r="C66" i="7"/>
  <c r="C66" i="6"/>
  <c r="B69" i="2"/>
  <c r="B44" i="6"/>
  <c r="C13"/>
  <c r="B13" s="1"/>
  <c r="B44" i="2"/>
  <c r="B12" i="7"/>
  <c r="B48" i="6"/>
  <c r="B50" s="1"/>
  <c r="B70" i="2"/>
  <c r="C70" i="7"/>
  <c r="B13" i="2"/>
  <c r="C13" i="5"/>
  <c r="B13" s="1"/>
  <c r="B69" i="4" l="1"/>
  <c r="C69" i="6"/>
  <c r="D62" i="7"/>
  <c r="D39"/>
  <c r="D63" s="1"/>
  <c r="B63" i="6"/>
  <c r="B69" i="3"/>
  <c r="C69" i="7"/>
  <c r="B69" i="6"/>
  <c r="C62" i="7"/>
  <c r="B62" i="6"/>
  <c r="B58" i="5"/>
  <c r="B67"/>
  <c r="B49"/>
  <c r="B37"/>
  <c r="B54"/>
  <c r="B55" s="1"/>
  <c r="B71"/>
  <c r="B75"/>
  <c r="B48"/>
  <c r="B50" s="1"/>
  <c r="B44"/>
  <c r="B70"/>
  <c r="B70" i="7"/>
  <c r="B48"/>
  <c r="B50" s="1"/>
  <c r="B66"/>
  <c r="B44"/>
  <c r="B39" i="5" l="1"/>
  <c r="B63" s="1"/>
  <c r="B62"/>
  <c r="B69"/>
  <c r="B69" i="7"/>
</calcChain>
</file>

<file path=xl/sharedStrings.xml><?xml version="1.0" encoding="utf-8"?>
<sst xmlns="http://schemas.openxmlformats.org/spreadsheetml/2006/main" count="489" uniqueCount="171">
  <si>
    <t>Indicador</t>
  </si>
  <si>
    <t>Total</t>
  </si>
  <si>
    <t>Productos</t>
  </si>
  <si>
    <t>programa</t>
  </si>
  <si>
    <t>Subsidios</t>
  </si>
  <si>
    <t>Gastos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</si>
  <si>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</si>
  <si>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</si>
  <si>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</si>
  <si>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</si>
  <si>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</si>
  <si>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</si>
  <si>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</si>
  <si>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</si>
  <si>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</si>
  <si>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</si>
  <si>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</si>
  <si>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</si>
  <si>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</si>
  <si>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</si>
  <si>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</si>
  <si>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</si>
  <si>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</si>
  <si>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</si>
  <si>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</si>
  <si>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</si>
  <si>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</si>
  <si>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</si>
  <si>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</si>
  <si>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</si>
  <si>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</si>
  <si>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</si>
  <si>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</si>
  <si>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</si>
  <si>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</si>
  <si>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</si>
  <si>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</si>
  <si>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</si>
  <si>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</si>
  <si>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</si>
  <si>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</si>
  <si>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>Publicidad</t>
  </si>
  <si>
    <t>Total Programa</t>
  </si>
  <si>
    <t>Gasto</t>
  </si>
  <si>
    <t>Administrativo</t>
  </si>
  <si>
    <t xml:space="preserve">Gasto programado anual por beneficiario (GPB) </t>
  </si>
  <si>
    <t xml:space="preserve">Gasto efectivo anual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</si>
  <si>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</si>
  <si>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</si>
  <si>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</si>
  <si>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</si>
  <si>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>Gasto mensual efectivo por subsidio</t>
  </si>
  <si>
    <t>Efectivos 1T 2016 (personas)</t>
  </si>
  <si>
    <t>Efectivo 1T 2016</t>
  </si>
  <si>
    <t>IPC (1T 2016)</t>
  </si>
  <si>
    <t>Gasto efectivo real 1T 2016</t>
  </si>
  <si>
    <t>Gasto efectivo real por beneficiario 1T 2016</t>
  </si>
  <si>
    <t>Efectivos 2T 2016 (personas)</t>
  </si>
  <si>
    <t>Efectivo 2T 2016</t>
  </si>
  <si>
    <t>IPC (2T 2016)</t>
  </si>
  <si>
    <t>Gasto efectivo real 2T 2016</t>
  </si>
  <si>
    <t>Gasto efectivo real por beneficiario 2T 2016</t>
  </si>
  <si>
    <t>Efectivos 3T 2016 (personas)</t>
  </si>
  <si>
    <t>Efectivo 3T 2016</t>
  </si>
  <si>
    <t>IPC (3T 2016)</t>
  </si>
  <si>
    <t>Gasto efectivo real 3T 2016</t>
  </si>
  <si>
    <t>Gasto efectivo real por beneficiario 3T 2016</t>
  </si>
  <si>
    <t>Efectivos 4T 2016 (personas)</t>
  </si>
  <si>
    <t>Efectivo 4T 2016</t>
  </si>
  <si>
    <t>IPC (4T 2016)</t>
  </si>
  <si>
    <t>Gasto efectivo real 4T 2016</t>
  </si>
  <si>
    <t>Gasto efectivo real por beneficiario 4T 2016</t>
  </si>
  <si>
    <t>Efectivos 1S 2016 (personas)</t>
  </si>
  <si>
    <t>Efectivo 1S 2016</t>
  </si>
  <si>
    <t>IPC (1S 2016)</t>
  </si>
  <si>
    <t>Gasto efectivo real 1S 2016</t>
  </si>
  <si>
    <t>Gasto efectivo real por beneficiario 1S 2016</t>
  </si>
  <si>
    <t>Efectivos 3TA 2016 (personas)</t>
  </si>
  <si>
    <t>Efectivo 3TA 2016</t>
  </si>
  <si>
    <t>IPC (3TA 2016)</t>
  </si>
  <si>
    <t>Gasto efectivo real 3TA 2016</t>
  </si>
  <si>
    <t>Gasto efectivo real por beneficiario 3TA 2016</t>
  </si>
  <si>
    <t>Efectivo  2016</t>
  </si>
  <si>
    <t>IPC ( 2016)</t>
  </si>
  <si>
    <t>Gasto efectivo real  2016</t>
  </si>
  <si>
    <t>Gasto efectivo real por beneficiario  2016</t>
  </si>
  <si>
    <t>Programados 1T 2017 (personas)</t>
  </si>
  <si>
    <t>Efectivos 1T 2017 (personas)</t>
  </si>
  <si>
    <t>Programados año 2017 (personas)</t>
  </si>
  <si>
    <t>Programado 1T 2017</t>
  </si>
  <si>
    <t>Efectivo 1T 2017</t>
  </si>
  <si>
    <t>Programados año 2017</t>
  </si>
  <si>
    <t>En transferencias 1T 2017</t>
  </si>
  <si>
    <t>Programados 1T 2017</t>
  </si>
  <si>
    <t>Efectivos 1T 2017</t>
  </si>
  <si>
    <t>IPC (1T 2017)</t>
  </si>
  <si>
    <t>Gasto efectivo real 1T 2017</t>
  </si>
  <si>
    <t>Gasto efectivo real por beneficiario 1T 2017</t>
  </si>
  <si>
    <t>Informes Trimestrales PFT 2016 y 2017</t>
  </si>
  <si>
    <t>Metas y Modificaciones, DESAF 2017</t>
  </si>
  <si>
    <t>Programados 2T 2017 (personas)</t>
  </si>
  <si>
    <t>Efectivos 2T 2017 (personas)</t>
  </si>
  <si>
    <t>Programado 2T 2017</t>
  </si>
  <si>
    <t>Efectivo 2T 2017</t>
  </si>
  <si>
    <t>En transferencias 2T 2017</t>
  </si>
  <si>
    <t>Programados 2T 2017</t>
  </si>
  <si>
    <t>Efectivos 2T 2017</t>
  </si>
  <si>
    <t>IPC (2T 2017)</t>
  </si>
  <si>
    <t>Gasto efectivo real 2T 2017</t>
  </si>
  <si>
    <t>Gasto efectivo real por beneficiario 2T 2017</t>
  </si>
  <si>
    <t>Programados 3T 2017 (personas)</t>
  </si>
  <si>
    <t>Efectivos 3T 2017 (personas)</t>
  </si>
  <si>
    <t>Programado 3T 2017</t>
  </si>
  <si>
    <t>Efectivo 3T 2017</t>
  </si>
  <si>
    <t>En transferencias 3T 2017</t>
  </si>
  <si>
    <t>Programados 3T 2017</t>
  </si>
  <si>
    <t>Efectivos 3T 2017</t>
  </si>
  <si>
    <t>IPC (3T 2017)</t>
  </si>
  <si>
    <t>Gasto efectivo real 3T 2017</t>
  </si>
  <si>
    <t>Gasto efectivo real por beneficiario 3T 2017</t>
  </si>
  <si>
    <t>Indicadores aplicados a Pacientes en Fase Terminal. Primer Trimestre 2017</t>
  </si>
  <si>
    <t>Indicadores  aplicados a Pacientes en Fase Terminal. Segundo Trimestre 2017</t>
  </si>
  <si>
    <t>Indicadores aplicados a Pacientes en Fase Terminal. Tercer trimestre 2017</t>
  </si>
  <si>
    <t>Indicadores  aplicados a Pacientes en Fase Terminal. Cuarto Trimestre 2017</t>
  </si>
  <si>
    <t>Programados 4T 2017 (personas)</t>
  </si>
  <si>
    <t>Efectivos 4T 2017 (personas)</t>
  </si>
  <si>
    <t>Programado 4T 2017</t>
  </si>
  <si>
    <t>Efectivo 4T 2017</t>
  </si>
  <si>
    <t>En transferencias 4T 2017</t>
  </si>
  <si>
    <t>Programados 4T 2017</t>
  </si>
  <si>
    <t>Efectivos 4T 2017</t>
  </si>
  <si>
    <t>IPC (4T 2017)</t>
  </si>
  <si>
    <t>Gasto efectivo real 4T 2017</t>
  </si>
  <si>
    <t>Gasto efectivo real por beneficiario 4T 2017</t>
  </si>
  <si>
    <t>Indicadores  aplicados a Pacientes en Fase Terminal. Primer Semestre 2017</t>
  </si>
  <si>
    <t>Programados 1S 2017 (personas)</t>
  </si>
  <si>
    <t>Efectivos 1S 2017 (personas)</t>
  </si>
  <si>
    <t>Programado 1S 2017</t>
  </si>
  <si>
    <t>Efectivo 1S 2017</t>
  </si>
  <si>
    <t>En transferencias 1S 2017</t>
  </si>
  <si>
    <t>Programados 1S 2017</t>
  </si>
  <si>
    <t>Efectivos 1S 2017</t>
  </si>
  <si>
    <t>IPC (1S 2017)</t>
  </si>
  <si>
    <t>Gasto efectivo real 1S 2017</t>
  </si>
  <si>
    <t>Gasto efectivo real por beneficiario 1S 2017</t>
  </si>
  <si>
    <t>Indicadores  aplicados a Pacientes en Fase Terminal. Tercer Trimestre Acumulado 2016</t>
  </si>
  <si>
    <t>Programados 3TA 2017 (personas)</t>
  </si>
  <si>
    <t>Efectivos 3TA 2017 (personas)</t>
  </si>
  <si>
    <t>Programado 3TA 2017</t>
  </si>
  <si>
    <t>Efectivo 3TA 2017</t>
  </si>
  <si>
    <t>En transferencias 3TA 2017</t>
  </si>
  <si>
    <t>Programados 3TA 2017</t>
  </si>
  <si>
    <t>Efectivos 3TA 2017</t>
  </si>
  <si>
    <t>IPC (3TA 2017)</t>
  </si>
  <si>
    <t>Gasto efectivo real 3TA 2017</t>
  </si>
  <si>
    <t>Gasto efectivo real por beneficiario 3TA 2017</t>
  </si>
  <si>
    <t>Indicadores aplicados a Pacientes en Fase Terminal. Año 2017</t>
  </si>
  <si>
    <t>Efectivos  2016 (personas)</t>
  </si>
  <si>
    <t>Programados  2017 (personas)</t>
  </si>
  <si>
    <t>Efectivos anual 2017 (personas)</t>
  </si>
  <si>
    <t>Programado  2017</t>
  </si>
  <si>
    <t>Efectivo  2017</t>
  </si>
  <si>
    <t>En transferencias  2017</t>
  </si>
  <si>
    <t>Programados  2017</t>
  </si>
  <si>
    <t>Efectivos  2017</t>
  </si>
  <si>
    <t>IPC ( 2017)</t>
  </si>
  <si>
    <t>Gasto efectivo real  2017</t>
  </si>
  <si>
    <t>Gasto efectivo real por beneficiario  2017</t>
  </si>
  <si>
    <t>Fecha de actualización: 08/06/2017</t>
  </si>
  <si>
    <t>Fecha de actualización: 01/09/2017</t>
  </si>
  <si>
    <t>Fecha de actualización: 07/03/2018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</si>
</sst>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#,##0.0"/>
    <numFmt numFmtId="166" formatCode="#,##0.0____"/>
    <numFmt numFmtId="167" formatCode="#,##0.00____"/>
    <numFmt numFmtId="168" formatCode="_(* #,##0_);_(* \(#,##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 indent="1"/>
    </xf>
    <xf numFmtId="165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Fill="1" applyAlignment="1">
      <alignment horizontal="left"/>
    </xf>
    <xf numFmtId="3" fontId="0" fillId="0" borderId="0" xfId="0" applyNumberFormat="1" applyFill="1"/>
    <xf numFmtId="0" fontId="0" fillId="0" borderId="0" xfId="0" applyFill="1" applyAlignment="1">
      <alignment horizontal="left" indent="1"/>
    </xf>
    <xf numFmtId="0" fontId="0" fillId="0" borderId="0" xfId="0" applyFill="1"/>
    <xf numFmtId="0" fontId="1" fillId="0" borderId="0" xfId="0" applyFont="1" applyFill="1"/>
    <xf numFmtId="166" fontId="0" fillId="0" borderId="0" xfId="0" applyNumberFormat="1" applyFill="1"/>
    <xf numFmtId="166" fontId="0" fillId="0" borderId="0" xfId="0" applyNumberFormat="1"/>
    <xf numFmtId="167" fontId="0" fillId="0" borderId="0" xfId="0" applyNumberFormat="1" applyFill="1"/>
    <xf numFmtId="0" fontId="0" fillId="0" borderId="3" xfId="0" applyBorder="1"/>
    <xf numFmtId="2" fontId="0" fillId="0" borderId="0" xfId="0" applyNumberFormat="1" applyFill="1"/>
    <xf numFmtId="0" fontId="0" fillId="0" borderId="2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Fill="1"/>
    <xf numFmtId="164" fontId="0" fillId="0" borderId="0" xfId="1" applyFont="1"/>
    <xf numFmtId="168" fontId="0" fillId="0" borderId="0" xfId="1" applyNumberFormat="1" applyFont="1"/>
    <xf numFmtId="1" fontId="0" fillId="0" borderId="0" xfId="0" applyNumberFormat="1"/>
    <xf numFmtId="0" fontId="4" fillId="0" borderId="0" xfId="0" applyFont="1" applyFill="1"/>
    <xf numFmtId="167" fontId="7" fillId="0" borderId="0" xfId="0" applyNumberFormat="1" applyFont="1" applyFill="1"/>
    <xf numFmtId="165" fontId="0" fillId="0" borderId="0" xfId="0" applyNumberFormat="1" applyFill="1"/>
    <xf numFmtId="14" fontId="0" fillId="0" borderId="0" xfId="0" applyNumberFormat="1"/>
    <xf numFmtId="3" fontId="4" fillId="0" borderId="0" xfId="0" applyNumberFormat="1" applyFont="1" applyFill="1"/>
    <xf numFmtId="3" fontId="7" fillId="0" borderId="0" xfId="0" applyNumberFormat="1" applyFont="1" applyFill="1"/>
    <xf numFmtId="2" fontId="7" fillId="0" borderId="0" xfId="0" applyNumberFormat="1" applyFont="1"/>
    <xf numFmtId="2" fontId="7" fillId="0" borderId="0" xfId="0" applyNumberFormat="1" applyFont="1" applyFill="1"/>
    <xf numFmtId="168" fontId="0" fillId="0" borderId="0" xfId="1" applyNumberFormat="1" applyFont="1" applyFill="1" applyAlignment="1"/>
    <xf numFmtId="168" fontId="0" fillId="0" borderId="0" xfId="1" applyNumberFormat="1" applyFont="1" applyFill="1"/>
    <xf numFmtId="0" fontId="6" fillId="0" borderId="0" xfId="0" applyFont="1" applyFill="1" applyAlignment="1">
      <alignment horizontal="left" indent="4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</a:t>
            </a:r>
            <a:r>
              <a:rPr lang="es-CR" baseline="0"/>
              <a:t> en Fase Terminal: Indicadores de cobertura potencial 2017</a:t>
            </a:r>
            <a:endParaRPr lang="es-CR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Anual!$A$44:$A$45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Anual!$B$44:$B$45</c:f>
              <c:numCache>
                <c:formatCode>#,##0.00____</c:formatCode>
                <c:ptCount val="2"/>
                <c:pt idx="0">
                  <c:v>205.76131687242798</c:v>
                </c:pt>
                <c:pt idx="1">
                  <c:v>536.41975308641975</c:v>
                </c:pt>
              </c:numCache>
            </c:numRef>
          </c:val>
        </c:ser>
        <c:dLbls/>
        <c:gapWidth val="100"/>
        <c:overlap val="-24"/>
        <c:axId val="60136448"/>
        <c:axId val="61272832"/>
      </c:barChart>
      <c:catAx>
        <c:axId val="601364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272832"/>
        <c:crosses val="autoZero"/>
        <c:auto val="1"/>
        <c:lblAlgn val="ctr"/>
        <c:lblOffset val="100"/>
      </c:catAx>
      <c:valAx>
        <c:axId val="612728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136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Indicadores de resultado 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Anual!$A$48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(Anual!$B$48:$C$48,Anual!$E$48)</c:f>
              <c:numCache>
                <c:formatCode>#,##0.0____</c:formatCode>
                <c:ptCount val="3"/>
                <c:pt idx="0">
                  <c:v>260.70000000000005</c:v>
                </c:pt>
                <c:pt idx="1">
                  <c:v>260.70000000000005</c:v>
                </c:pt>
                <c:pt idx="2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(Anual!$B$49:$C$49,Anual!$E$49)</c:f>
              <c:numCache>
                <c:formatCode>#,##0.0____</c:formatCode>
                <c:ptCount val="3"/>
                <c:pt idx="0">
                  <c:v>98.131438718712374</c:v>
                </c:pt>
                <c:pt idx="1">
                  <c:v>96.378006934978416</c:v>
                </c:pt>
                <c:pt idx="2">
                  <c:v>153.51522106666664</c:v>
                </c:pt>
              </c:numCache>
            </c:numRef>
          </c:val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(Anual!$B$50:$C$50,Anual!$E$50)</c:f>
              <c:numCache>
                <c:formatCode>#,##0.0____</c:formatCode>
                <c:ptCount val="3"/>
                <c:pt idx="0">
                  <c:v>179.41571935935622</c:v>
                </c:pt>
                <c:pt idx="1">
                  <c:v>178.53900346748924</c:v>
                </c:pt>
                <c:pt idx="2">
                  <c:v>76.75761053333332</c:v>
                </c:pt>
              </c:numCache>
            </c:numRef>
          </c:val>
        </c:ser>
        <c:dLbls/>
        <c:gapWidth val="100"/>
        <c:overlap val="-3"/>
        <c:axId val="55858688"/>
        <c:axId val="55860224"/>
      </c:barChart>
      <c:catAx>
        <c:axId val="558586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860224"/>
        <c:crosses val="autoZero"/>
        <c:auto val="1"/>
        <c:lblAlgn val="ctr"/>
        <c:lblOffset val="100"/>
      </c:catAx>
      <c:valAx>
        <c:axId val="558602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85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Indicadores de avance 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Anual!$A$53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(Anual!$B$53:$C$53,Anual!$E$53)</c:f>
              <c:numCache>
                <c:formatCode>#,##0.0____</c:formatCode>
                <c:ptCount val="3"/>
                <c:pt idx="0">
                  <c:v>260.70000000000005</c:v>
                </c:pt>
                <c:pt idx="1">
                  <c:v>260.70000000000005</c:v>
                </c:pt>
              </c:numCache>
            </c:numRef>
          </c:val>
        </c:ser>
        <c:ser>
          <c:idx val="1"/>
          <c:order val="1"/>
          <c:tx>
            <c:strRef>
              <c:f>Anual!$A$54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(Anual!$B$54:$C$54,Anual!$E$54)</c:f>
              <c:numCache>
                <c:formatCode>#,##0.0____</c:formatCode>
                <c:ptCount val="3"/>
                <c:pt idx="0">
                  <c:v>98.131438718712374</c:v>
                </c:pt>
                <c:pt idx="1">
                  <c:v>96.378006934978416</c:v>
                </c:pt>
                <c:pt idx="2">
                  <c:v>153.51522106666664</c:v>
                </c:pt>
              </c:numCache>
            </c:numRef>
          </c:val>
        </c:ser>
        <c:ser>
          <c:idx val="2"/>
          <c:order val="2"/>
          <c:tx>
            <c:strRef>
              <c:f>Anual!$A$55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(Anual!$B$55:$C$55,Anual!$E$55)</c:f>
              <c:numCache>
                <c:formatCode>#,##0.0____</c:formatCode>
                <c:ptCount val="3"/>
                <c:pt idx="0">
                  <c:v>179.41571935935622</c:v>
                </c:pt>
                <c:pt idx="1">
                  <c:v>178.53900346748924</c:v>
                </c:pt>
                <c:pt idx="2">
                  <c:v>76.75761053333332</c:v>
                </c:pt>
              </c:numCache>
            </c:numRef>
          </c:val>
        </c:ser>
        <c:dLbls/>
        <c:gapWidth val="100"/>
        <c:overlap val="-3"/>
        <c:axId val="55875072"/>
        <c:axId val="55876608"/>
      </c:barChart>
      <c:catAx>
        <c:axId val="558750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876608"/>
        <c:crosses val="autoZero"/>
        <c:auto val="1"/>
        <c:lblAlgn val="ctr"/>
        <c:lblOffset val="100"/>
      </c:catAx>
      <c:valAx>
        <c:axId val="558766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87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Índice transferencia efectiva del gasto (ITG) 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Anual!$A$58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Anual!$B$58</c:f>
              <c:numCache>
                <c:formatCode>#,##0.00____</c:formatCode>
                <c:ptCount val="1"/>
                <c:pt idx="0">
                  <c:v>95.199205797312544</c:v>
                </c:pt>
              </c:numCache>
            </c:numRef>
          </c:val>
        </c:ser>
        <c:dLbls/>
        <c:gapWidth val="100"/>
        <c:overlap val="-24"/>
        <c:axId val="57043968"/>
        <c:axId val="57053952"/>
      </c:barChart>
      <c:catAx>
        <c:axId val="570439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053952"/>
        <c:crosses val="autoZero"/>
        <c:auto val="1"/>
        <c:lblAlgn val="ctr"/>
        <c:lblOffset val="100"/>
      </c:catAx>
      <c:valAx>
        <c:axId val="570539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04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Indicadores de expansión 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Anual!$A$61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(Anual!$B$61:$C$61,Anual!$E$61)</c:f>
              <c:numCache>
                <c:formatCode>#,##0.0____</c:formatCode>
                <c:ptCount val="3"/>
                <c:pt idx="0">
                  <c:v>136.78474114441417</c:v>
                </c:pt>
                <c:pt idx="1">
                  <c:v>136.78474114441417</c:v>
                </c:pt>
              </c:numCache>
            </c:numRef>
          </c:val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(Anual!$B$62:$C$62,Anual!$E$62)</c:f>
              <c:numCache>
                <c:formatCode>#,##0.0____</c:formatCode>
                <c:ptCount val="3"/>
                <c:pt idx="0">
                  <c:v>59.845266788943349</c:v>
                </c:pt>
                <c:pt idx="1">
                  <c:v>57.169154384775986</c:v>
                </c:pt>
                <c:pt idx="2">
                  <c:v>141.32782887518965</c:v>
                </c:pt>
              </c:numCache>
            </c:numRef>
          </c:val>
        </c:ser>
        <c:ser>
          <c:idx val="2"/>
          <c:order val="2"/>
          <c:tx>
            <c:strRef>
              <c:f>Anual!$A$63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(Anual!$B$63:$C$63,Anual!$E$63)</c:f>
              <c:numCache>
                <c:formatCode>#,##0.0____</c:formatCode>
                <c:ptCount val="3"/>
                <c:pt idx="0">
                  <c:v>-32.493425878547512</c:v>
                </c:pt>
                <c:pt idx="1">
                  <c:v>-33.623613740836845</c:v>
                </c:pt>
                <c:pt idx="2">
                  <c:v>1.9186573040214094</c:v>
                </c:pt>
              </c:numCache>
            </c:numRef>
          </c:val>
        </c:ser>
        <c:dLbls/>
        <c:gapWidth val="100"/>
        <c:overlap val="-24"/>
        <c:axId val="57567872"/>
        <c:axId val="57577856"/>
      </c:barChart>
      <c:catAx>
        <c:axId val="575678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77856"/>
        <c:crosses val="autoZero"/>
        <c:auto val="1"/>
        <c:lblAlgn val="ctr"/>
        <c:lblOffset val="100"/>
      </c:catAx>
      <c:valAx>
        <c:axId val="575778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6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Indicadores de gasto medio 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Anual!$A$70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Subsidios</c:v>
                </c:pt>
              </c:strCache>
            </c:strRef>
          </c:cat>
          <c:val>
            <c:numRef>
              <c:f>Anual!$B$70:$C$70</c:f>
              <c:numCache>
                <c:formatCode>#,##0</c:formatCode>
                <c:ptCount val="2"/>
                <c:pt idx="0">
                  <c:v>2932734.15</c:v>
                </c:pt>
                <c:pt idx="1">
                  <c:v>2842734.15</c:v>
                </c:pt>
              </c:numCache>
            </c:numRef>
          </c:val>
        </c:ser>
        <c:ser>
          <c:idx val="1"/>
          <c:order val="1"/>
          <c:tx>
            <c:strRef>
              <c:f>Anual!$A$71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Subsidios</c:v>
                </c:pt>
              </c:strCache>
            </c:strRef>
          </c:cat>
          <c:val>
            <c:numRef>
              <c:f>Anual!$B$71:$C$71</c:f>
              <c:numCache>
                <c:formatCode>#,##0</c:formatCode>
                <c:ptCount val="2"/>
                <c:pt idx="0">
                  <c:v>1103925.6675067127</c:v>
                </c:pt>
                <c:pt idx="1">
                  <c:v>1050928.4680590718</c:v>
                </c:pt>
              </c:numCache>
            </c:numRef>
          </c:val>
        </c:ser>
        <c:dLbls/>
        <c:gapWidth val="100"/>
        <c:overlap val="-1"/>
        <c:axId val="57603584"/>
        <c:axId val="57605120"/>
      </c:barChart>
      <c:catAx>
        <c:axId val="576035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605120"/>
        <c:crosses val="autoZero"/>
        <c:auto val="1"/>
        <c:lblAlgn val="ctr"/>
        <c:lblOffset val="100"/>
      </c:catAx>
      <c:valAx>
        <c:axId val="576051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60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Índice de eficiencia (IE) 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Subsidios</c:v>
                </c:pt>
              </c:strCache>
            </c:strRef>
          </c:cat>
          <c:val>
            <c:numRef>
              <c:f>Anual!$B$69:$C$69</c:f>
              <c:numCache>
                <c:formatCode>#,##0</c:formatCode>
                <c:ptCount val="2"/>
                <c:pt idx="0">
                  <c:v>67.534801187136026</c:v>
                </c:pt>
                <c:pt idx="1">
                  <c:v>66.003963614705853</c:v>
                </c:pt>
              </c:numCache>
            </c:numRef>
          </c:val>
        </c:ser>
        <c:dLbls/>
        <c:gapWidth val="100"/>
        <c:overlap val="-24"/>
        <c:axId val="57650560"/>
        <c:axId val="57660544"/>
      </c:barChart>
      <c:catAx>
        <c:axId val="576505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660544"/>
        <c:crosses val="autoZero"/>
        <c:auto val="1"/>
        <c:lblAlgn val="ctr"/>
        <c:lblOffset val="100"/>
      </c:catAx>
      <c:valAx>
        <c:axId val="576605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65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Indicadores de giro de recursos 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Anual!$A$74:$A$75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Anual!$B$74:$B$75</c:f>
              <c:numCache>
                <c:formatCode>#,##0.0____</c:formatCode>
                <c:ptCount val="2"/>
                <c:pt idx="0">
                  <c:v>116.09211150932313</c:v>
                </c:pt>
                <c:pt idx="1">
                  <c:v>84.528946405485641</c:v>
                </c:pt>
              </c:numCache>
            </c:numRef>
          </c:val>
        </c:ser>
        <c:dLbls/>
        <c:gapWidth val="100"/>
        <c:overlap val="-24"/>
        <c:axId val="57697792"/>
        <c:axId val="57699328"/>
      </c:barChart>
      <c:catAx>
        <c:axId val="576977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699328"/>
        <c:crosses val="autoZero"/>
        <c:auto val="1"/>
        <c:lblAlgn val="ctr"/>
        <c:lblOffset val="100"/>
      </c:catAx>
      <c:valAx>
        <c:axId val="576993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69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10583</xdr:colOff>
      <xdr:row>38</xdr:row>
      <xdr:rowOff>189441</xdr:rowOff>
    </xdr:from>
    <xdr:to>
      <xdr:col>13</xdr:col>
      <xdr:colOff>10583</xdr:colOff>
      <xdr:row>53</xdr:row>
      <xdr:rowOff>75141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10583</xdr:colOff>
      <xdr:row>54</xdr:row>
      <xdr:rowOff>9524</xdr:rowOff>
    </xdr:from>
    <xdr:to>
      <xdr:col>13</xdr:col>
      <xdr:colOff>10583</xdr:colOff>
      <xdr:row>68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21167</xdr:colOff>
      <xdr:row>69</xdr:row>
      <xdr:rowOff>20107</xdr:rowOff>
    </xdr:from>
    <xdr:to>
      <xdr:col>13</xdr:col>
      <xdr:colOff>21167</xdr:colOff>
      <xdr:row>83</xdr:row>
      <xdr:rowOff>75140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31748</xdr:colOff>
      <xdr:row>85</xdr:row>
      <xdr:rowOff>20108</xdr:rowOff>
    </xdr:from>
    <xdr:to>
      <xdr:col>5</xdr:col>
      <xdr:colOff>391582</xdr:colOff>
      <xdr:row>99</xdr:row>
      <xdr:rowOff>96308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10583</xdr:colOff>
      <xdr:row>84</xdr:row>
      <xdr:rowOff>189440</xdr:rowOff>
    </xdr:from>
    <xdr:to>
      <xdr:col>12</xdr:col>
      <xdr:colOff>10583</xdr:colOff>
      <xdr:row>99</xdr:row>
      <xdr:rowOff>75140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740833</xdr:colOff>
      <xdr:row>84</xdr:row>
      <xdr:rowOff>168274</xdr:rowOff>
    </xdr:from>
    <xdr:to>
      <xdr:col>18</xdr:col>
      <xdr:colOff>740833</xdr:colOff>
      <xdr:row>99</xdr:row>
      <xdr:rowOff>53974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814917</xdr:colOff>
      <xdr:row>101</xdr:row>
      <xdr:rowOff>30691</xdr:rowOff>
    </xdr:from>
    <xdr:to>
      <xdr:col>2</xdr:col>
      <xdr:colOff>635000</xdr:colOff>
      <xdr:row>115</xdr:row>
      <xdr:rowOff>106891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42333</xdr:colOff>
      <xdr:row>101</xdr:row>
      <xdr:rowOff>20108</xdr:rowOff>
    </xdr:from>
    <xdr:to>
      <xdr:col>8</xdr:col>
      <xdr:colOff>232833</xdr:colOff>
      <xdr:row>115</xdr:row>
      <xdr:rowOff>96308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0"/>
  <sheetViews>
    <sheetView topLeftCell="A2" zoomScale="90" zoomScaleNormal="90" workbookViewId="0">
      <selection activeCell="B33" sqref="B33"/>
    </sheetView>
  </sheetViews>
  <sheetFormatPr baseColWidth="10" defaultColWidth="11.42578125" defaultRowHeight="1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4" customWidth="1"/>
    <col min="8" max="8" width="15.140625" bestFit="1" customWidth="1"/>
  </cols>
  <sheetData>
    <row r="2" spans="1:11" ht="15.75">
      <c r="A2" s="36" t="s">
        <v>120</v>
      </c>
      <c r="B2" s="36"/>
      <c r="C2" s="36"/>
      <c r="D2" s="36"/>
    </row>
    <row r="4" spans="1:11">
      <c r="A4" s="37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11" ht="15.75" thickBot="1">
      <c r="A5" s="38"/>
      <c r="B5" s="2" t="s">
        <v>3</v>
      </c>
      <c r="C5" s="2" t="s">
        <v>4</v>
      </c>
      <c r="D5" s="2" t="s">
        <v>41</v>
      </c>
      <c r="E5" s="2" t="s">
        <v>44</v>
      </c>
      <c r="G5" s="25"/>
      <c r="H5" s="11"/>
      <c r="I5" s="11"/>
      <c r="J5" s="11"/>
      <c r="K5" s="11"/>
    </row>
    <row r="6" spans="1:11" ht="15.75" thickTop="1"/>
    <row r="7" spans="1:11">
      <c r="A7" s="3" t="s">
        <v>6</v>
      </c>
    </row>
    <row r="9" spans="1:11">
      <c r="A9" t="s">
        <v>7</v>
      </c>
      <c r="H9" s="22"/>
    </row>
    <row r="10" spans="1:11">
      <c r="A10" s="10" t="s">
        <v>52</v>
      </c>
      <c r="B10" s="9">
        <f t="shared" ref="B10:B17" si="0">C10</f>
        <v>308</v>
      </c>
      <c r="C10" s="9">
        <v>308</v>
      </c>
      <c r="D10" s="27"/>
      <c r="E10" s="11"/>
    </row>
    <row r="11" spans="1:11">
      <c r="A11" s="35" t="s">
        <v>4</v>
      </c>
      <c r="B11" s="9">
        <f t="shared" si="0"/>
        <v>587</v>
      </c>
      <c r="C11" s="9">
        <v>587</v>
      </c>
      <c r="D11" s="27"/>
      <c r="E11" s="11"/>
    </row>
    <row r="12" spans="1:11">
      <c r="A12" s="10" t="s">
        <v>86</v>
      </c>
      <c r="B12" s="9">
        <f t="shared" si="0"/>
        <v>250</v>
      </c>
      <c r="C12" s="9">
        <v>250</v>
      </c>
      <c r="D12" s="27"/>
      <c r="E12" s="11"/>
    </row>
    <row r="13" spans="1:11">
      <c r="A13" s="35" t="s">
        <v>4</v>
      </c>
      <c r="B13" s="9">
        <f t="shared" si="0"/>
        <v>750</v>
      </c>
      <c r="C13" s="9">
        <f>C12*3</f>
        <v>750</v>
      </c>
      <c r="D13" s="27"/>
      <c r="E13" s="11"/>
    </row>
    <row r="14" spans="1:11">
      <c r="A14" s="10" t="s">
        <v>87</v>
      </c>
      <c r="B14" s="9">
        <f t="shared" si="0"/>
        <v>724</v>
      </c>
      <c r="C14" s="9">
        <v>724</v>
      </c>
      <c r="D14" s="27"/>
      <c r="E14" s="11"/>
    </row>
    <row r="15" spans="1:11">
      <c r="A15" s="35" t="s">
        <v>4</v>
      </c>
      <c r="B15" s="9">
        <f t="shared" si="0"/>
        <v>1130</v>
      </c>
      <c r="C15" s="9">
        <v>1130</v>
      </c>
      <c r="D15" s="27"/>
      <c r="E15" s="11"/>
    </row>
    <row r="16" spans="1:11">
      <c r="A16" s="10" t="s">
        <v>88</v>
      </c>
      <c r="B16" s="9">
        <f t="shared" si="0"/>
        <v>1000</v>
      </c>
      <c r="C16" s="9">
        <f>250*4</f>
        <v>1000</v>
      </c>
      <c r="D16" s="27"/>
      <c r="E16" s="11"/>
    </row>
    <row r="17" spans="1:8">
      <c r="A17" s="35" t="s">
        <v>4</v>
      </c>
      <c r="B17" s="9">
        <f t="shared" si="0"/>
        <v>3000</v>
      </c>
      <c r="C17" s="9">
        <f>250*12</f>
        <v>3000</v>
      </c>
      <c r="D17" s="27"/>
      <c r="E17" s="11"/>
    </row>
    <row r="18" spans="1:8">
      <c r="B18" s="5"/>
      <c r="C18" s="5"/>
      <c r="D18" s="5"/>
    </row>
    <row r="19" spans="1:8">
      <c r="A19" s="6" t="s">
        <v>8</v>
      </c>
      <c r="B19" s="5"/>
      <c r="C19" s="5"/>
      <c r="D19" s="5"/>
    </row>
    <row r="20" spans="1:8">
      <c r="A20" s="4" t="s">
        <v>53</v>
      </c>
      <c r="B20" s="7">
        <f>SUM(C20:E20)</f>
        <v>357402846.46000004</v>
      </c>
      <c r="C20" s="7">
        <v>357402846.46000004</v>
      </c>
      <c r="D20" s="7">
        <v>0</v>
      </c>
      <c r="E20">
        <v>0</v>
      </c>
    </row>
    <row r="21" spans="1:8">
      <c r="A21" s="4" t="s">
        <v>89</v>
      </c>
      <c r="B21" s="7">
        <f>SUM(C21:E21)</f>
        <v>733183537.5</v>
      </c>
      <c r="C21" s="23">
        <v>710683537.5</v>
      </c>
      <c r="D21" s="7">
        <v>0</v>
      </c>
      <c r="E21" s="7">
        <v>22500000</v>
      </c>
    </row>
    <row r="22" spans="1:8">
      <c r="A22" s="4" t="s">
        <v>90</v>
      </c>
      <c r="B22" s="7">
        <f t="shared" ref="B22:B23" si="1">SUM(C22:E22)</f>
        <v>580123567.93000007</v>
      </c>
      <c r="C22" s="7">
        <v>580123567.93000007</v>
      </c>
      <c r="D22" s="7">
        <v>0</v>
      </c>
      <c r="E22">
        <v>0</v>
      </c>
    </row>
    <row r="23" spans="1:8">
      <c r="A23" s="4" t="s">
        <v>91</v>
      </c>
      <c r="B23" s="7">
        <f t="shared" si="1"/>
        <v>2932734150</v>
      </c>
      <c r="C23" s="23">
        <v>2842734150</v>
      </c>
      <c r="D23" s="7">
        <v>0</v>
      </c>
      <c r="E23" s="7">
        <v>90000000</v>
      </c>
    </row>
    <row r="24" spans="1:8">
      <c r="A24" s="4" t="s">
        <v>92</v>
      </c>
      <c r="B24" s="7">
        <f>C24</f>
        <v>580123567.93000007</v>
      </c>
      <c r="C24" s="7">
        <f>C22</f>
        <v>580123567.93000007</v>
      </c>
      <c r="D24" s="7"/>
    </row>
    <row r="25" spans="1:8">
      <c r="B25" s="7"/>
      <c r="C25" s="7"/>
      <c r="D25" s="7"/>
      <c r="H25" s="7"/>
    </row>
    <row r="26" spans="1:8">
      <c r="A26" s="8" t="s">
        <v>9</v>
      </c>
      <c r="B26" s="9"/>
      <c r="C26" s="9"/>
      <c r="D26" s="9"/>
    </row>
    <row r="27" spans="1:8">
      <c r="A27" s="10" t="s">
        <v>93</v>
      </c>
      <c r="B27" s="9">
        <f>B21</f>
        <v>733183537.5</v>
      </c>
      <c r="C27" s="9"/>
      <c r="D27" s="9"/>
      <c r="F27" s="7"/>
    </row>
    <row r="28" spans="1:8">
      <c r="A28" s="10" t="s">
        <v>94</v>
      </c>
      <c r="B28" s="9">
        <v>616311069.50999999</v>
      </c>
      <c r="C28" s="9"/>
      <c r="D28" s="9"/>
    </row>
    <row r="29" spans="1:8">
      <c r="A29" s="11"/>
      <c r="B29" s="11"/>
      <c r="C29" s="11"/>
      <c r="D29" s="11"/>
    </row>
    <row r="30" spans="1:8">
      <c r="A30" s="11" t="s">
        <v>10</v>
      </c>
      <c r="B30" s="11"/>
      <c r="C30" s="11"/>
      <c r="D30" s="11"/>
    </row>
    <row r="31" spans="1:8">
      <c r="A31" s="10" t="s">
        <v>54</v>
      </c>
      <c r="B31" s="31">
        <v>0.99</v>
      </c>
      <c r="C31" s="31">
        <v>0.99</v>
      </c>
      <c r="D31" s="31">
        <v>0.99</v>
      </c>
      <c r="E31" s="31">
        <v>0.99</v>
      </c>
      <c r="F31" s="19"/>
    </row>
    <row r="32" spans="1:8">
      <c r="A32" s="10" t="s">
        <v>95</v>
      </c>
      <c r="B32" s="31">
        <v>1</v>
      </c>
      <c r="C32" s="31">
        <v>1</v>
      </c>
      <c r="D32" s="31">
        <v>1</v>
      </c>
      <c r="E32" s="31">
        <v>1</v>
      </c>
    </row>
    <row r="33" spans="1:8">
      <c r="A33" s="10" t="s">
        <v>11</v>
      </c>
      <c r="B33" s="9">
        <v>486</v>
      </c>
      <c r="C33" s="9"/>
      <c r="D33" s="9"/>
      <c r="E33" s="11"/>
    </row>
    <row r="34" spans="1:8">
      <c r="A34" s="11"/>
      <c r="B34" s="11"/>
      <c r="C34" s="11"/>
      <c r="D34" s="11"/>
    </row>
    <row r="35" spans="1:8">
      <c r="A35" s="12" t="s">
        <v>12</v>
      </c>
      <c r="B35" s="11"/>
      <c r="C35" s="11"/>
      <c r="D35" s="11"/>
    </row>
    <row r="36" spans="1:8">
      <c r="A36" s="11" t="s">
        <v>55</v>
      </c>
      <c r="B36" s="9">
        <f>B20/B31</f>
        <v>361012976.22222227</v>
      </c>
      <c r="C36" s="9">
        <f t="shared" ref="C36:E36" si="2">C20/C31</f>
        <v>361012976.22222227</v>
      </c>
      <c r="D36" s="9">
        <f t="shared" si="2"/>
        <v>0</v>
      </c>
      <c r="E36" s="9">
        <f t="shared" si="2"/>
        <v>0</v>
      </c>
    </row>
    <row r="37" spans="1:8">
      <c r="A37" s="11" t="s">
        <v>96</v>
      </c>
      <c r="B37" s="9">
        <f>B22/B32</f>
        <v>580123567.93000007</v>
      </c>
      <c r="C37" s="9">
        <f>C22/C32</f>
        <v>580123567.93000007</v>
      </c>
      <c r="D37" s="9">
        <f>D22/D31</f>
        <v>0</v>
      </c>
      <c r="E37" s="9">
        <f>E22/E31</f>
        <v>0</v>
      </c>
      <c r="F37" s="19"/>
    </row>
    <row r="38" spans="1:8">
      <c r="A38" s="11" t="s">
        <v>56</v>
      </c>
      <c r="B38" s="9">
        <f>B36/B10</f>
        <v>1172120.0526695529</v>
      </c>
      <c r="C38" s="9">
        <f>C36/$C10</f>
        <v>1172120.0526695529</v>
      </c>
      <c r="D38" s="9">
        <f t="shared" ref="D38:E38" si="3">D36/$C10</f>
        <v>0</v>
      </c>
      <c r="E38" s="9">
        <f t="shared" si="3"/>
        <v>0</v>
      </c>
    </row>
    <row r="39" spans="1:8">
      <c r="A39" s="11" t="s">
        <v>97</v>
      </c>
      <c r="B39" s="9">
        <f>B37/B14</f>
        <v>801275.64631215483</v>
      </c>
      <c r="C39" s="9">
        <f>C37/$C14</f>
        <v>801275.64631215483</v>
      </c>
      <c r="D39" s="9">
        <f t="shared" ref="D39:E39" si="4">D37/$C14</f>
        <v>0</v>
      </c>
      <c r="E39" s="9">
        <f t="shared" si="4"/>
        <v>0</v>
      </c>
    </row>
    <row r="41" spans="1:8">
      <c r="A41" s="3" t="s">
        <v>13</v>
      </c>
    </row>
    <row r="43" spans="1:8">
      <c r="A43" t="s">
        <v>14</v>
      </c>
    </row>
    <row r="44" spans="1:8">
      <c r="A44" t="s">
        <v>15</v>
      </c>
      <c r="B44" s="26">
        <f>(B12/B33)*100</f>
        <v>51.440329218106996</v>
      </c>
      <c r="C44" s="15"/>
      <c r="D44" s="13"/>
      <c r="E44" s="11"/>
      <c r="F44" s="11"/>
      <c r="G44" s="11"/>
      <c r="H44" s="11"/>
    </row>
    <row r="45" spans="1:8">
      <c r="A45" t="s">
        <v>16</v>
      </c>
      <c r="B45" s="15">
        <f>(B14*100)/(B33)</f>
        <v>148.97119341563786</v>
      </c>
      <c r="C45" s="15"/>
      <c r="D45" s="13"/>
    </row>
    <row r="46" spans="1:8">
      <c r="B46" s="11"/>
    </row>
    <row r="47" spans="1:8">
      <c r="A47" t="s">
        <v>17</v>
      </c>
    </row>
    <row r="48" spans="1:8">
      <c r="A48" t="s">
        <v>18</v>
      </c>
      <c r="B48" s="14">
        <f>(B14/B12)*100</f>
        <v>289.59999999999997</v>
      </c>
      <c r="C48" s="14">
        <f>(C14/C12)*100</f>
        <v>289.59999999999997</v>
      </c>
      <c r="D48" s="14"/>
    </row>
    <row r="49" spans="1:5">
      <c r="A49" t="s">
        <v>19</v>
      </c>
      <c r="B49" s="14">
        <f>B22/B21*100</f>
        <v>79.123921672886723</v>
      </c>
      <c r="C49" s="14">
        <f>C22/C21*100</f>
        <v>81.62895822389865</v>
      </c>
      <c r="D49" s="14" t="e">
        <f>D22/D21*100</f>
        <v>#DIV/0!</v>
      </c>
      <c r="E49" s="14">
        <f>E22/E21*100</f>
        <v>0</v>
      </c>
    </row>
    <row r="50" spans="1:5">
      <c r="A50" s="11" t="s">
        <v>20</v>
      </c>
      <c r="B50" s="13">
        <f>AVERAGE(B48:B49)</f>
        <v>184.36196083644336</v>
      </c>
      <c r="C50" s="13">
        <f>AVERAGE(C48:C49)</f>
        <v>185.61447911194932</v>
      </c>
      <c r="D50" s="13"/>
    </row>
    <row r="51" spans="1:5">
      <c r="A51" s="11"/>
      <c r="B51" s="13"/>
      <c r="C51" s="13"/>
      <c r="D51" s="13"/>
    </row>
    <row r="52" spans="1:5">
      <c r="A52" s="11" t="s">
        <v>21</v>
      </c>
      <c r="B52" s="11"/>
      <c r="C52" s="11"/>
      <c r="D52" s="11"/>
    </row>
    <row r="53" spans="1:5">
      <c r="A53" s="11" t="s">
        <v>22</v>
      </c>
      <c r="B53" s="13">
        <f>(B14/B16)*100</f>
        <v>72.399999999999991</v>
      </c>
      <c r="C53" s="13">
        <f>(C14/C16)*100</f>
        <v>72.399999999999991</v>
      </c>
      <c r="D53" s="13"/>
    </row>
    <row r="54" spans="1:5">
      <c r="A54" s="11" t="s">
        <v>23</v>
      </c>
      <c r="B54" s="13">
        <f>B22/B23*100</f>
        <v>19.780980418221681</v>
      </c>
      <c r="C54" s="13">
        <f>C22/C23*100</f>
        <v>20.407239555974662</v>
      </c>
      <c r="D54" s="13" t="e">
        <f>D22/D23*100</f>
        <v>#DIV/0!</v>
      </c>
      <c r="E54" s="13">
        <f>E22/E23*100</f>
        <v>0</v>
      </c>
    </row>
    <row r="55" spans="1:5">
      <c r="A55" s="11" t="s">
        <v>24</v>
      </c>
      <c r="B55" s="13">
        <f>(B53+B54)/2</f>
        <v>46.09049020911084</v>
      </c>
      <c r="C55" s="13">
        <f>(C53+C54)/2</f>
        <v>46.403619777987331</v>
      </c>
      <c r="D55" s="13"/>
    </row>
    <row r="56" spans="1:5">
      <c r="A56" s="11"/>
      <c r="B56" s="11"/>
      <c r="C56" s="11"/>
      <c r="D56" s="11"/>
    </row>
    <row r="57" spans="1:5">
      <c r="A57" s="11" t="s">
        <v>36</v>
      </c>
      <c r="B57" s="11"/>
      <c r="C57" s="11"/>
      <c r="D57" s="11"/>
    </row>
    <row r="58" spans="1:5">
      <c r="A58" s="11" t="s">
        <v>25</v>
      </c>
      <c r="B58" s="15">
        <f>(B24/B22)*100</f>
        <v>100</v>
      </c>
      <c r="C58" s="13"/>
      <c r="D58" s="13"/>
    </row>
    <row r="59" spans="1:5">
      <c r="A59" s="11"/>
      <c r="B59" s="11"/>
      <c r="C59" s="11"/>
      <c r="D59" s="11"/>
    </row>
    <row r="60" spans="1:5">
      <c r="A60" s="11" t="s">
        <v>26</v>
      </c>
      <c r="B60" s="11"/>
      <c r="C60" s="11"/>
      <c r="D60" s="11"/>
    </row>
    <row r="61" spans="1:5">
      <c r="A61" s="11" t="s">
        <v>27</v>
      </c>
      <c r="B61" s="14">
        <f>((B14/B10)-1)*100</f>
        <v>135.06493506493507</v>
      </c>
      <c r="C61" s="14">
        <f>((C14/C10)-1)*100</f>
        <v>135.06493506493507</v>
      </c>
      <c r="D61" s="13"/>
    </row>
    <row r="62" spans="1:5">
      <c r="A62" s="11" t="s">
        <v>28</v>
      </c>
      <c r="B62" s="14">
        <f>((B37/B36)-1)*100</f>
        <v>60.693273134011626</v>
      </c>
      <c r="C62" s="14">
        <f>((C37/C36)-1)*100</f>
        <v>60.693273134011626</v>
      </c>
      <c r="D62" s="14" t="e">
        <f t="shared" ref="D62:E62" si="5">((D37/D36)-1)*100</f>
        <v>#DIV/0!</v>
      </c>
      <c r="E62" s="14" t="e">
        <f t="shared" si="5"/>
        <v>#DIV/0!</v>
      </c>
    </row>
    <row r="63" spans="1:5">
      <c r="A63" s="11" t="s">
        <v>29</v>
      </c>
      <c r="B63" s="14">
        <f>((B39/B38)-1)*100</f>
        <v>-31.638773307630409</v>
      </c>
      <c r="C63" s="14">
        <f>((C39/C38)-1)*100</f>
        <v>-31.638773307630409</v>
      </c>
      <c r="D63" s="13"/>
    </row>
    <row r="64" spans="1:5">
      <c r="A64" s="11"/>
      <c r="B64" s="13"/>
      <c r="C64" s="13"/>
      <c r="D64" s="13"/>
    </row>
    <row r="65" spans="1:5">
      <c r="A65" s="11" t="s">
        <v>30</v>
      </c>
      <c r="B65" s="11"/>
      <c r="C65" s="11"/>
      <c r="D65" s="11"/>
    </row>
    <row r="66" spans="1:5">
      <c r="A66" t="s">
        <v>37</v>
      </c>
      <c r="B66" s="9">
        <f>B21/(B12*3)</f>
        <v>977578.05</v>
      </c>
      <c r="C66" s="9">
        <f>C21/(C12*3)</f>
        <v>947578.05</v>
      </c>
      <c r="D66" s="9"/>
    </row>
    <row r="67" spans="1:5">
      <c r="A67" t="s">
        <v>38</v>
      </c>
      <c r="B67" s="9">
        <f>B22/(B14*3)</f>
        <v>267091.88210405159</v>
      </c>
      <c r="C67" s="9">
        <f>C22/(C14*3)</f>
        <v>267091.88210405159</v>
      </c>
      <c r="D67" s="9"/>
    </row>
    <row r="68" spans="1:5">
      <c r="A68" t="s">
        <v>51</v>
      </c>
      <c r="B68" s="9"/>
      <c r="C68" s="9">
        <f>C22/C15</f>
        <v>513383.68843362835</v>
      </c>
      <c r="D68" s="9"/>
    </row>
    <row r="69" spans="1:5">
      <c r="A69" s="11" t="s">
        <v>31</v>
      </c>
      <c r="B69" s="9">
        <f>(B67/B66)*B50</f>
        <v>50.37099913219113</v>
      </c>
      <c r="C69" s="9">
        <f>(C67/C66)*C50</f>
        <v>52.318772656008356</v>
      </c>
      <c r="D69" s="13"/>
    </row>
    <row r="70" spans="1:5">
      <c r="A70" s="13" t="s">
        <v>39</v>
      </c>
      <c r="B70" s="9">
        <f>B21/B12</f>
        <v>2932734.15</v>
      </c>
      <c r="C70" s="9">
        <f>C21/C12</f>
        <v>2842734.15</v>
      </c>
      <c r="D70" s="13"/>
    </row>
    <row r="71" spans="1:5">
      <c r="A71" s="13" t="s">
        <v>40</v>
      </c>
      <c r="B71" s="9">
        <f>B22/(B14)</f>
        <v>801275.64631215483</v>
      </c>
      <c r="C71" s="9">
        <f>C22/(C14)</f>
        <v>801275.64631215483</v>
      </c>
      <c r="D71" s="13"/>
    </row>
    <row r="72" spans="1:5">
      <c r="B72" s="9"/>
      <c r="C72" s="9"/>
      <c r="D72" s="14"/>
    </row>
    <row r="73" spans="1:5">
      <c r="A73" t="s">
        <v>32</v>
      </c>
      <c r="B73" s="14"/>
      <c r="C73" s="14"/>
      <c r="D73" s="14"/>
    </row>
    <row r="74" spans="1:5">
      <c r="A74" s="11" t="s">
        <v>33</v>
      </c>
      <c r="B74" s="13">
        <f>(B28/B27)*100</f>
        <v>84.059589173468041</v>
      </c>
      <c r="C74" s="13"/>
      <c r="D74" s="13"/>
    </row>
    <row r="75" spans="1:5">
      <c r="A75" s="11" t="s">
        <v>34</v>
      </c>
      <c r="B75" s="13">
        <f>(B22/B28)*100</f>
        <v>94.128370660489537</v>
      </c>
      <c r="C75" s="13"/>
      <c r="D75" s="13"/>
    </row>
    <row r="76" spans="1:5" ht="15.75" thickBot="1">
      <c r="A76" s="16"/>
      <c r="B76" s="16"/>
      <c r="C76" s="16"/>
      <c r="D76" s="16"/>
      <c r="E76" s="16"/>
    </row>
    <row r="77" spans="1:5" ht="15.75" thickTop="1"/>
    <row r="78" spans="1:5">
      <c r="A78" t="s">
        <v>35</v>
      </c>
    </row>
    <row r="79" spans="1:5">
      <c r="A79" t="s">
        <v>98</v>
      </c>
    </row>
    <row r="80" spans="1:5">
      <c r="A80" t="s">
        <v>99</v>
      </c>
    </row>
    <row r="81" spans="1:4">
      <c r="B81" s="5"/>
      <c r="C81" s="5"/>
      <c r="D81" s="5"/>
    </row>
    <row r="83" spans="1:4">
      <c r="A83" s="33" t="s">
        <v>168</v>
      </c>
    </row>
    <row r="84" spans="1:4">
      <c r="A84" s="20"/>
    </row>
    <row r="85" spans="1:4" s="11" customFormat="1">
      <c r="A85" s="21"/>
    </row>
    <row r="86" spans="1:4" s="11" customFormat="1">
      <c r="A86" s="21"/>
    </row>
    <row r="87" spans="1:4" s="11" customFormat="1"/>
    <row r="88" spans="1:4" s="11" customFormat="1"/>
    <row r="149" spans="5:8">
      <c r="E149" s="24"/>
      <c r="F149" s="24"/>
      <c r="G149" s="24"/>
      <c r="H149" s="24"/>
    </row>
    <row r="150" spans="5:8">
      <c r="E150" s="24"/>
      <c r="F150" s="24"/>
      <c r="G150" s="24"/>
      <c r="H150" s="24"/>
    </row>
  </sheetData>
  <mergeCells count="2">
    <mergeCell ref="A2:D2"/>
    <mergeCell ref="A4:A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86"/>
  <sheetViews>
    <sheetView topLeftCell="A9" workbookViewId="0">
      <selection activeCell="E22" sqref="E22"/>
    </sheetView>
  </sheetViews>
  <sheetFormatPr baseColWidth="10" defaultColWidth="11.42578125" defaultRowHeight="1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5.140625" bestFit="1" customWidth="1"/>
  </cols>
  <sheetData>
    <row r="2" spans="1:5" ht="15.75">
      <c r="A2" s="36" t="s">
        <v>121</v>
      </c>
      <c r="B2" s="36"/>
      <c r="C2" s="36"/>
      <c r="D2" s="36"/>
    </row>
    <row r="4" spans="1:5">
      <c r="A4" s="37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5" ht="15.75" thickBot="1">
      <c r="A5" s="38"/>
      <c r="B5" s="2" t="s">
        <v>3</v>
      </c>
      <c r="C5" s="2" t="s">
        <v>4</v>
      </c>
      <c r="D5" s="2" t="s">
        <v>41</v>
      </c>
      <c r="E5" s="2" t="s">
        <v>44</v>
      </c>
    </row>
    <row r="6" spans="1:5" ht="15.75" thickTop="1"/>
    <row r="7" spans="1:5">
      <c r="A7" s="3" t="s">
        <v>6</v>
      </c>
    </row>
    <row r="9" spans="1:5">
      <c r="A9" t="s">
        <v>7</v>
      </c>
    </row>
    <row r="10" spans="1:5">
      <c r="A10" s="10" t="s">
        <v>57</v>
      </c>
      <c r="B10" s="9">
        <f t="shared" ref="B10:B15" si="0">C10</f>
        <v>311</v>
      </c>
      <c r="C10" s="9">
        <v>311</v>
      </c>
      <c r="D10" s="27"/>
      <c r="E10" s="11"/>
    </row>
    <row r="11" spans="1:5">
      <c r="A11" s="35" t="s">
        <v>4</v>
      </c>
      <c r="B11" s="9">
        <f t="shared" si="0"/>
        <v>607</v>
      </c>
      <c r="C11" s="9">
        <v>607</v>
      </c>
      <c r="D11" s="27"/>
      <c r="E11" s="11"/>
    </row>
    <row r="12" spans="1:5" ht="15.75" customHeight="1">
      <c r="A12" s="10" t="s">
        <v>100</v>
      </c>
      <c r="B12" s="9">
        <f t="shared" si="0"/>
        <v>250</v>
      </c>
      <c r="C12" s="9">
        <v>250</v>
      </c>
      <c r="D12" s="27"/>
      <c r="E12" s="11"/>
    </row>
    <row r="13" spans="1:5">
      <c r="A13" s="35" t="s">
        <v>4</v>
      </c>
      <c r="B13" s="9">
        <f t="shared" si="0"/>
        <v>750</v>
      </c>
      <c r="C13" s="9">
        <f>C12*3</f>
        <v>750</v>
      </c>
      <c r="D13" s="27"/>
      <c r="E13" s="11"/>
    </row>
    <row r="14" spans="1:5">
      <c r="A14" s="10" t="s">
        <v>101</v>
      </c>
      <c r="B14" s="9">
        <f t="shared" si="0"/>
        <v>794</v>
      </c>
      <c r="C14" s="9">
        <v>794</v>
      </c>
      <c r="D14" s="27"/>
      <c r="E14" s="11"/>
    </row>
    <row r="15" spans="1:5">
      <c r="A15" s="35" t="s">
        <v>4</v>
      </c>
      <c r="B15" s="9">
        <f t="shared" si="0"/>
        <v>1294</v>
      </c>
      <c r="C15" s="9">
        <v>1294</v>
      </c>
      <c r="D15" s="27"/>
      <c r="E15" s="11"/>
    </row>
    <row r="16" spans="1:5">
      <c r="A16" s="10" t="s">
        <v>88</v>
      </c>
      <c r="B16" s="9">
        <f t="shared" ref="B16:B17" si="1">C16</f>
        <v>1000</v>
      </c>
      <c r="C16" s="9">
        <f>250*4</f>
        <v>1000</v>
      </c>
      <c r="D16" s="27"/>
      <c r="E16" s="11"/>
    </row>
    <row r="17" spans="1:6">
      <c r="A17" s="35" t="s">
        <v>4</v>
      </c>
      <c r="B17" s="9">
        <f t="shared" si="1"/>
        <v>3000</v>
      </c>
      <c r="C17" s="9">
        <f>250*12</f>
        <v>3000</v>
      </c>
      <c r="D17" s="27"/>
      <c r="E17" s="11"/>
    </row>
    <row r="18" spans="1:6">
      <c r="B18" s="5"/>
      <c r="C18" s="5"/>
      <c r="D18" s="5"/>
    </row>
    <row r="19" spans="1:6">
      <c r="A19" s="6" t="s">
        <v>8</v>
      </c>
      <c r="B19" s="5"/>
      <c r="C19" s="5"/>
      <c r="D19" s="5"/>
    </row>
    <row r="20" spans="1:6">
      <c r="A20" s="4" t="s">
        <v>58</v>
      </c>
      <c r="B20" s="7">
        <f>SUM(C20:E20)</f>
        <v>386568072.89999998</v>
      </c>
      <c r="C20" s="7">
        <v>372541705.09999996</v>
      </c>
      <c r="D20" s="7">
        <v>0</v>
      </c>
      <c r="E20" s="23">
        <v>14026367.800000001</v>
      </c>
    </row>
    <row r="21" spans="1:6">
      <c r="A21" s="4" t="s">
        <v>102</v>
      </c>
      <c r="B21" s="7">
        <f>SUM(C21:E21)</f>
        <v>733183537.5</v>
      </c>
      <c r="C21" s="34">
        <v>710683537.5</v>
      </c>
      <c r="D21" s="7">
        <v>0</v>
      </c>
      <c r="E21" s="23">
        <v>22500000</v>
      </c>
    </row>
    <row r="22" spans="1:6">
      <c r="A22" s="4" t="s">
        <v>103</v>
      </c>
      <c r="B22" s="7">
        <f t="shared" ref="B22:B23" si="2">SUM(C22:E22)</f>
        <v>678698919.77999997</v>
      </c>
      <c r="C22" s="9">
        <v>653615283.60000002</v>
      </c>
      <c r="D22" s="7">
        <v>0</v>
      </c>
      <c r="E22" s="23">
        <v>25083636.18</v>
      </c>
    </row>
    <row r="23" spans="1:6">
      <c r="A23" s="4" t="s">
        <v>91</v>
      </c>
      <c r="B23" s="7">
        <f t="shared" si="2"/>
        <v>2932734150</v>
      </c>
      <c r="C23" s="34">
        <v>2842734150</v>
      </c>
      <c r="D23" s="7">
        <v>0</v>
      </c>
      <c r="E23" s="7">
        <v>90000000</v>
      </c>
    </row>
    <row r="24" spans="1:6">
      <c r="A24" s="4" t="s">
        <v>104</v>
      </c>
      <c r="B24" s="7">
        <f>C24</f>
        <v>653615283.60000002</v>
      </c>
      <c r="C24" s="7">
        <f>C22</f>
        <v>653615283.60000002</v>
      </c>
      <c r="D24" s="7"/>
    </row>
    <row r="25" spans="1:6">
      <c r="B25" s="7"/>
      <c r="C25" s="7"/>
      <c r="D25" s="7"/>
    </row>
    <row r="26" spans="1:6">
      <c r="A26" s="8" t="s">
        <v>9</v>
      </c>
      <c r="B26" s="9"/>
      <c r="C26" s="9"/>
      <c r="D26" s="9"/>
    </row>
    <row r="27" spans="1:6">
      <c r="A27" s="10" t="s">
        <v>105</v>
      </c>
      <c r="B27" s="9">
        <f>B21</f>
        <v>733183537.5</v>
      </c>
      <c r="C27" s="9"/>
      <c r="D27" s="9"/>
    </row>
    <row r="28" spans="1:6">
      <c r="A28" s="10" t="s">
        <v>106</v>
      </c>
      <c r="B28" s="9">
        <v>1373242550.2899997</v>
      </c>
      <c r="C28" s="9"/>
      <c r="D28" s="9"/>
    </row>
    <row r="29" spans="1:6">
      <c r="A29" s="11"/>
      <c r="B29" s="11"/>
      <c r="C29" s="11"/>
      <c r="D29" s="11"/>
    </row>
    <row r="30" spans="1:6">
      <c r="A30" s="11" t="s">
        <v>10</v>
      </c>
      <c r="B30" s="11"/>
      <c r="C30" s="11"/>
      <c r="D30" s="11"/>
    </row>
    <row r="31" spans="1:6">
      <c r="A31" s="10" t="s">
        <v>59</v>
      </c>
      <c r="B31" s="31">
        <v>0.99</v>
      </c>
      <c r="C31" s="31">
        <v>0.99</v>
      </c>
      <c r="D31" s="31">
        <v>0.99</v>
      </c>
      <c r="E31" s="31">
        <v>0.99</v>
      </c>
      <c r="F31" s="19"/>
    </row>
    <row r="32" spans="1:6">
      <c r="A32" s="10" t="s">
        <v>107</v>
      </c>
      <c r="B32" s="31">
        <v>1.01</v>
      </c>
      <c r="C32" s="31">
        <v>1.01</v>
      </c>
      <c r="D32" s="31">
        <v>1.01</v>
      </c>
      <c r="E32" s="31">
        <v>1.01</v>
      </c>
    </row>
    <row r="33" spans="1:8">
      <c r="A33" s="10" t="s">
        <v>11</v>
      </c>
      <c r="B33" s="9">
        <v>486</v>
      </c>
      <c r="C33" s="9"/>
      <c r="D33" s="9"/>
    </row>
    <row r="34" spans="1:8">
      <c r="A34" s="11"/>
      <c r="B34" s="11"/>
      <c r="C34" s="11"/>
      <c r="D34" s="11"/>
    </row>
    <row r="35" spans="1:8">
      <c r="A35" s="12" t="s">
        <v>12</v>
      </c>
      <c r="B35" s="11"/>
      <c r="C35" s="11"/>
      <c r="D35" s="11"/>
    </row>
    <row r="36" spans="1:8">
      <c r="A36" s="11" t="s">
        <v>60</v>
      </c>
      <c r="B36" s="9">
        <f>B20/B31</f>
        <v>390472800.90909088</v>
      </c>
      <c r="C36" s="9">
        <f t="shared" ref="C36:E36" si="3">C20/C31</f>
        <v>376304752.62626261</v>
      </c>
      <c r="D36" s="9">
        <f t="shared" si="3"/>
        <v>0</v>
      </c>
      <c r="E36" s="9">
        <f t="shared" si="3"/>
        <v>14168048.282828284</v>
      </c>
    </row>
    <row r="37" spans="1:8">
      <c r="A37" s="11" t="s">
        <v>108</v>
      </c>
      <c r="B37" s="9">
        <f>B22/B32</f>
        <v>671979128.49504948</v>
      </c>
      <c r="C37" s="9">
        <f t="shared" ref="C37:E37" si="4">C22/C32</f>
        <v>647143845.14851487</v>
      </c>
      <c r="D37" s="9">
        <f t="shared" si="4"/>
        <v>0</v>
      </c>
      <c r="E37" s="9">
        <f t="shared" si="4"/>
        <v>24835283.346534654</v>
      </c>
    </row>
    <row r="38" spans="1:8">
      <c r="A38" s="11" t="s">
        <v>61</v>
      </c>
      <c r="B38" s="9">
        <f>B36/B10</f>
        <v>1255539.5527623501</v>
      </c>
      <c r="C38" s="9">
        <f>C36/$C10</f>
        <v>1209983.1274156354</v>
      </c>
      <c r="D38" s="9">
        <f t="shared" ref="D38:E38" si="5">D36/$C10</f>
        <v>0</v>
      </c>
      <c r="E38" s="9">
        <f t="shared" si="5"/>
        <v>45556.425346714743</v>
      </c>
    </row>
    <row r="39" spans="1:8">
      <c r="A39" s="11" t="s">
        <v>109</v>
      </c>
      <c r="B39" s="9">
        <f>B37/B14</f>
        <v>846321.32052273233</v>
      </c>
      <c r="C39" s="9">
        <f>C37/$C14</f>
        <v>815042.62613163085</v>
      </c>
      <c r="D39" s="9">
        <f t="shared" ref="D39:E39" si="6">D37/$C14</f>
        <v>0</v>
      </c>
      <c r="E39" s="9">
        <f t="shared" si="6"/>
        <v>31278.694391101581</v>
      </c>
    </row>
    <row r="41" spans="1:8">
      <c r="A41" s="3" t="s">
        <v>13</v>
      </c>
    </row>
    <row r="43" spans="1:8">
      <c r="A43" t="s">
        <v>14</v>
      </c>
    </row>
    <row r="44" spans="1:8">
      <c r="A44" t="s">
        <v>15</v>
      </c>
      <c r="B44" s="26">
        <f>(B12/B33)*100</f>
        <v>51.440329218106996</v>
      </c>
      <c r="C44" s="15"/>
      <c r="D44" s="13"/>
      <c r="E44" s="11"/>
      <c r="F44" s="11"/>
      <c r="G44" s="11"/>
      <c r="H44" s="11"/>
    </row>
    <row r="45" spans="1:8">
      <c r="A45" t="s">
        <v>16</v>
      </c>
      <c r="B45" s="15">
        <f>(B14*100)/(B33)</f>
        <v>163.37448559670781</v>
      </c>
      <c r="C45" s="15"/>
      <c r="D45" s="13"/>
    </row>
    <row r="47" spans="1:8">
      <c r="A47" t="s">
        <v>17</v>
      </c>
    </row>
    <row r="48" spans="1:8">
      <c r="A48" t="s">
        <v>18</v>
      </c>
      <c r="B48" s="14">
        <f>(B14/B12)*100</f>
        <v>317.60000000000002</v>
      </c>
      <c r="C48" s="14">
        <f>(C14/C12)*100</f>
        <v>317.60000000000002</v>
      </c>
      <c r="D48" s="14"/>
    </row>
    <row r="49" spans="1:5">
      <c r="A49" t="s">
        <v>19</v>
      </c>
      <c r="B49" s="14">
        <f>B22/B21*100</f>
        <v>92.568761444674422</v>
      </c>
      <c r="C49" s="14">
        <f>C22/C21*100</f>
        <v>91.969948522973922</v>
      </c>
      <c r="D49" s="14" t="e">
        <f>D22/D21*100</f>
        <v>#DIV/0!</v>
      </c>
      <c r="E49" s="14">
        <f>E22/E21*100</f>
        <v>111.48282746666666</v>
      </c>
    </row>
    <row r="50" spans="1:5">
      <c r="A50" s="11" t="s">
        <v>20</v>
      </c>
      <c r="B50" s="13">
        <f>AVERAGE(B48:B49)</f>
        <v>205.08438072233722</v>
      </c>
      <c r="C50" s="13">
        <f>AVERAGE(C48:C49)</f>
        <v>204.78497426148698</v>
      </c>
      <c r="D50" s="13"/>
    </row>
    <row r="51" spans="1:5">
      <c r="A51" s="11"/>
      <c r="B51" s="13"/>
      <c r="C51" s="13"/>
      <c r="D51" s="13"/>
    </row>
    <row r="52" spans="1:5">
      <c r="A52" s="11" t="s">
        <v>21</v>
      </c>
      <c r="B52" s="11"/>
      <c r="C52" s="11"/>
      <c r="D52" s="11"/>
    </row>
    <row r="53" spans="1:5">
      <c r="A53" s="11" t="s">
        <v>22</v>
      </c>
      <c r="B53" s="13">
        <f>(B14/B16)*100</f>
        <v>79.400000000000006</v>
      </c>
      <c r="C53" s="13">
        <f>(C14/C16)*100</f>
        <v>79.400000000000006</v>
      </c>
      <c r="D53" s="13"/>
    </row>
    <row r="54" spans="1:5">
      <c r="A54" s="11" t="s">
        <v>23</v>
      </c>
      <c r="B54" s="13">
        <f>B22/B23*100</f>
        <v>23.142190361168606</v>
      </c>
      <c r="C54" s="13">
        <f>C22/C23*100</f>
        <v>22.992487130743481</v>
      </c>
      <c r="D54" s="13" t="e">
        <f>D22/D23*100</f>
        <v>#DIV/0!</v>
      </c>
      <c r="E54" s="13">
        <f>E22/E23*100</f>
        <v>27.870706866666666</v>
      </c>
    </row>
    <row r="55" spans="1:5">
      <c r="A55" s="11" t="s">
        <v>24</v>
      </c>
      <c r="B55" s="13">
        <f>(B53+B54)/2</f>
        <v>51.271095180584304</v>
      </c>
      <c r="C55" s="13">
        <f>(C53+C54)/2</f>
        <v>51.196243565371745</v>
      </c>
      <c r="D55" s="13"/>
    </row>
    <row r="56" spans="1:5">
      <c r="A56" s="11"/>
      <c r="B56" s="11"/>
      <c r="C56" s="11"/>
      <c r="D56" s="11"/>
    </row>
    <row r="57" spans="1:5">
      <c r="A57" s="11" t="s">
        <v>36</v>
      </c>
      <c r="B57" s="11"/>
      <c r="C57" s="11"/>
      <c r="D57" s="11"/>
    </row>
    <row r="58" spans="1:5">
      <c r="A58" s="11" t="s">
        <v>25</v>
      </c>
      <c r="B58" s="15">
        <f>(B24/B22)*100</f>
        <v>96.304158523173896</v>
      </c>
      <c r="C58" s="13"/>
      <c r="D58" s="13"/>
    </row>
    <row r="59" spans="1:5">
      <c r="A59" s="11"/>
      <c r="B59" s="11"/>
      <c r="C59" s="11"/>
      <c r="D59" s="11"/>
    </row>
    <row r="60" spans="1:5">
      <c r="A60" s="11" t="s">
        <v>26</v>
      </c>
      <c r="B60" s="11"/>
      <c r="C60" s="11"/>
      <c r="D60" s="11"/>
    </row>
    <row r="61" spans="1:5">
      <c r="A61" s="11" t="s">
        <v>27</v>
      </c>
      <c r="B61" s="14">
        <f>((B14/B10)-1)*100</f>
        <v>155.30546623794211</v>
      </c>
      <c r="C61" s="14">
        <f>((C14/C10)-1)*100</f>
        <v>155.30546623794211</v>
      </c>
      <c r="D61" s="13"/>
    </row>
    <row r="62" spans="1:5">
      <c r="A62" s="11" t="s">
        <v>28</v>
      </c>
      <c r="B62" s="14">
        <f>((B37/B36)-1)*100</f>
        <v>72.093709710525616</v>
      </c>
      <c r="C62" s="14">
        <f>((C37/C36)-1)*100</f>
        <v>71.973338266934817</v>
      </c>
      <c r="D62" s="14" t="e">
        <f t="shared" ref="D62:E62" si="7">((D37/D36)-1)*100</f>
        <v>#DIV/0!</v>
      </c>
      <c r="E62" s="14">
        <f t="shared" si="7"/>
        <v>75.290787063699455</v>
      </c>
    </row>
    <row r="63" spans="1:5">
      <c r="A63" s="11" t="s">
        <v>29</v>
      </c>
      <c r="B63" s="14">
        <f>((B39/B38)-1)*100</f>
        <v>-32.593017984920067</v>
      </c>
      <c r="C63" s="14">
        <f>((C39/C38)-1)*100</f>
        <v>-32.640165993681705</v>
      </c>
      <c r="D63" s="13"/>
    </row>
    <row r="64" spans="1:5">
      <c r="A64" s="11"/>
      <c r="B64" s="13"/>
      <c r="C64" s="13"/>
      <c r="D64" s="13"/>
    </row>
    <row r="65" spans="1:5">
      <c r="A65" s="11" t="s">
        <v>30</v>
      </c>
      <c r="B65" s="11"/>
      <c r="C65" s="11"/>
      <c r="D65" s="11"/>
    </row>
    <row r="66" spans="1:5">
      <c r="A66" t="s">
        <v>37</v>
      </c>
      <c r="B66" s="9">
        <f>B21/(B12*3)</f>
        <v>977578.05</v>
      </c>
      <c r="C66" s="9">
        <f>C21/(C12*3)</f>
        <v>947578.05</v>
      </c>
      <c r="D66" s="9"/>
    </row>
    <row r="67" spans="1:5">
      <c r="A67" t="s">
        <v>38</v>
      </c>
      <c r="B67" s="9">
        <f>B22/(B14*3)</f>
        <v>284928.17790931987</v>
      </c>
      <c r="C67" s="9">
        <f>C22/(C14*3)</f>
        <v>274397.68413098238</v>
      </c>
      <c r="D67" s="9"/>
    </row>
    <row r="68" spans="1:5">
      <c r="A68" t="s">
        <v>51</v>
      </c>
      <c r="B68" s="9"/>
      <c r="C68" s="9">
        <f>C22/C15</f>
        <v>505112.27480680065</v>
      </c>
      <c r="D68" s="9"/>
    </row>
    <row r="69" spans="1:5">
      <c r="A69" s="11" t="s">
        <v>31</v>
      </c>
      <c r="B69" s="9">
        <f>(B67/B66)*B50</f>
        <v>59.774581596709112</v>
      </c>
      <c r="C69" s="9">
        <f>(C67/C66)*C50</f>
        <v>59.301207623134431</v>
      </c>
      <c r="D69" s="13"/>
    </row>
    <row r="70" spans="1:5">
      <c r="A70" s="13" t="s">
        <v>39</v>
      </c>
      <c r="B70" s="9">
        <f>B21/B12</f>
        <v>2932734.15</v>
      </c>
      <c r="C70" s="9">
        <f>C21/C12</f>
        <v>2842734.15</v>
      </c>
      <c r="D70" s="13"/>
    </row>
    <row r="71" spans="1:5">
      <c r="A71" s="13" t="s">
        <v>40</v>
      </c>
      <c r="B71" s="9">
        <f>B22/(B14)</f>
        <v>854784.53372795961</v>
      </c>
      <c r="C71" s="9">
        <f>C22/(C14)</f>
        <v>823193.05239294714</v>
      </c>
      <c r="D71" s="13"/>
    </row>
    <row r="72" spans="1:5">
      <c r="B72" s="9"/>
      <c r="C72" s="9"/>
      <c r="D72" s="14"/>
    </row>
    <row r="73" spans="1:5">
      <c r="A73" t="s">
        <v>32</v>
      </c>
      <c r="B73" s="14"/>
      <c r="C73" s="14"/>
      <c r="D73" s="14"/>
    </row>
    <row r="74" spans="1:5">
      <c r="A74" s="11" t="s">
        <v>33</v>
      </c>
      <c r="B74" s="13">
        <f>(B28/B27)*100</f>
        <v>187.29860669982648</v>
      </c>
      <c r="C74" s="13"/>
      <c r="D74" s="13"/>
    </row>
    <row r="75" spans="1:5">
      <c r="A75" s="11" t="s">
        <v>34</v>
      </c>
      <c r="B75" s="13">
        <f>(B22/B28)*100</f>
        <v>49.423091327651711</v>
      </c>
      <c r="C75" s="13"/>
      <c r="D75" s="13"/>
    </row>
    <row r="76" spans="1:5" ht="15.75" thickBot="1">
      <c r="A76" s="16"/>
      <c r="B76" s="16"/>
      <c r="C76" s="16"/>
      <c r="D76" s="16"/>
      <c r="E76" s="16"/>
    </row>
    <row r="77" spans="1:5" ht="15.75" thickTop="1"/>
    <row r="78" spans="1:5">
      <c r="A78" t="s">
        <v>35</v>
      </c>
    </row>
    <row r="79" spans="1:5">
      <c r="A79" t="s">
        <v>98</v>
      </c>
    </row>
    <row r="80" spans="1:5">
      <c r="A80" t="s">
        <v>99</v>
      </c>
      <c r="B80" s="5"/>
      <c r="C80" s="5"/>
      <c r="D80" s="5"/>
    </row>
    <row r="82" spans="1:1">
      <c r="A82" s="33" t="s">
        <v>169</v>
      </c>
    </row>
    <row r="84" spans="1:1">
      <c r="A84" s="20"/>
    </row>
    <row r="85" spans="1:1">
      <c r="A85" s="21"/>
    </row>
    <row r="86" spans="1:1">
      <c r="A86" s="21"/>
    </row>
  </sheetData>
  <mergeCells count="2">
    <mergeCell ref="A2:D2"/>
    <mergeCell ref="A4:A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86"/>
  <sheetViews>
    <sheetView topLeftCell="A68" workbookViewId="0">
      <selection activeCell="A82" sqref="A82"/>
    </sheetView>
  </sheetViews>
  <sheetFormatPr baseColWidth="10" defaultColWidth="11.42578125" defaultRowHeight="1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4.140625" bestFit="1" customWidth="1"/>
  </cols>
  <sheetData>
    <row r="2" spans="1:5" ht="15.75">
      <c r="A2" s="36" t="s">
        <v>122</v>
      </c>
      <c r="B2" s="36"/>
      <c r="C2" s="36"/>
      <c r="D2" s="36"/>
    </row>
    <row r="4" spans="1:5">
      <c r="A4" s="37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5" ht="15.75" thickBot="1">
      <c r="A5" s="38"/>
      <c r="B5" s="2" t="s">
        <v>3</v>
      </c>
      <c r="C5" s="2" t="s">
        <v>4</v>
      </c>
      <c r="D5" s="2" t="s">
        <v>41</v>
      </c>
      <c r="E5" s="2" t="s">
        <v>44</v>
      </c>
    </row>
    <row r="6" spans="1:5" ht="15.75" thickTop="1"/>
    <row r="7" spans="1:5">
      <c r="A7" s="3" t="s">
        <v>6</v>
      </c>
    </row>
    <row r="9" spans="1:5">
      <c r="A9" t="s">
        <v>7</v>
      </c>
    </row>
    <row r="10" spans="1:5">
      <c r="A10" s="10" t="s">
        <v>62</v>
      </c>
      <c r="B10" s="9">
        <f t="shared" ref="B10:B15" si="0">C10</f>
        <v>308</v>
      </c>
      <c r="C10" s="9">
        <v>308</v>
      </c>
      <c r="D10" s="27"/>
      <c r="E10" s="11"/>
    </row>
    <row r="11" spans="1:5">
      <c r="A11" s="35" t="s">
        <v>4</v>
      </c>
      <c r="B11" s="9">
        <f t="shared" si="0"/>
        <v>638</v>
      </c>
      <c r="C11" s="9">
        <v>638</v>
      </c>
      <c r="D11" s="27"/>
      <c r="E11" s="11"/>
    </row>
    <row r="12" spans="1:5">
      <c r="A12" s="10" t="s">
        <v>110</v>
      </c>
      <c r="B12" s="9">
        <f t="shared" si="0"/>
        <v>250</v>
      </c>
      <c r="C12" s="9">
        <v>250</v>
      </c>
      <c r="D12" s="27"/>
      <c r="E12" s="11"/>
    </row>
    <row r="13" spans="1:5">
      <c r="A13" s="35" t="s">
        <v>4</v>
      </c>
      <c r="B13" s="9">
        <f t="shared" si="0"/>
        <v>750</v>
      </c>
      <c r="C13" s="9">
        <f>C12*3</f>
        <v>750</v>
      </c>
      <c r="D13" s="27"/>
      <c r="E13" s="11"/>
    </row>
    <row r="14" spans="1:5">
      <c r="A14" s="10" t="s">
        <v>111</v>
      </c>
      <c r="B14" s="9">
        <f t="shared" si="0"/>
        <v>1172</v>
      </c>
      <c r="C14" s="9">
        <v>1172</v>
      </c>
      <c r="D14" s="27"/>
      <c r="E14" s="11"/>
    </row>
    <row r="15" spans="1:5">
      <c r="A15" s="35" t="s">
        <v>4</v>
      </c>
      <c r="B15" s="9">
        <f t="shared" si="0"/>
        <v>1751</v>
      </c>
      <c r="C15" s="9">
        <v>1751</v>
      </c>
      <c r="D15" s="27"/>
      <c r="E15" s="11"/>
    </row>
    <row r="16" spans="1:5">
      <c r="A16" s="10" t="s">
        <v>88</v>
      </c>
      <c r="B16" s="9">
        <f t="shared" ref="B16:B17" si="1">C16</f>
        <v>1000</v>
      </c>
      <c r="C16" s="9">
        <f>C12*4</f>
        <v>1000</v>
      </c>
      <c r="D16" s="27"/>
      <c r="E16" s="11"/>
    </row>
    <row r="17" spans="1:5">
      <c r="A17" s="35" t="s">
        <v>4</v>
      </c>
      <c r="B17" s="9">
        <f t="shared" si="1"/>
        <v>3000</v>
      </c>
      <c r="C17" s="9">
        <f>C12*12</f>
        <v>3000</v>
      </c>
      <c r="D17" s="27"/>
      <c r="E17" s="11"/>
    </row>
    <row r="18" spans="1:5">
      <c r="B18" s="5"/>
      <c r="C18" s="5"/>
      <c r="D18" s="5"/>
    </row>
    <row r="19" spans="1:5">
      <c r="A19" s="6" t="s">
        <v>8</v>
      </c>
      <c r="B19" s="5"/>
      <c r="C19" s="5"/>
      <c r="D19" s="5"/>
    </row>
    <row r="20" spans="1:5">
      <c r="A20" s="4" t="s">
        <v>63</v>
      </c>
      <c r="B20" s="7">
        <f>SUM(C20:E20)</f>
        <v>454516661.23999995</v>
      </c>
      <c r="C20" s="7">
        <v>436140267.53999996</v>
      </c>
      <c r="D20" s="7">
        <v>0</v>
      </c>
      <c r="E20" s="23">
        <v>18376393.699999999</v>
      </c>
    </row>
    <row r="21" spans="1:5">
      <c r="A21" s="4" t="s">
        <v>112</v>
      </c>
      <c r="B21" s="7">
        <f>SUM(C21:E21)</f>
        <v>733183537.5</v>
      </c>
      <c r="C21" s="23">
        <v>710683537.5</v>
      </c>
      <c r="D21" s="7">
        <v>0</v>
      </c>
      <c r="E21" s="23">
        <v>22500000</v>
      </c>
    </row>
    <row r="22" spans="1:5">
      <c r="A22" s="4" t="s">
        <v>113</v>
      </c>
      <c r="B22" s="7">
        <f t="shared" ref="B22:B23" si="2">SUM(C22:E22)</f>
        <v>838289337.41999996</v>
      </c>
      <c r="C22" s="7">
        <v>782504299.33999991</v>
      </c>
      <c r="D22" s="7">
        <v>0</v>
      </c>
      <c r="E22" s="23">
        <v>55785038.079999998</v>
      </c>
    </row>
    <row r="23" spans="1:5">
      <c r="A23" s="4" t="s">
        <v>91</v>
      </c>
      <c r="B23" s="7">
        <f t="shared" si="2"/>
        <v>2932734150</v>
      </c>
      <c r="C23" s="23">
        <v>2842734150</v>
      </c>
      <c r="D23" s="7">
        <v>0</v>
      </c>
      <c r="E23" s="7">
        <v>90000000</v>
      </c>
    </row>
    <row r="24" spans="1:5">
      <c r="A24" s="4" t="s">
        <v>114</v>
      </c>
      <c r="B24" s="7">
        <f>C24</f>
        <v>782504299.33999991</v>
      </c>
      <c r="C24" s="7">
        <f>C22</f>
        <v>782504299.33999991</v>
      </c>
      <c r="D24" s="7"/>
    </row>
    <row r="25" spans="1:5">
      <c r="B25" s="7"/>
      <c r="C25" s="7"/>
      <c r="D25" s="7"/>
    </row>
    <row r="26" spans="1:5">
      <c r="A26" s="8" t="s">
        <v>9</v>
      </c>
      <c r="B26" s="9"/>
      <c r="C26" s="9"/>
      <c r="D26" s="9"/>
    </row>
    <row r="27" spans="1:5">
      <c r="A27" s="10" t="s">
        <v>115</v>
      </c>
      <c r="B27" s="9">
        <f>B21</f>
        <v>733183537.5</v>
      </c>
      <c r="C27" s="9"/>
      <c r="D27" s="9"/>
    </row>
    <row r="28" spans="1:5">
      <c r="A28" s="10" t="s">
        <v>116</v>
      </c>
      <c r="B28" s="9">
        <v>645426434.17000008</v>
      </c>
      <c r="C28" s="9"/>
      <c r="D28" s="9"/>
    </row>
    <row r="29" spans="1:5">
      <c r="A29" s="11"/>
      <c r="B29" s="11"/>
      <c r="C29" s="11"/>
      <c r="D29" s="11"/>
    </row>
    <row r="30" spans="1:5">
      <c r="A30" s="11" t="s">
        <v>10</v>
      </c>
      <c r="B30" s="11"/>
      <c r="C30" s="11"/>
      <c r="D30" s="11"/>
    </row>
    <row r="31" spans="1:5">
      <c r="A31" s="10" t="s">
        <v>64</v>
      </c>
      <c r="B31" s="17">
        <v>0.99</v>
      </c>
      <c r="C31" s="17">
        <v>0.99</v>
      </c>
      <c r="D31" s="17">
        <v>0.99</v>
      </c>
      <c r="E31" s="17">
        <v>0.99</v>
      </c>
    </row>
    <row r="32" spans="1:5">
      <c r="A32" s="10" t="s">
        <v>117</v>
      </c>
      <c r="B32">
        <v>1.01</v>
      </c>
      <c r="C32">
        <v>1.01</v>
      </c>
      <c r="D32">
        <v>1.01</v>
      </c>
      <c r="E32">
        <v>1.01</v>
      </c>
    </row>
    <row r="33" spans="1:8">
      <c r="A33" s="10" t="s">
        <v>11</v>
      </c>
      <c r="B33" s="9">
        <v>486</v>
      </c>
      <c r="C33" s="9"/>
      <c r="D33" s="9"/>
    </row>
    <row r="34" spans="1:8">
      <c r="A34" s="11"/>
      <c r="B34" s="11"/>
      <c r="C34" s="11"/>
      <c r="D34" s="11"/>
    </row>
    <row r="35" spans="1:8">
      <c r="A35" s="12" t="s">
        <v>12</v>
      </c>
      <c r="B35" s="11"/>
      <c r="C35" s="11"/>
      <c r="D35" s="11"/>
    </row>
    <row r="36" spans="1:8">
      <c r="A36" s="11" t="s">
        <v>65</v>
      </c>
      <c r="B36" s="9">
        <f>B20/B31</f>
        <v>459107738.62626261</v>
      </c>
      <c r="C36" s="9">
        <f t="shared" ref="C36:E36" si="3">C20/C31</f>
        <v>440545724.78787875</v>
      </c>
      <c r="D36" s="9">
        <f t="shared" si="3"/>
        <v>0</v>
      </c>
      <c r="E36" s="9">
        <f t="shared" si="3"/>
        <v>18562013.838383839</v>
      </c>
    </row>
    <row r="37" spans="1:8">
      <c r="A37" s="11" t="s">
        <v>118</v>
      </c>
      <c r="B37" s="9">
        <f>B22/B32</f>
        <v>829989442.99009895</v>
      </c>
      <c r="C37" s="9">
        <f t="shared" ref="C37:E37" si="4">C22/C32</f>
        <v>774756732.01980186</v>
      </c>
      <c r="D37" s="9">
        <f t="shared" si="4"/>
        <v>0</v>
      </c>
      <c r="E37" s="9">
        <f t="shared" si="4"/>
        <v>55232710.970297031</v>
      </c>
    </row>
    <row r="38" spans="1:8">
      <c r="A38" s="11" t="s">
        <v>66</v>
      </c>
      <c r="B38" s="9">
        <f>B36/B10</f>
        <v>1490609.5409943592</v>
      </c>
      <c r="C38" s="9">
        <f>C36/$C10</f>
        <v>1430343.2622983076</v>
      </c>
      <c r="D38" s="9">
        <f t="shared" ref="D38:E38" si="5">D36/$C10</f>
        <v>0</v>
      </c>
      <c r="E38" s="9">
        <f t="shared" si="5"/>
        <v>60266.27869605142</v>
      </c>
    </row>
    <row r="39" spans="1:8">
      <c r="A39" s="11" t="s">
        <v>119</v>
      </c>
      <c r="B39" s="9">
        <f>B37/B14</f>
        <v>708182.11859223456</v>
      </c>
      <c r="C39" s="9">
        <f>C37/$C14</f>
        <v>661055.232098807</v>
      </c>
      <c r="D39" s="9">
        <f t="shared" ref="D39:E39" si="6">D37/$C14</f>
        <v>0</v>
      </c>
      <c r="E39" s="9">
        <f t="shared" si="6"/>
        <v>47126.886493427504</v>
      </c>
    </row>
    <row r="41" spans="1:8">
      <c r="A41" s="3" t="s">
        <v>13</v>
      </c>
    </row>
    <row r="43" spans="1:8">
      <c r="A43" t="s">
        <v>14</v>
      </c>
    </row>
    <row r="44" spans="1:8">
      <c r="A44" t="s">
        <v>15</v>
      </c>
      <c r="B44" s="26">
        <f>(B12/B33)*100</f>
        <v>51.440329218106996</v>
      </c>
      <c r="C44" s="15"/>
      <c r="D44" s="13"/>
      <c r="E44" s="11"/>
      <c r="F44" s="11"/>
      <c r="G44" s="11"/>
      <c r="H44" s="11"/>
    </row>
    <row r="45" spans="1:8">
      <c r="A45" t="s">
        <v>16</v>
      </c>
      <c r="B45" s="15">
        <f>(B14*100)/(B33)</f>
        <v>241.15226337448559</v>
      </c>
      <c r="C45" s="15"/>
      <c r="D45" s="13"/>
    </row>
    <row r="47" spans="1:8">
      <c r="A47" t="s">
        <v>17</v>
      </c>
    </row>
    <row r="48" spans="1:8">
      <c r="A48" t="s">
        <v>18</v>
      </c>
      <c r="B48" s="14">
        <f>(B14/B12)*100</f>
        <v>468.79999999999995</v>
      </c>
      <c r="C48" s="14">
        <f>(C14/C12)*100</f>
        <v>468.79999999999995</v>
      </c>
      <c r="D48" s="14"/>
    </row>
    <row r="49" spans="1:5">
      <c r="A49" t="s">
        <v>19</v>
      </c>
      <c r="B49" s="14">
        <f>B22/B21*100</f>
        <v>114.33553735786109</v>
      </c>
      <c r="C49" s="14">
        <f>C22/C21*100</f>
        <v>110.10587104531035</v>
      </c>
      <c r="D49" s="14" t="e">
        <f>D22/D21*100</f>
        <v>#DIV/0!</v>
      </c>
      <c r="E49" s="14">
        <f>E22/E21*100</f>
        <v>247.93350257777774</v>
      </c>
    </row>
    <row r="50" spans="1:5">
      <c r="A50" s="11" t="s">
        <v>20</v>
      </c>
      <c r="B50" s="13">
        <f>AVERAGE(B48:B49)</f>
        <v>291.56776867893052</v>
      </c>
      <c r="C50" s="13">
        <f>AVERAGE(C48:C49)</f>
        <v>289.45293552265514</v>
      </c>
      <c r="D50" s="13"/>
    </row>
    <row r="51" spans="1:5">
      <c r="A51" s="11"/>
      <c r="B51" s="13"/>
      <c r="C51" s="13"/>
      <c r="D51" s="13"/>
    </row>
    <row r="52" spans="1:5">
      <c r="A52" s="11" t="s">
        <v>21</v>
      </c>
      <c r="B52" s="11"/>
      <c r="C52" s="11"/>
      <c r="D52" s="11"/>
    </row>
    <row r="53" spans="1:5">
      <c r="A53" s="11" t="s">
        <v>22</v>
      </c>
      <c r="B53" s="13">
        <f>(B14/B16)*100</f>
        <v>117.19999999999999</v>
      </c>
      <c r="C53" s="13">
        <f>(C14/C16)*100</f>
        <v>117.19999999999999</v>
      </c>
      <c r="D53" s="13"/>
    </row>
    <row r="54" spans="1:5">
      <c r="A54" s="11" t="s">
        <v>23</v>
      </c>
      <c r="B54" s="13">
        <f>B22/B23*100</f>
        <v>28.583884339465271</v>
      </c>
      <c r="C54" s="13">
        <f>C22/C23*100</f>
        <v>27.526467761327588</v>
      </c>
      <c r="D54" s="13" t="e">
        <f>D22/D23*100</f>
        <v>#DIV/0!</v>
      </c>
      <c r="E54" s="13">
        <f>E22/E23*100</f>
        <v>61.983375644444436</v>
      </c>
    </row>
    <row r="55" spans="1:5">
      <c r="A55" s="11" t="s">
        <v>24</v>
      </c>
      <c r="B55" s="13">
        <f>(B53+B54)/2</f>
        <v>72.89194216973263</v>
      </c>
      <c r="C55" s="13">
        <f>(C53+C54)/2</f>
        <v>72.363233880663785</v>
      </c>
      <c r="D55" s="13"/>
    </row>
    <row r="56" spans="1:5">
      <c r="A56" s="11"/>
      <c r="B56" s="11"/>
      <c r="C56" s="11"/>
      <c r="D56" s="11"/>
    </row>
    <row r="57" spans="1:5">
      <c r="A57" s="11" t="s">
        <v>36</v>
      </c>
      <c r="B57" s="11"/>
      <c r="C57" s="11"/>
      <c r="D57" s="11"/>
    </row>
    <row r="58" spans="1:5">
      <c r="A58" s="11" t="s">
        <v>25</v>
      </c>
      <c r="B58" s="15">
        <f>(B24/B22)*100</f>
        <v>93.34537186746411</v>
      </c>
      <c r="C58" s="13"/>
      <c r="D58" s="13"/>
    </row>
    <row r="59" spans="1:5">
      <c r="A59" s="11"/>
      <c r="B59" s="11"/>
      <c r="C59" s="11"/>
      <c r="D59" s="11"/>
    </row>
    <row r="60" spans="1:5">
      <c r="A60" s="11" t="s">
        <v>26</v>
      </c>
      <c r="B60" s="11"/>
      <c r="C60" s="11"/>
      <c r="D60" s="11"/>
    </row>
    <row r="61" spans="1:5">
      <c r="A61" s="11" t="s">
        <v>27</v>
      </c>
      <c r="B61" s="14">
        <f>((B14/B10)-1)*100</f>
        <v>280.51948051948051</v>
      </c>
      <c r="C61" s="14">
        <f>((C14/C10)-1)*100</f>
        <v>280.51948051948051</v>
      </c>
      <c r="D61" s="13"/>
    </row>
    <row r="62" spans="1:5">
      <c r="A62" s="11" t="s">
        <v>28</v>
      </c>
      <c r="B62" s="14">
        <f>((B37/B36)-1)*100</f>
        <v>80.783152441207974</v>
      </c>
      <c r="C62" s="14">
        <f>((C37/C36)-1)*100</f>
        <v>75.862955517919175</v>
      </c>
      <c r="D62" s="14" t="e">
        <f t="shared" ref="D62:E62" si="7">((D37/D36)-1)*100</f>
        <v>#DIV/0!</v>
      </c>
      <c r="E62" s="14">
        <f t="shared" si="7"/>
        <v>197.55775128279964</v>
      </c>
    </row>
    <row r="63" spans="1:5">
      <c r="A63" s="11" t="s">
        <v>29</v>
      </c>
      <c r="B63" s="14">
        <f>((B39/B38)-1)*100</f>
        <v>-52.490434341389033</v>
      </c>
      <c r="C63" s="14">
        <f>((C39/C38)-1)*100</f>
        <v>-53.783455375836944</v>
      </c>
      <c r="D63" s="13"/>
    </row>
    <row r="64" spans="1:5">
      <c r="A64" s="11"/>
      <c r="B64" s="13"/>
      <c r="C64" s="13"/>
      <c r="D64" s="13"/>
    </row>
    <row r="65" spans="1:5">
      <c r="A65" s="11" t="s">
        <v>30</v>
      </c>
      <c r="B65" s="11"/>
      <c r="C65" s="11"/>
      <c r="D65" s="11"/>
    </row>
    <row r="66" spans="1:5">
      <c r="A66" t="s">
        <v>37</v>
      </c>
      <c r="B66" s="9">
        <f>B21/(B12*3)</f>
        <v>977578.05</v>
      </c>
      <c r="C66" s="9">
        <f>C21/(C12*3)</f>
        <v>947578.05</v>
      </c>
      <c r="D66" s="9"/>
    </row>
    <row r="67" spans="1:5">
      <c r="A67" t="s">
        <v>38</v>
      </c>
      <c r="B67" s="9">
        <f>B22/(B14*3)</f>
        <v>238421.31325938564</v>
      </c>
      <c r="C67" s="9">
        <f>C22/(C14*3)</f>
        <v>222555.26147326504</v>
      </c>
      <c r="D67" s="9"/>
    </row>
    <row r="68" spans="1:5">
      <c r="A68" t="s">
        <v>51</v>
      </c>
      <c r="B68" s="9"/>
      <c r="C68" s="9">
        <f>C22/C15</f>
        <v>446889.94822387205</v>
      </c>
      <c r="D68" s="9"/>
    </row>
    <row r="69" spans="1:5">
      <c r="A69" s="11" t="s">
        <v>31</v>
      </c>
      <c r="B69" s="9">
        <f>(B67/B66)*B50</f>
        <v>71.110404240908835</v>
      </c>
      <c r="C69" s="9">
        <f>(C67/C66)*C50</f>
        <v>67.983079335204778</v>
      </c>
      <c r="D69" s="13"/>
    </row>
    <row r="70" spans="1:5">
      <c r="A70" s="13" t="s">
        <v>39</v>
      </c>
      <c r="B70" s="9">
        <f>B21/B12</f>
        <v>2932734.15</v>
      </c>
      <c r="C70" s="9">
        <f>C21/C12</f>
        <v>2842734.15</v>
      </c>
      <c r="D70" s="13"/>
    </row>
    <row r="71" spans="1:5">
      <c r="A71" s="13" t="s">
        <v>40</v>
      </c>
      <c r="B71" s="9">
        <f>B22/(B14)</f>
        <v>715263.93977815693</v>
      </c>
      <c r="C71" s="9">
        <f>C22/(C14)</f>
        <v>667665.78441979515</v>
      </c>
      <c r="D71" s="13"/>
    </row>
    <row r="72" spans="1:5">
      <c r="B72" s="9"/>
      <c r="C72" s="9"/>
      <c r="D72" s="14"/>
    </row>
    <row r="73" spans="1:5">
      <c r="A73" t="s">
        <v>32</v>
      </c>
      <c r="B73" s="14"/>
      <c r="C73" s="14"/>
      <c r="D73" s="14"/>
    </row>
    <row r="74" spans="1:5">
      <c r="A74" s="11" t="s">
        <v>33</v>
      </c>
      <c r="B74" s="13">
        <f>(B28/B27)*100</f>
        <v>88.030677335004953</v>
      </c>
      <c r="C74" s="13"/>
      <c r="D74" s="13"/>
    </row>
    <row r="75" spans="1:5">
      <c r="A75" s="11" t="s">
        <v>34</v>
      </c>
      <c r="B75" s="13">
        <f>(B22/B28)*100</f>
        <v>129.88146952766445</v>
      </c>
      <c r="C75" s="13"/>
      <c r="D75" s="13"/>
    </row>
    <row r="76" spans="1:5" ht="15.75" thickBot="1">
      <c r="A76" s="16"/>
      <c r="B76" s="16"/>
      <c r="C76" s="16"/>
      <c r="D76" s="16"/>
      <c r="E76" s="16"/>
    </row>
    <row r="77" spans="1:5" ht="15.75" thickTop="1"/>
    <row r="78" spans="1:5">
      <c r="A78" t="s">
        <v>35</v>
      </c>
    </row>
    <row r="79" spans="1:5">
      <c r="A79" t="s">
        <v>98</v>
      </c>
    </row>
    <row r="80" spans="1:5">
      <c r="A80" t="s">
        <v>99</v>
      </c>
      <c r="B80" s="5"/>
      <c r="C80" s="5"/>
      <c r="D80" s="5"/>
    </row>
    <row r="82" spans="1:1">
      <c r="A82" s="33" t="s">
        <v>170</v>
      </c>
    </row>
    <row r="84" spans="1:1">
      <c r="A84" s="20"/>
    </row>
    <row r="85" spans="1:1">
      <c r="A85" s="21"/>
    </row>
    <row r="86" spans="1:1">
      <c r="A86" s="21"/>
    </row>
  </sheetData>
  <mergeCells count="2">
    <mergeCell ref="A2:D2"/>
    <mergeCell ref="A4:A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H86"/>
  <sheetViews>
    <sheetView topLeftCell="A70" workbookViewId="0">
      <selection activeCell="A82" sqref="A82"/>
    </sheetView>
  </sheetViews>
  <sheetFormatPr baseColWidth="10" defaultColWidth="11.42578125" defaultRowHeight="1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4.140625" bestFit="1" customWidth="1"/>
  </cols>
  <sheetData>
    <row r="2" spans="1:5" ht="15.75">
      <c r="A2" s="36" t="s">
        <v>123</v>
      </c>
      <c r="B2" s="36"/>
      <c r="C2" s="36"/>
      <c r="D2" s="36"/>
    </row>
    <row r="4" spans="1:5">
      <c r="A4" s="37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5" ht="15.75" thickBot="1">
      <c r="A5" s="38"/>
      <c r="B5" s="2" t="s">
        <v>3</v>
      </c>
      <c r="C5" s="2" t="s">
        <v>4</v>
      </c>
      <c r="D5" s="2" t="s">
        <v>41</v>
      </c>
      <c r="E5" s="2" t="s">
        <v>44</v>
      </c>
    </row>
    <row r="6" spans="1:5" ht="15.75" thickTop="1"/>
    <row r="7" spans="1:5">
      <c r="A7" s="3" t="s">
        <v>6</v>
      </c>
    </row>
    <row r="9" spans="1:5">
      <c r="A9" t="s">
        <v>7</v>
      </c>
    </row>
    <row r="10" spans="1:5">
      <c r="A10" s="10" t="s">
        <v>67</v>
      </c>
      <c r="B10" s="9">
        <f t="shared" ref="B10:B17" si="0">C10</f>
        <v>680</v>
      </c>
      <c r="C10" s="9">
        <v>680</v>
      </c>
      <c r="D10" s="27"/>
      <c r="E10" s="11"/>
    </row>
    <row r="11" spans="1:5">
      <c r="A11" s="35" t="s">
        <v>4</v>
      </c>
      <c r="B11" s="9">
        <f t="shared" si="0"/>
        <v>1027</v>
      </c>
      <c r="C11" s="9">
        <v>1027</v>
      </c>
      <c r="D11" s="27"/>
      <c r="E11" s="11"/>
    </row>
    <row r="12" spans="1:5">
      <c r="A12" s="10" t="s">
        <v>124</v>
      </c>
      <c r="B12" s="9">
        <f t="shared" si="0"/>
        <v>250</v>
      </c>
      <c r="C12" s="9">
        <v>250</v>
      </c>
      <c r="D12" s="27"/>
      <c r="E12" s="11"/>
    </row>
    <row r="13" spans="1:5">
      <c r="A13" s="35" t="s">
        <v>4</v>
      </c>
      <c r="B13" s="9">
        <f t="shared" si="0"/>
        <v>750</v>
      </c>
      <c r="C13" s="9">
        <v>750</v>
      </c>
      <c r="D13" s="27"/>
      <c r="E13" s="11"/>
    </row>
    <row r="14" spans="1:5">
      <c r="A14" s="10" t="s">
        <v>125</v>
      </c>
      <c r="B14" s="9">
        <f t="shared" si="0"/>
        <v>895</v>
      </c>
      <c r="C14" s="9">
        <v>895</v>
      </c>
      <c r="D14" s="27"/>
      <c r="E14" s="11"/>
    </row>
    <row r="15" spans="1:5">
      <c r="A15" s="35" t="s">
        <v>4</v>
      </c>
      <c r="B15" s="9">
        <f t="shared" si="0"/>
        <v>1476</v>
      </c>
      <c r="C15" s="9">
        <v>1476</v>
      </c>
      <c r="D15" s="27"/>
      <c r="E15" s="11"/>
    </row>
    <row r="16" spans="1:5">
      <c r="A16" s="10" t="s">
        <v>88</v>
      </c>
      <c r="B16" s="9">
        <f t="shared" si="0"/>
        <v>1000</v>
      </c>
      <c r="C16" s="9">
        <f>C12*4</f>
        <v>1000</v>
      </c>
      <c r="D16" s="27"/>
      <c r="E16" s="11"/>
    </row>
    <row r="17" spans="1:5">
      <c r="A17" s="35" t="s">
        <v>4</v>
      </c>
      <c r="B17" s="9">
        <f t="shared" si="0"/>
        <v>3000</v>
      </c>
      <c r="C17" s="9">
        <f>C12*12</f>
        <v>3000</v>
      </c>
      <c r="D17" s="27"/>
      <c r="E17" s="11"/>
    </row>
    <row r="18" spans="1:5">
      <c r="B18" s="5"/>
      <c r="C18" s="5"/>
      <c r="D18" s="5"/>
    </row>
    <row r="19" spans="1:5">
      <c r="A19" s="6" t="s">
        <v>8</v>
      </c>
      <c r="B19" s="5"/>
      <c r="C19" s="5"/>
      <c r="D19" s="5"/>
    </row>
    <row r="20" spans="1:5">
      <c r="A20" s="4" t="s">
        <v>68</v>
      </c>
      <c r="B20" s="7">
        <f>SUM(C20:E20)</f>
        <v>566310011.17000008</v>
      </c>
      <c r="C20" s="9">
        <v>542595007.57000005</v>
      </c>
      <c r="D20" s="9">
        <v>0</v>
      </c>
      <c r="E20" s="23">
        <v>23715003.600000001</v>
      </c>
    </row>
    <row r="21" spans="1:5">
      <c r="A21" s="4" t="s">
        <v>126</v>
      </c>
      <c r="B21" s="7">
        <f>SUM(C21:E21)</f>
        <v>733183537.5</v>
      </c>
      <c r="C21" s="23">
        <v>710683537.5</v>
      </c>
      <c r="D21" s="7">
        <v>0</v>
      </c>
      <c r="E21" s="23">
        <v>22500000</v>
      </c>
    </row>
    <row r="22" spans="1:5">
      <c r="A22" s="4" t="s">
        <v>127</v>
      </c>
      <c r="B22" s="7">
        <f t="shared" ref="B22:B23" si="1">SUM(C22:E22)</f>
        <v>780822390.06000006</v>
      </c>
      <c r="C22" s="9">
        <v>723527365.36000001</v>
      </c>
      <c r="D22" s="9">
        <v>0</v>
      </c>
      <c r="E22" s="23">
        <v>57295024.700000003</v>
      </c>
    </row>
    <row r="23" spans="1:5">
      <c r="A23" s="4" t="s">
        <v>91</v>
      </c>
      <c r="B23" s="7">
        <f t="shared" si="1"/>
        <v>2932734150</v>
      </c>
      <c r="C23" s="23">
        <v>2842734150</v>
      </c>
      <c r="D23" s="7">
        <v>0</v>
      </c>
      <c r="E23" s="7">
        <v>90000000</v>
      </c>
    </row>
    <row r="24" spans="1:5">
      <c r="A24" s="4" t="s">
        <v>128</v>
      </c>
      <c r="B24" s="7">
        <f>C24</f>
        <v>723527365.36000001</v>
      </c>
      <c r="C24" s="7">
        <f>C22</f>
        <v>723527365.36000001</v>
      </c>
      <c r="D24" s="7"/>
    </row>
    <row r="25" spans="1:5">
      <c r="B25" s="7"/>
      <c r="C25" s="7"/>
      <c r="D25" s="7"/>
    </row>
    <row r="26" spans="1:5">
      <c r="A26" s="8" t="s">
        <v>9</v>
      </c>
      <c r="B26" s="9"/>
      <c r="C26" s="9"/>
      <c r="D26" s="9"/>
    </row>
    <row r="27" spans="1:5">
      <c r="A27" s="10" t="s">
        <v>129</v>
      </c>
      <c r="B27" s="9">
        <f>B21</f>
        <v>733183537.5</v>
      </c>
      <c r="C27" s="9"/>
      <c r="D27" s="9"/>
    </row>
    <row r="28" spans="1:5">
      <c r="A28" s="10" t="s">
        <v>130</v>
      </c>
      <c r="B28" s="9">
        <v>769692945.72000003</v>
      </c>
      <c r="C28" s="9"/>
      <c r="D28" s="9"/>
    </row>
    <row r="29" spans="1:5">
      <c r="A29" s="11"/>
      <c r="B29" s="11"/>
      <c r="C29" s="11"/>
      <c r="D29" s="11"/>
    </row>
    <row r="30" spans="1:5">
      <c r="A30" s="11" t="s">
        <v>10</v>
      </c>
      <c r="B30" s="11"/>
      <c r="C30" s="11"/>
      <c r="D30" s="11"/>
    </row>
    <row r="31" spans="1:5">
      <c r="A31" s="10" t="s">
        <v>69</v>
      </c>
      <c r="B31" s="17">
        <v>0.99</v>
      </c>
      <c r="C31" s="17">
        <v>0.99</v>
      </c>
      <c r="D31" s="17">
        <v>0.99</v>
      </c>
      <c r="E31" s="17">
        <v>0.99</v>
      </c>
    </row>
    <row r="32" spans="1:5">
      <c r="A32" s="10" t="s">
        <v>131</v>
      </c>
      <c r="B32">
        <v>1.02</v>
      </c>
      <c r="C32">
        <v>1.02</v>
      </c>
      <c r="D32">
        <v>1.02</v>
      </c>
      <c r="E32">
        <v>1.02</v>
      </c>
    </row>
    <row r="33" spans="1:8">
      <c r="A33" s="10" t="s">
        <v>11</v>
      </c>
      <c r="B33" s="9">
        <v>486</v>
      </c>
      <c r="C33" s="9"/>
      <c r="D33" s="9"/>
    </row>
    <row r="34" spans="1:8">
      <c r="A34" s="11"/>
      <c r="B34" s="11"/>
      <c r="C34" s="11"/>
      <c r="D34" s="11"/>
    </row>
    <row r="35" spans="1:8">
      <c r="A35" s="12" t="s">
        <v>12</v>
      </c>
      <c r="B35" s="11"/>
      <c r="C35" s="11"/>
      <c r="D35" s="11"/>
    </row>
    <row r="36" spans="1:8">
      <c r="A36" s="11" t="s">
        <v>70</v>
      </c>
      <c r="B36" s="9">
        <f>B20/B31</f>
        <v>572030314.31313145</v>
      </c>
      <c r="C36" s="9">
        <f>C20/C31</f>
        <v>548075765.22222233</v>
      </c>
      <c r="D36" s="9">
        <f>D20/D31</f>
        <v>0</v>
      </c>
      <c r="E36" s="9">
        <f>E20/E31</f>
        <v>23954549.090909094</v>
      </c>
    </row>
    <row r="37" spans="1:8">
      <c r="A37" s="11" t="s">
        <v>132</v>
      </c>
      <c r="B37" s="9">
        <f>B22/B32</f>
        <v>765512147.11764705</v>
      </c>
      <c r="C37" s="9">
        <f>C22/C32</f>
        <v>709340554.27450979</v>
      </c>
      <c r="D37" s="9">
        <f>D22/D32</f>
        <v>0</v>
      </c>
      <c r="E37" s="9">
        <f>E22/E32</f>
        <v>56171592.843137257</v>
      </c>
    </row>
    <row r="38" spans="1:8">
      <c r="A38" s="11" t="s">
        <v>71</v>
      </c>
      <c r="B38" s="9">
        <f>B36/B10</f>
        <v>841221.05046048737</v>
      </c>
      <c r="C38" s="9">
        <f t="shared" ref="C38" si="2">C36/C10</f>
        <v>805993.77238562109</v>
      </c>
      <c r="D38" s="30">
        <f>D36/C10</f>
        <v>0</v>
      </c>
      <c r="E38" s="30">
        <f>E36/C10</f>
        <v>35227.278074866314</v>
      </c>
      <c r="F38" s="19"/>
    </row>
    <row r="39" spans="1:8">
      <c r="A39" s="11" t="s">
        <v>133</v>
      </c>
      <c r="B39" s="9">
        <f>B37/B14</f>
        <v>855320.83476832078</v>
      </c>
      <c r="C39" s="9">
        <f>C37/C14</f>
        <v>792559.2785190054</v>
      </c>
      <c r="D39" s="9">
        <f>D37/C14</f>
        <v>0</v>
      </c>
      <c r="E39" s="9">
        <f>E37/C14</f>
        <v>62761.55624931537</v>
      </c>
    </row>
    <row r="41" spans="1:8">
      <c r="A41" s="3" t="s">
        <v>13</v>
      </c>
    </row>
    <row r="43" spans="1:8">
      <c r="A43" t="s">
        <v>14</v>
      </c>
    </row>
    <row r="44" spans="1:8">
      <c r="A44" t="s">
        <v>15</v>
      </c>
      <c r="B44" s="26">
        <f>(B12/B33)*100</f>
        <v>51.440329218106996</v>
      </c>
      <c r="C44" s="15"/>
      <c r="D44" s="13"/>
      <c r="E44" s="11"/>
      <c r="F44" s="11"/>
      <c r="G44" s="11"/>
      <c r="H44" s="11"/>
    </row>
    <row r="45" spans="1:8">
      <c r="A45" t="s">
        <v>16</v>
      </c>
      <c r="B45" s="15">
        <f>(B14*100)/(B33)</f>
        <v>184.15637860082305</v>
      </c>
      <c r="C45" s="15"/>
      <c r="D45" s="13"/>
    </row>
    <row r="47" spans="1:8">
      <c r="A47" t="s">
        <v>17</v>
      </c>
    </row>
    <row r="48" spans="1:8">
      <c r="A48" t="s">
        <v>18</v>
      </c>
      <c r="B48" s="14">
        <f>(B14/B12)*100</f>
        <v>358</v>
      </c>
      <c r="C48" s="14">
        <f>(C14/C12)*100</f>
        <v>358</v>
      </c>
      <c r="D48" s="14">
        <v>0</v>
      </c>
      <c r="E48">
        <v>0</v>
      </c>
    </row>
    <row r="49" spans="1:5">
      <c r="A49" t="s">
        <v>19</v>
      </c>
      <c r="B49" s="14">
        <f>B22/B21*100</f>
        <v>106.49753439942724</v>
      </c>
      <c r="C49" s="14">
        <f t="shared" ref="C49:E49" si="3">C22/C21*100</f>
        <v>101.80724994773078</v>
      </c>
      <c r="D49" s="14" t="e">
        <f t="shared" si="3"/>
        <v>#DIV/0!</v>
      </c>
      <c r="E49" s="14">
        <f t="shared" si="3"/>
        <v>254.64455422222224</v>
      </c>
    </row>
    <row r="50" spans="1:5">
      <c r="A50" s="11" t="s">
        <v>20</v>
      </c>
      <c r="B50" s="13">
        <f>AVERAGE(B48:B49)</f>
        <v>232.24876719971363</v>
      </c>
      <c r="C50" s="13">
        <f t="shared" ref="C50:E50" si="4">AVERAGE(C48:C49)</f>
        <v>229.90362497386539</v>
      </c>
      <c r="D50" s="13" t="e">
        <f t="shared" si="4"/>
        <v>#DIV/0!</v>
      </c>
      <c r="E50" s="13">
        <f t="shared" si="4"/>
        <v>127.32227711111112</v>
      </c>
    </row>
    <row r="51" spans="1:5">
      <c r="A51" s="11"/>
      <c r="B51" s="13"/>
      <c r="C51" s="13"/>
      <c r="D51" s="13"/>
    </row>
    <row r="52" spans="1:5">
      <c r="A52" s="11" t="s">
        <v>21</v>
      </c>
      <c r="B52" s="11"/>
      <c r="C52" s="11"/>
      <c r="D52" s="11"/>
    </row>
    <row r="53" spans="1:5">
      <c r="A53" s="11" t="s">
        <v>22</v>
      </c>
      <c r="B53" s="13">
        <f>(B14/B16)*100</f>
        <v>89.5</v>
      </c>
      <c r="C53" s="13">
        <f>(C14/C16)*100</f>
        <v>89.5</v>
      </c>
      <c r="D53" s="13">
        <v>0</v>
      </c>
      <c r="E53">
        <v>0</v>
      </c>
    </row>
    <row r="54" spans="1:5">
      <c r="A54" s="11" t="s">
        <v>23</v>
      </c>
      <c r="B54" s="13">
        <f>B22/B23*100</f>
        <v>26.624383599856809</v>
      </c>
      <c r="C54" s="13">
        <f t="shared" ref="C54:E54" si="5">C22/C23*100</f>
        <v>25.451812486932695</v>
      </c>
      <c r="D54" s="13" t="e">
        <f t="shared" si="5"/>
        <v>#DIV/0!</v>
      </c>
      <c r="E54" s="13">
        <f t="shared" si="5"/>
        <v>63.66113855555556</v>
      </c>
    </row>
    <row r="55" spans="1:5">
      <c r="A55" s="11" t="s">
        <v>24</v>
      </c>
      <c r="B55" s="13">
        <f>(B53+B54)/2</f>
        <v>58.062191799928407</v>
      </c>
      <c r="C55" s="13">
        <f t="shared" ref="C55:E55" si="6">(C53+C54)/2</f>
        <v>57.475906243466348</v>
      </c>
      <c r="D55" s="13" t="e">
        <f t="shared" si="6"/>
        <v>#DIV/0!</v>
      </c>
      <c r="E55" s="13">
        <f t="shared" si="6"/>
        <v>31.83056927777778</v>
      </c>
    </row>
    <row r="56" spans="1:5">
      <c r="A56" s="11"/>
      <c r="B56" s="11"/>
      <c r="C56" s="11"/>
      <c r="D56" s="11"/>
    </row>
    <row r="57" spans="1:5">
      <c r="A57" s="11" t="s">
        <v>36</v>
      </c>
      <c r="B57" s="11"/>
      <c r="C57" s="11"/>
      <c r="D57" s="11"/>
    </row>
    <row r="58" spans="1:5">
      <c r="A58" s="11" t="s">
        <v>25</v>
      </c>
      <c r="B58" s="15">
        <f>(B24/B22)*100</f>
        <v>92.662220572901688</v>
      </c>
      <c r="C58" s="13"/>
      <c r="D58" s="13"/>
    </row>
    <row r="59" spans="1:5">
      <c r="A59" s="11"/>
      <c r="B59" s="11"/>
      <c r="C59" s="11"/>
      <c r="D59" s="11"/>
    </row>
    <row r="60" spans="1:5">
      <c r="A60" s="11" t="s">
        <v>26</v>
      </c>
      <c r="B60" s="11"/>
      <c r="C60" s="11"/>
      <c r="D60" s="11"/>
    </row>
    <row r="61" spans="1:5">
      <c r="A61" s="11" t="s">
        <v>27</v>
      </c>
      <c r="B61" s="14">
        <f>((B14/B10)-1)*100</f>
        <v>31.617647058823529</v>
      </c>
      <c r="C61" s="14">
        <f>((C14/C10)-1)*100</f>
        <v>31.617647058823529</v>
      </c>
      <c r="D61" s="13"/>
    </row>
    <row r="62" spans="1:5">
      <c r="A62" s="11" t="s">
        <v>28</v>
      </c>
      <c r="B62" s="14">
        <f>((B37/B36)-1)*100</f>
        <v>33.823702689050663</v>
      </c>
      <c r="C62" s="14">
        <f t="shared" ref="C62:E62" si="7">((C37/C36)-1)*100</f>
        <v>29.423813145049603</v>
      </c>
      <c r="D62" s="14" t="e">
        <f t="shared" si="7"/>
        <v>#DIV/0!</v>
      </c>
      <c r="E62" s="14">
        <f t="shared" si="7"/>
        <v>134.49238234442382</v>
      </c>
    </row>
    <row r="63" spans="1:5">
      <c r="A63" s="11" t="s">
        <v>29</v>
      </c>
      <c r="B63" s="14">
        <f>((B39/B38)-1)*100</f>
        <v>1.6761093056474552</v>
      </c>
      <c r="C63" s="14">
        <f t="shared" ref="C63:E63" si="8">((C39/C38)-1)*100</f>
        <v>-1.6668235322528147</v>
      </c>
      <c r="D63" s="14" t="e">
        <f t="shared" si="8"/>
        <v>#DIV/0!</v>
      </c>
      <c r="E63" s="14">
        <f t="shared" si="8"/>
        <v>78.161810049394646</v>
      </c>
    </row>
    <row r="64" spans="1:5">
      <c r="A64" s="11"/>
      <c r="B64" s="13"/>
      <c r="C64" s="13"/>
      <c r="D64" s="13"/>
    </row>
    <row r="65" spans="1:5">
      <c r="A65" s="11" t="s">
        <v>30</v>
      </c>
      <c r="B65" s="11"/>
      <c r="C65" s="11"/>
      <c r="D65" s="11"/>
    </row>
    <row r="66" spans="1:5">
      <c r="A66" t="s">
        <v>37</v>
      </c>
      <c r="B66" s="9">
        <f>B21/(B12*3)</f>
        <v>977578.05</v>
      </c>
      <c r="C66" s="9">
        <f>C21/(C12*3)</f>
        <v>947578.05</v>
      </c>
      <c r="D66" s="9"/>
    </row>
    <row r="67" spans="1:5">
      <c r="A67" t="s">
        <v>38</v>
      </c>
      <c r="B67" s="9">
        <f>B22/(B14*3)</f>
        <v>290809.08382122905</v>
      </c>
      <c r="C67" s="9">
        <f>C22/(C14*3)</f>
        <v>269470.1546964618</v>
      </c>
      <c r="D67" s="9"/>
    </row>
    <row r="68" spans="1:5">
      <c r="A68" t="s">
        <v>51</v>
      </c>
      <c r="B68" s="9"/>
      <c r="C68" s="9">
        <f>C22/C15</f>
        <v>490194.69197831978</v>
      </c>
      <c r="D68" s="9"/>
    </row>
    <row r="69" spans="1:5">
      <c r="A69" s="11" t="s">
        <v>31</v>
      </c>
      <c r="B69" s="9">
        <f>(B67/B66)*B50</f>
        <v>69.089165011385674</v>
      </c>
      <c r="C69" s="9">
        <f>(C67/C66)*C50</f>
        <v>65.379485507272818</v>
      </c>
      <c r="D69" s="13"/>
    </row>
    <row r="70" spans="1:5">
      <c r="A70" s="13" t="s">
        <v>39</v>
      </c>
      <c r="B70" s="9">
        <f>B21/B12</f>
        <v>2932734.15</v>
      </c>
      <c r="C70" s="9">
        <f>C21/C12</f>
        <v>2842734.15</v>
      </c>
      <c r="D70" s="13"/>
    </row>
    <row r="71" spans="1:5">
      <c r="A71" s="13" t="s">
        <v>40</v>
      </c>
      <c r="B71" s="9">
        <f>B22/(B14)</f>
        <v>872427.25146368716</v>
      </c>
      <c r="C71" s="9">
        <f>C22/(C14)</f>
        <v>808410.46408938547</v>
      </c>
      <c r="D71" s="13"/>
    </row>
    <row r="72" spans="1:5">
      <c r="B72" s="9"/>
      <c r="C72" s="9"/>
      <c r="D72" s="14"/>
    </row>
    <row r="73" spans="1:5">
      <c r="A73" t="s">
        <v>32</v>
      </c>
      <c r="B73" s="14"/>
      <c r="C73" s="14"/>
      <c r="D73" s="14"/>
    </row>
    <row r="74" spans="1:5">
      <c r="A74" s="11" t="s">
        <v>33</v>
      </c>
      <c r="B74" s="13">
        <f>(B28/B27)*100</f>
        <v>104.97957282899304</v>
      </c>
      <c r="C74" s="13"/>
      <c r="D74" s="13"/>
    </row>
    <row r="75" spans="1:5">
      <c r="A75" s="11" t="s">
        <v>34</v>
      </c>
      <c r="B75" s="13">
        <f>(B22/B28)*100</f>
        <v>101.44595898947588</v>
      </c>
      <c r="C75" s="13"/>
      <c r="D75" s="13"/>
    </row>
    <row r="76" spans="1:5" ht="15.75" thickBot="1">
      <c r="A76" s="16"/>
      <c r="B76" s="16"/>
      <c r="C76" s="16"/>
      <c r="D76" s="16"/>
      <c r="E76" s="16"/>
    </row>
    <row r="77" spans="1:5" ht="15.75" thickTop="1"/>
    <row r="78" spans="1:5">
      <c r="A78" t="s">
        <v>35</v>
      </c>
    </row>
    <row r="79" spans="1:5">
      <c r="A79" t="s">
        <v>98</v>
      </c>
    </row>
    <row r="80" spans="1:5">
      <c r="A80" t="s">
        <v>99</v>
      </c>
      <c r="B80" s="5"/>
      <c r="C80" s="5"/>
      <c r="D80" s="5"/>
    </row>
    <row r="82" spans="1:1">
      <c r="A82" s="33" t="s">
        <v>170</v>
      </c>
    </row>
    <row r="84" spans="1:1">
      <c r="A84" s="20"/>
    </row>
    <row r="85" spans="1:1">
      <c r="A85" s="21"/>
    </row>
    <row r="86" spans="1:1">
      <c r="A86" s="21"/>
    </row>
  </sheetData>
  <mergeCells count="2">
    <mergeCell ref="A2:D2"/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J86"/>
  <sheetViews>
    <sheetView topLeftCell="A69" workbookViewId="0">
      <selection activeCell="B33" sqref="B33"/>
    </sheetView>
  </sheetViews>
  <sheetFormatPr baseColWidth="10" defaultColWidth="11.42578125" defaultRowHeight="1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2.7109375" bestFit="1" customWidth="1"/>
  </cols>
  <sheetData>
    <row r="2" spans="1:5" ht="15.75">
      <c r="A2" s="36" t="s">
        <v>134</v>
      </c>
      <c r="B2" s="36"/>
      <c r="C2" s="36"/>
      <c r="D2" s="36"/>
    </row>
    <row r="4" spans="1:5">
      <c r="A4" s="37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5" ht="15.75" thickBot="1">
      <c r="A5" s="38"/>
      <c r="B5" s="2" t="s">
        <v>3</v>
      </c>
      <c r="C5" s="2" t="s">
        <v>4</v>
      </c>
      <c r="D5" s="2" t="s">
        <v>41</v>
      </c>
      <c r="E5" s="2" t="s">
        <v>44</v>
      </c>
    </row>
    <row r="6" spans="1:5" ht="15.75" thickTop="1"/>
    <row r="7" spans="1:5">
      <c r="A7" s="3" t="s">
        <v>6</v>
      </c>
    </row>
    <row r="9" spans="1:5">
      <c r="A9" t="s">
        <v>7</v>
      </c>
    </row>
    <row r="10" spans="1:5">
      <c r="A10" s="10" t="s">
        <v>72</v>
      </c>
      <c r="B10" s="9">
        <f>C10</f>
        <v>617</v>
      </c>
      <c r="C10" s="9">
        <v>617</v>
      </c>
      <c r="D10" s="27"/>
      <c r="E10" s="11"/>
    </row>
    <row r="11" spans="1:5">
      <c r="A11" s="35" t="s">
        <v>4</v>
      </c>
      <c r="B11" s="9">
        <f>+('I Trimestre'!B11+'II Trimestre'!B11)</f>
        <v>1194</v>
      </c>
      <c r="C11" s="9">
        <f>+('I Trimestre'!C11+'II Trimestre'!C11)</f>
        <v>1194</v>
      </c>
      <c r="D11" s="27"/>
      <c r="E11" s="11"/>
    </row>
    <row r="12" spans="1:5">
      <c r="A12" s="10" t="s">
        <v>135</v>
      </c>
      <c r="B12" s="9">
        <f>C12</f>
        <v>500</v>
      </c>
      <c r="C12" s="9">
        <f>+('I Trimestre'!C12+'II Trimestre'!C12)</f>
        <v>500</v>
      </c>
      <c r="D12" s="27"/>
      <c r="E12" s="11"/>
    </row>
    <row r="13" spans="1:5">
      <c r="A13" s="35" t="s">
        <v>4</v>
      </c>
      <c r="B13" s="9">
        <f>C13</f>
        <v>1500</v>
      </c>
      <c r="C13" s="9">
        <f>+('I Trimestre'!C13+'II Trimestre'!C13)</f>
        <v>1500</v>
      </c>
      <c r="D13" s="27"/>
      <c r="E13" s="11"/>
    </row>
    <row r="14" spans="1:5">
      <c r="A14" s="10" t="s">
        <v>136</v>
      </c>
      <c r="B14" s="9">
        <f>C14</f>
        <v>1256</v>
      </c>
      <c r="C14" s="9">
        <v>1256</v>
      </c>
      <c r="D14" s="27"/>
      <c r="E14" s="11"/>
    </row>
    <row r="15" spans="1:5">
      <c r="A15" s="35" t="s">
        <v>4</v>
      </c>
      <c r="B15" s="9">
        <f>C15</f>
        <v>2424</v>
      </c>
      <c r="C15" s="9">
        <f>+('I Trimestre'!C15+'II Trimestre'!C15)</f>
        <v>2424</v>
      </c>
      <c r="D15" s="27"/>
      <c r="E15" s="11"/>
    </row>
    <row r="16" spans="1:5">
      <c r="A16" s="10" t="s">
        <v>88</v>
      </c>
      <c r="B16" s="9">
        <f t="shared" ref="B16:B17" si="0">C16</f>
        <v>1000</v>
      </c>
      <c r="C16" s="9">
        <f>'II Trimestre'!C16</f>
        <v>1000</v>
      </c>
      <c r="D16" s="27"/>
      <c r="E16" s="11"/>
    </row>
    <row r="17" spans="1:6">
      <c r="A17" s="35" t="s">
        <v>4</v>
      </c>
      <c r="B17" s="9">
        <f t="shared" si="0"/>
        <v>3000</v>
      </c>
      <c r="C17" s="9">
        <f>'II Trimestre'!C17</f>
        <v>3000</v>
      </c>
      <c r="D17" s="27"/>
      <c r="E17" s="11"/>
    </row>
    <row r="18" spans="1:6">
      <c r="B18" s="5"/>
      <c r="C18" s="5"/>
      <c r="D18" s="5"/>
    </row>
    <row r="19" spans="1:6">
      <c r="A19" s="6" t="s">
        <v>8</v>
      </c>
      <c r="B19" s="5"/>
      <c r="C19" s="5"/>
      <c r="D19" s="5"/>
    </row>
    <row r="20" spans="1:6">
      <c r="A20" s="4" t="s">
        <v>73</v>
      </c>
      <c r="B20" s="9">
        <f>SUM(C20:E20)</f>
        <v>743970919.3599999</v>
      </c>
      <c r="C20" s="9">
        <f>+'I Trimestre'!C20+'II Trimestre'!C20</f>
        <v>729944551.55999994</v>
      </c>
      <c r="D20" s="9">
        <f>+'I Trimestre'!D20+'II Trimestre'!D20</f>
        <v>0</v>
      </c>
      <c r="E20" s="9">
        <f>+'I Trimestre'!E20+'II Trimestre'!E20</f>
        <v>14026367.800000001</v>
      </c>
    </row>
    <row r="21" spans="1:6">
      <c r="A21" s="4" t="s">
        <v>137</v>
      </c>
      <c r="B21" s="9">
        <f>SUM(C21:E21)</f>
        <v>1466367075</v>
      </c>
      <c r="C21" s="9">
        <f>+'I Trimestre'!C21+'II Trimestre'!C21</f>
        <v>1421367075</v>
      </c>
      <c r="D21" s="9">
        <f>+'I Trimestre'!D21+'II Trimestre'!D21</f>
        <v>0</v>
      </c>
      <c r="E21" s="9">
        <f>+'I Trimestre'!E21+'II Trimestre'!E21</f>
        <v>45000000</v>
      </c>
    </row>
    <row r="22" spans="1:6">
      <c r="A22" s="4" t="s">
        <v>138</v>
      </c>
      <c r="B22" s="9">
        <f>SUM(C22:E22)</f>
        <v>1258822487.7100003</v>
      </c>
      <c r="C22" s="9">
        <f>+'I Trimestre'!C22+'II Trimestre'!C22</f>
        <v>1233738851.5300002</v>
      </c>
      <c r="D22" s="9">
        <f>+'I Trimestre'!D22+'II Trimestre'!D22</f>
        <v>0</v>
      </c>
      <c r="E22" s="9">
        <f>+'I Trimestre'!E22+'II Trimestre'!E22</f>
        <v>25083636.18</v>
      </c>
    </row>
    <row r="23" spans="1:6">
      <c r="A23" s="4" t="s">
        <v>91</v>
      </c>
      <c r="B23" s="7">
        <f>+'II Trimestre'!B23</f>
        <v>2932734150</v>
      </c>
      <c r="C23" s="7">
        <f>+'II Trimestre'!C23</f>
        <v>2842734150</v>
      </c>
      <c r="D23" s="7">
        <f>+'II Trimestre'!D23</f>
        <v>0</v>
      </c>
      <c r="E23" s="7">
        <f>+'II Trimestre'!E23</f>
        <v>90000000</v>
      </c>
    </row>
    <row r="24" spans="1:6">
      <c r="A24" s="4" t="s">
        <v>139</v>
      </c>
      <c r="B24" s="7">
        <f>C24</f>
        <v>1233738851.5300002</v>
      </c>
      <c r="C24" s="7">
        <f>C22</f>
        <v>1233738851.5300002</v>
      </c>
      <c r="D24" s="7"/>
    </row>
    <row r="25" spans="1:6">
      <c r="B25" s="7"/>
      <c r="C25" s="7"/>
      <c r="D25" s="7"/>
    </row>
    <row r="26" spans="1:6">
      <c r="A26" s="8" t="s">
        <v>9</v>
      </c>
      <c r="B26" s="9"/>
      <c r="C26" s="9"/>
      <c r="D26" s="9"/>
    </row>
    <row r="27" spans="1:6">
      <c r="A27" s="10" t="s">
        <v>140</v>
      </c>
      <c r="B27" s="9">
        <f>B21</f>
        <v>1466367075</v>
      </c>
      <c r="C27" s="9"/>
      <c r="D27" s="9"/>
    </row>
    <row r="28" spans="1:6">
      <c r="A28" s="10" t="s">
        <v>141</v>
      </c>
      <c r="B28" s="7">
        <f>'I Trimestre'!B28+'II Trimestre'!B28</f>
        <v>1989553619.7999997</v>
      </c>
      <c r="C28" s="9"/>
      <c r="D28" s="9"/>
    </row>
    <row r="29" spans="1:6">
      <c r="A29" s="11"/>
      <c r="B29" s="11"/>
      <c r="C29" s="11"/>
      <c r="D29" s="11"/>
    </row>
    <row r="30" spans="1:6">
      <c r="A30" s="11" t="s">
        <v>10</v>
      </c>
      <c r="B30" s="11"/>
      <c r="C30" s="11"/>
      <c r="D30" s="11"/>
    </row>
    <row r="31" spans="1:6">
      <c r="A31" s="10" t="s">
        <v>74</v>
      </c>
      <c r="B31" s="32">
        <v>1</v>
      </c>
      <c r="C31" s="32">
        <v>1</v>
      </c>
      <c r="D31" s="32">
        <v>1</v>
      </c>
      <c r="E31" s="32">
        <v>1</v>
      </c>
      <c r="F31" s="19"/>
    </row>
    <row r="32" spans="1:6">
      <c r="A32" s="10" t="s">
        <v>142</v>
      </c>
      <c r="B32" s="31">
        <v>0.99</v>
      </c>
      <c r="C32" s="31">
        <v>0.99</v>
      </c>
      <c r="D32" s="31">
        <v>0.99</v>
      </c>
      <c r="E32" s="31">
        <v>0.99</v>
      </c>
    </row>
    <row r="33" spans="1:8">
      <c r="A33" s="10" t="s">
        <v>11</v>
      </c>
      <c r="B33" s="9">
        <v>486</v>
      </c>
      <c r="C33" s="9"/>
      <c r="D33" s="9"/>
    </row>
    <row r="34" spans="1:8">
      <c r="A34" s="11"/>
      <c r="B34" s="11"/>
      <c r="C34" s="11"/>
      <c r="D34" s="11"/>
    </row>
    <row r="35" spans="1:8">
      <c r="A35" s="12" t="s">
        <v>12</v>
      </c>
      <c r="B35" s="11"/>
      <c r="C35" s="11"/>
      <c r="D35" s="11"/>
    </row>
    <row r="36" spans="1:8">
      <c r="A36" s="11" t="s">
        <v>75</v>
      </c>
      <c r="B36" s="9">
        <f>B20/B31</f>
        <v>743970919.3599999</v>
      </c>
      <c r="C36" s="9">
        <f t="shared" ref="C36:E36" si="1">C20/C31</f>
        <v>729944551.55999994</v>
      </c>
      <c r="D36" s="9">
        <f t="shared" si="1"/>
        <v>0</v>
      </c>
      <c r="E36" s="9">
        <f t="shared" si="1"/>
        <v>14026367.800000001</v>
      </c>
    </row>
    <row r="37" spans="1:8">
      <c r="A37" s="11" t="s">
        <v>143</v>
      </c>
      <c r="B37" s="9">
        <f>B22/B32</f>
        <v>1271537866.3737376</v>
      </c>
      <c r="C37" s="9">
        <f t="shared" ref="C37:E37" si="2">C22/C32</f>
        <v>1246200860.1313133</v>
      </c>
      <c r="D37" s="9">
        <f t="shared" si="2"/>
        <v>0</v>
      </c>
      <c r="E37" s="9">
        <f t="shared" si="2"/>
        <v>25337006.242424242</v>
      </c>
    </row>
    <row r="38" spans="1:8">
      <c r="A38" s="11" t="s">
        <v>76</v>
      </c>
      <c r="B38" s="9">
        <f>B36/B10</f>
        <v>1205787.5516369529</v>
      </c>
      <c r="C38" s="9">
        <f t="shared" ref="C38" si="3">C36/C10</f>
        <v>1183054.3785413289</v>
      </c>
      <c r="D38" s="9">
        <f>D36/C10</f>
        <v>0</v>
      </c>
      <c r="E38" s="9">
        <f>E36/C10</f>
        <v>22733.173095623988</v>
      </c>
    </row>
    <row r="39" spans="1:8">
      <c r="A39" s="11" t="s">
        <v>144</v>
      </c>
      <c r="B39" s="9">
        <f>B37/B14</f>
        <v>1012370.9127179439</v>
      </c>
      <c r="C39" s="9">
        <f t="shared" ref="C39" si="4">C37/C14</f>
        <v>992198.13704722398</v>
      </c>
      <c r="D39" s="9">
        <f>D37/C14</f>
        <v>0</v>
      </c>
      <c r="E39" s="9">
        <f>E37/C14</f>
        <v>20172.775670719937</v>
      </c>
    </row>
    <row r="41" spans="1:8">
      <c r="A41" s="3" t="s">
        <v>13</v>
      </c>
    </row>
    <row r="43" spans="1:8">
      <c r="A43" t="s">
        <v>14</v>
      </c>
    </row>
    <row r="44" spans="1:8">
      <c r="A44" t="s">
        <v>15</v>
      </c>
      <c r="B44" s="26">
        <f>(B12/B33)*100</f>
        <v>102.88065843621399</v>
      </c>
      <c r="C44" s="15"/>
      <c r="D44" s="13"/>
      <c r="E44" s="11"/>
      <c r="F44" s="11"/>
      <c r="G44" s="11"/>
      <c r="H44" s="11"/>
    </row>
    <row r="45" spans="1:8">
      <c r="A45" t="s">
        <v>16</v>
      </c>
      <c r="B45" s="15">
        <f>(B14*100)/(B33)</f>
        <v>258.43621399176953</v>
      </c>
      <c r="C45" s="15"/>
      <c r="D45" s="13"/>
    </row>
    <row r="47" spans="1:8">
      <c r="A47" t="s">
        <v>17</v>
      </c>
    </row>
    <row r="48" spans="1:8">
      <c r="A48" t="s">
        <v>18</v>
      </c>
      <c r="B48" s="14">
        <f>(B14/B12)*100</f>
        <v>251.2</v>
      </c>
      <c r="C48" s="14">
        <f>(C10/C12)*100</f>
        <v>123.4</v>
      </c>
      <c r="D48" s="14"/>
    </row>
    <row r="49" spans="1:5">
      <c r="A49" t="s">
        <v>19</v>
      </c>
      <c r="B49" s="14">
        <f>B22/B21*100</f>
        <v>85.84634155878058</v>
      </c>
      <c r="C49" s="14">
        <f>C22/C21*100</f>
        <v>86.799453373436279</v>
      </c>
      <c r="D49" s="14" t="e">
        <f>D22/D21*100</f>
        <v>#DIV/0!</v>
      </c>
      <c r="E49" s="14">
        <f>E22/E21*100</f>
        <v>55.741413733333331</v>
      </c>
    </row>
    <row r="50" spans="1:5">
      <c r="A50" s="11" t="s">
        <v>20</v>
      </c>
      <c r="B50" s="13">
        <f>AVERAGE(B48:B49)</f>
        <v>168.52317077939028</v>
      </c>
      <c r="C50" s="13">
        <f>AVERAGE(C48:C49)</f>
        <v>105.09972668671814</v>
      </c>
      <c r="D50" s="13"/>
    </row>
    <row r="51" spans="1:5">
      <c r="A51" s="11"/>
      <c r="B51" s="13"/>
      <c r="C51" s="13"/>
      <c r="D51" s="13"/>
    </row>
    <row r="52" spans="1:5">
      <c r="A52" s="11" t="s">
        <v>21</v>
      </c>
      <c r="B52" s="11"/>
      <c r="C52" s="11"/>
      <c r="D52" s="11"/>
    </row>
    <row r="53" spans="1:5">
      <c r="A53" s="11" t="s">
        <v>22</v>
      </c>
      <c r="B53" s="13">
        <f>(B14/B16)*100</f>
        <v>125.6</v>
      </c>
      <c r="C53" s="13">
        <f>(C10/C16)*100</f>
        <v>61.7</v>
      </c>
      <c r="D53" s="13"/>
    </row>
    <row r="54" spans="1:5">
      <c r="A54" s="11" t="s">
        <v>23</v>
      </c>
      <c r="B54" s="13">
        <f>B22/B23*100</f>
        <v>42.92317077939029</v>
      </c>
      <c r="C54" s="13">
        <f>C22/C23*100</f>
        <v>43.399726686718139</v>
      </c>
      <c r="D54" s="13" t="e">
        <f>D22/D23*100</f>
        <v>#DIV/0!</v>
      </c>
      <c r="E54" s="13">
        <f>E22/E23*100</f>
        <v>27.870706866666666</v>
      </c>
    </row>
    <row r="55" spans="1:5">
      <c r="A55" s="11" t="s">
        <v>24</v>
      </c>
      <c r="B55" s="13">
        <f>(B53+B54)/2</f>
        <v>84.261585389695142</v>
      </c>
      <c r="C55" s="13">
        <f>(C53+C54)/2</f>
        <v>52.549863343359071</v>
      </c>
      <c r="D55" s="13"/>
    </row>
    <row r="56" spans="1:5">
      <c r="A56" s="11"/>
      <c r="B56" s="11"/>
      <c r="C56" s="11"/>
      <c r="D56" s="11"/>
    </row>
    <row r="57" spans="1:5">
      <c r="A57" s="11" t="s">
        <v>36</v>
      </c>
      <c r="B57" s="11"/>
      <c r="C57" s="11"/>
      <c r="D57" s="11"/>
    </row>
    <row r="58" spans="1:5">
      <c r="A58" s="11" t="s">
        <v>25</v>
      </c>
      <c r="B58" s="15">
        <f>(B24/B22)*100</f>
        <v>98.007373047042449</v>
      </c>
      <c r="C58" s="13"/>
      <c r="D58" s="13"/>
    </row>
    <row r="59" spans="1:5">
      <c r="A59" s="11"/>
      <c r="B59" s="11"/>
      <c r="C59" s="11"/>
      <c r="D59" s="11"/>
    </row>
    <row r="60" spans="1:5">
      <c r="A60" s="11" t="s">
        <v>26</v>
      </c>
      <c r="B60" s="11"/>
      <c r="C60" s="11"/>
      <c r="D60" s="11"/>
    </row>
    <row r="61" spans="1:5">
      <c r="A61" s="11" t="s">
        <v>27</v>
      </c>
      <c r="B61" s="14">
        <f>((B14/B10)-1)*100</f>
        <v>103.56564019448946</v>
      </c>
      <c r="C61" s="14">
        <f t="shared" ref="C61:E61" si="5">((C14/C10)-1)*100</f>
        <v>103.56564019448946</v>
      </c>
      <c r="D61" s="14" t="e">
        <f t="shared" si="5"/>
        <v>#DIV/0!</v>
      </c>
      <c r="E61" s="14" t="e">
        <f t="shared" si="5"/>
        <v>#DIV/0!</v>
      </c>
    </row>
    <row r="62" spans="1:5">
      <c r="A62" s="11" t="s">
        <v>28</v>
      </c>
      <c r="B62" s="14">
        <f>((B37/B36)-1)*100</f>
        <v>70.912307629924115</v>
      </c>
      <c r="C62" s="14">
        <f>((C37/C36)-1)*100</f>
        <v>70.725414343869943</v>
      </c>
      <c r="D62" s="14" t="e">
        <f t="shared" ref="D62:E62" si="6">((D37/D36)-1)*100</f>
        <v>#DIV/0!</v>
      </c>
      <c r="E62" s="14">
        <f t="shared" si="6"/>
        <v>80.638399075947802</v>
      </c>
    </row>
    <row r="63" spans="1:5">
      <c r="A63" s="11" t="s">
        <v>29</v>
      </c>
      <c r="B63" s="14">
        <f>((B39/B38)-1)*100</f>
        <v>-16.040689643580286</v>
      </c>
      <c r="C63" s="14">
        <f>((C39/C38)-1)*100</f>
        <v>-16.132499482350514</v>
      </c>
      <c r="D63" s="13"/>
    </row>
    <row r="64" spans="1:5">
      <c r="A64" s="11"/>
      <c r="B64" s="13"/>
      <c r="C64" s="13"/>
      <c r="D64" s="13"/>
    </row>
    <row r="65" spans="1:10">
      <c r="A65" s="11" t="s">
        <v>30</v>
      </c>
      <c r="B65" s="11"/>
      <c r="C65" s="11"/>
      <c r="D65" s="11"/>
    </row>
    <row r="66" spans="1:10">
      <c r="A66" t="s">
        <v>37</v>
      </c>
      <c r="B66" s="9">
        <f>B21/(B12*3)</f>
        <v>977578.05</v>
      </c>
      <c r="C66" s="9">
        <f>C21/(C12*3)</f>
        <v>947578.05</v>
      </c>
      <c r="D66" s="29"/>
      <c r="E66" s="11"/>
      <c r="F66" s="11"/>
      <c r="G66" s="11"/>
      <c r="H66" s="11"/>
      <c r="I66" s="11"/>
      <c r="J66" s="11"/>
    </row>
    <row r="67" spans="1:10">
      <c r="A67" t="s">
        <v>38</v>
      </c>
      <c r="B67" s="9">
        <f>B22/(B14*3)</f>
        <v>334082.40119692154</v>
      </c>
      <c r="C67" s="9">
        <f>C22/(C14*3)</f>
        <v>327425.38522558392</v>
      </c>
      <c r="D67" s="29"/>
      <c r="E67" s="11"/>
      <c r="F67" s="11"/>
      <c r="G67" s="11"/>
      <c r="H67" s="11"/>
      <c r="I67" s="11"/>
      <c r="J67" s="11"/>
    </row>
    <row r="68" spans="1:10">
      <c r="A68" t="s">
        <v>51</v>
      </c>
      <c r="B68" s="9"/>
      <c r="C68" s="9">
        <f>C22/C15</f>
        <v>508968.17307343241</v>
      </c>
      <c r="D68" s="9"/>
    </row>
    <row r="69" spans="1:10">
      <c r="A69" s="11" t="s">
        <v>31</v>
      </c>
      <c r="B69" s="9">
        <f>(B67/B66)*B50</f>
        <v>57.591949360255775</v>
      </c>
      <c r="C69" s="9">
        <f>(C67/C66)*C50</f>
        <v>36.316078129397646</v>
      </c>
      <c r="D69" s="13"/>
    </row>
    <row r="70" spans="1:10">
      <c r="A70" s="13" t="s">
        <v>47</v>
      </c>
      <c r="B70" s="9">
        <f>B21/B12</f>
        <v>2932734.15</v>
      </c>
      <c r="C70" s="9">
        <f>C21/C12</f>
        <v>2842734.15</v>
      </c>
      <c r="D70" s="13"/>
    </row>
    <row r="71" spans="1:10">
      <c r="A71" s="13" t="s">
        <v>48</v>
      </c>
      <c r="B71" s="9">
        <f>B22/(B14)</f>
        <v>1002247.2035907645</v>
      </c>
      <c r="C71" s="9">
        <f>C22/(C14)</f>
        <v>982276.15567675175</v>
      </c>
      <c r="D71" s="29"/>
    </row>
    <row r="72" spans="1:10">
      <c r="B72" s="9"/>
      <c r="C72" s="9"/>
      <c r="D72" s="14"/>
    </row>
    <row r="73" spans="1:10">
      <c r="A73" t="s">
        <v>32</v>
      </c>
      <c r="B73" s="14"/>
      <c r="C73" s="14"/>
      <c r="D73" s="14"/>
    </row>
    <row r="74" spans="1:10">
      <c r="A74" s="11" t="s">
        <v>33</v>
      </c>
      <c r="B74" s="13">
        <f>(B28/B27)*100</f>
        <v>135.67909793664725</v>
      </c>
      <c r="C74" s="13"/>
      <c r="D74" s="13"/>
    </row>
    <row r="75" spans="1:10">
      <c r="A75" s="11" t="s">
        <v>34</v>
      </c>
      <c r="B75" s="13">
        <f>(B22/B28)*100</f>
        <v>63.271604001129845</v>
      </c>
      <c r="C75" s="13"/>
      <c r="D75" s="13"/>
    </row>
    <row r="76" spans="1:10" ht="15.75" thickBot="1">
      <c r="A76" s="16"/>
      <c r="B76" s="16"/>
      <c r="C76" s="16"/>
      <c r="D76" s="16"/>
    </row>
    <row r="77" spans="1:10" ht="15.75" thickTop="1"/>
    <row r="78" spans="1:10">
      <c r="A78" t="s">
        <v>35</v>
      </c>
    </row>
    <row r="79" spans="1:10">
      <c r="A79" t="s">
        <v>98</v>
      </c>
    </row>
    <row r="80" spans="1:10">
      <c r="A80" t="s">
        <v>99</v>
      </c>
      <c r="B80" s="5"/>
      <c r="C80" s="5"/>
      <c r="D80" s="5"/>
    </row>
    <row r="82" spans="1:1">
      <c r="A82" s="33" t="s">
        <v>169</v>
      </c>
    </row>
    <row r="84" spans="1:1">
      <c r="A84" s="20"/>
    </row>
    <row r="85" spans="1:1">
      <c r="A85" s="21"/>
    </row>
    <row r="86" spans="1:1">
      <c r="A86" s="21"/>
    </row>
  </sheetData>
  <mergeCells count="2">
    <mergeCell ref="A2:D2"/>
    <mergeCell ref="A4:A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H88"/>
  <sheetViews>
    <sheetView topLeftCell="A69" workbookViewId="0">
      <selection activeCell="C10" sqref="C10"/>
    </sheetView>
  </sheetViews>
  <sheetFormatPr baseColWidth="10" defaultColWidth="11.42578125" defaultRowHeight="1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2.7109375" bestFit="1" customWidth="1"/>
  </cols>
  <sheetData>
    <row r="2" spans="1:5" ht="15.75">
      <c r="A2" s="36" t="s">
        <v>145</v>
      </c>
      <c r="B2" s="36"/>
      <c r="C2" s="36"/>
      <c r="D2" s="36"/>
    </row>
    <row r="4" spans="1:5">
      <c r="A4" s="37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5" ht="15.75" thickBot="1">
      <c r="A5" s="38"/>
      <c r="B5" s="2" t="s">
        <v>3</v>
      </c>
      <c r="C5" s="2" t="s">
        <v>4</v>
      </c>
      <c r="D5" s="2" t="s">
        <v>41</v>
      </c>
      <c r="E5" s="2" t="s">
        <v>44</v>
      </c>
    </row>
    <row r="6" spans="1:5" ht="15.75" thickTop="1"/>
    <row r="7" spans="1:5">
      <c r="A7" s="3" t="s">
        <v>6</v>
      </c>
    </row>
    <row r="9" spans="1:5">
      <c r="A9" t="s">
        <v>7</v>
      </c>
    </row>
    <row r="10" spans="1:5">
      <c r="A10" s="10" t="s">
        <v>77</v>
      </c>
      <c r="B10" s="9">
        <f>C10</f>
        <v>624</v>
      </c>
      <c r="C10" s="9">
        <v>624</v>
      </c>
      <c r="D10" s="27"/>
      <c r="E10" s="11"/>
    </row>
    <row r="11" spans="1:5">
      <c r="A11" s="35" t="s">
        <v>4</v>
      </c>
      <c r="B11" s="9">
        <f t="shared" ref="B11:B17" si="0">C11</f>
        <v>1832</v>
      </c>
      <c r="C11" s="9">
        <f>+('I Trimestre'!C11+'II Trimestre'!C11+'III Trimestre'!C11)</f>
        <v>1832</v>
      </c>
      <c r="D11" s="27"/>
      <c r="E11" s="11"/>
    </row>
    <row r="12" spans="1:5">
      <c r="A12" s="10" t="s">
        <v>146</v>
      </c>
      <c r="B12" s="9">
        <f t="shared" si="0"/>
        <v>750</v>
      </c>
      <c r="C12" s="9">
        <f>+('I Trimestre'!C12+'II Trimestre'!C12+'III Trimestre'!C12)</f>
        <v>750</v>
      </c>
      <c r="D12" s="27"/>
      <c r="E12" s="11"/>
    </row>
    <row r="13" spans="1:5">
      <c r="A13" s="35" t="s">
        <v>4</v>
      </c>
      <c r="B13" s="9">
        <f t="shared" ref="B13" si="1">C13</f>
        <v>2250</v>
      </c>
      <c r="C13" s="9">
        <f>+('I Trimestre'!C13+'II Trimestre'!C13+'III Trimestre'!C13)</f>
        <v>2250</v>
      </c>
      <c r="D13" s="27"/>
      <c r="E13" s="11"/>
    </row>
    <row r="14" spans="1:5">
      <c r="A14" s="10" t="s">
        <v>147</v>
      </c>
      <c r="B14" s="9">
        <f>C14</f>
        <v>2048</v>
      </c>
      <c r="C14" s="9">
        <v>2048</v>
      </c>
      <c r="D14" s="27"/>
      <c r="E14" s="11"/>
    </row>
    <row r="15" spans="1:5">
      <c r="A15" s="35" t="s">
        <v>4</v>
      </c>
      <c r="B15" s="9">
        <f t="shared" si="0"/>
        <v>4175</v>
      </c>
      <c r="C15" s="9">
        <f>+('I Trimestre'!C15+'II Trimestre'!C15+'III Trimestre'!C15)</f>
        <v>4175</v>
      </c>
      <c r="D15" s="27"/>
      <c r="E15" s="11"/>
    </row>
    <row r="16" spans="1:5">
      <c r="A16" s="10" t="s">
        <v>88</v>
      </c>
      <c r="B16" s="9">
        <f t="shared" si="0"/>
        <v>1000</v>
      </c>
      <c r="C16" s="9">
        <f>'III Trimestre'!C16</f>
        <v>1000</v>
      </c>
      <c r="D16" s="27"/>
      <c r="E16" s="11"/>
    </row>
    <row r="17" spans="1:6">
      <c r="A17" s="35" t="s">
        <v>4</v>
      </c>
      <c r="B17" s="9">
        <f t="shared" si="0"/>
        <v>3000</v>
      </c>
      <c r="C17" s="9">
        <f>'III Trimestre'!C17</f>
        <v>3000</v>
      </c>
      <c r="D17" s="27"/>
      <c r="E17" s="11"/>
    </row>
    <row r="18" spans="1:6">
      <c r="B18" s="5"/>
      <c r="C18" s="7"/>
      <c r="D18" s="5"/>
    </row>
    <row r="19" spans="1:6">
      <c r="A19" s="6" t="s">
        <v>8</v>
      </c>
      <c r="B19" s="5"/>
      <c r="C19" s="5"/>
      <c r="D19" s="5"/>
    </row>
    <row r="20" spans="1:6">
      <c r="A20" s="4" t="s">
        <v>78</v>
      </c>
      <c r="B20" s="9">
        <f>SUM(C20:E20)</f>
        <v>1198487580.5999999</v>
      </c>
      <c r="C20" s="9">
        <f>+'I Trimestre'!C20+'II Trimestre'!C20+'III Trimestre'!C20</f>
        <v>1166084819.0999999</v>
      </c>
      <c r="D20" s="9">
        <f>+'I Trimestre'!D20+'II Trimestre'!D20+'III Trimestre'!D20</f>
        <v>0</v>
      </c>
      <c r="E20" s="9">
        <f>+'I Trimestre'!E20+'II Trimestre'!E20+'III Trimestre'!E20</f>
        <v>32402761.5</v>
      </c>
    </row>
    <row r="21" spans="1:6">
      <c r="A21" s="4" t="s">
        <v>148</v>
      </c>
      <c r="B21" s="9">
        <f>SUM(C21:E21)</f>
        <v>2199550612.5</v>
      </c>
      <c r="C21" s="9">
        <f>+'I Trimestre'!C21+'II Trimestre'!C21+'III Trimestre'!C21</f>
        <v>2132050612.5</v>
      </c>
      <c r="D21" s="9">
        <f>+'I Trimestre'!D21+'II Trimestre'!D21+'III Trimestre'!D21</f>
        <v>0</v>
      </c>
      <c r="E21" s="9">
        <f>+'I Trimestre'!E21+'II Trimestre'!E21+'III Trimestre'!E21</f>
        <v>67500000</v>
      </c>
    </row>
    <row r="22" spans="1:6">
      <c r="A22" s="4" t="s">
        <v>149</v>
      </c>
      <c r="B22" s="9">
        <f t="shared" ref="B22" si="2">SUM(C22:E22)</f>
        <v>2097111825.1300001</v>
      </c>
      <c r="C22" s="9">
        <f>+'I Trimestre'!C22+'II Trimestre'!C22+'III Trimestre'!C22</f>
        <v>2016243150.8700001</v>
      </c>
      <c r="D22" s="9">
        <f>+'I Trimestre'!D22+'II Trimestre'!D22+'III Trimestre'!D22</f>
        <v>0</v>
      </c>
      <c r="E22" s="9">
        <f>+'I Trimestre'!E22+'II Trimestre'!E22+'III Trimestre'!E22</f>
        <v>80868674.25999999</v>
      </c>
    </row>
    <row r="23" spans="1:6">
      <c r="A23" s="4" t="s">
        <v>91</v>
      </c>
      <c r="B23" s="7">
        <f>+'III Trimestre'!B23</f>
        <v>2932734150</v>
      </c>
      <c r="C23" s="7">
        <f>+'III Trimestre'!C23</f>
        <v>2842734150</v>
      </c>
      <c r="D23" s="7">
        <f>+'III Trimestre'!D23</f>
        <v>0</v>
      </c>
      <c r="E23" s="7">
        <f>+'III Trimestre'!E23</f>
        <v>90000000</v>
      </c>
    </row>
    <row r="24" spans="1:6">
      <c r="A24" s="4" t="s">
        <v>150</v>
      </c>
      <c r="B24" s="7">
        <f>C24</f>
        <v>2016243150.8700001</v>
      </c>
      <c r="C24" s="7">
        <f>C22</f>
        <v>2016243150.8700001</v>
      </c>
      <c r="D24" s="7"/>
    </row>
    <row r="25" spans="1:6">
      <c r="B25" s="7"/>
      <c r="C25" s="7"/>
      <c r="D25" s="7"/>
    </row>
    <row r="26" spans="1:6">
      <c r="A26" s="8" t="s">
        <v>9</v>
      </c>
      <c r="B26" s="9"/>
      <c r="C26" s="9"/>
      <c r="D26" s="9"/>
    </row>
    <row r="27" spans="1:6">
      <c r="A27" s="10" t="s">
        <v>151</v>
      </c>
      <c r="B27" s="9">
        <f>B21</f>
        <v>2199550612.5</v>
      </c>
      <c r="C27" s="9"/>
      <c r="D27" s="9"/>
    </row>
    <row r="28" spans="1:6">
      <c r="A28" s="10" t="s">
        <v>152</v>
      </c>
      <c r="B28" s="7">
        <f>'I Trimestre'!B28+'II Trimestre'!B28+'III Trimestre'!B28</f>
        <v>2634980053.9699998</v>
      </c>
      <c r="C28" s="9"/>
      <c r="D28" s="9"/>
    </row>
    <row r="29" spans="1:6">
      <c r="A29" s="11"/>
      <c r="B29" s="11"/>
      <c r="C29" s="11"/>
      <c r="D29" s="11"/>
    </row>
    <row r="30" spans="1:6">
      <c r="A30" s="11" t="s">
        <v>10</v>
      </c>
      <c r="B30" s="11"/>
      <c r="C30" s="11"/>
      <c r="D30" s="11"/>
    </row>
    <row r="31" spans="1:6">
      <c r="A31" s="10" t="s">
        <v>79</v>
      </c>
      <c r="B31" s="11">
        <v>0.99</v>
      </c>
      <c r="C31" s="11">
        <v>0.99</v>
      </c>
      <c r="D31" s="11">
        <v>0.99</v>
      </c>
      <c r="E31" s="11">
        <v>0.99</v>
      </c>
    </row>
    <row r="32" spans="1:6">
      <c r="A32" s="10" t="s">
        <v>153</v>
      </c>
      <c r="B32" s="11">
        <v>1.01</v>
      </c>
      <c r="C32" s="11">
        <v>1.01</v>
      </c>
      <c r="D32" s="11">
        <v>1.01</v>
      </c>
      <c r="E32" s="11">
        <v>1.01</v>
      </c>
      <c r="F32" s="19"/>
    </row>
    <row r="33" spans="1:8">
      <c r="A33" s="10" t="s">
        <v>11</v>
      </c>
      <c r="B33" s="9">
        <v>486</v>
      </c>
      <c r="C33" s="9"/>
      <c r="D33" s="9"/>
    </row>
    <row r="34" spans="1:8">
      <c r="A34" s="11"/>
      <c r="B34" s="11"/>
      <c r="C34" s="11"/>
      <c r="D34" s="11"/>
    </row>
    <row r="35" spans="1:8">
      <c r="A35" s="12" t="s">
        <v>12</v>
      </c>
      <c r="B35" s="11"/>
      <c r="C35" s="11"/>
      <c r="D35" s="11"/>
    </row>
    <row r="36" spans="1:8">
      <c r="A36" s="11" t="s">
        <v>80</v>
      </c>
      <c r="B36" s="9">
        <f>B20/B31</f>
        <v>1210593515.7575758</v>
      </c>
      <c r="C36" s="9">
        <f t="shared" ref="C36:E36" si="3">C20/C31</f>
        <v>1177863453.6363635</v>
      </c>
      <c r="D36" s="9">
        <f t="shared" si="3"/>
        <v>0</v>
      </c>
      <c r="E36" s="9">
        <f t="shared" si="3"/>
        <v>32730062.121212121</v>
      </c>
    </row>
    <row r="37" spans="1:8">
      <c r="A37" s="11" t="s">
        <v>154</v>
      </c>
      <c r="B37" s="9">
        <f>B22/B32</f>
        <v>2076348341.7128713</v>
      </c>
      <c r="C37" s="9">
        <f t="shared" ref="C37:E37" si="4">C22/C32</f>
        <v>1996280347.3960397</v>
      </c>
      <c r="D37" s="9">
        <f t="shared" si="4"/>
        <v>0</v>
      </c>
      <c r="E37" s="9">
        <f t="shared" si="4"/>
        <v>80067994.316831678</v>
      </c>
    </row>
    <row r="38" spans="1:8">
      <c r="A38" s="11" t="s">
        <v>81</v>
      </c>
      <c r="B38" s="9">
        <f>B36/B10</f>
        <v>1940053.7111499612</v>
      </c>
      <c r="C38" s="9">
        <f t="shared" ref="C38" si="5">C36/C10</f>
        <v>1887601.6885198134</v>
      </c>
      <c r="D38" s="9">
        <f>D36/C10</f>
        <v>0</v>
      </c>
      <c r="E38" s="9">
        <f>E36/C10</f>
        <v>52452.022630147629</v>
      </c>
    </row>
    <row r="39" spans="1:8">
      <c r="A39" s="11" t="s">
        <v>155</v>
      </c>
      <c r="B39" s="9">
        <f>B37/B14</f>
        <v>1013841.9637269879</v>
      </c>
      <c r="C39" s="9">
        <f t="shared" ref="C39" si="6">C37/C14</f>
        <v>974746.26337697252</v>
      </c>
      <c r="D39" s="9">
        <f>D37/C14</f>
        <v>0</v>
      </c>
      <c r="E39" s="9">
        <f>E37/C14</f>
        <v>39095.700350015468</v>
      </c>
    </row>
    <row r="41" spans="1:8">
      <c r="A41" s="3" t="s">
        <v>13</v>
      </c>
    </row>
    <row r="43" spans="1:8">
      <c r="A43" t="s">
        <v>14</v>
      </c>
    </row>
    <row r="44" spans="1:8">
      <c r="A44" t="s">
        <v>15</v>
      </c>
      <c r="B44" s="26">
        <f>(B12/B33)*100</f>
        <v>154.32098765432099</v>
      </c>
      <c r="C44" s="15"/>
      <c r="D44" s="13"/>
      <c r="E44" s="11"/>
      <c r="F44" s="11"/>
      <c r="G44" s="11"/>
      <c r="H44" s="11"/>
    </row>
    <row r="45" spans="1:8">
      <c r="A45" t="s">
        <v>16</v>
      </c>
      <c r="B45" s="15">
        <f>(B14*100)/(B33)</f>
        <v>421.39917695473252</v>
      </c>
      <c r="C45" s="15"/>
      <c r="D45" s="13"/>
    </row>
    <row r="47" spans="1:8">
      <c r="A47" t="s">
        <v>17</v>
      </c>
    </row>
    <row r="48" spans="1:8">
      <c r="A48" t="s">
        <v>18</v>
      </c>
      <c r="B48" s="14">
        <f>(B14/B12)*100</f>
        <v>273.06666666666666</v>
      </c>
      <c r="C48" s="14">
        <f>(C10/C12)*100</f>
        <v>83.2</v>
      </c>
      <c r="D48" s="14"/>
    </row>
    <row r="49" spans="1:5">
      <c r="A49" t="s">
        <v>19</v>
      </c>
      <c r="B49" s="14">
        <f>B22/B21*100</f>
        <v>95.342740158474086</v>
      </c>
      <c r="C49" s="14">
        <f>C22/C21*100</f>
        <v>94.568259264060984</v>
      </c>
      <c r="D49" s="14" t="e">
        <f>D22/D21*100</f>
        <v>#DIV/0!</v>
      </c>
      <c r="E49" s="14">
        <f>E22/E21*100</f>
        <v>119.80544334814813</v>
      </c>
    </row>
    <row r="50" spans="1:5">
      <c r="A50" s="11" t="s">
        <v>20</v>
      </c>
      <c r="B50" s="13">
        <f>AVERAGE(B48:B49)</f>
        <v>184.20470341257038</v>
      </c>
      <c r="C50" s="13">
        <f>AVERAGE(C48:C49)</f>
        <v>88.884129632030493</v>
      </c>
      <c r="D50" s="13"/>
    </row>
    <row r="51" spans="1:5">
      <c r="A51" s="11"/>
      <c r="B51" s="13"/>
      <c r="C51" s="13"/>
      <c r="D51" s="13"/>
    </row>
    <row r="52" spans="1:5">
      <c r="A52" s="11" t="s">
        <v>21</v>
      </c>
      <c r="B52" s="11"/>
      <c r="C52" s="11"/>
      <c r="D52" s="11"/>
    </row>
    <row r="53" spans="1:5">
      <c r="A53" s="11" t="s">
        <v>22</v>
      </c>
      <c r="B53" s="13">
        <f>(B14/B16)*100</f>
        <v>204.8</v>
      </c>
      <c r="C53" s="13">
        <f>(C10/C16)*100</f>
        <v>62.4</v>
      </c>
      <c r="D53" s="13"/>
    </row>
    <row r="54" spans="1:5">
      <c r="A54" s="11" t="s">
        <v>23</v>
      </c>
      <c r="B54" s="13">
        <f>B22/B23*100</f>
        <v>71.507055118855561</v>
      </c>
      <c r="C54" s="13">
        <f>C22/C23*100</f>
        <v>70.926194448045734</v>
      </c>
      <c r="D54" s="13" t="e">
        <f>D22/D23*100</f>
        <v>#DIV/0!</v>
      </c>
      <c r="E54" s="13">
        <f>E22/E23*100</f>
        <v>89.854082511111102</v>
      </c>
    </row>
    <row r="55" spans="1:5">
      <c r="A55" s="11" t="s">
        <v>24</v>
      </c>
      <c r="B55" s="13">
        <f>(B53+B54)/2</f>
        <v>138.1535275594278</v>
      </c>
      <c r="C55" s="13">
        <f>(C53+C54)/2</f>
        <v>66.663097224022863</v>
      </c>
      <c r="D55" s="13"/>
    </row>
    <row r="56" spans="1:5">
      <c r="A56" s="11"/>
      <c r="B56" s="11"/>
      <c r="C56" s="11"/>
      <c r="D56" s="11"/>
    </row>
    <row r="57" spans="1:5">
      <c r="A57" s="11" t="s">
        <v>36</v>
      </c>
      <c r="B57" s="11"/>
      <c r="C57" s="11"/>
      <c r="D57" s="11"/>
    </row>
    <row r="58" spans="1:5">
      <c r="A58" s="11" t="s">
        <v>25</v>
      </c>
      <c r="B58" s="15">
        <f>(B24/B22)*100</f>
        <v>96.143807245234186</v>
      </c>
      <c r="C58" s="13"/>
      <c r="D58" s="13"/>
    </row>
    <row r="59" spans="1:5">
      <c r="A59" s="11"/>
      <c r="B59" s="11"/>
      <c r="C59" s="11"/>
      <c r="D59" s="11"/>
    </row>
    <row r="60" spans="1:5">
      <c r="A60" s="11" t="s">
        <v>26</v>
      </c>
      <c r="B60" s="11"/>
      <c r="C60" s="11"/>
      <c r="D60" s="11"/>
    </row>
    <row r="61" spans="1:5">
      <c r="A61" s="11" t="s">
        <v>27</v>
      </c>
      <c r="B61" s="14">
        <f>((B14/B10)-1)*100</f>
        <v>228.2051282051282</v>
      </c>
      <c r="C61" s="14">
        <f>((C14/C10)-1)*100</f>
        <v>228.2051282051282</v>
      </c>
      <c r="D61" s="13"/>
    </row>
    <row r="62" spans="1:5">
      <c r="A62" s="11" t="s">
        <v>28</v>
      </c>
      <c r="B62" s="14">
        <f>((B37/B36)-1)*100</f>
        <v>71.514906918489146</v>
      </c>
      <c r="C62" s="14">
        <f>((C37/C36)-1)*100</f>
        <v>69.483172368835739</v>
      </c>
      <c r="D62" s="14" t="e">
        <f t="shared" ref="D62:E62" si="7">((D37/D36)-1)*100</f>
        <v>#DIV/0!</v>
      </c>
      <c r="E62" s="14">
        <f t="shared" si="7"/>
        <v>144.63135456421935</v>
      </c>
    </row>
    <row r="63" spans="1:5">
      <c r="A63" s="11" t="s">
        <v>29</v>
      </c>
      <c r="B63" s="14">
        <f>((B39/B38)-1)*100</f>
        <v>-47.741551798272837</v>
      </c>
      <c r="C63" s="14">
        <f>((C39/C38)-1)*100</f>
        <v>-48.360595918870366</v>
      </c>
      <c r="D63" s="13"/>
    </row>
    <row r="64" spans="1:5">
      <c r="A64" s="11"/>
      <c r="B64" s="13"/>
      <c r="C64" s="13"/>
      <c r="D64" s="13"/>
    </row>
    <row r="65" spans="1:4">
      <c r="A65" s="11" t="s">
        <v>30</v>
      </c>
      <c r="B65" s="11"/>
      <c r="C65" s="11"/>
      <c r="D65" s="11"/>
    </row>
    <row r="66" spans="1:4">
      <c r="A66" t="s">
        <v>37</v>
      </c>
      <c r="B66" s="9">
        <f>B21/(B12*3)</f>
        <v>977578.05</v>
      </c>
      <c r="C66" s="9">
        <f>C21/(C12*3)</f>
        <v>947578.05</v>
      </c>
      <c r="D66" s="29"/>
    </row>
    <row r="67" spans="1:4">
      <c r="A67" t="s">
        <v>38</v>
      </c>
      <c r="B67" s="9">
        <f>B22/(B14*3)</f>
        <v>341326.79445475264</v>
      </c>
      <c r="C67" s="9">
        <f>C22/(C14*3)</f>
        <v>328164.5753369141</v>
      </c>
      <c r="D67" s="29"/>
    </row>
    <row r="68" spans="1:4">
      <c r="A68" t="s">
        <v>51</v>
      </c>
      <c r="B68" s="9"/>
      <c r="C68" s="9">
        <f>C22/C15</f>
        <v>482932.49122634734</v>
      </c>
      <c r="D68" s="9"/>
    </row>
    <row r="69" spans="1:4">
      <c r="A69" s="11" t="s">
        <v>31</v>
      </c>
      <c r="B69" s="9">
        <f>(B67/B66)*B50</f>
        <v>64.316093164429262</v>
      </c>
      <c r="C69" s="9">
        <f>(C67/C66)*C50</f>
        <v>30.782290339974114</v>
      </c>
      <c r="D69" s="13"/>
    </row>
    <row r="70" spans="1:4">
      <c r="A70" s="13" t="s">
        <v>49</v>
      </c>
      <c r="B70" s="9">
        <f>B21/B12</f>
        <v>2932734.15</v>
      </c>
      <c r="C70" s="9">
        <f>C21/C12</f>
        <v>2842734.15</v>
      </c>
      <c r="D70" s="13"/>
    </row>
    <row r="71" spans="1:4">
      <c r="A71" s="13" t="s">
        <v>50</v>
      </c>
      <c r="B71" s="9">
        <f>B22/(B14)</f>
        <v>1023980.3833642579</v>
      </c>
      <c r="C71" s="9">
        <f>C22/C14</f>
        <v>984493.72601074225</v>
      </c>
      <c r="D71" s="29"/>
    </row>
    <row r="72" spans="1:4">
      <c r="B72" s="9"/>
      <c r="C72" s="9"/>
      <c r="D72" s="14"/>
    </row>
    <row r="73" spans="1:4">
      <c r="A73" t="s">
        <v>32</v>
      </c>
      <c r="B73" s="14"/>
      <c r="C73" s="14"/>
      <c r="D73" s="14"/>
    </row>
    <row r="74" spans="1:4">
      <c r="A74" s="11" t="s">
        <v>33</v>
      </c>
      <c r="B74" s="13">
        <f>(B28/B27)*100</f>
        <v>119.79629106943315</v>
      </c>
      <c r="C74" s="13"/>
      <c r="D74" s="13"/>
    </row>
    <row r="75" spans="1:4">
      <c r="A75" s="11" t="s">
        <v>34</v>
      </c>
      <c r="B75" s="13">
        <f>(B22/B28)*100</f>
        <v>79.587388981194778</v>
      </c>
      <c r="C75" s="13"/>
      <c r="D75" s="13"/>
    </row>
    <row r="76" spans="1:4" ht="15.75" thickBot="1">
      <c r="A76" s="16"/>
      <c r="B76" s="16"/>
      <c r="C76" s="16"/>
      <c r="D76" s="16"/>
    </row>
    <row r="77" spans="1:4" ht="15.75" thickTop="1"/>
    <row r="78" spans="1:4">
      <c r="A78" t="s">
        <v>35</v>
      </c>
    </row>
    <row r="79" spans="1:4">
      <c r="A79" t="s">
        <v>98</v>
      </c>
    </row>
    <row r="80" spans="1:4">
      <c r="A80" t="s">
        <v>99</v>
      </c>
      <c r="B80" s="5"/>
      <c r="C80" s="5"/>
      <c r="D80" s="5"/>
    </row>
    <row r="82" spans="1:2">
      <c r="A82" s="33" t="s">
        <v>170</v>
      </c>
    </row>
    <row r="84" spans="1:2">
      <c r="A84" s="20"/>
    </row>
    <row r="85" spans="1:2">
      <c r="A85" s="21"/>
    </row>
    <row r="86" spans="1:2">
      <c r="A86" s="21"/>
    </row>
    <row r="88" spans="1:2">
      <c r="B88" s="28"/>
    </row>
  </sheetData>
  <mergeCells count="2">
    <mergeCell ref="A2:D2"/>
    <mergeCell ref="A4:A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H86"/>
  <sheetViews>
    <sheetView tabSelected="1" zoomScale="90" zoomScaleNormal="90" workbookViewId="0">
      <selection activeCell="A88" sqref="A88"/>
    </sheetView>
  </sheetViews>
  <sheetFormatPr baseColWidth="10" defaultColWidth="11.42578125" defaultRowHeight="1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6.85546875" bestFit="1" customWidth="1"/>
  </cols>
  <sheetData>
    <row r="2" spans="1:5" ht="15.75">
      <c r="A2" s="36" t="s">
        <v>156</v>
      </c>
      <c r="B2" s="36"/>
      <c r="C2" s="36"/>
      <c r="D2" s="36"/>
    </row>
    <row r="4" spans="1:5">
      <c r="A4" s="37" t="s">
        <v>0</v>
      </c>
      <c r="B4" s="39" t="s">
        <v>42</v>
      </c>
      <c r="C4" s="18" t="s">
        <v>2</v>
      </c>
      <c r="D4" s="1" t="s">
        <v>5</v>
      </c>
      <c r="E4" s="1" t="s">
        <v>43</v>
      </c>
    </row>
    <row r="5" spans="1:5" ht="15.75" thickBot="1">
      <c r="A5" s="38"/>
      <c r="B5" s="40"/>
      <c r="C5" s="2" t="s">
        <v>4</v>
      </c>
      <c r="D5" s="2" t="s">
        <v>41</v>
      </c>
      <c r="E5" s="2" t="s">
        <v>44</v>
      </c>
    </row>
    <row r="6" spans="1:5" ht="15.75" thickTop="1"/>
    <row r="7" spans="1:5">
      <c r="A7" s="3" t="s">
        <v>6</v>
      </c>
    </row>
    <row r="9" spans="1:5">
      <c r="A9" t="s">
        <v>7</v>
      </c>
    </row>
    <row r="10" spans="1:5">
      <c r="A10" s="10" t="s">
        <v>157</v>
      </c>
      <c r="B10" s="9">
        <f>C10</f>
        <v>1101</v>
      </c>
      <c r="C10" s="9">
        <v>1101</v>
      </c>
      <c r="D10" s="27"/>
      <c r="E10" s="11"/>
    </row>
    <row r="11" spans="1:5">
      <c r="A11" s="35" t="s">
        <v>4</v>
      </c>
      <c r="B11" s="9">
        <f>+'I Trimestre'!B11+'II Trimestre'!B11+'III Trimestre'!B11+'IV Trimestre'!B11</f>
        <v>2859</v>
      </c>
      <c r="C11" s="9">
        <f>+'I Trimestre'!C11+'II Trimestre'!C11+'III Trimestre'!C11+'IV Trimestre'!C11</f>
        <v>2859</v>
      </c>
      <c r="D11" s="27"/>
      <c r="E11" s="11"/>
    </row>
    <row r="12" spans="1:5">
      <c r="A12" s="10" t="s">
        <v>158</v>
      </c>
      <c r="B12" s="9">
        <f>C12</f>
        <v>1000</v>
      </c>
      <c r="C12" s="9">
        <f>+('I Trimestre'!C12+'II Trimestre'!C12+'III Trimestre'!C12+'IV Trimestre'!C12)</f>
        <v>1000</v>
      </c>
      <c r="D12" s="27"/>
      <c r="E12" s="11"/>
    </row>
    <row r="13" spans="1:5">
      <c r="A13" s="35" t="s">
        <v>4</v>
      </c>
      <c r="B13" s="9">
        <f>C13</f>
        <v>3000</v>
      </c>
      <c r="C13" s="9">
        <f>+('I Trimestre'!C13+'II Trimestre'!C13+'III Trimestre'!C13+'IV Trimestre'!C13)</f>
        <v>3000</v>
      </c>
      <c r="D13" s="27"/>
      <c r="E13" s="11"/>
    </row>
    <row r="14" spans="1:5">
      <c r="A14" s="10" t="s">
        <v>159</v>
      </c>
      <c r="B14" s="9">
        <f>C14</f>
        <v>2607</v>
      </c>
      <c r="C14" s="11">
        <v>2607</v>
      </c>
      <c r="D14" s="27"/>
      <c r="E14" s="11"/>
    </row>
    <row r="15" spans="1:5">
      <c r="A15" s="35" t="s">
        <v>4</v>
      </c>
      <c r="B15" s="9">
        <f>C15</f>
        <v>5651</v>
      </c>
      <c r="C15" s="9">
        <f>+('I Trimestre'!C15+'II Trimestre'!C15+'III Trimestre'!C15+'IV Trimestre'!C15)</f>
        <v>5651</v>
      </c>
      <c r="D15" s="27"/>
      <c r="E15" s="11"/>
    </row>
    <row r="16" spans="1:5">
      <c r="A16" s="10" t="s">
        <v>88</v>
      </c>
      <c r="B16" s="9">
        <f t="shared" ref="B16:B17" si="0">C16</f>
        <v>1000</v>
      </c>
      <c r="C16" s="9">
        <f>250*4</f>
        <v>1000</v>
      </c>
      <c r="D16" s="27"/>
      <c r="E16" s="11"/>
    </row>
    <row r="17" spans="1:6">
      <c r="A17" s="35" t="s">
        <v>4</v>
      </c>
      <c r="B17" s="9">
        <f t="shared" si="0"/>
        <v>3000</v>
      </c>
      <c r="C17" s="9">
        <f>'IV Trimestre'!C17</f>
        <v>3000</v>
      </c>
      <c r="D17" s="27"/>
      <c r="E17" s="11"/>
    </row>
    <row r="18" spans="1:6">
      <c r="B18" s="5"/>
      <c r="C18" s="5"/>
      <c r="D18" s="5"/>
    </row>
    <row r="19" spans="1:6">
      <c r="A19" s="6" t="s">
        <v>8</v>
      </c>
      <c r="B19" s="5"/>
      <c r="C19" s="5"/>
      <c r="D19" s="5"/>
    </row>
    <row r="20" spans="1:6">
      <c r="A20" s="4" t="s">
        <v>82</v>
      </c>
      <c r="B20" s="9">
        <f>SUM(C20:E20)</f>
        <v>1764797591.77</v>
      </c>
      <c r="C20" s="9">
        <f>+'I Trimestre'!C20+'II Trimestre'!C20+'III Trimestre'!C20+'IV Trimestre'!C20</f>
        <v>1708679826.6700001</v>
      </c>
      <c r="D20" s="9">
        <f>+'I Trimestre'!D20+'II Trimestre'!D20+'III Trimestre'!D20+'IV Trimestre'!D20</f>
        <v>0</v>
      </c>
      <c r="E20" s="9">
        <f>+'I Trimestre'!E20+'II Trimestre'!E20+'III Trimestre'!E20+'IV Trimestre'!E20</f>
        <v>56117765.100000001</v>
      </c>
      <c r="F20" s="19"/>
    </row>
    <row r="21" spans="1:6">
      <c r="A21" s="4" t="s">
        <v>160</v>
      </c>
      <c r="B21" s="9">
        <f>SUM(C21:E21)</f>
        <v>2932734150</v>
      </c>
      <c r="C21" s="9">
        <f>'IV Trimestre'!C23</f>
        <v>2842734150</v>
      </c>
      <c r="D21" s="9">
        <f>+'I Trimestre'!D21+'II Trimestre'!D21+'III Trimestre'!D21+'IV Trimestre'!D21</f>
        <v>0</v>
      </c>
      <c r="E21" s="9">
        <f>+'I Trimestre'!E21+'II Trimestre'!E21+'III Trimestre'!E21+'IV Trimestre'!E21</f>
        <v>90000000</v>
      </c>
    </row>
    <row r="22" spans="1:6">
      <c r="A22" s="4" t="s">
        <v>161</v>
      </c>
      <c r="B22" s="9">
        <f t="shared" ref="B22:B23" si="1">SUM(C22:E22)</f>
        <v>2877934215.1900001</v>
      </c>
      <c r="C22" s="9">
        <f>+'I Trimestre'!C22+'II Trimestre'!C22+'III Trimestre'!C22+'IV Trimestre'!C22</f>
        <v>2739770516.23</v>
      </c>
      <c r="D22" s="9">
        <f>+'I Trimestre'!D22+'II Trimestre'!D22+'III Trimestre'!D22+'IV Trimestre'!D22</f>
        <v>0</v>
      </c>
      <c r="E22" s="9">
        <f>+'I Trimestre'!E22+'II Trimestre'!E22+'III Trimestre'!E22+'IV Trimestre'!E22</f>
        <v>138163698.95999998</v>
      </c>
    </row>
    <row r="23" spans="1:6">
      <c r="A23" s="4" t="s">
        <v>91</v>
      </c>
      <c r="B23" s="9">
        <f t="shared" si="1"/>
        <v>2932734150</v>
      </c>
      <c r="C23" s="7">
        <f>+'IV Trimestre'!C23</f>
        <v>2842734150</v>
      </c>
      <c r="D23" s="7">
        <f>+'IV Trimestre'!D23</f>
        <v>0</v>
      </c>
      <c r="E23" s="7">
        <f>+'IV Trimestre'!E23</f>
        <v>90000000</v>
      </c>
    </row>
    <row r="24" spans="1:6">
      <c r="A24" s="4" t="s">
        <v>162</v>
      </c>
      <c r="B24" s="7">
        <f>C24</f>
        <v>2739770516.23</v>
      </c>
      <c r="C24" s="7">
        <f>C22</f>
        <v>2739770516.23</v>
      </c>
      <c r="D24" s="7">
        <f>D22</f>
        <v>0</v>
      </c>
    </row>
    <row r="25" spans="1:6">
      <c r="B25" s="7"/>
      <c r="C25" s="7"/>
      <c r="D25" s="7"/>
    </row>
    <row r="26" spans="1:6">
      <c r="A26" s="8" t="s">
        <v>9</v>
      </c>
      <c r="B26" s="9"/>
      <c r="C26" s="9"/>
      <c r="D26" s="9"/>
    </row>
    <row r="27" spans="1:6">
      <c r="A27" s="10" t="s">
        <v>163</v>
      </c>
      <c r="B27" s="9">
        <f>B21</f>
        <v>2932734150</v>
      </c>
      <c r="C27" s="9"/>
      <c r="D27" s="9"/>
    </row>
    <row r="28" spans="1:6">
      <c r="A28" s="10" t="s">
        <v>164</v>
      </c>
      <c r="B28" s="7">
        <f>'I Trimestre'!B28+'II Trimestre'!B28+'III Trimestre'!B28+'IV Trimestre'!B28</f>
        <v>3404672999.6899996</v>
      </c>
      <c r="C28" s="9"/>
      <c r="D28" s="9"/>
    </row>
    <row r="29" spans="1:6">
      <c r="A29" s="11"/>
      <c r="B29" s="11"/>
      <c r="C29" s="11"/>
      <c r="D29" s="11"/>
    </row>
    <row r="30" spans="1:6">
      <c r="A30" s="11" t="s">
        <v>10</v>
      </c>
      <c r="B30" s="11"/>
      <c r="C30" s="11"/>
      <c r="D30" s="11"/>
    </row>
    <row r="31" spans="1:6">
      <c r="A31" s="10" t="s">
        <v>83</v>
      </c>
      <c r="B31">
        <v>0.99</v>
      </c>
      <c r="C31">
        <v>0.99</v>
      </c>
      <c r="D31">
        <v>0.99</v>
      </c>
      <c r="E31">
        <v>0.99</v>
      </c>
    </row>
    <row r="32" spans="1:6">
      <c r="A32" s="10" t="s">
        <v>165</v>
      </c>
      <c r="B32">
        <v>1.01</v>
      </c>
      <c r="C32">
        <v>1.01</v>
      </c>
      <c r="D32">
        <v>1.01</v>
      </c>
      <c r="E32">
        <v>1.01</v>
      </c>
    </row>
    <row r="33" spans="1:8">
      <c r="A33" s="10" t="s">
        <v>11</v>
      </c>
      <c r="B33" s="9">
        <v>486</v>
      </c>
      <c r="C33" s="9"/>
      <c r="D33" s="9"/>
    </row>
    <row r="34" spans="1:8">
      <c r="A34" s="11"/>
      <c r="B34" s="11"/>
      <c r="C34" s="11"/>
      <c r="D34" s="11"/>
    </row>
    <row r="35" spans="1:8">
      <c r="A35" s="12" t="s">
        <v>12</v>
      </c>
      <c r="B35" s="11"/>
      <c r="C35" s="11"/>
      <c r="D35" s="11"/>
    </row>
    <row r="36" spans="1:8">
      <c r="A36" s="11" t="s">
        <v>84</v>
      </c>
      <c r="B36" s="9">
        <f>B20/B31</f>
        <v>1782623830.0707071</v>
      </c>
      <c r="C36" s="9">
        <f>C20/C31</f>
        <v>1725939218.8585858</v>
      </c>
      <c r="D36" s="9">
        <f>D20/D31</f>
        <v>0</v>
      </c>
      <c r="E36" s="9">
        <f>E20/E31</f>
        <v>56684611.212121211</v>
      </c>
    </row>
    <row r="37" spans="1:8">
      <c r="A37" s="11" t="s">
        <v>166</v>
      </c>
      <c r="B37" s="9">
        <f>B22/B32</f>
        <v>2849439817.0198021</v>
      </c>
      <c r="C37" s="9">
        <f t="shared" ref="C37:E37" si="2">C22/C32</f>
        <v>2712644075.4752474</v>
      </c>
      <c r="D37" s="9">
        <f t="shared" si="2"/>
        <v>0</v>
      </c>
      <c r="E37" s="9">
        <f t="shared" si="2"/>
        <v>136795741.54455444</v>
      </c>
    </row>
    <row r="38" spans="1:8">
      <c r="A38" s="11" t="s">
        <v>85</v>
      </c>
      <c r="B38" s="9">
        <f>B36/B10</f>
        <v>1619095.2135065459</v>
      </c>
      <c r="C38" s="9">
        <f t="shared" ref="C38" si="3">C36/C10</f>
        <v>1567610.5530050735</v>
      </c>
      <c r="D38" s="30">
        <f>D36/C10</f>
        <v>0</v>
      </c>
      <c r="E38" s="30">
        <f>E36/C10</f>
        <v>51484.660501472492</v>
      </c>
    </row>
    <row r="39" spans="1:8">
      <c r="A39" s="11" t="s">
        <v>167</v>
      </c>
      <c r="B39" s="9">
        <f>B37/B14</f>
        <v>1092995.7104026859</v>
      </c>
      <c r="C39" s="9">
        <f t="shared" ref="C39" si="4">C37/C14</f>
        <v>1040523.2357020512</v>
      </c>
      <c r="D39" s="9">
        <f>D37/C14</f>
        <v>0</v>
      </c>
      <c r="E39" s="9">
        <f>E37/C14</f>
        <v>52472.474700634615</v>
      </c>
    </row>
    <row r="41" spans="1:8">
      <c r="A41" s="3" t="s">
        <v>13</v>
      </c>
    </row>
    <row r="43" spans="1:8">
      <c r="A43" t="s">
        <v>14</v>
      </c>
    </row>
    <row r="44" spans="1:8">
      <c r="A44" t="s">
        <v>15</v>
      </c>
      <c r="B44" s="26">
        <f>(B12/B33)*100</f>
        <v>205.76131687242798</v>
      </c>
      <c r="C44" s="15"/>
      <c r="D44" s="13"/>
      <c r="E44" s="11"/>
      <c r="F44" s="11"/>
      <c r="G44" s="11"/>
      <c r="H44" s="11"/>
    </row>
    <row r="45" spans="1:8">
      <c r="A45" t="s">
        <v>16</v>
      </c>
      <c r="B45" s="15">
        <f>(B14*100)/(B33)</f>
        <v>536.41975308641975</v>
      </c>
      <c r="C45" s="15"/>
      <c r="D45" s="13"/>
    </row>
    <row r="47" spans="1:8">
      <c r="A47" s="11" t="s">
        <v>17</v>
      </c>
    </row>
    <row r="48" spans="1:8">
      <c r="A48" t="s">
        <v>18</v>
      </c>
      <c r="B48" s="14">
        <f>(B14/B12)*100</f>
        <v>260.70000000000005</v>
      </c>
      <c r="C48" s="14">
        <f>(C14/C12)*100</f>
        <v>260.70000000000005</v>
      </c>
      <c r="D48" s="14"/>
      <c r="E48">
        <v>0</v>
      </c>
    </row>
    <row r="49" spans="1:5">
      <c r="A49" t="s">
        <v>19</v>
      </c>
      <c r="B49" s="14">
        <f>B22/B21*100</f>
        <v>98.131438718712374</v>
      </c>
      <c r="C49" s="14">
        <f t="shared" ref="C49:E49" si="5">C22/C21*100</f>
        <v>96.378006934978416</v>
      </c>
      <c r="D49" s="14" t="e">
        <f t="shared" si="5"/>
        <v>#DIV/0!</v>
      </c>
      <c r="E49" s="14">
        <f t="shared" si="5"/>
        <v>153.51522106666664</v>
      </c>
    </row>
    <row r="50" spans="1:5">
      <c r="A50" s="11" t="s">
        <v>20</v>
      </c>
      <c r="B50" s="13">
        <f>AVERAGE(B48:B49)</f>
        <v>179.41571935935622</v>
      </c>
      <c r="C50" s="13">
        <f t="shared" ref="C50:E50" si="6">AVERAGE(C48:C49)</f>
        <v>178.53900346748924</v>
      </c>
      <c r="D50" s="13" t="e">
        <f t="shared" si="6"/>
        <v>#DIV/0!</v>
      </c>
      <c r="E50" s="13">
        <f t="shared" si="6"/>
        <v>76.75761053333332</v>
      </c>
    </row>
    <row r="51" spans="1:5">
      <c r="A51" s="11"/>
      <c r="B51" s="13"/>
      <c r="C51" s="13"/>
      <c r="D51" s="13"/>
    </row>
    <row r="52" spans="1:5">
      <c r="A52" s="11" t="s">
        <v>21</v>
      </c>
      <c r="B52" s="11"/>
      <c r="C52" s="11"/>
      <c r="D52" s="11"/>
    </row>
    <row r="53" spans="1:5">
      <c r="A53" s="11" t="s">
        <v>22</v>
      </c>
      <c r="B53" s="13">
        <f>(B14/B16)*100</f>
        <v>260.70000000000005</v>
      </c>
      <c r="C53" s="13">
        <f>(C14/C16)*100</f>
        <v>260.70000000000005</v>
      </c>
      <c r="D53" s="13"/>
    </row>
    <row r="54" spans="1:5">
      <c r="A54" s="11" t="s">
        <v>23</v>
      </c>
      <c r="B54" s="13">
        <f>B22/B23*100</f>
        <v>98.131438718712374</v>
      </c>
      <c r="C54" s="13">
        <f t="shared" ref="C54:E54" si="7">C22/C23*100</f>
        <v>96.378006934978416</v>
      </c>
      <c r="D54" s="13" t="e">
        <f t="shared" si="7"/>
        <v>#DIV/0!</v>
      </c>
      <c r="E54" s="13">
        <f t="shared" si="7"/>
        <v>153.51522106666664</v>
      </c>
    </row>
    <row r="55" spans="1:5">
      <c r="A55" s="11" t="s">
        <v>24</v>
      </c>
      <c r="B55" s="13">
        <f>(B53+B54)/2</f>
        <v>179.41571935935622</v>
      </c>
      <c r="C55" s="13">
        <f t="shared" ref="C55:E55" si="8">(C53+C54)/2</f>
        <v>178.53900346748924</v>
      </c>
      <c r="D55" s="13" t="e">
        <f t="shared" si="8"/>
        <v>#DIV/0!</v>
      </c>
      <c r="E55" s="13">
        <f t="shared" si="8"/>
        <v>76.75761053333332</v>
      </c>
    </row>
    <row r="56" spans="1:5">
      <c r="A56" s="11"/>
      <c r="B56" s="11"/>
      <c r="C56" s="11"/>
      <c r="D56" s="11"/>
    </row>
    <row r="57" spans="1:5">
      <c r="A57" s="11" t="s">
        <v>36</v>
      </c>
      <c r="B57" s="11"/>
      <c r="C57" s="11"/>
      <c r="D57" s="11"/>
    </row>
    <row r="58" spans="1:5">
      <c r="A58" s="11" t="s">
        <v>25</v>
      </c>
      <c r="B58" s="15">
        <f>(B24/B22)*100</f>
        <v>95.199205797312544</v>
      </c>
      <c r="C58" s="13"/>
      <c r="D58" s="13"/>
    </row>
    <row r="59" spans="1:5">
      <c r="A59" s="11"/>
      <c r="B59" s="11"/>
      <c r="C59" s="11"/>
      <c r="D59" s="11"/>
    </row>
    <row r="60" spans="1:5">
      <c r="A60" s="11" t="s">
        <v>26</v>
      </c>
      <c r="B60" s="11"/>
      <c r="C60" s="11"/>
      <c r="D60" s="11"/>
    </row>
    <row r="61" spans="1:5">
      <c r="A61" s="11" t="s">
        <v>27</v>
      </c>
      <c r="B61" s="14">
        <f>((B14/B10)-1)*100</f>
        <v>136.78474114441417</v>
      </c>
      <c r="C61" s="14">
        <f>((C14/C10)-1)*100</f>
        <v>136.78474114441417</v>
      </c>
      <c r="D61" s="13"/>
    </row>
    <row r="62" spans="1:5">
      <c r="A62" s="11" t="s">
        <v>28</v>
      </c>
      <c r="B62" s="14">
        <f>((B37/B36)-1)*100</f>
        <v>59.845266788943349</v>
      </c>
      <c r="C62" s="14">
        <f t="shared" ref="C62:E62" si="9">((C37/C36)-1)*100</f>
        <v>57.169154384775986</v>
      </c>
      <c r="D62" s="14" t="e">
        <f t="shared" si="9"/>
        <v>#DIV/0!</v>
      </c>
      <c r="E62" s="14">
        <f t="shared" si="9"/>
        <v>141.32782887518965</v>
      </c>
    </row>
    <row r="63" spans="1:5">
      <c r="A63" s="11" t="s">
        <v>29</v>
      </c>
      <c r="B63" s="14">
        <f>((B39/B38)-1)*100</f>
        <v>-32.493425878547512</v>
      </c>
      <c r="C63" s="14">
        <f t="shared" ref="C63:E63" si="10">((C39/C38)-1)*100</f>
        <v>-33.623613740836845</v>
      </c>
      <c r="D63" s="14" t="e">
        <f t="shared" si="10"/>
        <v>#DIV/0!</v>
      </c>
      <c r="E63" s="14">
        <f t="shared" si="10"/>
        <v>1.9186573040214094</v>
      </c>
    </row>
    <row r="64" spans="1:5">
      <c r="A64" s="11"/>
      <c r="B64" s="13"/>
      <c r="C64" s="13"/>
      <c r="D64" s="13"/>
    </row>
    <row r="65" spans="1:5">
      <c r="A65" s="11" t="s">
        <v>30</v>
      </c>
      <c r="B65" s="11"/>
      <c r="C65" s="11"/>
      <c r="D65" s="11"/>
    </row>
    <row r="66" spans="1:5">
      <c r="A66" t="s">
        <v>37</v>
      </c>
      <c r="B66" s="30">
        <f>B21/(B12*3)</f>
        <v>977578.05</v>
      </c>
      <c r="C66" s="30">
        <f>C21/(C12*3)</f>
        <v>947578.05</v>
      </c>
      <c r="D66" s="29"/>
    </row>
    <row r="67" spans="1:5">
      <c r="A67" t="s">
        <v>38</v>
      </c>
      <c r="B67" s="30">
        <f>B22/(B14*3)</f>
        <v>367975.22250223759</v>
      </c>
      <c r="C67" s="30">
        <f>C22/(C14*3)</f>
        <v>350309.48935302394</v>
      </c>
      <c r="D67" s="9"/>
    </row>
    <row r="68" spans="1:5">
      <c r="A68" t="s">
        <v>51</v>
      </c>
      <c r="B68" s="9"/>
      <c r="C68" s="9">
        <f>C22/C15</f>
        <v>484829.32511590869</v>
      </c>
      <c r="D68" s="9"/>
    </row>
    <row r="69" spans="1:5">
      <c r="A69" s="11" t="s">
        <v>31</v>
      </c>
      <c r="B69" s="9">
        <f>(B67/B66)*B50</f>
        <v>67.534801187136026</v>
      </c>
      <c r="C69" s="9">
        <f>(C67/C66)*C50</f>
        <v>66.003963614705853</v>
      </c>
      <c r="D69" s="13"/>
    </row>
    <row r="70" spans="1:5">
      <c r="A70" s="13" t="s">
        <v>45</v>
      </c>
      <c r="B70" s="9">
        <f>B21/B12</f>
        <v>2932734.15</v>
      </c>
      <c r="C70" s="9">
        <f>C21/C12</f>
        <v>2842734.15</v>
      </c>
      <c r="D70" s="13"/>
    </row>
    <row r="71" spans="1:5">
      <c r="A71" s="13" t="s">
        <v>46</v>
      </c>
      <c r="B71" s="9">
        <f>B22/(B14)</f>
        <v>1103925.6675067127</v>
      </c>
      <c r="C71" s="9">
        <f>C22/(C14)</f>
        <v>1050928.4680590718</v>
      </c>
      <c r="D71" s="13"/>
    </row>
    <row r="72" spans="1:5">
      <c r="B72" s="9"/>
      <c r="C72" s="9"/>
      <c r="D72" s="14"/>
    </row>
    <row r="73" spans="1:5">
      <c r="A73" t="s">
        <v>32</v>
      </c>
      <c r="B73" s="14"/>
      <c r="C73" s="14"/>
      <c r="D73" s="14"/>
    </row>
    <row r="74" spans="1:5">
      <c r="A74" s="11" t="s">
        <v>33</v>
      </c>
      <c r="B74" s="13">
        <f>(B28/B27)*100</f>
        <v>116.09211150932313</v>
      </c>
      <c r="C74" s="13"/>
      <c r="D74" s="13"/>
    </row>
    <row r="75" spans="1:5">
      <c r="A75" s="11" t="s">
        <v>34</v>
      </c>
      <c r="B75" s="13">
        <f>(B22/B28)*100</f>
        <v>84.528946405485641</v>
      </c>
      <c r="C75" s="13"/>
      <c r="D75" s="13"/>
    </row>
    <row r="76" spans="1:5" ht="15.75" thickBot="1">
      <c r="A76" s="16"/>
      <c r="B76" s="16"/>
      <c r="C76" s="16"/>
      <c r="D76" s="16"/>
      <c r="E76" s="16"/>
    </row>
    <row r="77" spans="1:5" ht="15.75" thickTop="1"/>
    <row r="78" spans="1:5">
      <c r="A78" t="s">
        <v>35</v>
      </c>
    </row>
    <row r="79" spans="1:5">
      <c r="A79" t="s">
        <v>98</v>
      </c>
    </row>
    <row r="80" spans="1:5">
      <c r="A80" t="s">
        <v>99</v>
      </c>
      <c r="B80" s="5"/>
      <c r="C80" s="5"/>
      <c r="D80" s="5"/>
    </row>
    <row r="82" spans="1:1">
      <c r="A82" s="33" t="s">
        <v>170</v>
      </c>
    </row>
    <row r="84" spans="1:1">
      <c r="A84" s="20"/>
    </row>
    <row r="85" spans="1:1">
      <c r="A85" s="21"/>
    </row>
    <row r="86" spans="1:1">
      <c r="A86" s="21"/>
    </row>
  </sheetData>
  <mergeCells count="3">
    <mergeCell ref="A2:D2"/>
    <mergeCell ref="A4:A5"/>
    <mergeCell ref="B4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4" sqref="G34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3 Trimestre Acumulado</vt:lpstr>
      <vt:lpstr>Anual</vt:lpstr>
      <vt:lpstr>Hoja1</vt:lpstr>
    </vt:vector>
  </TitlesOfParts>
  <Company>FAM ASTORGA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NASTORGA</dc:creator>
  <cp:lastModifiedBy>horacio</cp:lastModifiedBy>
  <dcterms:created xsi:type="dcterms:W3CDTF">2012-04-21T15:36:23Z</dcterms:created>
  <dcterms:modified xsi:type="dcterms:W3CDTF">2018-03-08T18:12:23Z</dcterms:modified>
</cp:coreProperties>
</file>