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PANI\Indicadores\"/>
    </mc:Choice>
  </mc:AlternateContent>
  <bookViews>
    <workbookView xWindow="0" yWindow="0" windowWidth="15600" windowHeight="9240" tabRatio="738" activeTab="6"/>
  </bookViews>
  <sheets>
    <sheet name="I Trimestre" sheetId="1" r:id="rId1"/>
    <sheet name="II trimestre" sheetId="2" r:id="rId2"/>
    <sheet name="III Trimestre" sheetId="3" r:id="rId3"/>
    <sheet name="IV Trimestre" sheetId="4" r:id="rId4"/>
    <sheet name="I Semestre" sheetId="6" r:id="rId5"/>
    <sheet name="III Trimestre Acumulado" sheetId="7" r:id="rId6"/>
    <sheet name="Anual" sheetId="5" r:id="rId7"/>
    <sheet name="Hoja3" sheetId="10" r:id="rId8"/>
  </sheets>
  <calcPr calcId="152511"/>
</workbook>
</file>

<file path=xl/calcChain.xml><?xml version="1.0" encoding="utf-8"?>
<calcChain xmlns="http://schemas.openxmlformats.org/spreadsheetml/2006/main">
  <c r="B12" i="5" l="1"/>
  <c r="C12" i="5"/>
  <c r="C12" i="6"/>
  <c r="C12" i="7"/>
  <c r="C11" i="7"/>
  <c r="C11" i="6"/>
  <c r="C62" i="6" s="1"/>
  <c r="C11" i="5"/>
  <c r="D11" i="5"/>
  <c r="E11" i="5"/>
  <c r="F11" i="5"/>
  <c r="F44" i="5" s="1"/>
  <c r="G11" i="5"/>
  <c r="H11" i="5"/>
  <c r="C13" i="5"/>
  <c r="D13" i="5"/>
  <c r="E13" i="5"/>
  <c r="F13" i="5"/>
  <c r="G13" i="5"/>
  <c r="H13" i="5"/>
  <c r="C10" i="5"/>
  <c r="D10" i="5"/>
  <c r="E10" i="5"/>
  <c r="F10" i="5"/>
  <c r="G10" i="5"/>
  <c r="H10" i="5"/>
  <c r="I10" i="5"/>
  <c r="J10" i="5"/>
  <c r="J57" i="5" s="1"/>
  <c r="J18" i="5"/>
  <c r="D18" i="5"/>
  <c r="D20" i="5"/>
  <c r="E18" i="5"/>
  <c r="E20" i="5"/>
  <c r="F18" i="5"/>
  <c r="F20" i="5"/>
  <c r="I18" i="5"/>
  <c r="I20" i="5"/>
  <c r="G18" i="5"/>
  <c r="G20" i="5"/>
  <c r="H18" i="5"/>
  <c r="H20" i="5"/>
  <c r="J13" i="5"/>
  <c r="J49" i="5" s="1"/>
  <c r="J51" i="5" s="1"/>
  <c r="J12" i="5"/>
  <c r="J11" i="5"/>
  <c r="C17" i="5"/>
  <c r="C62" i="5"/>
  <c r="C44" i="5"/>
  <c r="C18" i="5"/>
  <c r="C45" i="5"/>
  <c r="C63" i="5"/>
  <c r="D12" i="5"/>
  <c r="D17" i="5"/>
  <c r="D44" i="5"/>
  <c r="E12" i="5"/>
  <c r="E63" i="5" s="1"/>
  <c r="E17" i="5"/>
  <c r="E44" i="5"/>
  <c r="F12" i="5"/>
  <c r="F63" i="5" s="1"/>
  <c r="F17" i="5"/>
  <c r="G17" i="5"/>
  <c r="G62" i="5" s="1"/>
  <c r="G12" i="5"/>
  <c r="G45" i="5"/>
  <c r="H17" i="5"/>
  <c r="H62" i="5" s="1"/>
  <c r="H12" i="5"/>
  <c r="H45" i="5"/>
  <c r="I12" i="5"/>
  <c r="I17" i="5"/>
  <c r="I11" i="5"/>
  <c r="J17" i="5"/>
  <c r="J62" i="5"/>
  <c r="C64" i="2"/>
  <c r="I64" i="1"/>
  <c r="J20" i="4"/>
  <c r="K20" i="4"/>
  <c r="B13" i="4"/>
  <c r="B10" i="4"/>
  <c r="J19" i="7"/>
  <c r="K19" i="7"/>
  <c r="J18" i="7"/>
  <c r="J66" i="7" s="1"/>
  <c r="K18" i="7"/>
  <c r="J17" i="7"/>
  <c r="K17" i="7"/>
  <c r="J16" i="7"/>
  <c r="K16" i="7"/>
  <c r="J13" i="7"/>
  <c r="K13" i="7"/>
  <c r="J12" i="7"/>
  <c r="K12" i="7"/>
  <c r="J11" i="7"/>
  <c r="K11" i="7"/>
  <c r="J10" i="7"/>
  <c r="K10" i="7"/>
  <c r="B12" i="3"/>
  <c r="B13" i="3"/>
  <c r="B49" i="3" s="1"/>
  <c r="B11" i="3"/>
  <c r="B13" i="2"/>
  <c r="B49" i="2" s="1"/>
  <c r="B12" i="2"/>
  <c r="B11" i="2"/>
  <c r="B13" i="1"/>
  <c r="B12" i="1"/>
  <c r="B49" i="1" s="1"/>
  <c r="B11" i="1"/>
  <c r="B10" i="3"/>
  <c r="K35" i="1"/>
  <c r="K59" i="1" s="1"/>
  <c r="K34" i="1"/>
  <c r="C19" i="5"/>
  <c r="K49" i="7"/>
  <c r="C19" i="7"/>
  <c r="B19" i="7" s="1"/>
  <c r="C13" i="7"/>
  <c r="C10" i="7"/>
  <c r="K49" i="6"/>
  <c r="C19" i="6"/>
  <c r="C50" i="6" s="1"/>
  <c r="C66" i="6"/>
  <c r="C13" i="6"/>
  <c r="C10" i="6"/>
  <c r="C49" i="4"/>
  <c r="D49" i="4"/>
  <c r="D51" i="4" s="1"/>
  <c r="E49" i="4"/>
  <c r="F49" i="4"/>
  <c r="G49" i="4"/>
  <c r="H49" i="4"/>
  <c r="H51" i="4" s="1"/>
  <c r="I49" i="4"/>
  <c r="J49" i="4"/>
  <c r="J51" i="4" s="1"/>
  <c r="K49" i="4"/>
  <c r="B11" i="4"/>
  <c r="B65" i="4" s="1"/>
  <c r="B12" i="4"/>
  <c r="B49" i="4"/>
  <c r="C49" i="3"/>
  <c r="D49" i="3"/>
  <c r="D51" i="3" s="1"/>
  <c r="E49" i="3"/>
  <c r="F49" i="3"/>
  <c r="G49" i="3"/>
  <c r="H49" i="3"/>
  <c r="H51" i="3" s="1"/>
  <c r="I49" i="3"/>
  <c r="J49" i="3"/>
  <c r="J51" i="3" s="1"/>
  <c r="K49" i="3"/>
  <c r="C49" i="2"/>
  <c r="C51" i="2" s="1"/>
  <c r="D49" i="2"/>
  <c r="E49" i="2"/>
  <c r="F49" i="2"/>
  <c r="G49" i="2"/>
  <c r="G51" i="2" s="1"/>
  <c r="H49" i="2"/>
  <c r="I49" i="2"/>
  <c r="J49" i="2"/>
  <c r="K49" i="2"/>
  <c r="K51" i="2" s="1"/>
  <c r="B10" i="2"/>
  <c r="C49" i="7"/>
  <c r="B10" i="1"/>
  <c r="I19" i="5"/>
  <c r="I50" i="5" s="1"/>
  <c r="I51" i="5" s="1"/>
  <c r="J19" i="5"/>
  <c r="J66" i="5"/>
  <c r="H16" i="5"/>
  <c r="H32" i="5" s="1"/>
  <c r="I16" i="5"/>
  <c r="I32" i="5" s="1"/>
  <c r="J16" i="5"/>
  <c r="J32" i="5" s="1"/>
  <c r="J34" i="5" s="1"/>
  <c r="C16" i="5"/>
  <c r="C32" i="5"/>
  <c r="I13" i="5"/>
  <c r="K57" i="7"/>
  <c r="K44" i="7"/>
  <c r="K46" i="7"/>
  <c r="K64" i="7" s="1"/>
  <c r="I19" i="7"/>
  <c r="I18" i="7"/>
  <c r="I17" i="7"/>
  <c r="I65" i="7" s="1"/>
  <c r="K65" i="7"/>
  <c r="I16" i="7"/>
  <c r="I32" i="7" s="1"/>
  <c r="I34" i="7" s="1"/>
  <c r="J32" i="7"/>
  <c r="J34" i="7" s="1"/>
  <c r="K32" i="7"/>
  <c r="K34" i="7"/>
  <c r="K59" i="7" s="1"/>
  <c r="C17" i="7"/>
  <c r="C18" i="7"/>
  <c r="C16" i="7"/>
  <c r="K50" i="7"/>
  <c r="K51" i="7" s="1"/>
  <c r="C34" i="5"/>
  <c r="I49" i="5"/>
  <c r="C57" i="5"/>
  <c r="C50" i="5"/>
  <c r="C66" i="5"/>
  <c r="C33" i="5"/>
  <c r="C65" i="5"/>
  <c r="C32" i="7"/>
  <c r="K33" i="7"/>
  <c r="C45" i="7"/>
  <c r="K62" i="7"/>
  <c r="K63" i="7"/>
  <c r="K66" i="7"/>
  <c r="I33" i="5"/>
  <c r="I57" i="5"/>
  <c r="J45" i="7"/>
  <c r="J50" i="5"/>
  <c r="I66" i="5"/>
  <c r="K45" i="7"/>
  <c r="J33" i="7"/>
  <c r="H13" i="7"/>
  <c r="I13" i="7"/>
  <c r="H12" i="7"/>
  <c r="I12" i="7"/>
  <c r="H11" i="7"/>
  <c r="H44" i="7" s="1"/>
  <c r="I11" i="7"/>
  <c r="D11" i="7"/>
  <c r="E11" i="7"/>
  <c r="F11" i="7"/>
  <c r="G11" i="7"/>
  <c r="H10" i="7"/>
  <c r="H57" i="7" s="1"/>
  <c r="I10" i="7"/>
  <c r="D10" i="7"/>
  <c r="E10" i="7"/>
  <c r="F10" i="7"/>
  <c r="G10" i="7"/>
  <c r="K57" i="6"/>
  <c r="K44" i="6"/>
  <c r="K46" i="6"/>
  <c r="C66" i="4"/>
  <c r="C65" i="4"/>
  <c r="C63" i="4"/>
  <c r="C62" i="4"/>
  <c r="C64" i="4" s="1"/>
  <c r="C57" i="4"/>
  <c r="C50" i="4"/>
  <c r="C51" i="4" s="1"/>
  <c r="C45" i="4"/>
  <c r="C46" i="4" s="1"/>
  <c r="C44" i="4"/>
  <c r="C66" i="3"/>
  <c r="C65" i="3"/>
  <c r="C63" i="3"/>
  <c r="C62" i="3"/>
  <c r="C57" i="3"/>
  <c r="C50" i="3"/>
  <c r="C51" i="3" s="1"/>
  <c r="C45" i="3"/>
  <c r="C44" i="3"/>
  <c r="C46" i="3"/>
  <c r="C64" i="3" s="1"/>
  <c r="C66" i="2"/>
  <c r="C65" i="2"/>
  <c r="C66" i="1"/>
  <c r="C65" i="1"/>
  <c r="H49" i="7"/>
  <c r="J63" i="7"/>
  <c r="C62" i="7"/>
  <c r="I62" i="7"/>
  <c r="J44" i="7"/>
  <c r="J46" i="7" s="1"/>
  <c r="K58" i="7"/>
  <c r="K35" i="7"/>
  <c r="I19" i="6"/>
  <c r="J19" i="6"/>
  <c r="J50" i="6" s="1"/>
  <c r="K19" i="6"/>
  <c r="I18" i="6"/>
  <c r="I63" i="6" s="1"/>
  <c r="J18" i="6"/>
  <c r="K18" i="6"/>
  <c r="I17" i="6"/>
  <c r="J17" i="6"/>
  <c r="K17" i="6"/>
  <c r="I16" i="6"/>
  <c r="I32" i="6"/>
  <c r="I34" i="6" s="1"/>
  <c r="J16" i="6"/>
  <c r="J32" i="6"/>
  <c r="K16" i="6"/>
  <c r="K32" i="6"/>
  <c r="C17" i="6"/>
  <c r="C18" i="6"/>
  <c r="C16" i="6"/>
  <c r="C32" i="6" s="1"/>
  <c r="H13" i="6"/>
  <c r="I13" i="6"/>
  <c r="J13" i="6"/>
  <c r="H12" i="6"/>
  <c r="I12" i="6"/>
  <c r="J12" i="6"/>
  <c r="J44" i="6" s="1"/>
  <c r="J46" i="6" s="1"/>
  <c r="H11" i="6"/>
  <c r="I11" i="6"/>
  <c r="J11" i="6"/>
  <c r="H10" i="6"/>
  <c r="I10" i="6"/>
  <c r="J10" i="6"/>
  <c r="I49" i="6"/>
  <c r="K65" i="6"/>
  <c r="I44" i="6"/>
  <c r="I57" i="6"/>
  <c r="C45" i="6"/>
  <c r="C33" i="6"/>
  <c r="K50" i="6"/>
  <c r="K51" i="6"/>
  <c r="K33" i="6"/>
  <c r="K66" i="6"/>
  <c r="K63" i="6"/>
  <c r="J34" i="6"/>
  <c r="H57" i="6"/>
  <c r="J33" i="6"/>
  <c r="J58" i="6" s="1"/>
  <c r="J45" i="6"/>
  <c r="J65" i="6"/>
  <c r="J62" i="6"/>
  <c r="I66" i="6"/>
  <c r="I33" i="6"/>
  <c r="H66" i="4"/>
  <c r="I66" i="4"/>
  <c r="J66" i="4"/>
  <c r="K66" i="4"/>
  <c r="H65" i="4"/>
  <c r="I65" i="4"/>
  <c r="J65" i="4"/>
  <c r="K65" i="4"/>
  <c r="H63" i="4"/>
  <c r="I63" i="4"/>
  <c r="J63" i="4"/>
  <c r="K63" i="4"/>
  <c r="H62" i="4"/>
  <c r="I62" i="4"/>
  <c r="J62" i="4"/>
  <c r="K62" i="4"/>
  <c r="H57" i="4"/>
  <c r="I57" i="4"/>
  <c r="J57" i="4"/>
  <c r="K57" i="4"/>
  <c r="H50" i="4"/>
  <c r="I50" i="4"/>
  <c r="J50" i="4"/>
  <c r="K50" i="4"/>
  <c r="I51" i="4"/>
  <c r="K51" i="4"/>
  <c r="H45" i="4"/>
  <c r="I45" i="4"/>
  <c r="J45" i="4"/>
  <c r="K45" i="4"/>
  <c r="H44" i="4"/>
  <c r="H46" i="4" s="1"/>
  <c r="I44" i="4"/>
  <c r="I46" i="4" s="1"/>
  <c r="I64" i="4" s="1"/>
  <c r="J44" i="4"/>
  <c r="J46" i="4" s="1"/>
  <c r="K44" i="4"/>
  <c r="K46" i="4" s="1"/>
  <c r="K64" i="4" s="1"/>
  <c r="C33" i="4"/>
  <c r="C35" i="4" s="1"/>
  <c r="C59" i="4" s="1"/>
  <c r="C32" i="4"/>
  <c r="C34" i="4" s="1"/>
  <c r="J32" i="4"/>
  <c r="G33" i="4"/>
  <c r="G58" i="4" s="1"/>
  <c r="H33" i="4"/>
  <c r="I33" i="4"/>
  <c r="I58" i="4" s="1"/>
  <c r="J33" i="4"/>
  <c r="K33" i="4"/>
  <c r="G32" i="4"/>
  <c r="G34" i="4"/>
  <c r="H32" i="4"/>
  <c r="H34" i="4"/>
  <c r="I32" i="4"/>
  <c r="I34" i="4"/>
  <c r="K32" i="4"/>
  <c r="K34" i="4"/>
  <c r="C20" i="4"/>
  <c r="H20" i="4"/>
  <c r="I20" i="4"/>
  <c r="B17" i="4"/>
  <c r="B18" i="4"/>
  <c r="B19" i="4"/>
  <c r="J35" i="4"/>
  <c r="I35" i="4"/>
  <c r="I59" i="4" s="1"/>
  <c r="H35" i="4"/>
  <c r="H58" i="4"/>
  <c r="J35" i="6"/>
  <c r="K35" i="6"/>
  <c r="B16" i="4"/>
  <c r="B32" i="4" s="1"/>
  <c r="H66" i="3"/>
  <c r="I66" i="3"/>
  <c r="J66" i="3"/>
  <c r="K66" i="3"/>
  <c r="H65" i="3"/>
  <c r="I65" i="3"/>
  <c r="J65" i="3"/>
  <c r="K65" i="3"/>
  <c r="H63" i="3"/>
  <c r="I63" i="3"/>
  <c r="J63" i="3"/>
  <c r="K63" i="3"/>
  <c r="H62" i="3"/>
  <c r="I62" i="3"/>
  <c r="J62" i="3"/>
  <c r="K62" i="3"/>
  <c r="H57" i="3"/>
  <c r="I57" i="3"/>
  <c r="J57" i="3"/>
  <c r="K57" i="3"/>
  <c r="H50" i="3"/>
  <c r="I50" i="3"/>
  <c r="J50" i="3"/>
  <c r="K50" i="3"/>
  <c r="K51" i="3" s="1"/>
  <c r="I51" i="3"/>
  <c r="I45" i="3"/>
  <c r="J45" i="3"/>
  <c r="K45" i="3"/>
  <c r="H44" i="3"/>
  <c r="I44" i="3"/>
  <c r="I46" i="3" s="1"/>
  <c r="J44" i="3"/>
  <c r="J46" i="3"/>
  <c r="K44" i="3"/>
  <c r="K46" i="3" s="1"/>
  <c r="I33" i="3"/>
  <c r="J33" i="3"/>
  <c r="J58" i="3" s="1"/>
  <c r="K33" i="3"/>
  <c r="H32" i="3"/>
  <c r="H34" i="3" s="1"/>
  <c r="I32" i="3"/>
  <c r="I34" i="3" s="1"/>
  <c r="I59" i="3" s="1"/>
  <c r="J32" i="3"/>
  <c r="J34" i="3" s="1"/>
  <c r="K32" i="3"/>
  <c r="K34" i="3"/>
  <c r="C33" i="3"/>
  <c r="C35" i="3" s="1"/>
  <c r="C59" i="3" s="1"/>
  <c r="C32" i="3"/>
  <c r="C34" i="3"/>
  <c r="K35" i="3"/>
  <c r="K59" i="3" s="1"/>
  <c r="J35" i="3"/>
  <c r="J59" i="3" s="1"/>
  <c r="I35" i="3"/>
  <c r="I58" i="3"/>
  <c r="C58" i="3"/>
  <c r="C20" i="2"/>
  <c r="C20" i="3"/>
  <c r="H20" i="3"/>
  <c r="I20" i="3"/>
  <c r="J20" i="3"/>
  <c r="B17" i="3"/>
  <c r="B18" i="3"/>
  <c r="B19" i="3"/>
  <c r="B17" i="2"/>
  <c r="B45" i="2" s="1"/>
  <c r="B18" i="2"/>
  <c r="B19" i="2"/>
  <c r="B16" i="2"/>
  <c r="B16" i="3"/>
  <c r="B32" i="3" s="1"/>
  <c r="B34" i="3" s="1"/>
  <c r="B59" i="3" s="1"/>
  <c r="H66" i="2"/>
  <c r="I66" i="2"/>
  <c r="J66" i="2"/>
  <c r="K66" i="2"/>
  <c r="H65" i="2"/>
  <c r="I65" i="2"/>
  <c r="J65" i="2"/>
  <c r="K65" i="2"/>
  <c r="H63" i="2"/>
  <c r="I63" i="2"/>
  <c r="J63" i="2"/>
  <c r="K63" i="2"/>
  <c r="K64" i="2" s="1"/>
  <c r="C63" i="2"/>
  <c r="H62" i="2"/>
  <c r="I62" i="2"/>
  <c r="J62" i="2"/>
  <c r="K62" i="2"/>
  <c r="C62" i="2"/>
  <c r="H57" i="2"/>
  <c r="I57" i="2"/>
  <c r="J57" i="2"/>
  <c r="K57" i="2"/>
  <c r="C57" i="2"/>
  <c r="C50" i="2"/>
  <c r="C45" i="2"/>
  <c r="C44" i="2"/>
  <c r="C46" i="2"/>
  <c r="I50" i="2"/>
  <c r="I51" i="2" s="1"/>
  <c r="J50" i="2"/>
  <c r="J51" i="2" s="1"/>
  <c r="K50" i="2"/>
  <c r="I45" i="2"/>
  <c r="J45" i="2"/>
  <c r="K45" i="2"/>
  <c r="H44" i="2"/>
  <c r="I44" i="2"/>
  <c r="I46" i="2"/>
  <c r="I64" i="2" s="1"/>
  <c r="J44" i="2"/>
  <c r="J46" i="2" s="1"/>
  <c r="K44" i="2"/>
  <c r="K46" i="2"/>
  <c r="I33" i="2"/>
  <c r="J33" i="2"/>
  <c r="K33" i="2"/>
  <c r="C33" i="2"/>
  <c r="G32" i="2"/>
  <c r="H32" i="2"/>
  <c r="H34" i="2"/>
  <c r="I32" i="2"/>
  <c r="I34" i="2" s="1"/>
  <c r="J32" i="2"/>
  <c r="K32" i="2"/>
  <c r="K34" i="2" s="1"/>
  <c r="C32" i="2"/>
  <c r="C34" i="2"/>
  <c r="I58" i="2"/>
  <c r="I35" i="2"/>
  <c r="I59" i="2" s="1"/>
  <c r="J35" i="2"/>
  <c r="H20" i="2"/>
  <c r="I20" i="2"/>
  <c r="J20" i="2"/>
  <c r="H66" i="1"/>
  <c r="I66" i="1"/>
  <c r="J66" i="1"/>
  <c r="K66" i="1"/>
  <c r="H65" i="1"/>
  <c r="I65" i="1"/>
  <c r="J65" i="1"/>
  <c r="K65" i="1"/>
  <c r="H63" i="1"/>
  <c r="I63" i="1"/>
  <c r="J63" i="1"/>
  <c r="K63" i="1"/>
  <c r="C63" i="1"/>
  <c r="H62" i="1"/>
  <c r="I62" i="1"/>
  <c r="J62" i="1"/>
  <c r="K62" i="1"/>
  <c r="C62" i="1"/>
  <c r="H57" i="1"/>
  <c r="I57" i="1"/>
  <c r="J57" i="1"/>
  <c r="K57" i="1"/>
  <c r="C57" i="1"/>
  <c r="H50" i="1"/>
  <c r="I50" i="1"/>
  <c r="J50" i="1"/>
  <c r="K50" i="1"/>
  <c r="H49" i="1"/>
  <c r="H51" i="1"/>
  <c r="I49" i="1"/>
  <c r="J49" i="1"/>
  <c r="J51" i="1"/>
  <c r="K49" i="1"/>
  <c r="K51" i="1" s="1"/>
  <c r="C50" i="1"/>
  <c r="C49" i="1"/>
  <c r="C45" i="1"/>
  <c r="C44" i="1"/>
  <c r="C46" i="1" s="1"/>
  <c r="C33" i="1"/>
  <c r="C35" i="1"/>
  <c r="C32" i="1"/>
  <c r="H45" i="1"/>
  <c r="I45" i="1"/>
  <c r="J45" i="1"/>
  <c r="K45" i="1"/>
  <c r="H44" i="1"/>
  <c r="H46" i="1"/>
  <c r="I44" i="1"/>
  <c r="I46" i="1" s="1"/>
  <c r="J44" i="1"/>
  <c r="J46" i="1"/>
  <c r="K44" i="1"/>
  <c r="K46" i="1" s="1"/>
  <c r="I51" i="1"/>
  <c r="C51" i="1"/>
  <c r="E33" i="1"/>
  <c r="E35" i="1"/>
  <c r="F33" i="1"/>
  <c r="F35" i="1"/>
  <c r="G33" i="1"/>
  <c r="G35" i="1"/>
  <c r="H33" i="1"/>
  <c r="H35" i="1"/>
  <c r="I33" i="1"/>
  <c r="J33" i="1"/>
  <c r="K33" i="1"/>
  <c r="E32" i="1"/>
  <c r="E34" i="1"/>
  <c r="F32" i="1"/>
  <c r="F34" i="1" s="1"/>
  <c r="G32" i="1"/>
  <c r="G34" i="1"/>
  <c r="H32" i="1"/>
  <c r="H34" i="1" s="1"/>
  <c r="I32" i="1"/>
  <c r="I34" i="1"/>
  <c r="J32" i="1"/>
  <c r="J34" i="1" s="1"/>
  <c r="K32" i="1"/>
  <c r="H20" i="1"/>
  <c r="I20" i="1"/>
  <c r="J20" i="1"/>
  <c r="K58" i="1"/>
  <c r="H59" i="1"/>
  <c r="C20" i="1"/>
  <c r="B17" i="1"/>
  <c r="B18" i="1"/>
  <c r="B70" i="1" s="1"/>
  <c r="B19" i="1"/>
  <c r="B16" i="1"/>
  <c r="E44" i="2"/>
  <c r="E45" i="2"/>
  <c r="G66" i="4"/>
  <c r="F66" i="4"/>
  <c r="E66" i="4"/>
  <c r="D66" i="4"/>
  <c r="G65" i="4"/>
  <c r="F65" i="4"/>
  <c r="E65" i="4"/>
  <c r="D65" i="4"/>
  <c r="G66" i="3"/>
  <c r="F66" i="3"/>
  <c r="E66" i="3"/>
  <c r="D66" i="3"/>
  <c r="G65" i="3"/>
  <c r="F65" i="3"/>
  <c r="E65" i="3"/>
  <c r="D65" i="3"/>
  <c r="G66" i="2"/>
  <c r="F66" i="2"/>
  <c r="E66" i="2"/>
  <c r="D66" i="2"/>
  <c r="G65" i="2"/>
  <c r="F65" i="2"/>
  <c r="E65" i="2"/>
  <c r="D65" i="2"/>
  <c r="G63" i="4"/>
  <c r="F63" i="4"/>
  <c r="E63" i="4"/>
  <c r="D63" i="4"/>
  <c r="G62" i="4"/>
  <c r="F62" i="4"/>
  <c r="E62" i="4"/>
  <c r="D62" i="4"/>
  <c r="G63" i="3"/>
  <c r="F63" i="3"/>
  <c r="E63" i="3"/>
  <c r="D63" i="3"/>
  <c r="G62" i="3"/>
  <c r="F62" i="3"/>
  <c r="E62" i="3"/>
  <c r="D62" i="3"/>
  <c r="G63" i="2"/>
  <c r="F63" i="2"/>
  <c r="E63" i="2"/>
  <c r="E64" i="2" s="1"/>
  <c r="D63" i="2"/>
  <c r="G62" i="2"/>
  <c r="F62" i="2"/>
  <c r="E62" i="2"/>
  <c r="D62" i="2"/>
  <c r="E20" i="1"/>
  <c r="F20" i="1"/>
  <c r="G20" i="1"/>
  <c r="D20" i="1"/>
  <c r="E20" i="3"/>
  <c r="F20" i="3"/>
  <c r="B20" i="3" s="1"/>
  <c r="B54" i="3" s="1"/>
  <c r="G20" i="3"/>
  <c r="D20" i="3"/>
  <c r="E20" i="2"/>
  <c r="F20" i="2"/>
  <c r="G20" i="2"/>
  <c r="D20" i="2"/>
  <c r="H50" i="2"/>
  <c r="H51" i="2"/>
  <c r="H45" i="2"/>
  <c r="H46" i="2"/>
  <c r="H33" i="2"/>
  <c r="H45" i="3"/>
  <c r="E44" i="3"/>
  <c r="E45" i="3"/>
  <c r="E46" i="3" s="1"/>
  <c r="E64" i="3" s="1"/>
  <c r="H33" i="3"/>
  <c r="H58" i="3" s="1"/>
  <c r="E44" i="4"/>
  <c r="E45" i="4"/>
  <c r="H16" i="6"/>
  <c r="H32" i="6"/>
  <c r="H34" i="6" s="1"/>
  <c r="H17" i="6"/>
  <c r="H18" i="6"/>
  <c r="H19" i="6"/>
  <c r="H16" i="7"/>
  <c r="H32" i="7"/>
  <c r="H34" i="7"/>
  <c r="H17" i="7"/>
  <c r="H45" i="7" s="1"/>
  <c r="H18" i="7"/>
  <c r="H19" i="7"/>
  <c r="H19" i="5"/>
  <c r="G13" i="7"/>
  <c r="F13" i="7"/>
  <c r="E13" i="7"/>
  <c r="D13" i="7"/>
  <c r="D12" i="7"/>
  <c r="E12" i="7"/>
  <c r="F12" i="7"/>
  <c r="G12" i="7"/>
  <c r="F49" i="7"/>
  <c r="G49" i="7"/>
  <c r="G51" i="7" s="1"/>
  <c r="E49" i="7"/>
  <c r="H65" i="5"/>
  <c r="H33" i="5"/>
  <c r="H35" i="5" s="1"/>
  <c r="H66" i="5"/>
  <c r="H65" i="6"/>
  <c r="H62" i="6"/>
  <c r="H33" i="7"/>
  <c r="H35" i="7"/>
  <c r="H20" i="7"/>
  <c r="H66" i="7"/>
  <c r="H63" i="7"/>
  <c r="H64" i="7" s="1"/>
  <c r="H50" i="7"/>
  <c r="H51" i="7" s="1"/>
  <c r="H65" i="7"/>
  <c r="H62" i="7"/>
  <c r="E46" i="4"/>
  <c r="E64" i="4" s="1"/>
  <c r="E46" i="2"/>
  <c r="H33" i="6"/>
  <c r="H58" i="6" s="1"/>
  <c r="H50" i="5"/>
  <c r="H46" i="7"/>
  <c r="E20" i="4"/>
  <c r="F20" i="4"/>
  <c r="G20" i="4"/>
  <c r="D20" i="4"/>
  <c r="H58" i="7"/>
  <c r="H35" i="6"/>
  <c r="H59" i="6"/>
  <c r="H58" i="5"/>
  <c r="B23" i="3"/>
  <c r="B23" i="4"/>
  <c r="G12" i="6"/>
  <c r="G63" i="6" s="1"/>
  <c r="G11" i="6"/>
  <c r="G10" i="6"/>
  <c r="F12" i="6"/>
  <c r="F11" i="6"/>
  <c r="F10" i="6"/>
  <c r="E12" i="6"/>
  <c r="E11" i="6"/>
  <c r="E10" i="6"/>
  <c r="E34" i="6" s="1"/>
  <c r="E13" i="6"/>
  <c r="F13" i="6"/>
  <c r="G13" i="6"/>
  <c r="D13" i="6"/>
  <c r="D49" i="6" s="1"/>
  <c r="D12" i="6"/>
  <c r="D11" i="6"/>
  <c r="D10" i="6"/>
  <c r="G49" i="6"/>
  <c r="E49" i="6"/>
  <c r="B66" i="3"/>
  <c r="B63" i="3"/>
  <c r="B66" i="4"/>
  <c r="B63" i="4"/>
  <c r="B62" i="3"/>
  <c r="B65" i="3"/>
  <c r="B66" i="2"/>
  <c r="B63" i="2"/>
  <c r="B62" i="2"/>
  <c r="D62" i="1"/>
  <c r="E62" i="1"/>
  <c r="F62" i="1"/>
  <c r="G62" i="1"/>
  <c r="D63" i="1"/>
  <c r="F63" i="1"/>
  <c r="G63" i="1"/>
  <c r="D65" i="1"/>
  <c r="E65" i="1"/>
  <c r="F65" i="1"/>
  <c r="G65" i="1"/>
  <c r="D66" i="1"/>
  <c r="F66" i="1"/>
  <c r="G66" i="1"/>
  <c r="D49" i="1"/>
  <c r="F49" i="1"/>
  <c r="G49" i="1"/>
  <c r="E49" i="1"/>
  <c r="E66" i="1"/>
  <c r="E63" i="1"/>
  <c r="D16" i="5"/>
  <c r="E16" i="5"/>
  <c r="F16" i="5"/>
  <c r="G16" i="5"/>
  <c r="G32" i="5" s="1"/>
  <c r="G34" i="5" s="1"/>
  <c r="E19" i="5"/>
  <c r="F19" i="5"/>
  <c r="G19" i="5"/>
  <c r="D19" i="5"/>
  <c r="D19" i="7"/>
  <c r="E19" i="7"/>
  <c r="F19" i="7"/>
  <c r="G19" i="7"/>
  <c r="D19" i="6"/>
  <c r="E19" i="6"/>
  <c r="F19" i="6"/>
  <c r="G19" i="6"/>
  <c r="B19" i="6"/>
  <c r="G65" i="5"/>
  <c r="F66" i="5"/>
  <c r="D66" i="5"/>
  <c r="E66" i="5"/>
  <c r="D65" i="5"/>
  <c r="D17" i="7"/>
  <c r="F17" i="7"/>
  <c r="G17" i="7"/>
  <c r="D18" i="7"/>
  <c r="E18" i="7"/>
  <c r="F18" i="7"/>
  <c r="G18" i="7"/>
  <c r="G66" i="7" s="1"/>
  <c r="D16" i="7"/>
  <c r="D32" i="7" s="1"/>
  <c r="E16" i="7"/>
  <c r="F16" i="7"/>
  <c r="G16" i="7"/>
  <c r="D17" i="6"/>
  <c r="F17" i="6"/>
  <c r="G17" i="6"/>
  <c r="D18" i="6"/>
  <c r="D66" i="6" s="1"/>
  <c r="E18" i="6"/>
  <c r="F18" i="6"/>
  <c r="G18" i="6"/>
  <c r="D16" i="6"/>
  <c r="E16" i="6"/>
  <c r="E32" i="6" s="1"/>
  <c r="F16" i="6"/>
  <c r="G16" i="6"/>
  <c r="G65" i="6"/>
  <c r="G62" i="6"/>
  <c r="G66" i="6"/>
  <c r="D63" i="6"/>
  <c r="B18" i="6"/>
  <c r="E66" i="6"/>
  <c r="B16" i="6"/>
  <c r="B32" i="6" s="1"/>
  <c r="F20" i="6"/>
  <c r="D65" i="7"/>
  <c r="D62" i="7"/>
  <c r="E65" i="5"/>
  <c r="G20" i="7"/>
  <c r="G63" i="7"/>
  <c r="G64" i="7" s="1"/>
  <c r="G62" i="7"/>
  <c r="G65" i="7"/>
  <c r="E20" i="7"/>
  <c r="E63" i="7"/>
  <c r="E66" i="7"/>
  <c r="D66" i="7"/>
  <c r="D63" i="7"/>
  <c r="D64" i="7" s="1"/>
  <c r="G20" i="6"/>
  <c r="F20" i="7"/>
  <c r="F66" i="7"/>
  <c r="F63" i="7"/>
  <c r="F65" i="7"/>
  <c r="F62" i="7"/>
  <c r="D20" i="6"/>
  <c r="D20" i="7"/>
  <c r="B63" i="1"/>
  <c r="B66" i="1"/>
  <c r="E17" i="7"/>
  <c r="E17" i="6"/>
  <c r="E62" i="6" s="1"/>
  <c r="B23" i="1"/>
  <c r="E65" i="7"/>
  <c r="E62" i="7"/>
  <c r="B24" i="5"/>
  <c r="B24" i="7"/>
  <c r="B24" i="6"/>
  <c r="E33" i="2"/>
  <c r="E33" i="3"/>
  <c r="E33" i="4"/>
  <c r="E35" i="4" s="1"/>
  <c r="E35" i="3"/>
  <c r="E44" i="1"/>
  <c r="E45" i="1"/>
  <c r="E50" i="1"/>
  <c r="E50" i="4"/>
  <c r="E50" i="3"/>
  <c r="E51" i="3" s="1"/>
  <c r="E50" i="2"/>
  <c r="E51" i="2" s="1"/>
  <c r="F44" i="1"/>
  <c r="F45" i="1"/>
  <c r="F50" i="1"/>
  <c r="F33" i="5"/>
  <c r="F50" i="5"/>
  <c r="F51" i="5" s="1"/>
  <c r="F45" i="7"/>
  <c r="F33" i="7"/>
  <c r="F50" i="6"/>
  <c r="F33" i="4"/>
  <c r="F44" i="4"/>
  <c r="F45" i="4"/>
  <c r="F50" i="4"/>
  <c r="F51" i="4" s="1"/>
  <c r="F33" i="3"/>
  <c r="F44" i="3"/>
  <c r="F45" i="3"/>
  <c r="F46" i="3" s="1"/>
  <c r="F50" i="3"/>
  <c r="F51" i="3" s="1"/>
  <c r="F32" i="2"/>
  <c r="F34" i="2" s="1"/>
  <c r="F33" i="2"/>
  <c r="F35" i="2" s="1"/>
  <c r="F44" i="2"/>
  <c r="F46" i="2" s="1"/>
  <c r="F45" i="2"/>
  <c r="F50" i="2"/>
  <c r="F51" i="2"/>
  <c r="F35" i="4"/>
  <c r="F35" i="3"/>
  <c r="F46" i="1"/>
  <c r="E51" i="1"/>
  <c r="E51" i="4"/>
  <c r="F32" i="3"/>
  <c r="F58" i="3"/>
  <c r="F58" i="1"/>
  <c r="E33" i="6"/>
  <c r="E35" i="6" s="1"/>
  <c r="E59" i="6" s="1"/>
  <c r="E45" i="6"/>
  <c r="E50" i="5"/>
  <c r="E33" i="5"/>
  <c r="E44" i="6"/>
  <c r="E49" i="5"/>
  <c r="F32" i="4"/>
  <c r="F58" i="4" s="1"/>
  <c r="F33" i="6"/>
  <c r="F50" i="7"/>
  <c r="F51" i="7"/>
  <c r="E33" i="7"/>
  <c r="E45" i="7"/>
  <c r="E50" i="7"/>
  <c r="E46" i="1"/>
  <c r="E44" i="7"/>
  <c r="F45" i="6"/>
  <c r="F46" i="4"/>
  <c r="F51" i="1"/>
  <c r="F49" i="5"/>
  <c r="F32" i="6"/>
  <c r="F58" i="6" s="1"/>
  <c r="F32" i="7"/>
  <c r="E51" i="7"/>
  <c r="E46" i="7"/>
  <c r="E35" i="5"/>
  <c r="E51" i="5"/>
  <c r="F35" i="7"/>
  <c r="F44" i="7"/>
  <c r="F46" i="7"/>
  <c r="E32" i="5"/>
  <c r="E32" i="7"/>
  <c r="E34" i="7" s="1"/>
  <c r="E32" i="2"/>
  <c r="E32" i="3"/>
  <c r="E58" i="3"/>
  <c r="E32" i="4"/>
  <c r="E58" i="4"/>
  <c r="G50" i="4"/>
  <c r="G51" i="4" s="1"/>
  <c r="D50" i="4"/>
  <c r="G45" i="4"/>
  <c r="D45" i="4"/>
  <c r="D46" i="4" s="1"/>
  <c r="G50" i="3"/>
  <c r="D50" i="3"/>
  <c r="G45" i="3"/>
  <c r="D45" i="3"/>
  <c r="D46" i="3" s="1"/>
  <c r="D50" i="2"/>
  <c r="G50" i="2"/>
  <c r="D45" i="2"/>
  <c r="G45" i="2"/>
  <c r="D50" i="1"/>
  <c r="D51" i="1" s="1"/>
  <c r="G50" i="1"/>
  <c r="D45" i="1"/>
  <c r="G45" i="1"/>
  <c r="E58" i="1"/>
  <c r="E58" i="6"/>
  <c r="G32" i="6"/>
  <c r="D32" i="6"/>
  <c r="D33" i="6"/>
  <c r="D58" i="6" s="1"/>
  <c r="D50" i="6"/>
  <c r="G33" i="6"/>
  <c r="G58" i="6" s="1"/>
  <c r="G45" i="6"/>
  <c r="G50" i="6"/>
  <c r="G32" i="7"/>
  <c r="G33" i="7"/>
  <c r="G50" i="7"/>
  <c r="G50" i="5"/>
  <c r="D50" i="5"/>
  <c r="G45" i="7"/>
  <c r="D45" i="7"/>
  <c r="G58" i="7"/>
  <c r="D32" i="5"/>
  <c r="G33" i="5"/>
  <c r="D33" i="5"/>
  <c r="D33" i="4"/>
  <c r="D32" i="4"/>
  <c r="D34" i="4" s="1"/>
  <c r="D59" i="4" s="1"/>
  <c r="B69" i="4"/>
  <c r="G33" i="3"/>
  <c r="D33" i="3"/>
  <c r="G32" i="3"/>
  <c r="G34" i="3" s="1"/>
  <c r="G59" i="3" s="1"/>
  <c r="D32" i="3"/>
  <c r="D34" i="3" s="1"/>
  <c r="B69" i="3"/>
  <c r="G33" i="2"/>
  <c r="G58" i="2"/>
  <c r="D33" i="2"/>
  <c r="D32" i="2"/>
  <c r="D34" i="2" s="1"/>
  <c r="B32" i="2"/>
  <c r="B34" i="2" s="1"/>
  <c r="D33" i="1"/>
  <c r="D32" i="1"/>
  <c r="B32" i="1"/>
  <c r="D58" i="4"/>
  <c r="G58" i="3"/>
  <c r="D58" i="2"/>
  <c r="F57" i="2"/>
  <c r="F59" i="2"/>
  <c r="F57" i="3"/>
  <c r="F34" i="3"/>
  <c r="F59" i="3" s="1"/>
  <c r="F57" i="4"/>
  <c r="F57" i="1"/>
  <c r="F59" i="1"/>
  <c r="B57" i="3"/>
  <c r="B44" i="3"/>
  <c r="B46" i="3" s="1"/>
  <c r="G51" i="1"/>
  <c r="G44" i="1"/>
  <c r="G46" i="1"/>
  <c r="G35" i="5"/>
  <c r="G59" i="5" s="1"/>
  <c r="D57" i="1"/>
  <c r="D44" i="1"/>
  <c r="D46" i="1" s="1"/>
  <c r="B34" i="1"/>
  <c r="D57" i="2"/>
  <c r="D51" i="2"/>
  <c r="D44" i="2"/>
  <c r="D46" i="2" s="1"/>
  <c r="B70" i="2"/>
  <c r="B50" i="2"/>
  <c r="B51" i="2" s="1"/>
  <c r="G34" i="2"/>
  <c r="G35" i="2"/>
  <c r="G59" i="2" s="1"/>
  <c r="G51" i="3"/>
  <c r="G44" i="3"/>
  <c r="G46" i="3"/>
  <c r="D57" i="4"/>
  <c r="D44" i="4"/>
  <c r="B50" i="4"/>
  <c r="B51" i="4"/>
  <c r="B45" i="4"/>
  <c r="B70" i="4"/>
  <c r="B44" i="2"/>
  <c r="B46" i="2" s="1"/>
  <c r="B57" i="2"/>
  <c r="G57" i="2"/>
  <c r="G44" i="2"/>
  <c r="G46" i="2"/>
  <c r="D35" i="2"/>
  <c r="G57" i="3"/>
  <c r="D44" i="3"/>
  <c r="B50" i="3"/>
  <c r="B51" i="3" s="1"/>
  <c r="B45" i="3"/>
  <c r="B70" i="3"/>
  <c r="B57" i="4"/>
  <c r="G44" i="4"/>
  <c r="G46" i="4" s="1"/>
  <c r="G64" i="4" s="1"/>
  <c r="D58" i="5"/>
  <c r="G58" i="5"/>
  <c r="B34" i="4"/>
  <c r="D58" i="1"/>
  <c r="G58" i="1"/>
  <c r="D35" i="5"/>
  <c r="B33" i="4"/>
  <c r="B58" i="4"/>
  <c r="D35" i="4"/>
  <c r="G35" i="4"/>
  <c r="G59" i="4" s="1"/>
  <c r="B33" i="3"/>
  <c r="D35" i="3"/>
  <c r="G35" i="3"/>
  <c r="B33" i="2"/>
  <c r="B58" i="2"/>
  <c r="B33" i="1"/>
  <c r="B58" i="1" s="1"/>
  <c r="D35" i="1"/>
  <c r="B45" i="1"/>
  <c r="B50" i="1"/>
  <c r="D59" i="2"/>
  <c r="E57" i="4"/>
  <c r="E34" i="4"/>
  <c r="E59" i="4"/>
  <c r="E57" i="2"/>
  <c r="E34" i="2"/>
  <c r="G59" i="1"/>
  <c r="G57" i="4"/>
  <c r="G34" i="6"/>
  <c r="D34" i="7"/>
  <c r="F57" i="5"/>
  <c r="D57" i="3"/>
  <c r="F34" i="7"/>
  <c r="F59" i="7" s="1"/>
  <c r="F57" i="7"/>
  <c r="D44" i="7"/>
  <c r="D46" i="7" s="1"/>
  <c r="G34" i="7"/>
  <c r="D34" i="5"/>
  <c r="D59" i="5"/>
  <c r="G44" i="7"/>
  <c r="G46" i="7"/>
  <c r="G35" i="7"/>
  <c r="G57" i="1"/>
  <c r="D49" i="5"/>
  <c r="D51" i="5" s="1"/>
  <c r="D57" i="5"/>
  <c r="D57" i="6"/>
  <c r="D44" i="6"/>
  <c r="D51" i="6"/>
  <c r="D35" i="6"/>
  <c r="D34" i="1"/>
  <c r="D59" i="1" s="1"/>
  <c r="G57" i="5"/>
  <c r="G49" i="5"/>
  <c r="G51" i="5"/>
  <c r="G51" i="6"/>
  <c r="B70" i="6"/>
  <c r="B33" i="6"/>
  <c r="B58" i="6" s="1"/>
  <c r="B35" i="4"/>
  <c r="B59" i="4" s="1"/>
  <c r="B35" i="3"/>
  <c r="B35" i="2"/>
  <c r="B59" i="2" s="1"/>
  <c r="B35" i="1"/>
  <c r="B59" i="1"/>
  <c r="B44" i="1"/>
  <c r="B46" i="1"/>
  <c r="B57" i="1"/>
  <c r="B51" i="1"/>
  <c r="E57" i="1"/>
  <c r="E59" i="1"/>
  <c r="E57" i="3"/>
  <c r="E34" i="3"/>
  <c r="E59" i="3"/>
  <c r="G59" i="7"/>
  <c r="G57" i="7"/>
  <c r="D57" i="7"/>
  <c r="E57" i="7"/>
  <c r="E57" i="6"/>
  <c r="E57" i="5"/>
  <c r="E34" i="5"/>
  <c r="E59" i="5" s="1"/>
  <c r="C65" i="6" l="1"/>
  <c r="D59" i="6"/>
  <c r="G64" i="6"/>
  <c r="B10" i="7"/>
  <c r="C57" i="7"/>
  <c r="F34" i="4"/>
  <c r="F59" i="4" s="1"/>
  <c r="F64" i="7"/>
  <c r="F65" i="5"/>
  <c r="E64" i="1"/>
  <c r="F65" i="6"/>
  <c r="F62" i="6"/>
  <c r="B20" i="2"/>
  <c r="B54" i="2" s="1"/>
  <c r="C20" i="7"/>
  <c r="C20" i="5"/>
  <c r="B20" i="5" s="1"/>
  <c r="B54" i="5" s="1"/>
  <c r="J59" i="6"/>
  <c r="J58" i="7"/>
  <c r="J35" i="7"/>
  <c r="J59" i="7" s="1"/>
  <c r="C34" i="7"/>
  <c r="B13" i="5"/>
  <c r="C49" i="5"/>
  <c r="C51" i="5" s="1"/>
  <c r="B50" i="6"/>
  <c r="G44" i="6"/>
  <c r="G46" i="6" s="1"/>
  <c r="F34" i="6"/>
  <c r="B58" i="3"/>
  <c r="B44" i="4"/>
  <c r="B46" i="4" s="1"/>
  <c r="D58" i="3"/>
  <c r="B69" i="1"/>
  <c r="E46" i="6"/>
  <c r="F58" i="2"/>
  <c r="B17" i="6"/>
  <c r="B34" i="6"/>
  <c r="E63" i="6"/>
  <c r="E64" i="6" s="1"/>
  <c r="E20" i="6"/>
  <c r="E50" i="6"/>
  <c r="E51" i="6" s="1"/>
  <c r="D65" i="6"/>
  <c r="D45" i="6"/>
  <c r="D46" i="6" s="1"/>
  <c r="B18" i="7"/>
  <c r="D33" i="7"/>
  <c r="D50" i="7"/>
  <c r="G64" i="1"/>
  <c r="B10" i="6"/>
  <c r="D34" i="6"/>
  <c r="B11" i="6"/>
  <c r="F49" i="6"/>
  <c r="F51" i="6" s="1"/>
  <c r="F63" i="6"/>
  <c r="F66" i="6"/>
  <c r="F35" i="6"/>
  <c r="F59" i="6" s="1"/>
  <c r="F57" i="6"/>
  <c r="D49" i="7"/>
  <c r="B13" i="7"/>
  <c r="H66" i="6"/>
  <c r="H45" i="6"/>
  <c r="H63" i="6"/>
  <c r="H50" i="6"/>
  <c r="H20" i="6"/>
  <c r="B65" i="1"/>
  <c r="B62" i="1"/>
  <c r="B64" i="1" s="1"/>
  <c r="J35" i="1"/>
  <c r="J59" i="1" s="1"/>
  <c r="J58" i="1"/>
  <c r="C35" i="2"/>
  <c r="C59" i="2" s="1"/>
  <c r="C58" i="2"/>
  <c r="K64" i="3"/>
  <c r="C58" i="4"/>
  <c r="B23" i="7"/>
  <c r="B69" i="7" s="1"/>
  <c r="I58" i="6"/>
  <c r="I35" i="6"/>
  <c r="I59" i="6" s="1"/>
  <c r="I34" i="5"/>
  <c r="I58" i="5"/>
  <c r="C57" i="6"/>
  <c r="C44" i="6"/>
  <c r="C46" i="6" s="1"/>
  <c r="C63" i="6"/>
  <c r="C64" i="6" s="1"/>
  <c r="C35" i="6"/>
  <c r="C59" i="6" s="1"/>
  <c r="B12" i="6"/>
  <c r="C49" i="6"/>
  <c r="C51" i="6" s="1"/>
  <c r="D59" i="3"/>
  <c r="F58" i="7"/>
  <c r="E35" i="2"/>
  <c r="E59" i="2" s="1"/>
  <c r="E58" i="2"/>
  <c r="B23" i="5"/>
  <c r="B69" i="5" s="1"/>
  <c r="J34" i="2"/>
  <c r="J58" i="2"/>
  <c r="B23" i="2"/>
  <c r="B69" i="2" s="1"/>
  <c r="B65" i="2"/>
  <c r="I49" i="7"/>
  <c r="I57" i="7"/>
  <c r="I44" i="7"/>
  <c r="I63" i="7"/>
  <c r="F45" i="5"/>
  <c r="F46" i="5" s="1"/>
  <c r="F64" i="5" s="1"/>
  <c r="F62" i="5"/>
  <c r="B45" i="6"/>
  <c r="G35" i="6"/>
  <c r="G59" i="6" s="1"/>
  <c r="G57" i="6"/>
  <c r="F44" i="6"/>
  <c r="F46" i="6" s="1"/>
  <c r="F35" i="5"/>
  <c r="E35" i="7"/>
  <c r="E59" i="7" s="1"/>
  <c r="E58" i="7"/>
  <c r="E58" i="5"/>
  <c r="E65" i="6"/>
  <c r="D62" i="6"/>
  <c r="B16" i="7"/>
  <c r="B32" i="7" s="1"/>
  <c r="B34" i="7" s="1"/>
  <c r="B64" i="4"/>
  <c r="B13" i="6"/>
  <c r="H59" i="7"/>
  <c r="F64" i="2"/>
  <c r="F64" i="3"/>
  <c r="F64" i="4"/>
  <c r="C20" i="6"/>
  <c r="J59" i="2"/>
  <c r="H64" i="4"/>
  <c r="J62" i="7"/>
  <c r="J64" i="7" s="1"/>
  <c r="J65" i="7"/>
  <c r="B17" i="7"/>
  <c r="G44" i="5"/>
  <c r="G46" i="5" s="1"/>
  <c r="G63" i="5"/>
  <c r="G64" i="5" s="1"/>
  <c r="G66" i="5"/>
  <c r="B16" i="5"/>
  <c r="B32" i="5" s="1"/>
  <c r="H58" i="2"/>
  <c r="H35" i="2"/>
  <c r="H59" i="2" s="1"/>
  <c r="G64" i="2"/>
  <c r="G64" i="3"/>
  <c r="I58" i="1"/>
  <c r="I35" i="1"/>
  <c r="I59" i="1" s="1"/>
  <c r="C64" i="1"/>
  <c r="H64" i="1"/>
  <c r="K58" i="2"/>
  <c r="K35" i="2"/>
  <c r="K59" i="2" s="1"/>
  <c r="J64" i="2"/>
  <c r="H46" i="3"/>
  <c r="H64" i="3" s="1"/>
  <c r="B62" i="4"/>
  <c r="K35" i="4"/>
  <c r="K59" i="4" s="1"/>
  <c r="K58" i="4"/>
  <c r="K34" i="6"/>
  <c r="K59" i="6" s="1"/>
  <c r="K58" i="6"/>
  <c r="I62" i="6"/>
  <c r="I65" i="6"/>
  <c r="H44" i="5"/>
  <c r="H46" i="5" s="1"/>
  <c r="H63" i="5"/>
  <c r="H64" i="5" s="1"/>
  <c r="H49" i="5"/>
  <c r="H51" i="5" s="1"/>
  <c r="H57" i="5"/>
  <c r="D45" i="5"/>
  <c r="D46" i="5" s="1"/>
  <c r="D62" i="5"/>
  <c r="B17" i="5"/>
  <c r="B10" i="5"/>
  <c r="F32" i="5"/>
  <c r="F34" i="5" s="1"/>
  <c r="E64" i="7"/>
  <c r="B19" i="5"/>
  <c r="B20" i="4"/>
  <c r="B54" i="4" s="1"/>
  <c r="H35" i="3"/>
  <c r="H59" i="3" s="1"/>
  <c r="B12" i="7"/>
  <c r="H58" i="1"/>
  <c r="C34" i="1"/>
  <c r="C59" i="1" s="1"/>
  <c r="C58" i="1"/>
  <c r="K64" i="1"/>
  <c r="K58" i="3"/>
  <c r="I64" i="3"/>
  <c r="H44" i="6"/>
  <c r="H46" i="6" s="1"/>
  <c r="H49" i="6"/>
  <c r="H51" i="6" s="1"/>
  <c r="C34" i="6"/>
  <c r="C58" i="6"/>
  <c r="C35" i="5"/>
  <c r="C59" i="5" s="1"/>
  <c r="C58" i="5"/>
  <c r="I66" i="7"/>
  <c r="B11" i="7"/>
  <c r="I65" i="5"/>
  <c r="I62" i="5"/>
  <c r="I45" i="5"/>
  <c r="E45" i="5"/>
  <c r="E46" i="5" s="1"/>
  <c r="E62" i="5"/>
  <c r="E64" i="5" s="1"/>
  <c r="F64" i="1"/>
  <c r="B64" i="2"/>
  <c r="D64" i="2"/>
  <c r="D64" i="3"/>
  <c r="D64" i="4"/>
  <c r="J64" i="3"/>
  <c r="H59" i="4"/>
  <c r="J34" i="4"/>
  <c r="J59" i="4" s="1"/>
  <c r="J58" i="4"/>
  <c r="J64" i="4"/>
  <c r="K62" i="6"/>
  <c r="K64" i="6" s="1"/>
  <c r="K45" i="6"/>
  <c r="J20" i="6"/>
  <c r="J63" i="6"/>
  <c r="J64" i="6" s="1"/>
  <c r="J66" i="6"/>
  <c r="H34" i="5"/>
  <c r="H59" i="5" s="1"/>
  <c r="I63" i="5"/>
  <c r="I44" i="5"/>
  <c r="I46" i="5" s="1"/>
  <c r="I35" i="5"/>
  <c r="I59" i="5" s="1"/>
  <c r="D63" i="5"/>
  <c r="C46" i="5"/>
  <c r="C64" i="5" s="1"/>
  <c r="J44" i="5"/>
  <c r="J46" i="5" s="1"/>
  <c r="J65" i="5"/>
  <c r="J20" i="5"/>
  <c r="J63" i="5"/>
  <c r="J64" i="5" s="1"/>
  <c r="J33" i="5"/>
  <c r="J45" i="5"/>
  <c r="B18" i="5"/>
  <c r="B11" i="5"/>
  <c r="D64" i="1"/>
  <c r="B64" i="3"/>
  <c r="B20" i="1"/>
  <c r="B54" i="1" s="1"/>
  <c r="J64" i="1"/>
  <c r="H64" i="2"/>
  <c r="J49" i="6"/>
  <c r="J51" i="6" s="1"/>
  <c r="J57" i="6"/>
  <c r="I45" i="6"/>
  <c r="I46" i="6" s="1"/>
  <c r="I20" i="6"/>
  <c r="I50" i="6"/>
  <c r="I51" i="6" s="1"/>
  <c r="C63" i="7"/>
  <c r="C33" i="7"/>
  <c r="C50" i="7"/>
  <c r="C51" i="7" s="1"/>
  <c r="C66" i="7"/>
  <c r="I50" i="7"/>
  <c r="I20" i="7"/>
  <c r="I33" i="7"/>
  <c r="I45" i="7"/>
  <c r="C44" i="7"/>
  <c r="C46" i="7" s="1"/>
  <c r="C65" i="7"/>
  <c r="J57" i="7"/>
  <c r="J49" i="7"/>
  <c r="J20" i="7"/>
  <c r="J50" i="7"/>
  <c r="D64" i="6" l="1"/>
  <c r="I64" i="6"/>
  <c r="B44" i="5"/>
  <c r="B49" i="5"/>
  <c r="B51" i="5" s="1"/>
  <c r="B57" i="5"/>
  <c r="B20" i="7"/>
  <c r="B54" i="7" s="1"/>
  <c r="D64" i="5"/>
  <c r="B65" i="5"/>
  <c r="B62" i="5"/>
  <c r="B34" i="5"/>
  <c r="B20" i="6"/>
  <c r="B54" i="6" s="1"/>
  <c r="I64" i="7"/>
  <c r="F58" i="5"/>
  <c r="D58" i="7"/>
  <c r="D35" i="7"/>
  <c r="D59" i="7" s="1"/>
  <c r="B62" i="6"/>
  <c r="B65" i="6"/>
  <c r="B23" i="6"/>
  <c r="B69" i="6" s="1"/>
  <c r="C35" i="7"/>
  <c r="C59" i="7" s="1"/>
  <c r="C58" i="7"/>
  <c r="B49" i="6"/>
  <c r="B51" i="6" s="1"/>
  <c r="B57" i="6"/>
  <c r="B44" i="6"/>
  <c r="B46" i="6" s="1"/>
  <c r="B35" i="6"/>
  <c r="B59" i="6" s="1"/>
  <c r="B66" i="6"/>
  <c r="B63" i="6"/>
  <c r="C64" i="7"/>
  <c r="B45" i="5"/>
  <c r="B66" i="5"/>
  <c r="B63" i="5"/>
  <c r="B70" i="5"/>
  <c r="B33" i="5"/>
  <c r="B50" i="5"/>
  <c r="I51" i="7"/>
  <c r="J51" i="7"/>
  <c r="I58" i="7"/>
  <c r="I35" i="7"/>
  <c r="I59" i="7" s="1"/>
  <c r="J58" i="5"/>
  <c r="J35" i="5"/>
  <c r="J59" i="5" s="1"/>
  <c r="I64" i="5"/>
  <c r="B49" i="7"/>
  <c r="B44" i="7"/>
  <c r="B57" i="7"/>
  <c r="B65" i="7"/>
  <c r="B62" i="7"/>
  <c r="F59" i="5"/>
  <c r="I46" i="7"/>
  <c r="H64" i="6"/>
  <c r="D51" i="7"/>
  <c r="F64" i="6"/>
  <c r="B66" i="7"/>
  <c r="B50" i="7"/>
  <c r="B63" i="7"/>
  <c r="B70" i="7"/>
  <c r="B33" i="7"/>
  <c r="B45" i="7"/>
  <c r="B58" i="5" l="1"/>
  <c r="B35" i="5"/>
  <c r="B59" i="5" s="1"/>
  <c r="B46" i="5"/>
  <c r="B64" i="5" s="1"/>
  <c r="B46" i="7"/>
  <c r="B64" i="7" s="1"/>
  <c r="B64" i="6"/>
  <c r="B58" i="7"/>
  <c r="B35" i="7"/>
  <c r="B59" i="7" s="1"/>
  <c r="B51" i="7"/>
</calcChain>
</file>

<file path=xl/sharedStrings.xml><?xml version="1.0" encoding="utf-8"?>
<sst xmlns="http://schemas.openxmlformats.org/spreadsheetml/2006/main" count="697" uniqueCount="143">
  <si>
    <t>Indicador</t>
  </si>
  <si>
    <t>Total programa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</si>
  <si>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</si>
  <si>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</si>
  <si>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</si>
  <si>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</si>
  <si>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</si>
  <si>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</si>
  <si>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</si>
  <si>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</si>
  <si>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</si>
  <si>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</si>
  <si>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</si>
  <si>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</si>
  <si>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</si>
  <si>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</si>
  <si>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</si>
  <si>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</si>
  <si>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</si>
  <si>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</si>
  <si>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</si>
  <si>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</si>
  <si>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</si>
  <si>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</si>
  <si>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</si>
  <si>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</si>
  <si>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</si>
  <si>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</si>
  <si>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</si>
  <si>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</si>
  <si>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</si>
  <si>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</si>
  <si>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</si>
  <si>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</si>
  <si>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</si>
  <si>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</si>
  <si>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>Nota:</t>
  </si>
  <si>
    <t xml:space="preserve">Gasto programado mensual por beneficiario (GPB) </t>
  </si>
  <si>
    <t xml:space="preserve">Gasto efectivo mensual por beneficiario (GEB) </t>
  </si>
  <si>
    <t xml:space="preserve">Gasto programado acumulado por beneficiario (GPB) </t>
  </si>
  <si>
    <t xml:space="preserve">Gasto efectivo acumulado por beneficiario (GEB) </t>
  </si>
  <si>
    <t>n.a.</t>
  </si>
  <si>
    <t>n.d.</t>
  </si>
  <si>
    <t xml:space="preserve">Gasto efectivo trimestral por beneficiario (GEB) </t>
  </si>
  <si>
    <t xml:space="preserve">Gasto programado trimestral por beneficiario (GPB) </t>
  </si>
  <si>
    <t xml:space="preserve">Gasto programado anual por beneficiario (GPB) </t>
  </si>
  <si>
    <t xml:space="preserve">Gasto efectivo anual por beneficiario (GEB) </t>
  </si>
  <si>
    <t>Centros de Atención Infantil-
Guarderías</t>
  </si>
  <si>
    <t>Juntas de Protección de Niñez y 
Adolescencia-Promoción</t>
  </si>
  <si>
    <t>Juntas de Protección de Niñez y
 Adolescencia-Prevención</t>
  </si>
  <si>
    <t>Otros gastos</t>
  </si>
  <si>
    <t>,</t>
  </si>
  <si>
    <t>Gestión de 
apoyo</t>
  </si>
  <si>
    <r>
      <t>Gestión de 
apoyo</t>
    </r>
    <r>
      <rPr>
        <sz val="11"/>
        <color theme="9" tint="-0.249977111117893"/>
        <rFont val="Calibri"/>
        <family val="2"/>
        <scheme val="minor"/>
      </rPr>
      <t xml:space="preserve"> </t>
    </r>
  </si>
  <si>
    <t>Efectivos 1T 2015</t>
  </si>
  <si>
    <t>IPC (1T 2015)</t>
  </si>
  <si>
    <t>Gasto efectivo real 1T 2015</t>
  </si>
  <si>
    <t>Gasto efectivo real por beneficiario 1T 2015</t>
  </si>
  <si>
    <t xml:space="preserve">Fecha de actualización: </t>
  </si>
  <si>
    <t>Efectivos 2T 2015</t>
  </si>
  <si>
    <t>IPC (2T 2015)</t>
  </si>
  <si>
    <t>Gasto efectivo real 2T 2015</t>
  </si>
  <si>
    <t>Gasto efectivo real por beneficiario 2T 2015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</si>
  <si>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</si>
  <si>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</si>
  <si>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</si>
  <si>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</si>
  <si>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</si>
  <si>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</si>
  <si>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</si>
  <si>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</si>
  <si>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1S 2015</t>
  </si>
  <si>
    <t>IPC (1S 2015)</t>
  </si>
  <si>
    <t>Gasto efectivo real 1S 2015</t>
  </si>
  <si>
    <t>Gasto efectivo real por beneficiario 1S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</si>
  <si>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</si>
  <si>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</si>
  <si>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</si>
  <si>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</si>
  <si>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</si>
  <si>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</si>
  <si>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</si>
  <si>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</si>
  <si>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Indicadores propuestos aplicados a PANI.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</si>
  <si>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</si>
  <si>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</si>
  <si>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</si>
  <si>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</si>
  <si>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</si>
  <si>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</si>
  <si>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</si>
  <si>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PANI 2015 y 2016</t>
  </si>
  <si>
    <t>Metas y Modificaciones 2016, DESAF</t>
  </si>
  <si>
    <t>IPC, INEC 2015 y 2016</t>
  </si>
  <si>
    <t>Indicadores propuestos aplicados a PANI. Segundo trimestre 2016</t>
  </si>
  <si>
    <t>Programados 2T 2016</t>
  </si>
  <si>
    <t>Efectivos 2T 2016</t>
  </si>
  <si>
    <t>En transferencias 2T 2016</t>
  </si>
  <si>
    <t>IPC (2T 2016)</t>
  </si>
  <si>
    <t>Gasto efectivo real 2T 2016</t>
  </si>
  <si>
    <t>Gasto efectivo real por beneficiario 2T 2016</t>
  </si>
  <si>
    <t>Indicadores propuestos aplicados a PANI.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</si>
  <si>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</si>
  <si>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</si>
  <si>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</si>
  <si>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</si>
  <si>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</si>
  <si>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</si>
  <si>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Indicadores propuestos aplicados a PANI.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</si>
  <si>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</si>
  <si>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</si>
  <si>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</si>
  <si>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</si>
  <si>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</si>
  <si>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</si>
  <si>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propuestos aplicados a PANI.  2016</t>
  </si>
  <si>
    <t>Programados 1S 2016</t>
  </si>
  <si>
    <t>Efectivos 1S 2016</t>
  </si>
  <si>
    <t>En transferencias 1S 2016</t>
  </si>
  <si>
    <t>IPC (1S 2016)</t>
  </si>
  <si>
    <t>Gasto efectivo real 1S 2016</t>
  </si>
  <si>
    <t>Gasto efectivo real por beneficiario 1S 2016</t>
  </si>
  <si>
    <t>Programados 3TA 2016</t>
  </si>
  <si>
    <t>Efectivos 3TA 2016</t>
  </si>
  <si>
    <t>En transferencias 3TA 2016</t>
  </si>
  <si>
    <t>IPC (3TA 2016)</t>
  </si>
  <si>
    <t>Gasto efectivo real 3TA 2016</t>
  </si>
  <si>
    <t>Gasto efectivo real por beneficiario 3TA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</si>
  <si>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</si>
  <si>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</si>
  <si>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</si>
  <si>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</si>
  <si>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</si>
  <si>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</si>
  <si>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Proteccion y apoyo a los niños, niñas 
y Adolescenres en los Albergues PANI</t>
  </si>
  <si>
    <t>Atención de
 denuncias</t>
  </si>
  <si>
    <t>Protección y apoyo a los niños, niñas y adolescentes con condición de discapacidad en 2 ONG</t>
  </si>
  <si>
    <t>Construcciones y Remodelaciones Obra Pública</t>
  </si>
  <si>
    <t>Fecha de actualización: 30/05/2016</t>
  </si>
  <si>
    <t>Fecha de actualización: 09/09/2016</t>
  </si>
  <si>
    <t>Nota: El dato de los beneficiarios efectivos y gasto efectivo del 3T 2015 de otros gastos corresponden a la modalidad de Promoción y Formación en derechos de los niños, niñas  y adolescentes a través de proyectos impulsados por las ONG que se ejecutó en el año 2015.</t>
  </si>
  <si>
    <t>Fecha de actualización: 12/12/2016</t>
  </si>
  <si>
    <t>Nota: El dato de los beneficiarios efectivos y gasto efectivo del 4T 2015 de otros gastos corresponden a la modalidad de Promoción y Formación en derechos de los niños, niñas  y adolescentes a través de proyectos impulsados por las ONG que se ejecutó en el año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</si>
</sst>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,##0.0____"/>
    <numFmt numFmtId="166" formatCode="#,##0.0"/>
    <numFmt numFmtId="167" formatCode="#,##0.0000"/>
    <numFmt numFmtId="168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/>
    </xf>
    <xf numFmtId="4" fontId="0" fillId="0" borderId="0" xfId="0" applyNumberFormat="1"/>
    <xf numFmtId="165" fontId="0" fillId="0" borderId="0" xfId="0" applyNumberFormat="1"/>
    <xf numFmtId="165" fontId="0" fillId="0" borderId="0" xfId="0" applyNumberFormat="1" applyFill="1"/>
    <xf numFmtId="0" fontId="0" fillId="0" borderId="3" xfId="0" applyBorder="1"/>
    <xf numFmtId="166" fontId="0" fillId="0" borderId="0" xfId="0" applyNumberFormat="1"/>
    <xf numFmtId="164" fontId="0" fillId="0" borderId="0" xfId="1" applyFont="1"/>
    <xf numFmtId="0" fontId="0" fillId="0" borderId="0" xfId="0" applyFont="1" applyAlignment="1">
      <alignment wrapText="1"/>
    </xf>
    <xf numFmtId="3" fontId="0" fillId="0" borderId="0" xfId="0" applyNumberFormat="1" applyFill="1"/>
    <xf numFmtId="4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/>
    <xf numFmtId="2" fontId="0" fillId="0" borderId="0" xfId="0" applyNumberFormat="1"/>
    <xf numFmtId="167" fontId="0" fillId="0" borderId="0" xfId="0" applyNumberFormat="1"/>
    <xf numFmtId="3" fontId="0" fillId="0" borderId="0" xfId="0" applyNumberFormat="1" applyAlignment="1">
      <alignment horizontal="right"/>
    </xf>
    <xf numFmtId="0" fontId="4" fillId="0" borderId="0" xfId="0" applyFont="1"/>
    <xf numFmtId="0" fontId="0" fillId="0" borderId="1" xfId="0" applyBorder="1" applyAlignment="1"/>
    <xf numFmtId="168" fontId="0" fillId="0" borderId="0" xfId="1" applyNumberFormat="1" applyFont="1"/>
    <xf numFmtId="165" fontId="0" fillId="0" borderId="0" xfId="0" applyNumberFormat="1" applyAlignment="1">
      <alignment horizontal="right"/>
    </xf>
    <xf numFmtId="0" fontId="5" fillId="0" borderId="0" xfId="0" applyFont="1"/>
    <xf numFmtId="0" fontId="5" fillId="0" borderId="0" xfId="0" applyFont="1" applyFill="1"/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5" fillId="0" borderId="0" xfId="0" applyNumberFormat="1" applyFont="1"/>
    <xf numFmtId="165" fontId="6" fillId="0" borderId="0" xfId="0" applyNumberFormat="1" applyFont="1"/>
    <xf numFmtId="3" fontId="5" fillId="0" borderId="0" xfId="0" applyNumberFormat="1" applyFont="1" applyFill="1"/>
    <xf numFmtId="0" fontId="0" fillId="0" borderId="4" xfId="0" applyFont="1" applyBorder="1" applyAlignment="1">
      <alignment wrapText="1"/>
    </xf>
    <xf numFmtId="0" fontId="7" fillId="0" borderId="0" xfId="0" applyFont="1"/>
    <xf numFmtId="3" fontId="0" fillId="0" borderId="0" xfId="0" applyNumberFormat="1" applyFont="1" applyFill="1"/>
    <xf numFmtId="0" fontId="8" fillId="0" borderId="0" xfId="0" applyFont="1"/>
    <xf numFmtId="0" fontId="9" fillId="0" borderId="0" xfId="0" applyFont="1"/>
    <xf numFmtId="165" fontId="5" fillId="0" borderId="0" xfId="0" applyNumberFormat="1" applyFont="1" applyFill="1"/>
    <xf numFmtId="0" fontId="0" fillId="0" borderId="0" xfId="0" applyFill="1"/>
    <xf numFmtId="0" fontId="0" fillId="0" borderId="0" xfId="0" applyFill="1" applyAlignment="1">
      <alignment horizontal="left" indent="1"/>
    </xf>
    <xf numFmtId="0" fontId="10" fillId="0" borderId="0" xfId="0" applyFont="1" applyFill="1"/>
    <xf numFmtId="0" fontId="11" fillId="0" borderId="0" xfId="0" applyFont="1"/>
    <xf numFmtId="0" fontId="11" fillId="0" borderId="0" xfId="0" applyFont="1" applyFill="1"/>
    <xf numFmtId="3" fontId="6" fillId="0" borderId="0" xfId="0" applyNumberFormat="1" applyFont="1" applyFill="1"/>
    <xf numFmtId="3" fontId="6" fillId="0" borderId="0" xfId="0" applyNumberFormat="1" applyFont="1"/>
    <xf numFmtId="165" fontId="6" fillId="0" borderId="0" xfId="0" applyNumberFormat="1" applyFont="1" applyFill="1"/>
    <xf numFmtId="168" fontId="6" fillId="0" borderId="0" xfId="1" applyNumberFormat="1" applyFont="1"/>
    <xf numFmtId="0" fontId="6" fillId="0" borderId="0" xfId="0" applyFont="1" applyFill="1"/>
    <xf numFmtId="4" fontId="6" fillId="0" borderId="0" xfId="0" applyNumberFormat="1" applyFont="1"/>
    <xf numFmtId="4" fontId="6" fillId="0" borderId="0" xfId="0" applyNumberFormat="1" applyFont="1" applyFill="1"/>
    <xf numFmtId="0" fontId="6" fillId="0" borderId="0" xfId="0" applyFont="1"/>
    <xf numFmtId="0" fontId="0" fillId="0" borderId="4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PANI: Indicadores de Resultado 2016</a:t>
            </a:r>
          </a:p>
        </c:rich>
      </c:tx>
      <c:layout>
        <c:manualLayout>
          <c:xMode val="edge"/>
          <c:yMode val="edge"/>
          <c:x val="0.30115966754155732"/>
          <c:y val="4.166666666666666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(Anual!$B$44,Anual!$D$44:$I$44)</c:f>
              <c:numCache>
                <c:formatCode>#,##0.0____</c:formatCode>
                <c:ptCount val="7"/>
                <c:pt idx="0">
                  <c:v>80.053444846039611</c:v>
                </c:pt>
                <c:pt idx="1">
                  <c:v>122.41948001552194</c:v>
                </c:pt>
                <c:pt idx="2">
                  <c:v>104.67479674796749</c:v>
                </c:pt>
                <c:pt idx="3">
                  <c:v>88.492063492063494</c:v>
                </c:pt>
                <c:pt idx="4">
                  <c:v>14.205555555555557</c:v>
                </c:pt>
                <c:pt idx="5">
                  <c:v>15.47619047619048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(Anual!$B$45,Anual!$D$45:$I$45)</c:f>
              <c:numCache>
                <c:formatCode>#,##0.0____</c:formatCode>
                <c:ptCount val="7"/>
                <c:pt idx="0">
                  <c:v>84.168635657708052</c:v>
                </c:pt>
                <c:pt idx="1">
                  <c:v>99.95425034420677</c:v>
                </c:pt>
                <c:pt idx="2">
                  <c:v>86.456435788082103</c:v>
                </c:pt>
                <c:pt idx="3">
                  <c:v>99.995835517645304</c:v>
                </c:pt>
                <c:pt idx="4">
                  <c:v>67.390599822601331</c:v>
                </c:pt>
                <c:pt idx="5">
                  <c:v>66.249361505982378</c:v>
                </c:pt>
                <c:pt idx="6">
                  <c:v>6.6537096774399771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(Anual!$B$46,Anual!$D$46:$I$46)</c:f>
              <c:numCache>
                <c:formatCode>#,##0.0____</c:formatCode>
                <c:ptCount val="7"/>
                <c:pt idx="0">
                  <c:v>82.111040251873831</c:v>
                </c:pt>
                <c:pt idx="1">
                  <c:v>111.18686517986436</c:v>
                </c:pt>
                <c:pt idx="2">
                  <c:v>95.565616268024797</c:v>
                </c:pt>
                <c:pt idx="3">
                  <c:v>94.243949504854399</c:v>
                </c:pt>
                <c:pt idx="4">
                  <c:v>40.798077689078447</c:v>
                </c:pt>
                <c:pt idx="5">
                  <c:v>40.86277599108643</c:v>
                </c:pt>
                <c:pt idx="6">
                  <c:v>23.326854838719989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7457352"/>
        <c:axId val="279109712"/>
      </c:barChart>
      <c:catAx>
        <c:axId val="277457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109712"/>
        <c:crosses val="autoZero"/>
        <c:auto val="1"/>
        <c:lblAlgn val="ctr"/>
        <c:lblOffset val="100"/>
        <c:noMultiLvlLbl val="0"/>
      </c:catAx>
      <c:valAx>
        <c:axId val="279109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457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Expansión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Atención de
 denuncias</c:v>
                </c:pt>
                <c:pt idx="2">
                  <c:v>Centros de Atención Infantil-
Guarderías</c:v>
                </c:pt>
                <c:pt idx="3">
                  <c:v>Proteccion y apoyo a los niños, niñas 
y Adolescenres en los Albergues PANI</c:v>
                </c:pt>
                <c:pt idx="4">
                  <c:v>Protección y apoyo a los niños, niñas y adolescentes con condición de discapacidad en 2 ONG</c:v>
                </c:pt>
                <c:pt idx="5">
                  <c:v>Juntas de Protección de Niñez y 
Adolescencia-Promoción</c:v>
                </c:pt>
                <c:pt idx="6">
                  <c:v>Juntas de Protección de Niñez y
 Adolescencia-Prevención</c:v>
                </c:pt>
                <c:pt idx="7">
                  <c:v>Construcciones y Remodelaciones Obra Pública</c:v>
                </c:pt>
              </c:strCache>
            </c:strRef>
          </c:cat>
          <c:val>
            <c:numRef>
              <c:f>(Anual!$B$57,Anual!$D$57:$F$57)</c:f>
              <c:numCache>
                <c:formatCode>#,##0.0____</c:formatCode>
                <c:ptCount val="4"/>
                <c:pt idx="0">
                  <c:v>302.12696709270517</c:v>
                </c:pt>
                <c:pt idx="1">
                  <c:v>-12.358926277042737</c:v>
                </c:pt>
                <c:pt idx="2">
                  <c:v>22.512975778546718</c:v>
                </c:pt>
                <c:pt idx="3">
                  <c:v>253.96825396825395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Atención de
 denuncias</c:v>
                </c:pt>
                <c:pt idx="2">
                  <c:v>Centros de Atención Infantil-
Guarderías</c:v>
                </c:pt>
                <c:pt idx="3">
                  <c:v>Proteccion y apoyo a los niños, niñas 
y Adolescenres en los Albergues PANI</c:v>
                </c:pt>
                <c:pt idx="4">
                  <c:v>Protección y apoyo a los niños, niñas y adolescentes con condición de discapacidad en 2 ONG</c:v>
                </c:pt>
                <c:pt idx="5">
                  <c:v>Juntas de Protección de Niñez y 
Adolescencia-Promoción</c:v>
                </c:pt>
                <c:pt idx="6">
                  <c:v>Juntas de Protección de Niñez y
 Adolescencia-Prevención</c:v>
                </c:pt>
                <c:pt idx="7">
                  <c:v>Construcciones y Remodelaciones Obra Pública</c:v>
                </c:pt>
              </c:strCache>
            </c:strRef>
          </c:cat>
          <c:val>
            <c:numRef>
              <c:f>(Anual!$B$58,Anual!$D$58:$F$58)</c:f>
              <c:numCache>
                <c:formatCode>#,##0.0____</c:formatCode>
                <c:ptCount val="4"/>
                <c:pt idx="0">
                  <c:v>2.0659985449740681</c:v>
                </c:pt>
                <c:pt idx="1">
                  <c:v>16.215461987806634</c:v>
                </c:pt>
                <c:pt idx="2">
                  <c:v>0.8513173998811352</c:v>
                </c:pt>
                <c:pt idx="3">
                  <c:v>111.65271574983784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(Anual!$B$5,Anual!$C$5,Anual!$D$5,Anual!$E$5,Anual!$F$5,Anual!$G$5,Anual!$H$5,Anual!$I$5)</c:f>
              <c:strCache>
                <c:ptCount val="8"/>
                <c:pt idx="0">
                  <c:v>Total programa</c:v>
                </c:pt>
                <c:pt idx="1">
                  <c:v>Atención de
 denuncias</c:v>
                </c:pt>
                <c:pt idx="2">
                  <c:v>Centros de Atención Infantil-
Guarderías</c:v>
                </c:pt>
                <c:pt idx="3">
                  <c:v>Proteccion y apoyo a los niños, niñas 
y Adolescenres en los Albergues PANI</c:v>
                </c:pt>
                <c:pt idx="4">
                  <c:v>Protección y apoyo a los niños, niñas y adolescentes con condición de discapacidad en 2 ONG</c:v>
                </c:pt>
                <c:pt idx="5">
                  <c:v>Juntas de Protección de Niñez y 
Adolescencia-Promoción</c:v>
                </c:pt>
                <c:pt idx="6">
                  <c:v>Juntas de Protección de Niñez y
 Adolescencia-Prevención</c:v>
                </c:pt>
                <c:pt idx="7">
                  <c:v>Construcciones y Remodelaciones Obra Pública</c:v>
                </c:pt>
              </c:strCache>
            </c:strRef>
          </c:cat>
          <c:val>
            <c:numRef>
              <c:f>(Anual!$B$59,Anual!$D$59:$F$59)</c:f>
              <c:numCache>
                <c:formatCode>#,##0.0____</c:formatCode>
                <c:ptCount val="4"/>
                <c:pt idx="0">
                  <c:v>-74.618464590203899</c:v>
                </c:pt>
                <c:pt idx="1">
                  <c:v>32.603877441273752</c:v>
                </c:pt>
                <c:pt idx="2">
                  <c:v>-17.681113564510099</c:v>
                </c:pt>
                <c:pt idx="3">
                  <c:v>-40.205735012377666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9111280"/>
        <c:axId val="118106832"/>
      </c:barChart>
      <c:catAx>
        <c:axId val="279111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106832"/>
        <c:crosses val="autoZero"/>
        <c:auto val="1"/>
        <c:lblAlgn val="ctr"/>
        <c:lblOffset val="100"/>
        <c:noMultiLvlLbl val="0"/>
      </c:catAx>
      <c:valAx>
        <c:axId val="11810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111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PANI:</a:t>
            </a:r>
            <a:r>
              <a:rPr lang="es-CR" sz="1400" baseline="0"/>
              <a:t> Indicadores de Giro de Recursos 2016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Anual!$B$69</c:f>
              <c:numCache>
                <c:formatCode>#,##0.0____</c:formatCode>
                <c:ptCount val="1"/>
                <c:pt idx="0">
                  <c:v>94.905387167175434</c:v>
                </c:pt>
              </c:numCache>
            </c:numRef>
          </c:val>
        </c:ser>
        <c:ser>
          <c:idx val="1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Anual!$B$70</c:f>
              <c:numCache>
                <c:formatCode>#,##0.0____</c:formatCode>
                <c:ptCount val="1"/>
                <c:pt idx="0">
                  <c:v>88.686889301073464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8106440"/>
        <c:axId val="118106048"/>
      </c:barChart>
      <c:catAx>
        <c:axId val="118106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ES"/>
          </a:p>
        </c:txPr>
        <c:crossAx val="118106048"/>
        <c:crosses val="autoZero"/>
        <c:auto val="1"/>
        <c:lblAlgn val="ctr"/>
        <c:lblOffset val="100"/>
        <c:noMultiLvlLbl val="0"/>
      </c:catAx>
      <c:valAx>
        <c:axId val="118106048"/>
        <c:scaling>
          <c:orientation val="minMax"/>
        </c:scaling>
        <c:delete val="1"/>
        <c:axPos val="l"/>
        <c:numFmt formatCode="#,##0.0____" sourceLinked="1"/>
        <c:majorTickMark val="out"/>
        <c:minorTickMark val="none"/>
        <c:tickLblPos val="none"/>
        <c:crossAx val="118106440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lang="es-ES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de eficiencia (IE) 2016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(Anual!$B$5,Anual!$D$5:$H$5)</c:f>
              <c:strCache>
                <c:ptCount val="6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</c:strCache>
            </c:strRef>
          </c:cat>
          <c:val>
            <c:numRef>
              <c:f>(Anual!$B$64,Anual!$D$64:$H$64)</c:f>
              <c:numCache>
                <c:formatCode>#,##0.0</c:formatCode>
                <c:ptCount val="6"/>
                <c:pt idx="0">
                  <c:v>86.33200287291919</c:v>
                </c:pt>
                <c:pt idx="1">
                  <c:v>90.78293549169301</c:v>
                </c:pt>
                <c:pt idx="2">
                  <c:v>78.932683158856136</c:v>
                </c:pt>
                <c:pt idx="3">
                  <c:v>106.49545395747147</c:v>
                </c:pt>
                <c:pt idx="4">
                  <c:v>193.54448450281402</c:v>
                </c:pt>
                <c:pt idx="5">
                  <c:v>174.92242828984834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77223504"/>
        <c:axId val="277224680"/>
      </c:barChart>
      <c:catAx>
        <c:axId val="27722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224680"/>
        <c:crosses val="autoZero"/>
        <c:auto val="1"/>
        <c:lblAlgn val="ctr"/>
        <c:lblOffset val="100"/>
        <c:noMultiLvlLbl val="0"/>
      </c:catAx>
      <c:valAx>
        <c:axId val="277224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22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R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Indicadores de gasto medio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(Anual!$B$65,Anual!$D$65:$I$65)</c:f>
              <c:numCache>
                <c:formatCode>#,##0</c:formatCode>
                <c:ptCount val="7"/>
                <c:pt idx="0">
                  <c:v>350853.66302200133</c:v>
                </c:pt>
                <c:pt idx="1">
                  <c:v>851885.26193247968</c:v>
                </c:pt>
                <c:pt idx="2">
                  <c:v>4411787.600798226</c:v>
                </c:pt>
                <c:pt idx="3">
                  <c:v>8525227.3166666664</c:v>
                </c:pt>
                <c:pt idx="4">
                  <c:v>65404.658719999999</c:v>
                </c:pt>
                <c:pt idx="5">
                  <c:v>89129.551954285722</c:v>
                </c:pt>
                <c:pt idx="6">
                  <c:v>184570758.80000001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(Anual!$B$66,Anual!$D$66:$I$66)</c:f>
              <c:numCache>
                <c:formatCode>#,##0</c:formatCode>
                <c:ptCount val="7"/>
                <c:pt idx="0">
                  <c:v>368889.48612849176</c:v>
                </c:pt>
                <c:pt idx="1">
                  <c:v>695555.58253427362</c:v>
                </c:pt>
                <c:pt idx="2">
                  <c:v>3643928.0826831413</c:v>
                </c:pt>
                <c:pt idx="3">
                  <c:v>9633487.9634080715</c:v>
                </c:pt>
                <c:pt idx="4">
                  <c:v>310277.14228392649</c:v>
                </c:pt>
                <c:pt idx="5">
                  <c:v>381539.36638153839</c:v>
                </c:pt>
                <c:pt idx="6">
                  <c:v>30702006.099999998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277225464"/>
        <c:axId val="277222720"/>
      </c:barChart>
      <c:catAx>
        <c:axId val="27722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222720"/>
        <c:crosses val="autoZero"/>
        <c:auto val="1"/>
        <c:lblAlgn val="ctr"/>
        <c:lblOffset val="100"/>
        <c:noMultiLvlLbl val="0"/>
      </c:catAx>
      <c:valAx>
        <c:axId val="27722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7225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PANI: Índice transferencia efectiva del gasto (ITG) 2016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(Anual!$B$5,Anual!$D$5:$I$5)</c15:sqref>
                  </c15:fullRef>
                </c:ext>
              </c:extLst>
              <c:f>Anual!$B$5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(Anual!$B$54,Anual!$D$54:$I$54)</c15:sqref>
                  </c15:fullRef>
                </c:ext>
              </c:extLst>
              <c:f>Anual!$B$54</c:f>
              <c:numCache>
                <c:formatCode>#,##0.0____</c:formatCode>
                <c:ptCount val="1"/>
                <c:pt idx="0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0156936"/>
        <c:axId val="280157328"/>
      </c:barChart>
      <c:catAx>
        <c:axId val="28015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157328"/>
        <c:crosses val="autoZero"/>
        <c:auto val="1"/>
        <c:lblAlgn val="ctr"/>
        <c:lblOffset val="100"/>
        <c:noMultiLvlLbl val="0"/>
      </c:catAx>
      <c:valAx>
        <c:axId val="28015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0156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PANI: Indicadores de Avance 2016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(Anual!$B$49,Anual!$D$49:$I$49)</c:f>
              <c:numCache>
                <c:formatCode>#,##0.0____</c:formatCode>
                <c:ptCount val="7"/>
                <c:pt idx="0">
                  <c:v>80.053444846039611</c:v>
                </c:pt>
                <c:pt idx="1">
                  <c:v>122.41948001552194</c:v>
                </c:pt>
                <c:pt idx="2">
                  <c:v>104.67479674796749</c:v>
                </c:pt>
                <c:pt idx="3">
                  <c:v>88.492063492063494</c:v>
                </c:pt>
                <c:pt idx="4">
                  <c:v>14.205555555555557</c:v>
                </c:pt>
                <c:pt idx="5">
                  <c:v>15.47619047619048</c:v>
                </c:pt>
                <c:pt idx="6">
                  <c:v>40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(Anual!$B$50,Anual!$D$50:$I$50)</c:f>
              <c:numCache>
                <c:formatCode>#,##0.0____</c:formatCode>
                <c:ptCount val="7"/>
                <c:pt idx="0">
                  <c:v>84.168635647625806</c:v>
                </c:pt>
                <c:pt idx="1">
                  <c:v>99.95425034420677</c:v>
                </c:pt>
                <c:pt idx="2">
                  <c:v>86.456435788082103</c:v>
                </c:pt>
                <c:pt idx="3">
                  <c:v>99.995835517645304</c:v>
                </c:pt>
                <c:pt idx="4">
                  <c:v>67.390599822601331</c:v>
                </c:pt>
                <c:pt idx="5">
                  <c:v>66.249361505982407</c:v>
                </c:pt>
                <c:pt idx="6">
                  <c:v>6.6537096630201216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(Anual!$B$5,Anual!$D$5:$I$5)</c:f>
              <c:strCache>
                <c:ptCount val="7"/>
                <c:pt idx="0">
                  <c:v>Total programa</c:v>
                </c:pt>
                <c:pt idx="1">
                  <c:v>Centros de Atención Infantil-
Guarderías</c:v>
                </c:pt>
                <c:pt idx="2">
                  <c:v>Proteccion y apoyo a los niños, niñas 
y Adolescenres en los Albergues PANI</c:v>
                </c:pt>
                <c:pt idx="3">
                  <c:v>Protección y apoyo a los niños, niñas y adolescentes con condición de discapacidad en 2 ONG</c:v>
                </c:pt>
                <c:pt idx="4">
                  <c:v>Juntas de Protección de Niñez y 
Adolescencia-Promoción</c:v>
                </c:pt>
                <c:pt idx="5">
                  <c:v>Juntas de Protección de Niñez y
 Adolescencia-Prevención</c:v>
                </c:pt>
                <c:pt idx="6">
                  <c:v>Construcciones y Remodelaciones Obra Pública</c:v>
                </c:pt>
              </c:strCache>
            </c:strRef>
          </c:cat>
          <c:val>
            <c:numRef>
              <c:f>(Anual!$B$51,Anual!$D$51:$I$51)</c:f>
              <c:numCache>
                <c:formatCode>#,##0.0____</c:formatCode>
                <c:ptCount val="7"/>
                <c:pt idx="0">
                  <c:v>82.111040246832715</c:v>
                </c:pt>
                <c:pt idx="1">
                  <c:v>111.18686517986436</c:v>
                </c:pt>
                <c:pt idx="2">
                  <c:v>95.565616268024797</c:v>
                </c:pt>
                <c:pt idx="3">
                  <c:v>94.243949504854399</c:v>
                </c:pt>
                <c:pt idx="4">
                  <c:v>40.798077689078447</c:v>
                </c:pt>
                <c:pt idx="5">
                  <c:v>40.862775991086444</c:v>
                </c:pt>
                <c:pt idx="6">
                  <c:v>23.326854831510062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"/>
        <c:axId val="279405992"/>
        <c:axId val="279406776"/>
      </c:barChart>
      <c:catAx>
        <c:axId val="279405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406776"/>
        <c:crosses val="autoZero"/>
        <c:auto val="1"/>
        <c:lblAlgn val="ctr"/>
        <c:lblOffset val="100"/>
        <c:noMultiLvlLbl val="0"/>
      </c:catAx>
      <c:valAx>
        <c:axId val="27940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79405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438831</xdr:colOff>
      <xdr:row>19</xdr:row>
      <xdr:rowOff>108858</xdr:rowOff>
    </xdr:from>
    <xdr:to>
      <xdr:col>31</xdr:col>
      <xdr:colOff>312965</xdr:colOff>
      <xdr:row>40</xdr:row>
      <xdr:rowOff>174095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326721</xdr:colOff>
      <xdr:row>19</xdr:row>
      <xdr:rowOff>153760</xdr:rowOff>
    </xdr:from>
    <xdr:to>
      <xdr:col>22</xdr:col>
      <xdr:colOff>81643</xdr:colOff>
      <xdr:row>36</xdr:row>
      <xdr:rowOff>152701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1047749</xdr:colOff>
      <xdr:row>74</xdr:row>
      <xdr:rowOff>42333</xdr:rowOff>
    </xdr:from>
    <xdr:to>
      <xdr:col>8</xdr:col>
      <xdr:colOff>211666</xdr:colOff>
      <xdr:row>88</xdr:row>
      <xdr:rowOff>116416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687916</xdr:colOff>
      <xdr:row>74</xdr:row>
      <xdr:rowOff>9524</xdr:rowOff>
    </xdr:from>
    <xdr:to>
      <xdr:col>15</xdr:col>
      <xdr:colOff>598715</xdr:colOff>
      <xdr:row>88</xdr:row>
      <xdr:rowOff>85724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10583</xdr:colOff>
      <xdr:row>56</xdr:row>
      <xdr:rowOff>104774</xdr:rowOff>
    </xdr:from>
    <xdr:to>
      <xdr:col>17</xdr:col>
      <xdr:colOff>10583</xdr:colOff>
      <xdr:row>70</xdr:row>
      <xdr:rowOff>180974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556947</xdr:colOff>
      <xdr:row>37</xdr:row>
      <xdr:rowOff>157691</xdr:rowOff>
    </xdr:from>
    <xdr:to>
      <xdr:col>16</xdr:col>
      <xdr:colOff>556947</xdr:colOff>
      <xdr:row>52</xdr:row>
      <xdr:rowOff>43391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760676</xdr:colOff>
      <xdr:row>40</xdr:row>
      <xdr:rowOff>92869</xdr:rowOff>
    </xdr:from>
    <xdr:to>
      <xdr:col>25</xdr:col>
      <xdr:colOff>416718</xdr:colOff>
      <xdr:row>56</xdr:row>
      <xdr:rowOff>83343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zoomScale="80" zoomScaleNormal="80" workbookViewId="0">
      <selection activeCell="K64" sqref="K64"/>
    </sheetView>
  </sheetViews>
  <sheetFormatPr baseColWidth="10" defaultColWidth="11.42578125" defaultRowHeight="15" x14ac:dyDescent="0.25"/>
  <cols>
    <col min="1" max="1" width="55.140625" customWidth="1"/>
    <col min="2" max="3" width="19.7109375" customWidth="1"/>
    <col min="4" max="4" width="16.85546875" bestFit="1" customWidth="1"/>
    <col min="5" max="5" width="16.42578125" customWidth="1"/>
    <col min="6" max="6" width="19.85546875" customWidth="1"/>
    <col min="7" max="7" width="15.42578125" bestFit="1" customWidth="1"/>
    <col min="8" max="8" width="15.42578125" customWidth="1"/>
    <col min="9" max="9" width="17.42578125" customWidth="1"/>
    <col min="10" max="10" width="15.85546875" hidden="1" customWidth="1"/>
    <col min="11" max="11" width="21.7109375" customWidth="1"/>
    <col min="17" max="17" width="20.85546875" customWidth="1"/>
  </cols>
  <sheetData>
    <row r="1" spans="1:20" x14ac:dyDescent="0.25">
      <c r="A1" s="25"/>
    </row>
    <row r="2" spans="1:20" ht="15.75" x14ac:dyDescent="0.25">
      <c r="A2" s="60" t="s">
        <v>83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20" x14ac:dyDescent="0.25">
      <c r="A4" s="56" t="s">
        <v>0</v>
      </c>
      <c r="B4" s="58" t="s">
        <v>1</v>
      </c>
      <c r="C4" s="26"/>
      <c r="D4" s="61" t="s">
        <v>2</v>
      </c>
      <c r="E4" s="61"/>
      <c r="F4" s="61"/>
      <c r="G4" s="61"/>
      <c r="H4" s="61"/>
      <c r="I4" s="61"/>
      <c r="J4" s="61"/>
      <c r="K4" s="61"/>
    </row>
    <row r="5" spans="1:20" ht="90.75" thickBot="1" x14ac:dyDescent="0.3">
      <c r="A5" s="57"/>
      <c r="B5" s="59"/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27" t="s">
        <v>52</v>
      </c>
      <c r="K5" s="27" t="s">
        <v>50</v>
      </c>
      <c r="Q5" s="41"/>
    </row>
    <row r="6" spans="1:20" ht="15.75" thickTop="1" x14ac:dyDescent="0.25">
      <c r="T6" s="41"/>
    </row>
    <row r="7" spans="1:20" x14ac:dyDescent="0.25">
      <c r="A7" s="2" t="s">
        <v>3</v>
      </c>
    </row>
    <row r="8" spans="1:20" x14ac:dyDescent="0.25">
      <c r="L8" s="36"/>
    </row>
    <row r="9" spans="1:20" x14ac:dyDescent="0.25">
      <c r="A9" t="s">
        <v>4</v>
      </c>
    </row>
    <row r="10" spans="1:20" x14ac:dyDescent="0.25">
      <c r="A10" s="3" t="s">
        <v>54</v>
      </c>
      <c r="B10" s="47">
        <f>C10+D10+E10+F10+G10+H10+I10</f>
        <v>5498.333333333333</v>
      </c>
      <c r="C10" s="4">
        <v>3011</v>
      </c>
      <c r="D10" s="4">
        <v>2114</v>
      </c>
      <c r="E10" s="13">
        <v>373.33333333333331</v>
      </c>
      <c r="F10" s="4">
        <v>0</v>
      </c>
      <c r="G10" s="4">
        <v>0</v>
      </c>
      <c r="H10" s="4">
        <v>0</v>
      </c>
      <c r="I10" s="4">
        <v>0</v>
      </c>
      <c r="J10" s="4"/>
      <c r="K10" s="4">
        <v>0</v>
      </c>
      <c r="L10" s="43"/>
    </row>
    <row r="11" spans="1:20" x14ac:dyDescent="0.25">
      <c r="A11" s="3" t="s">
        <v>84</v>
      </c>
      <c r="B11" s="47">
        <f>C11+D11+E11+F11+G11+H11</f>
        <v>11946</v>
      </c>
      <c r="C11" s="4">
        <v>9714</v>
      </c>
      <c r="D11" s="4">
        <v>1718</v>
      </c>
      <c r="E11" s="13">
        <v>451</v>
      </c>
      <c r="F11" s="4">
        <v>63</v>
      </c>
      <c r="G11" s="46">
        <v>0</v>
      </c>
      <c r="H11" s="13">
        <v>0</v>
      </c>
      <c r="I11" s="47">
        <v>1</v>
      </c>
      <c r="J11" s="4"/>
      <c r="K11" s="47">
        <v>0</v>
      </c>
      <c r="L11" s="43"/>
    </row>
    <row r="12" spans="1:20" x14ac:dyDescent="0.25">
      <c r="A12" s="3" t="s">
        <v>85</v>
      </c>
      <c r="B12" s="47">
        <f>C12+D12+E12+F12+G12+H12</f>
        <v>13274.666666666666</v>
      </c>
      <c r="C12" s="4">
        <v>10455</v>
      </c>
      <c r="D12" s="4">
        <v>2270</v>
      </c>
      <c r="E12" s="13">
        <v>480.66666666666669</v>
      </c>
      <c r="F12" s="4">
        <v>69</v>
      </c>
      <c r="G12" s="4">
        <v>0</v>
      </c>
      <c r="H12" s="4">
        <v>0</v>
      </c>
      <c r="I12" s="4">
        <v>0</v>
      </c>
      <c r="J12" s="4"/>
      <c r="K12" s="4">
        <v>0</v>
      </c>
      <c r="L12" s="43"/>
    </row>
    <row r="13" spans="1:20" s="41" customFormat="1" x14ac:dyDescent="0.25">
      <c r="A13" s="42" t="s">
        <v>86</v>
      </c>
      <c r="B13" s="47">
        <f>C13+D13+E13+F13+G13+H13</f>
        <v>47588</v>
      </c>
      <c r="C13" s="46">
        <v>38856</v>
      </c>
      <c r="D13" s="46">
        <v>1718</v>
      </c>
      <c r="E13" s="46">
        <v>451</v>
      </c>
      <c r="F13" s="46">
        <v>63</v>
      </c>
      <c r="G13" s="46">
        <v>3000</v>
      </c>
      <c r="H13" s="46">
        <v>3500</v>
      </c>
      <c r="I13" s="46">
        <v>5</v>
      </c>
      <c r="J13" s="46"/>
      <c r="K13" s="46">
        <v>0</v>
      </c>
      <c r="L13" s="25"/>
      <c r="P13" s="43"/>
    </row>
    <row r="14" spans="1:20" x14ac:dyDescent="0.25">
      <c r="C14" s="44"/>
      <c r="D14" s="44"/>
      <c r="E14" s="44"/>
      <c r="F14" s="44"/>
      <c r="G14" s="44"/>
      <c r="H14" s="44"/>
      <c r="I14" s="44"/>
      <c r="J14" s="44"/>
      <c r="L14" s="45"/>
    </row>
    <row r="15" spans="1:20" x14ac:dyDescent="0.25">
      <c r="A15" s="5" t="s">
        <v>5</v>
      </c>
      <c r="D15" s="24"/>
    </row>
    <row r="16" spans="1:20" x14ac:dyDescent="0.25">
      <c r="A16" s="3" t="s">
        <v>54</v>
      </c>
      <c r="B16" s="4">
        <f>SUM(C16:K16)</f>
        <v>3534672240</v>
      </c>
      <c r="C16" s="4">
        <v>2777411073</v>
      </c>
      <c r="D16" s="13">
        <v>253952421</v>
      </c>
      <c r="E16" s="13">
        <v>496452948</v>
      </c>
      <c r="F16" s="13">
        <v>0</v>
      </c>
      <c r="G16" s="13">
        <v>1588116</v>
      </c>
      <c r="H16" s="13">
        <v>5267682</v>
      </c>
      <c r="I16" s="6">
        <v>0</v>
      </c>
      <c r="J16" s="4"/>
      <c r="K16" s="13">
        <v>0</v>
      </c>
    </row>
    <row r="17" spans="1:12" x14ac:dyDescent="0.25">
      <c r="A17" s="3" t="s">
        <v>84</v>
      </c>
      <c r="B17" s="4">
        <f t="shared" ref="B17:B19" si="0">SUM(C17:K17)</f>
        <v>3715277091.283</v>
      </c>
      <c r="C17" s="4">
        <v>2601936578.073</v>
      </c>
      <c r="D17" s="13">
        <v>439061664</v>
      </c>
      <c r="E17" s="13">
        <v>459165278.75999999</v>
      </c>
      <c r="F17" s="13">
        <v>123943689.44999999</v>
      </c>
      <c r="G17" s="37">
        <v>0</v>
      </c>
      <c r="H17" s="13">
        <v>0</v>
      </c>
      <c r="I17" s="13">
        <v>91169881</v>
      </c>
      <c r="J17" s="4"/>
      <c r="K17" s="4">
        <v>0</v>
      </c>
      <c r="L17" s="24"/>
    </row>
    <row r="18" spans="1:12" x14ac:dyDescent="0.25">
      <c r="A18" s="3" t="s">
        <v>85</v>
      </c>
      <c r="B18" s="4">
        <f t="shared" si="0"/>
        <v>3968340615.9700003</v>
      </c>
      <c r="C18" s="4">
        <v>2813609955.5</v>
      </c>
      <c r="D18" s="13">
        <v>624095340</v>
      </c>
      <c r="E18" s="13">
        <v>502115966.47000003</v>
      </c>
      <c r="F18" s="13">
        <v>0</v>
      </c>
      <c r="G18" s="13">
        <v>1003004</v>
      </c>
      <c r="H18" s="13">
        <v>988371</v>
      </c>
      <c r="I18" s="13">
        <v>26527979</v>
      </c>
      <c r="J18" s="4"/>
      <c r="K18" s="4">
        <v>0</v>
      </c>
    </row>
    <row r="19" spans="1:12" x14ac:dyDescent="0.25">
      <c r="A19" s="3" t="s">
        <v>86</v>
      </c>
      <c r="B19" s="4">
        <f t="shared" si="0"/>
        <v>16696424117.891003</v>
      </c>
      <c r="C19" s="4">
        <v>11275058504.981001</v>
      </c>
      <c r="D19" s="13">
        <v>1463538880</v>
      </c>
      <c r="E19" s="13">
        <v>1989716207.96</v>
      </c>
      <c r="F19" s="13">
        <v>537089320.94999993</v>
      </c>
      <c r="G19" s="13">
        <v>196213976.16000003</v>
      </c>
      <c r="H19" s="13">
        <v>311953431.83999997</v>
      </c>
      <c r="I19" s="13">
        <v>922853796</v>
      </c>
      <c r="J19" s="13"/>
      <c r="K19" s="13">
        <v>0</v>
      </c>
    </row>
    <row r="20" spans="1:12" x14ac:dyDescent="0.25">
      <c r="A20" s="3" t="s">
        <v>87</v>
      </c>
      <c r="B20" s="47">
        <f>C20+D20+E20+F20+I20+G20+H20</f>
        <v>3968340615.9700003</v>
      </c>
      <c r="C20" s="49">
        <f>C18</f>
        <v>2813609955.5</v>
      </c>
      <c r="D20" s="49">
        <f>D18</f>
        <v>624095340</v>
      </c>
      <c r="E20" s="49">
        <f t="shared" ref="E20:J20" si="1">E18</f>
        <v>502115966.47000003</v>
      </c>
      <c r="F20" s="49">
        <f t="shared" si="1"/>
        <v>0</v>
      </c>
      <c r="G20" s="49">
        <f t="shared" si="1"/>
        <v>1003004</v>
      </c>
      <c r="H20" s="49">
        <f t="shared" si="1"/>
        <v>988371</v>
      </c>
      <c r="I20" s="49">
        <f t="shared" si="1"/>
        <v>26527979</v>
      </c>
      <c r="J20" s="49">
        <f t="shared" si="1"/>
        <v>0</v>
      </c>
      <c r="K20" s="24">
        <v>0</v>
      </c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5" t="s">
        <v>6</v>
      </c>
      <c r="B22" s="4"/>
      <c r="C22" s="46"/>
      <c r="D22" s="4"/>
      <c r="E22" s="4"/>
      <c r="F22" s="18"/>
      <c r="G22" s="4"/>
      <c r="H22" s="4"/>
    </row>
    <row r="23" spans="1:12" x14ac:dyDescent="0.25">
      <c r="A23" s="3" t="s">
        <v>84</v>
      </c>
      <c r="B23" s="4">
        <f>B17</f>
        <v>3715277091.283</v>
      </c>
      <c r="C23" s="34"/>
      <c r="F23" s="18"/>
    </row>
    <row r="24" spans="1:12" x14ac:dyDescent="0.25">
      <c r="A24" s="3" t="s">
        <v>85</v>
      </c>
      <c r="B24" s="4">
        <v>3180553906.9300003</v>
      </c>
      <c r="C24" s="46"/>
      <c r="D24" s="24"/>
      <c r="F24" s="18"/>
    </row>
    <row r="25" spans="1:12" x14ac:dyDescent="0.25">
      <c r="F25" s="18"/>
    </row>
    <row r="26" spans="1:12" x14ac:dyDescent="0.25">
      <c r="A26" t="s">
        <v>7</v>
      </c>
    </row>
    <row r="27" spans="1:12" x14ac:dyDescent="0.25">
      <c r="A27" s="3" t="s">
        <v>55</v>
      </c>
      <c r="B27" s="17">
        <v>1</v>
      </c>
      <c r="C27" s="17">
        <v>1</v>
      </c>
      <c r="D27" s="17">
        <v>1</v>
      </c>
      <c r="E27" s="17">
        <v>1</v>
      </c>
      <c r="F27" s="17">
        <v>1</v>
      </c>
      <c r="G27" s="17">
        <v>1</v>
      </c>
      <c r="H27" s="17">
        <v>1</v>
      </c>
      <c r="I27" s="17">
        <v>1</v>
      </c>
      <c r="J27" s="17">
        <v>1</v>
      </c>
      <c r="K27" s="17">
        <v>1</v>
      </c>
    </row>
    <row r="28" spans="1:12" x14ac:dyDescent="0.25">
      <c r="A28" s="3" t="s">
        <v>88</v>
      </c>
      <c r="B28" s="17">
        <v>0.99</v>
      </c>
      <c r="C28" s="17">
        <v>0.99</v>
      </c>
      <c r="D28" s="17">
        <v>0.99</v>
      </c>
      <c r="E28" s="17">
        <v>0.99</v>
      </c>
      <c r="F28" s="17">
        <v>0.99</v>
      </c>
      <c r="G28" s="17">
        <v>0.99</v>
      </c>
      <c r="H28" s="17">
        <v>0.99</v>
      </c>
      <c r="I28" s="17">
        <v>0.99</v>
      </c>
      <c r="J28" s="17">
        <v>0.99</v>
      </c>
      <c r="K28" s="17">
        <v>0.99</v>
      </c>
    </row>
    <row r="29" spans="1:12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 x14ac:dyDescent="0.25">
      <c r="A31" s="3" t="s">
        <v>9</v>
      </c>
    </row>
    <row r="32" spans="1:12" x14ac:dyDescent="0.25">
      <c r="A32" s="3" t="s">
        <v>56</v>
      </c>
      <c r="B32" s="22">
        <f t="shared" ref="B32:K32" si="2">B16/B27</f>
        <v>3534672240</v>
      </c>
      <c r="C32" s="22">
        <f t="shared" si="2"/>
        <v>2777411073</v>
      </c>
      <c r="D32" s="22">
        <f t="shared" si="2"/>
        <v>253952421</v>
      </c>
      <c r="E32" s="22">
        <f t="shared" si="2"/>
        <v>496452948</v>
      </c>
      <c r="F32" s="22">
        <f t="shared" si="2"/>
        <v>0</v>
      </c>
      <c r="G32" s="22">
        <f t="shared" si="2"/>
        <v>1588116</v>
      </c>
      <c r="H32" s="22">
        <f t="shared" si="2"/>
        <v>5267682</v>
      </c>
      <c r="I32" s="22">
        <f t="shared" si="2"/>
        <v>0</v>
      </c>
      <c r="J32" s="22">
        <f t="shared" si="2"/>
        <v>0</v>
      </c>
      <c r="K32" s="22">
        <f t="shared" si="2"/>
        <v>0</v>
      </c>
    </row>
    <row r="33" spans="1:11" x14ac:dyDescent="0.25">
      <c r="A33" s="3" t="s">
        <v>89</v>
      </c>
      <c r="B33" s="22">
        <f>B18/B28</f>
        <v>4008424864.6161618</v>
      </c>
      <c r="C33" s="22">
        <f>C18/C28</f>
        <v>2842030258.0808082</v>
      </c>
      <c r="D33" s="22">
        <f t="shared" ref="D33:K33" si="3">D18/D28</f>
        <v>630399333.33333337</v>
      </c>
      <c r="E33" s="22">
        <f t="shared" si="3"/>
        <v>507187844.91919196</v>
      </c>
      <c r="F33" s="22">
        <f t="shared" si="3"/>
        <v>0</v>
      </c>
      <c r="G33" s="22">
        <f t="shared" si="3"/>
        <v>1013135.3535353536</v>
      </c>
      <c r="H33" s="22">
        <f t="shared" si="3"/>
        <v>998354.54545454541</v>
      </c>
      <c r="I33" s="22">
        <f t="shared" si="3"/>
        <v>26795938.383838385</v>
      </c>
      <c r="J33" s="22">
        <f t="shared" si="3"/>
        <v>0</v>
      </c>
      <c r="K33" s="22">
        <f t="shared" si="3"/>
        <v>0</v>
      </c>
    </row>
    <row r="34" spans="1:11" x14ac:dyDescent="0.25">
      <c r="A34" s="3" t="s">
        <v>57</v>
      </c>
      <c r="B34" s="14">
        <f>B32/B10</f>
        <v>642862.48681418621</v>
      </c>
      <c r="C34" s="14">
        <f>C32/C10</f>
        <v>922421.47891066095</v>
      </c>
      <c r="D34" s="14">
        <f t="shared" ref="D34:K34" si="4">D32/D10</f>
        <v>120128.86518448438</v>
      </c>
      <c r="E34" s="14">
        <f t="shared" si="4"/>
        <v>1329784.6821428572</v>
      </c>
      <c r="F34" s="14" t="e">
        <f t="shared" si="4"/>
        <v>#DIV/0!</v>
      </c>
      <c r="G34" s="14" t="e">
        <f t="shared" si="4"/>
        <v>#DIV/0!</v>
      </c>
      <c r="H34" s="14" t="e">
        <f t="shared" si="4"/>
        <v>#DIV/0!</v>
      </c>
      <c r="I34" s="14" t="e">
        <f t="shared" si="4"/>
        <v>#DIV/0!</v>
      </c>
      <c r="J34" s="14" t="e">
        <f t="shared" si="4"/>
        <v>#DIV/0!</v>
      </c>
      <c r="K34" s="14" t="e">
        <f t="shared" si="4"/>
        <v>#DIV/0!</v>
      </c>
    </row>
    <row r="35" spans="1:11" x14ac:dyDescent="0.25">
      <c r="A35" s="3" t="s">
        <v>90</v>
      </c>
      <c r="B35" s="6">
        <f>B33/B12</f>
        <v>301960.49100664136</v>
      </c>
      <c r="C35" s="6">
        <f>C33/C12</f>
        <v>271834.55361844174</v>
      </c>
      <c r="D35" s="6">
        <f t="shared" ref="D35:K35" si="5">D33/D12</f>
        <v>277708.95741556538</v>
      </c>
      <c r="E35" s="6">
        <f t="shared" si="5"/>
        <v>1055175.8216071955</v>
      </c>
      <c r="F35" s="6">
        <f t="shared" si="5"/>
        <v>0</v>
      </c>
      <c r="G35" s="6" t="e">
        <f t="shared" si="5"/>
        <v>#DIV/0!</v>
      </c>
      <c r="H35" s="6" t="e">
        <f t="shared" si="5"/>
        <v>#DIV/0!</v>
      </c>
      <c r="I35" s="6" t="e">
        <f t="shared" si="5"/>
        <v>#DIV/0!</v>
      </c>
      <c r="J35" s="6" t="e">
        <f t="shared" si="5"/>
        <v>#DIV/0!</v>
      </c>
      <c r="K35" s="6" t="e">
        <f t="shared" si="5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111.12227244823929</v>
      </c>
      <c r="C44" s="7">
        <f>C12/C11*100</f>
        <v>107.62816553428043</v>
      </c>
      <c r="D44" s="7">
        <f t="shared" ref="D44:K44" si="6">D12/D11*100</f>
        <v>132.13038416763678</v>
      </c>
      <c r="E44" s="7">
        <f>E12/E11*100</f>
        <v>106.57797487065781</v>
      </c>
      <c r="F44" s="7">
        <f t="shared" si="6"/>
        <v>109.52380952380953</v>
      </c>
      <c r="G44" s="7" t="e">
        <f t="shared" si="6"/>
        <v>#DIV/0!</v>
      </c>
      <c r="H44" s="7" t="e">
        <f t="shared" si="6"/>
        <v>#DIV/0!</v>
      </c>
      <c r="I44" s="7">
        <f t="shared" si="6"/>
        <v>0</v>
      </c>
      <c r="J44" s="7" t="e">
        <f t="shared" si="6"/>
        <v>#DIV/0!</v>
      </c>
      <c r="K44" s="7" t="e">
        <f t="shared" si="6"/>
        <v>#DIV/0!</v>
      </c>
    </row>
    <row r="45" spans="1:11" x14ac:dyDescent="0.25">
      <c r="A45" t="s">
        <v>16</v>
      </c>
      <c r="B45" s="7">
        <f>B18/B17*100</f>
        <v>106.8114307081093</v>
      </c>
      <c r="C45" s="7">
        <f>C18/C17*100</f>
        <v>108.13522432525107</v>
      </c>
      <c r="D45" s="7">
        <f t="shared" ref="D45:K45" si="7">D18/D17*100</f>
        <v>142.1429815380101</v>
      </c>
      <c r="E45" s="7">
        <f>E18/E17*100</f>
        <v>109.35408004411629</v>
      </c>
      <c r="F45" s="7">
        <f t="shared" si="7"/>
        <v>0</v>
      </c>
      <c r="G45" s="7" t="e">
        <f t="shared" si="7"/>
        <v>#DIV/0!</v>
      </c>
      <c r="H45" s="7" t="e">
        <f t="shared" si="7"/>
        <v>#DIV/0!</v>
      </c>
      <c r="I45" s="7">
        <f t="shared" si="7"/>
        <v>29.097305720954054</v>
      </c>
      <c r="J45" s="7" t="e">
        <f t="shared" si="7"/>
        <v>#DIV/0!</v>
      </c>
      <c r="K45" s="7" t="e">
        <f t="shared" si="7"/>
        <v>#DIV/0!</v>
      </c>
    </row>
    <row r="46" spans="1:11" x14ac:dyDescent="0.25">
      <c r="A46" t="s">
        <v>17</v>
      </c>
      <c r="B46" s="7">
        <f>AVERAGE(B44:B45)</f>
        <v>108.9668515781743</v>
      </c>
      <c r="C46" s="7">
        <f>AVERAGE(C44:C45)</f>
        <v>107.88169492976576</v>
      </c>
      <c r="D46" s="7">
        <f t="shared" ref="D46:K46" si="8">AVERAGE(D44:D45)</f>
        <v>137.13668285282344</v>
      </c>
      <c r="E46" s="7">
        <f>AVERAGE(E44:E45)</f>
        <v>107.96602745738704</v>
      </c>
      <c r="F46" s="7">
        <f t="shared" si="8"/>
        <v>54.761904761904766</v>
      </c>
      <c r="G46" s="7" t="e">
        <f t="shared" si="8"/>
        <v>#DIV/0!</v>
      </c>
      <c r="H46" s="7" t="e">
        <f t="shared" si="8"/>
        <v>#DIV/0!</v>
      </c>
      <c r="I46" s="7">
        <f t="shared" si="8"/>
        <v>14.548652860477027</v>
      </c>
      <c r="J46" s="7" t="e">
        <f t="shared" si="8"/>
        <v>#DIV/0!</v>
      </c>
      <c r="K46" s="7" t="e">
        <f t="shared" si="8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7" x14ac:dyDescent="0.25">
      <c r="A49" t="s">
        <v>19</v>
      </c>
      <c r="B49" s="7">
        <f>B12/B13*100</f>
        <v>27.894987531870779</v>
      </c>
      <c r="C49" s="7">
        <f>C12/C13*100</f>
        <v>26.907041383570107</v>
      </c>
      <c r="D49" s="7">
        <f t="shared" ref="D49:K49" si="9">D12/D13*100</f>
        <v>132.13038416763678</v>
      </c>
      <c r="E49" s="7">
        <f t="shared" si="9"/>
        <v>106.57797487065781</v>
      </c>
      <c r="F49" s="7">
        <f t="shared" si="9"/>
        <v>109.52380952380953</v>
      </c>
      <c r="G49" s="7">
        <f t="shared" si="9"/>
        <v>0</v>
      </c>
      <c r="H49" s="7">
        <f t="shared" si="9"/>
        <v>0</v>
      </c>
      <c r="I49" s="7">
        <f t="shared" si="9"/>
        <v>0</v>
      </c>
      <c r="J49" s="7" t="e">
        <f t="shared" si="9"/>
        <v>#DIV/0!</v>
      </c>
      <c r="K49" s="7" t="e">
        <f t="shared" si="9"/>
        <v>#DIV/0!</v>
      </c>
    </row>
    <row r="50" spans="1:17" x14ac:dyDescent="0.25">
      <c r="A50" t="s">
        <v>20</v>
      </c>
      <c r="B50" s="7">
        <f>B18/B19*100</f>
        <v>23.767607889869886</v>
      </c>
      <c r="C50" s="7">
        <f>C18/C19*100</f>
        <v>24.954282536600825</v>
      </c>
      <c r="D50" s="7">
        <f t="shared" ref="D50:K50" si="10">D18/D19*100</f>
        <v>42.642894461403039</v>
      </c>
      <c r="E50" s="7">
        <f>E18/E19*100</f>
        <v>25.235556933257602</v>
      </c>
      <c r="F50" s="7">
        <f t="shared" si="10"/>
        <v>0</v>
      </c>
      <c r="G50" s="7">
        <f t="shared" si="10"/>
        <v>0.5111786732164858</v>
      </c>
      <c r="H50" s="7">
        <f t="shared" si="10"/>
        <v>0.31683286642184871</v>
      </c>
      <c r="I50" s="7">
        <f t="shared" si="10"/>
        <v>2.8745592329990264</v>
      </c>
      <c r="J50" s="7" t="e">
        <f t="shared" si="10"/>
        <v>#DIV/0!</v>
      </c>
      <c r="K50" s="7" t="e">
        <f t="shared" si="10"/>
        <v>#DIV/0!</v>
      </c>
    </row>
    <row r="51" spans="1:17" x14ac:dyDescent="0.25">
      <c r="A51" t="s">
        <v>21</v>
      </c>
      <c r="B51" s="7">
        <f>(B49+B50)/2</f>
        <v>25.831297710870331</v>
      </c>
      <c r="C51" s="7">
        <f>(C49+C50)/2</f>
        <v>25.930661960085466</v>
      </c>
      <c r="D51" s="7">
        <f t="shared" ref="D51:K51" si="11">(D49+D50)/2</f>
        <v>87.386639314519911</v>
      </c>
      <c r="E51" s="7">
        <f>(E49+E50)/2</f>
        <v>65.906765901957712</v>
      </c>
      <c r="F51" s="7">
        <f t="shared" si="11"/>
        <v>54.761904761904766</v>
      </c>
      <c r="G51" s="7">
        <f t="shared" si="11"/>
        <v>0.2555893366082429</v>
      </c>
      <c r="H51" s="7">
        <f t="shared" si="11"/>
        <v>0.15841643321092436</v>
      </c>
      <c r="I51" s="7">
        <f t="shared" si="11"/>
        <v>1.4372796164995132</v>
      </c>
      <c r="J51" s="7" t="e">
        <f t="shared" si="11"/>
        <v>#DIV/0!</v>
      </c>
      <c r="K51" s="7" t="e">
        <f t="shared" si="11"/>
        <v>#DIV/0!</v>
      </c>
    </row>
    <row r="53" spans="1:17" x14ac:dyDescent="0.25">
      <c r="A53" t="s">
        <v>35</v>
      </c>
    </row>
    <row r="54" spans="1:17" x14ac:dyDescent="0.25">
      <c r="A54" t="s">
        <v>22</v>
      </c>
      <c r="B54" s="7">
        <f>B20/B18*100</f>
        <v>100</v>
      </c>
      <c r="C54" s="32"/>
      <c r="D54" s="32"/>
      <c r="E54" s="32"/>
      <c r="F54" s="32"/>
      <c r="G54" s="32"/>
      <c r="H54" s="32"/>
      <c r="I54" s="32"/>
      <c r="J54" s="32"/>
      <c r="K54" s="24"/>
      <c r="L54" s="24"/>
    </row>
    <row r="56" spans="1:17" x14ac:dyDescent="0.25">
      <c r="A56" t="s">
        <v>23</v>
      </c>
    </row>
    <row r="57" spans="1:17" x14ac:dyDescent="0.25">
      <c r="A57" t="s">
        <v>24</v>
      </c>
      <c r="B57" s="7">
        <f>((B12/B10)-1)*100</f>
        <v>141.43073658684449</v>
      </c>
      <c r="C57" s="7">
        <f>((C12/C10)-1)*100</f>
        <v>247.22683493855862</v>
      </c>
      <c r="D57" s="7">
        <f t="shared" ref="D57:K57" si="12">((D12/D10)-1)*100</f>
        <v>7.3793755912961112</v>
      </c>
      <c r="E57" s="7">
        <f>((E12/E10)-1)*100</f>
        <v>28.750000000000007</v>
      </c>
      <c r="F57" s="7" t="e">
        <f t="shared" si="12"/>
        <v>#DIV/0!</v>
      </c>
      <c r="G57" s="7" t="e">
        <f t="shared" si="12"/>
        <v>#DIV/0!</v>
      </c>
      <c r="H57" s="7" t="e">
        <f t="shared" si="12"/>
        <v>#DIV/0!</v>
      </c>
      <c r="I57" s="7" t="e">
        <f t="shared" si="12"/>
        <v>#DIV/0!</v>
      </c>
      <c r="J57" s="7" t="e">
        <f t="shared" si="12"/>
        <v>#DIV/0!</v>
      </c>
      <c r="K57" s="7" t="e">
        <f t="shared" si="12"/>
        <v>#DIV/0!</v>
      </c>
    </row>
    <row r="58" spans="1:17" x14ac:dyDescent="0.25">
      <c r="A58" t="s">
        <v>25</v>
      </c>
      <c r="B58" s="7">
        <f t="shared" ref="B58:K58" si="13">((B33/B32)-1)*100</f>
        <v>13.403014266922852</v>
      </c>
      <c r="C58" s="7">
        <f t="shared" si="13"/>
        <v>2.3265978057403824</v>
      </c>
      <c r="D58" s="7">
        <f t="shared" si="13"/>
        <v>148.23521305722593</v>
      </c>
      <c r="E58" s="7">
        <f t="shared" si="13"/>
        <v>2.1623191004179532</v>
      </c>
      <c r="F58" s="7" t="e">
        <f t="shared" si="13"/>
        <v>#DIV/0!</v>
      </c>
      <c r="G58" s="7">
        <f t="shared" si="13"/>
        <v>-36.205204560916613</v>
      </c>
      <c r="H58" s="7">
        <f t="shared" si="13"/>
        <v>-81.047554779226516</v>
      </c>
      <c r="I58" s="7" t="e">
        <f t="shared" si="13"/>
        <v>#DIV/0!</v>
      </c>
      <c r="J58" s="7" t="e">
        <f t="shared" si="13"/>
        <v>#DIV/0!</v>
      </c>
      <c r="K58" s="7" t="e">
        <f t="shared" si="13"/>
        <v>#DIV/0!</v>
      </c>
      <c r="L58" s="7"/>
      <c r="M58" s="7"/>
      <c r="N58" s="7"/>
      <c r="O58" s="7"/>
      <c r="P58" s="7"/>
      <c r="Q58" s="7"/>
    </row>
    <row r="59" spans="1:17" x14ac:dyDescent="0.25">
      <c r="A59" t="s">
        <v>26</v>
      </c>
      <c r="B59" s="7">
        <f>((B35/B34)-1)*100</f>
        <v>-53.0287585292062</v>
      </c>
      <c r="C59" s="7">
        <f>((C35/C34)-1)*100</f>
        <v>-70.530331325386484</v>
      </c>
      <c r="D59" s="7">
        <f t="shared" ref="D59:K59" si="14">((D35/D34)-1)*100</f>
        <v>131.17587682950469</v>
      </c>
      <c r="E59" s="7">
        <f>((E35/E34)-1)*100</f>
        <v>-20.650625941422962</v>
      </c>
      <c r="F59" s="7" t="e">
        <f t="shared" si="14"/>
        <v>#DIV/0!</v>
      </c>
      <c r="G59" s="7" t="e">
        <f t="shared" si="14"/>
        <v>#DIV/0!</v>
      </c>
      <c r="H59" s="7" t="e">
        <f t="shared" si="14"/>
        <v>#DIV/0!</v>
      </c>
      <c r="I59" s="7" t="e">
        <f t="shared" si="14"/>
        <v>#DIV/0!</v>
      </c>
      <c r="J59" s="7" t="e">
        <f t="shared" si="14"/>
        <v>#DIV/0!</v>
      </c>
      <c r="K59" s="7" t="e">
        <f t="shared" si="14"/>
        <v>#DIV/0!</v>
      </c>
    </row>
    <row r="60" spans="1:17" x14ac:dyDescent="0.25">
      <c r="B60" s="8"/>
      <c r="C60" s="8"/>
      <c r="D60" s="8"/>
      <c r="E60" s="8"/>
      <c r="F60" s="8"/>
      <c r="G60" s="8"/>
      <c r="H60" s="8"/>
    </row>
    <row r="61" spans="1:17" x14ac:dyDescent="0.25">
      <c r="A61" t="s">
        <v>27</v>
      </c>
    </row>
    <row r="62" spans="1:17" x14ac:dyDescent="0.25">
      <c r="A62" t="s">
        <v>37</v>
      </c>
      <c r="B62" s="4">
        <f>B17/(B11*3)</f>
        <v>103668.65035110776</v>
      </c>
      <c r="C62" s="4">
        <f>C17/(C11*3)</f>
        <v>89284.763505353098</v>
      </c>
      <c r="D62" s="4">
        <f t="shared" ref="D62:K62" si="15">D17/(D11*3)</f>
        <v>85188.526193247963</v>
      </c>
      <c r="E62" s="4">
        <f t="shared" si="15"/>
        <v>339368.27698447893</v>
      </c>
      <c r="F62" s="4">
        <f t="shared" si="15"/>
        <v>655786.71666666656</v>
      </c>
      <c r="G62" s="4" t="e">
        <f t="shared" si="15"/>
        <v>#DIV/0!</v>
      </c>
      <c r="H62" s="4" t="e">
        <f t="shared" si="15"/>
        <v>#DIV/0!</v>
      </c>
      <c r="I62" s="4">
        <f t="shared" si="15"/>
        <v>30389960.333333332</v>
      </c>
      <c r="J62" s="4" t="e">
        <f t="shared" si="15"/>
        <v>#DIV/0!</v>
      </c>
      <c r="K62" s="4" t="e">
        <f t="shared" si="15"/>
        <v>#DIV/0!</v>
      </c>
      <c r="L62" s="4"/>
      <c r="M62" s="4"/>
      <c r="N62" s="4"/>
      <c r="O62" s="4"/>
    </row>
    <row r="63" spans="1:17" x14ac:dyDescent="0.25">
      <c r="A63" t="s">
        <v>38</v>
      </c>
      <c r="B63" s="4">
        <f>B18/(B12*3)</f>
        <v>99646.962032191645</v>
      </c>
      <c r="C63" s="4">
        <f>C18/(C12*3)</f>
        <v>89705.402694085758</v>
      </c>
      <c r="D63" s="4">
        <f t="shared" ref="D63:K63" si="16">D18/(D12*3)</f>
        <v>91643.955947136565</v>
      </c>
      <c r="E63" s="4">
        <f t="shared" si="16"/>
        <v>348208.02113037452</v>
      </c>
      <c r="F63" s="4">
        <f t="shared" si="16"/>
        <v>0</v>
      </c>
      <c r="G63" s="4" t="e">
        <f t="shared" si="16"/>
        <v>#DIV/0!</v>
      </c>
      <c r="H63" s="4" t="e">
        <f t="shared" si="16"/>
        <v>#DIV/0!</v>
      </c>
      <c r="I63" s="4" t="e">
        <f t="shared" si="16"/>
        <v>#DIV/0!</v>
      </c>
      <c r="J63" s="4" t="e">
        <f t="shared" si="16"/>
        <v>#DIV/0!</v>
      </c>
      <c r="K63" s="4" t="e">
        <f t="shared" si="16"/>
        <v>#DIV/0!</v>
      </c>
    </row>
    <row r="64" spans="1:17" x14ac:dyDescent="0.25">
      <c r="A64" t="s">
        <v>30</v>
      </c>
      <c r="B64" s="4">
        <f>(B63/B62)*B46</f>
        <v>104.73962654286423</v>
      </c>
      <c r="C64" s="4">
        <f t="shared" ref="C64:K64" si="17">(C63/C62)*C46</f>
        <v>108.38994815072702</v>
      </c>
      <c r="D64" s="4">
        <f t="shared" si="17"/>
        <v>147.52864832513924</v>
      </c>
      <c r="E64" s="4">
        <f t="shared" si="17"/>
        <v>110.77828813081378</v>
      </c>
      <c r="F64" s="4">
        <f t="shared" si="17"/>
        <v>0</v>
      </c>
      <c r="G64" s="4" t="e">
        <f t="shared" si="17"/>
        <v>#DIV/0!</v>
      </c>
      <c r="H64" s="4" t="e">
        <f t="shared" si="17"/>
        <v>#DIV/0!</v>
      </c>
      <c r="I64" s="4" t="e">
        <f t="shared" si="17"/>
        <v>#DIV/0!</v>
      </c>
      <c r="J64" s="4" t="e">
        <f t="shared" si="17"/>
        <v>#DIV/0!</v>
      </c>
      <c r="K64" s="4" t="e">
        <f t="shared" si="17"/>
        <v>#DIV/0!</v>
      </c>
    </row>
    <row r="65" spans="1:11" x14ac:dyDescent="0.25">
      <c r="A65" t="s">
        <v>44</v>
      </c>
      <c r="B65" s="4">
        <f>B17/B11</f>
        <v>311005.95105332328</v>
      </c>
      <c r="C65" s="4">
        <f>C17/C11</f>
        <v>267854.29051605926</v>
      </c>
      <c r="D65" s="4">
        <f t="shared" ref="D65:K65" si="18">D17/D11</f>
        <v>255565.57857974389</v>
      </c>
      <c r="E65" s="4">
        <f t="shared" si="18"/>
        <v>1018104.8309534368</v>
      </c>
      <c r="F65" s="4">
        <f t="shared" si="18"/>
        <v>1967360.15</v>
      </c>
      <c r="G65" s="4" t="e">
        <f t="shared" si="18"/>
        <v>#DIV/0!</v>
      </c>
      <c r="H65" s="4" t="e">
        <f t="shared" si="18"/>
        <v>#DIV/0!</v>
      </c>
      <c r="I65" s="4">
        <f t="shared" si="18"/>
        <v>91169881</v>
      </c>
      <c r="J65" s="4" t="e">
        <f t="shared" si="18"/>
        <v>#DIV/0!</v>
      </c>
      <c r="K65" s="4" t="e">
        <f t="shared" si="18"/>
        <v>#DIV/0!</v>
      </c>
    </row>
    <row r="66" spans="1:11" x14ac:dyDescent="0.25">
      <c r="A66" t="s">
        <v>43</v>
      </c>
      <c r="B66" s="4">
        <f>B18/B12</f>
        <v>298940.88609657495</v>
      </c>
      <c r="C66" s="4">
        <f>C18/C12</f>
        <v>269116.2080822573</v>
      </c>
      <c r="D66" s="4">
        <f t="shared" ref="D66:K66" si="19">D18/D12</f>
        <v>274931.86784140969</v>
      </c>
      <c r="E66" s="4">
        <f t="shared" si="19"/>
        <v>1044624.0633911234</v>
      </c>
      <c r="F66" s="4">
        <f t="shared" si="19"/>
        <v>0</v>
      </c>
      <c r="G66" s="4" t="e">
        <f t="shared" si="19"/>
        <v>#DIV/0!</v>
      </c>
      <c r="H66" s="4" t="e">
        <f t="shared" si="19"/>
        <v>#DIV/0!</v>
      </c>
      <c r="I66" s="4" t="e">
        <f t="shared" si="19"/>
        <v>#DIV/0!</v>
      </c>
      <c r="J66" s="4" t="e">
        <f t="shared" si="19"/>
        <v>#DIV/0!</v>
      </c>
      <c r="K66" s="4" t="e">
        <f t="shared" si="19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85.607448079509368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48">
        <f>(B18/(B24+C24))*100</f>
        <v>124.76885259902429</v>
      </c>
      <c r="C70" s="40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91</v>
      </c>
    </row>
    <row r="75" spans="1:11" x14ac:dyDescent="0.25">
      <c r="A75" t="s">
        <v>92</v>
      </c>
      <c r="B75" s="10"/>
      <c r="C75" s="10"/>
      <c r="D75" s="10"/>
      <c r="E75" s="10"/>
      <c r="F75" s="10"/>
    </row>
    <row r="76" spans="1:11" x14ac:dyDescent="0.25">
      <c r="A76" t="s">
        <v>93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138</v>
      </c>
    </row>
    <row r="144" spans="9:11" x14ac:dyDescent="0.25">
      <c r="I144" s="22"/>
      <c r="J144" s="22"/>
      <c r="K144" s="22"/>
    </row>
    <row r="145" spans="9:11" x14ac:dyDescent="0.25">
      <c r="I145" s="22"/>
      <c r="J145" s="22"/>
      <c r="K145" s="22"/>
    </row>
    <row r="146" spans="9:11" x14ac:dyDescent="0.25">
      <c r="I146" s="22"/>
      <c r="J146" s="22"/>
      <c r="K146" s="22"/>
    </row>
  </sheetData>
  <mergeCells count="4">
    <mergeCell ref="A4:A5"/>
    <mergeCell ref="B4:B5"/>
    <mergeCell ref="A2:K2"/>
    <mergeCell ref="D4:K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4"/>
  <sheetViews>
    <sheetView topLeftCell="B49" zoomScale="70" zoomScaleNormal="70" workbookViewId="0">
      <selection activeCell="B64" sqref="B64:K64"/>
    </sheetView>
  </sheetViews>
  <sheetFormatPr baseColWidth="10" defaultColWidth="11.42578125" defaultRowHeight="15" x14ac:dyDescent="0.25"/>
  <cols>
    <col min="1" max="1" width="55.140625" customWidth="1"/>
    <col min="2" max="2" width="17.5703125" bestFit="1" customWidth="1"/>
    <col min="3" max="3" width="17.5703125" customWidth="1"/>
    <col min="4" max="4" width="16.5703125" bestFit="1" customWidth="1"/>
    <col min="5" max="5" width="16.42578125" customWidth="1"/>
    <col min="6" max="6" width="19.7109375" customWidth="1"/>
    <col min="7" max="7" width="15.28515625" customWidth="1"/>
    <col min="8" max="8" width="19.28515625" customWidth="1"/>
    <col min="9" max="9" width="17.28515625" customWidth="1"/>
    <col min="10" max="10" width="16" hidden="1" customWidth="1"/>
    <col min="11" max="11" width="18.5703125" customWidth="1"/>
  </cols>
  <sheetData>
    <row r="2" spans="1:21" ht="15.75" x14ac:dyDescent="0.25">
      <c r="A2" s="60" t="s">
        <v>94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21" x14ac:dyDescent="0.25">
      <c r="A4" s="56" t="s">
        <v>0</v>
      </c>
      <c r="B4" s="58" t="s">
        <v>1</v>
      </c>
      <c r="C4" s="30"/>
      <c r="D4" s="61" t="s">
        <v>2</v>
      </c>
      <c r="E4" s="61"/>
      <c r="F4" s="61"/>
      <c r="G4" s="61"/>
      <c r="H4" s="61"/>
      <c r="I4" s="61"/>
      <c r="J4" s="61"/>
      <c r="K4" s="61"/>
    </row>
    <row r="5" spans="1:21" ht="90.75" thickBot="1" x14ac:dyDescent="0.3">
      <c r="A5" s="57"/>
      <c r="B5" s="59"/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35" t="s">
        <v>52</v>
      </c>
      <c r="K5" s="27" t="s">
        <v>50</v>
      </c>
      <c r="Q5" s="41"/>
    </row>
    <row r="6" spans="1:21" ht="15.75" thickTop="1" x14ac:dyDescent="0.25">
      <c r="U6" s="41"/>
    </row>
    <row r="7" spans="1:21" x14ac:dyDescent="0.25">
      <c r="A7" s="2" t="s">
        <v>3</v>
      </c>
    </row>
    <row r="9" spans="1:21" x14ac:dyDescent="0.25">
      <c r="A9" t="s">
        <v>4</v>
      </c>
    </row>
    <row r="10" spans="1:21" x14ac:dyDescent="0.25">
      <c r="A10" s="3" t="s">
        <v>59</v>
      </c>
      <c r="B10" s="47">
        <f>C10+D10+E10+F10+G10+H10+I10</f>
        <v>5794.333333333333</v>
      </c>
      <c r="C10" s="4">
        <v>3011</v>
      </c>
      <c r="D10" s="4">
        <v>2421.6666666666665</v>
      </c>
      <c r="E10" s="13">
        <v>361.66666666666669</v>
      </c>
      <c r="F10" s="19">
        <v>0</v>
      </c>
      <c r="G10" s="4">
        <v>0</v>
      </c>
      <c r="H10" s="4">
        <v>0</v>
      </c>
      <c r="I10" s="4">
        <v>0</v>
      </c>
      <c r="J10" s="4"/>
      <c r="K10" s="4">
        <v>0</v>
      </c>
      <c r="L10" s="43"/>
    </row>
    <row r="11" spans="1:21" x14ac:dyDescent="0.25">
      <c r="A11" s="3" t="s">
        <v>95</v>
      </c>
      <c r="B11" s="47">
        <f>C11+D11+E11+F11+G11+H11</f>
        <v>18446</v>
      </c>
      <c r="C11" s="4">
        <v>9714</v>
      </c>
      <c r="D11" s="4">
        <v>1718</v>
      </c>
      <c r="E11" s="46">
        <v>451</v>
      </c>
      <c r="F11" s="4">
        <v>63</v>
      </c>
      <c r="G11" s="4">
        <v>3000</v>
      </c>
      <c r="H11" s="13">
        <v>3500</v>
      </c>
      <c r="I11" s="4">
        <v>1</v>
      </c>
      <c r="J11" s="4"/>
      <c r="K11" s="4">
        <v>0</v>
      </c>
      <c r="L11" s="43"/>
    </row>
    <row r="12" spans="1:21" x14ac:dyDescent="0.25">
      <c r="A12" s="3" t="s">
        <v>96</v>
      </c>
      <c r="B12" s="47">
        <f t="shared" ref="B12:B13" si="0">C12+D12+E12+F12+G12+H12</f>
        <v>9685.6666666666661</v>
      </c>
      <c r="C12" s="4">
        <v>6633</v>
      </c>
      <c r="D12" s="4">
        <v>2055.3333333333335</v>
      </c>
      <c r="E12" s="13">
        <v>461.66666666666669</v>
      </c>
      <c r="F12" s="4">
        <v>51</v>
      </c>
      <c r="G12" s="4">
        <v>318</v>
      </c>
      <c r="H12" s="4">
        <v>166.66666666666666</v>
      </c>
      <c r="I12" s="4">
        <v>1</v>
      </c>
      <c r="J12" s="4"/>
      <c r="K12">
        <v>0</v>
      </c>
      <c r="L12" s="43"/>
    </row>
    <row r="13" spans="1:21" s="41" customFormat="1" x14ac:dyDescent="0.25">
      <c r="A13" s="42" t="s">
        <v>86</v>
      </c>
      <c r="B13" s="47">
        <f t="shared" si="0"/>
        <v>47588</v>
      </c>
      <c r="C13" s="46">
        <v>38856</v>
      </c>
      <c r="D13" s="46">
        <v>1718</v>
      </c>
      <c r="E13" s="46">
        <v>451</v>
      </c>
      <c r="F13" s="46">
        <v>63</v>
      </c>
      <c r="G13" s="4">
        <v>3000</v>
      </c>
      <c r="H13" s="13">
        <v>3500</v>
      </c>
      <c r="I13" s="50">
        <v>5</v>
      </c>
      <c r="J13" s="50"/>
      <c r="K13" s="41">
        <v>0</v>
      </c>
      <c r="L13" s="25"/>
      <c r="Q13" s="43"/>
    </row>
    <row r="14" spans="1:21" x14ac:dyDescent="0.25">
      <c r="C14" s="44"/>
      <c r="D14" s="44"/>
      <c r="E14" s="44"/>
      <c r="F14" s="44"/>
      <c r="G14" s="44"/>
      <c r="H14" s="44"/>
      <c r="I14" s="44"/>
      <c r="J14" s="44"/>
      <c r="L14" s="45"/>
    </row>
    <row r="15" spans="1:21" x14ac:dyDescent="0.25">
      <c r="A15" s="5" t="s">
        <v>5</v>
      </c>
    </row>
    <row r="16" spans="1:21" x14ac:dyDescent="0.25">
      <c r="A16" s="3" t="s">
        <v>59</v>
      </c>
      <c r="B16" s="4">
        <f>SUM(C16:K16)</f>
        <v>3191736569.54</v>
      </c>
      <c r="C16" s="4">
        <v>2126843299.47</v>
      </c>
      <c r="D16" s="4">
        <v>418923696</v>
      </c>
      <c r="E16" s="13">
        <v>408377535.87</v>
      </c>
      <c r="F16" s="4">
        <v>0</v>
      </c>
      <c r="G16" s="4">
        <v>4349134.2</v>
      </c>
      <c r="H16" s="4">
        <v>12765838</v>
      </c>
      <c r="I16" s="4">
        <v>220477066</v>
      </c>
      <c r="J16" s="4"/>
      <c r="K16" s="4">
        <v>0</v>
      </c>
    </row>
    <row r="17" spans="1:12" x14ac:dyDescent="0.25">
      <c r="A17" s="3" t="s">
        <v>95</v>
      </c>
      <c r="B17" s="4">
        <f t="shared" ref="B17:B19" si="1">SUM(C17:K17)</f>
        <v>3783371371.283</v>
      </c>
      <c r="C17" s="4">
        <v>2601936578.073</v>
      </c>
      <c r="D17" s="4">
        <v>439061664</v>
      </c>
      <c r="E17" s="13">
        <v>459165278.75999999</v>
      </c>
      <c r="F17" s="4">
        <v>123943689.44999999</v>
      </c>
      <c r="G17" s="4">
        <v>32702329.359999999</v>
      </c>
      <c r="H17" s="13">
        <v>51992238.640000001</v>
      </c>
      <c r="I17" s="4">
        <v>74569593</v>
      </c>
      <c r="J17" s="4"/>
      <c r="K17" s="4">
        <v>0</v>
      </c>
    </row>
    <row r="18" spans="1:12" x14ac:dyDescent="0.25">
      <c r="A18" s="3" t="s">
        <v>96</v>
      </c>
      <c r="B18" s="4">
        <f t="shared" si="1"/>
        <v>3560733282.1900005</v>
      </c>
      <c r="C18" s="4">
        <v>1982631091.02</v>
      </c>
      <c r="D18" s="4">
        <v>838773976</v>
      </c>
      <c r="E18" s="13">
        <v>417105030.41999996</v>
      </c>
      <c r="F18" s="4">
        <v>292722756</v>
      </c>
      <c r="G18" s="4">
        <v>7891493.7999999998</v>
      </c>
      <c r="H18" s="4">
        <v>7141661.1500000004</v>
      </c>
      <c r="I18" s="4">
        <v>14467273.800000001</v>
      </c>
      <c r="J18" s="4"/>
      <c r="K18" s="4"/>
    </row>
    <row r="19" spans="1:12" x14ac:dyDescent="0.25">
      <c r="A19" s="3" t="s">
        <v>86</v>
      </c>
      <c r="B19" s="4">
        <f t="shared" si="1"/>
        <v>16696424117.891003</v>
      </c>
      <c r="C19" s="4">
        <v>11275058504.981001</v>
      </c>
      <c r="D19" s="4">
        <v>1463538880</v>
      </c>
      <c r="E19" s="13">
        <v>1989716207.96</v>
      </c>
      <c r="F19" s="4">
        <v>537089320.94999993</v>
      </c>
      <c r="G19" s="4">
        <v>196213976.16000003</v>
      </c>
      <c r="H19" s="13">
        <v>311953431.83999997</v>
      </c>
      <c r="I19" s="4">
        <v>922853796</v>
      </c>
      <c r="J19" s="4"/>
      <c r="K19" s="4">
        <v>0</v>
      </c>
    </row>
    <row r="20" spans="1:12" x14ac:dyDescent="0.25">
      <c r="A20" s="3" t="s">
        <v>97</v>
      </c>
      <c r="B20" s="47">
        <f>C20+D20+E20+F20+I20+G20+H20</f>
        <v>3560733282.1900005</v>
      </c>
      <c r="C20" s="51">
        <f>C18</f>
        <v>1982631091.02</v>
      </c>
      <c r="D20" s="51">
        <f>D18</f>
        <v>838773976</v>
      </c>
      <c r="E20" s="51">
        <f t="shared" ref="E20:J20" si="2">E18</f>
        <v>417105030.41999996</v>
      </c>
      <c r="F20" s="51">
        <f t="shared" si="2"/>
        <v>292722756</v>
      </c>
      <c r="G20" s="51">
        <f t="shared" si="2"/>
        <v>7891493.7999999998</v>
      </c>
      <c r="H20" s="51">
        <f t="shared" si="2"/>
        <v>7141661.1500000004</v>
      </c>
      <c r="I20" s="51">
        <f t="shared" si="2"/>
        <v>14467273.800000001</v>
      </c>
      <c r="J20" s="51">
        <f t="shared" si="2"/>
        <v>0</v>
      </c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95</v>
      </c>
      <c r="B23" s="4">
        <f>B17</f>
        <v>3783371371.283</v>
      </c>
      <c r="C23" s="4"/>
    </row>
    <row r="24" spans="1:12" x14ac:dyDescent="0.25">
      <c r="A24" s="3" t="s">
        <v>96</v>
      </c>
      <c r="B24" s="4">
        <v>4097968039.5799999</v>
      </c>
      <c r="C24" s="4"/>
    </row>
    <row r="26" spans="1:12" x14ac:dyDescent="0.25">
      <c r="A26" t="s">
        <v>7</v>
      </c>
    </row>
    <row r="27" spans="1:12" x14ac:dyDescent="0.25">
      <c r="A27" s="3" t="s">
        <v>60</v>
      </c>
      <c r="B27" s="11">
        <v>1</v>
      </c>
      <c r="C27" s="11">
        <v>1</v>
      </c>
      <c r="D27" s="11">
        <v>1</v>
      </c>
      <c r="E27" s="11">
        <v>1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</row>
    <row r="28" spans="1:12" x14ac:dyDescent="0.25">
      <c r="A28" s="3" t="s">
        <v>98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  <c r="I28" s="11">
        <v>0.99</v>
      </c>
      <c r="J28" s="11">
        <v>0.99</v>
      </c>
      <c r="K28" s="11">
        <v>0.99</v>
      </c>
    </row>
    <row r="29" spans="1:12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 x14ac:dyDescent="0.25">
      <c r="A31" s="3" t="s">
        <v>9</v>
      </c>
    </row>
    <row r="32" spans="1:12" x14ac:dyDescent="0.25">
      <c r="A32" s="3" t="s">
        <v>61</v>
      </c>
      <c r="B32" s="22">
        <f t="shared" ref="B32:K32" si="3">B16/B27</f>
        <v>3191736569.54</v>
      </c>
      <c r="C32" s="22">
        <f t="shared" si="3"/>
        <v>2126843299.47</v>
      </c>
      <c r="D32" s="22">
        <f t="shared" si="3"/>
        <v>418923696</v>
      </c>
      <c r="E32" s="22">
        <f>E16/E27</f>
        <v>408377535.87</v>
      </c>
      <c r="F32" s="22">
        <f t="shared" si="3"/>
        <v>0</v>
      </c>
      <c r="G32" s="22">
        <f t="shared" si="3"/>
        <v>4349134.2</v>
      </c>
      <c r="H32" s="22">
        <f t="shared" si="3"/>
        <v>12765838</v>
      </c>
      <c r="I32" s="22">
        <f t="shared" si="3"/>
        <v>220477066</v>
      </c>
      <c r="J32" s="22">
        <f t="shared" si="3"/>
        <v>0</v>
      </c>
      <c r="K32" s="22">
        <f t="shared" si="3"/>
        <v>0</v>
      </c>
    </row>
    <row r="33" spans="1:11" x14ac:dyDescent="0.25">
      <c r="A33" s="3" t="s">
        <v>99</v>
      </c>
      <c r="B33" s="22">
        <f t="shared" ref="B33:G33" si="4">B18/B28</f>
        <v>3596700285.0404048</v>
      </c>
      <c r="C33" s="22">
        <f t="shared" si="4"/>
        <v>2002657667.6969697</v>
      </c>
      <c r="D33" s="22">
        <f t="shared" si="4"/>
        <v>847246440.40404046</v>
      </c>
      <c r="E33" s="22">
        <f>E18/E28</f>
        <v>421318212.5454545</v>
      </c>
      <c r="F33" s="22">
        <f t="shared" si="4"/>
        <v>295679551.5151515</v>
      </c>
      <c r="G33" s="22">
        <f t="shared" si="4"/>
        <v>7971205.8585858587</v>
      </c>
      <c r="H33" s="22">
        <f t="shared" ref="H33:K33" si="5">H18/H28</f>
        <v>7213799.1414141422</v>
      </c>
      <c r="I33" s="22">
        <f t="shared" si="5"/>
        <v>14613407.878787879</v>
      </c>
      <c r="J33" s="22">
        <f t="shared" si="5"/>
        <v>0</v>
      </c>
      <c r="K33" s="22">
        <f t="shared" si="5"/>
        <v>0</v>
      </c>
    </row>
    <row r="34" spans="1:11" x14ac:dyDescent="0.25">
      <c r="A34" s="3" t="s">
        <v>62</v>
      </c>
      <c r="B34" s="14">
        <f>B32/B10</f>
        <v>550837.58319162403</v>
      </c>
      <c r="C34" s="14">
        <f>C32/C10</f>
        <v>706357.78793424112</v>
      </c>
      <c r="D34" s="14">
        <f t="shared" ref="D34:K34" si="6">D32/D10</f>
        <v>172989.82629043359</v>
      </c>
      <c r="E34" s="14">
        <f>E32/E10</f>
        <v>1129154.4770599077</v>
      </c>
      <c r="F34" s="14" t="e">
        <f>F32/F10</f>
        <v>#DIV/0!</v>
      </c>
      <c r="G34" s="14" t="e">
        <f t="shared" si="6"/>
        <v>#DIV/0!</v>
      </c>
      <c r="H34" s="14" t="e">
        <f t="shared" si="6"/>
        <v>#DIV/0!</v>
      </c>
      <c r="I34" s="14" t="e">
        <f t="shared" si="6"/>
        <v>#DIV/0!</v>
      </c>
      <c r="J34" s="14" t="e">
        <f t="shared" si="6"/>
        <v>#DIV/0!</v>
      </c>
      <c r="K34" s="14" t="e">
        <f t="shared" si="6"/>
        <v>#DIV/0!</v>
      </c>
    </row>
    <row r="35" spans="1:11" x14ac:dyDescent="0.25">
      <c r="A35" s="3" t="s">
        <v>100</v>
      </c>
      <c r="B35" s="6">
        <f t="shared" ref="B35:K35" si="7">B33/B12</f>
        <v>371342.56306987011</v>
      </c>
      <c r="C35" s="6">
        <f t="shared" si="7"/>
        <v>301923.36313839437</v>
      </c>
      <c r="D35" s="6">
        <f t="shared" si="7"/>
        <v>412218.50814338651</v>
      </c>
      <c r="E35" s="6">
        <f>E33/E12</f>
        <v>912602.62645224796</v>
      </c>
      <c r="F35" s="6">
        <f t="shared" si="7"/>
        <v>5797638.2650029706</v>
      </c>
      <c r="G35" s="6">
        <f t="shared" si="7"/>
        <v>25066.685089892639</v>
      </c>
      <c r="H35" s="6">
        <f t="shared" si="7"/>
        <v>43282.794848484853</v>
      </c>
      <c r="I35" s="6">
        <f t="shared" si="7"/>
        <v>14613407.878787879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52.508222198127861</v>
      </c>
      <c r="C44" s="7">
        <f>C12/C11*100</f>
        <v>68.282890673255096</v>
      </c>
      <c r="D44" s="7">
        <f t="shared" ref="D44:K44" si="8">D12/D11*100</f>
        <v>119.63523476911138</v>
      </c>
      <c r="E44" s="7">
        <f t="shared" ref="E44" si="9">E12/E11*100</f>
        <v>102.36511456023652</v>
      </c>
      <c r="F44" s="7">
        <f t="shared" si="8"/>
        <v>80.952380952380949</v>
      </c>
      <c r="G44" s="7">
        <f t="shared" si="8"/>
        <v>10.6</v>
      </c>
      <c r="H44" s="7">
        <f t="shared" si="8"/>
        <v>4.7619047619047619</v>
      </c>
      <c r="I44" s="7">
        <f t="shared" si="8"/>
        <v>100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>B18/B17*100</f>
        <v>94.115351964047363</v>
      </c>
      <c r="C45" s="7">
        <f>C18/C17*100</f>
        <v>76.198286604216193</v>
      </c>
      <c r="D45" s="7">
        <f t="shared" ref="D45:K45" si="10">D18/D17*100</f>
        <v>191.03785294267914</v>
      </c>
      <c r="E45" s="7">
        <f t="shared" ref="E45" si="11">E18/E17*100</f>
        <v>90.8398456317111</v>
      </c>
      <c r="F45" s="7">
        <f t="shared" si="10"/>
        <v>236.17398941322222</v>
      </c>
      <c r="G45" s="7">
        <f t="shared" si="10"/>
        <v>24.131289588357323</v>
      </c>
      <c r="H45" s="7">
        <f t="shared" si="10"/>
        <v>13.736013945176801</v>
      </c>
      <c r="I45" s="7">
        <f t="shared" si="10"/>
        <v>19.401036291025488</v>
      </c>
      <c r="J45" s="7" t="e">
        <f t="shared" si="10"/>
        <v>#DIV/0!</v>
      </c>
      <c r="K45" s="7" t="e">
        <f t="shared" si="10"/>
        <v>#DIV/0!</v>
      </c>
    </row>
    <row r="46" spans="1:11" x14ac:dyDescent="0.25">
      <c r="A46" t="s">
        <v>17</v>
      </c>
      <c r="B46" s="7">
        <f>AVERAGE(B44:B45)</f>
        <v>73.311787081087616</v>
      </c>
      <c r="C46" s="7">
        <f>AVERAGE(C44:C45)</f>
        <v>72.240588638735645</v>
      </c>
      <c r="D46" s="7">
        <f t="shared" ref="D46:K46" si="12">AVERAGE(D44:D45)</f>
        <v>155.33654385589526</v>
      </c>
      <c r="E46" s="7">
        <f t="shared" ref="E46" si="13">AVERAGE(E44:E45)</f>
        <v>96.602480095973817</v>
      </c>
      <c r="F46" s="7">
        <f t="shared" si="12"/>
        <v>158.56318518280159</v>
      </c>
      <c r="G46" s="7">
        <f t="shared" si="12"/>
        <v>17.36564479417866</v>
      </c>
      <c r="H46" s="7">
        <f t="shared" si="12"/>
        <v>9.2489593535407817</v>
      </c>
      <c r="I46" s="7">
        <f t="shared" si="12"/>
        <v>59.700518145512746</v>
      </c>
      <c r="J46" s="7" t="e">
        <f t="shared" si="12"/>
        <v>#DIV/0!</v>
      </c>
      <c r="K46" s="7" t="e">
        <f t="shared" si="12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3">
        <f>B12/B13*100</f>
        <v>20.353170267014093</v>
      </c>
      <c r="C49" s="33">
        <f t="shared" ref="C49:K49" si="14">C12/C13*100</f>
        <v>17.070722668313774</v>
      </c>
      <c r="D49" s="33">
        <f t="shared" si="14"/>
        <v>119.63523476911138</v>
      </c>
      <c r="E49" s="33">
        <f t="shared" si="14"/>
        <v>102.36511456023652</v>
      </c>
      <c r="F49" s="33">
        <f t="shared" si="14"/>
        <v>80.952380952380949</v>
      </c>
      <c r="G49" s="33">
        <f t="shared" si="14"/>
        <v>10.6</v>
      </c>
      <c r="H49" s="33">
        <f t="shared" si="14"/>
        <v>4.7619047619047619</v>
      </c>
      <c r="I49" s="33">
        <f t="shared" si="14"/>
        <v>20</v>
      </c>
      <c r="J49" s="33" t="e">
        <f t="shared" si="14"/>
        <v>#DIV/0!</v>
      </c>
      <c r="K49" s="33" t="e">
        <f t="shared" si="14"/>
        <v>#DIV/0!</v>
      </c>
      <c r="L49" s="24"/>
    </row>
    <row r="50" spans="1:12" x14ac:dyDescent="0.25">
      <c r="A50" t="s">
        <v>20</v>
      </c>
      <c r="B50" s="7">
        <f>B18/B19*100</f>
        <v>21.3263226727363</v>
      </c>
      <c r="C50" s="7">
        <f>C18/C19*100</f>
        <v>17.584219985591471</v>
      </c>
      <c r="D50" s="7">
        <f t="shared" ref="D50:K50" si="15">D18/D19*100</f>
        <v>57.311355882803738</v>
      </c>
      <c r="E50" s="7">
        <f>E18/E19*100</f>
        <v>20.963041299625637</v>
      </c>
      <c r="F50" s="7">
        <f t="shared" si="15"/>
        <v>54.501689864589743</v>
      </c>
      <c r="G50" s="7">
        <f t="shared" si="15"/>
        <v>4.0218815980595535</v>
      </c>
      <c r="H50" s="7">
        <f t="shared" si="15"/>
        <v>2.2893356575294668</v>
      </c>
      <c r="I50" s="7">
        <f t="shared" si="15"/>
        <v>1.5676669330187163</v>
      </c>
      <c r="J50" s="7" t="e">
        <f t="shared" si="15"/>
        <v>#DIV/0!</v>
      </c>
      <c r="K50" s="7" t="e">
        <f t="shared" si="15"/>
        <v>#DIV/0!</v>
      </c>
    </row>
    <row r="51" spans="1:12" x14ac:dyDescent="0.25">
      <c r="A51" t="s">
        <v>21</v>
      </c>
      <c r="B51" s="7">
        <f>(B49+B50)/2</f>
        <v>20.839746469875195</v>
      </c>
      <c r="C51" s="7">
        <f>(C49+C50)/2</f>
        <v>17.327471326952622</v>
      </c>
      <c r="D51" s="7">
        <f t="shared" ref="D51:K51" si="16">(D49+D50)/2</f>
        <v>88.473295325957565</v>
      </c>
      <c r="E51" s="7">
        <f>(E49+E50)/2</f>
        <v>61.664077929931082</v>
      </c>
      <c r="F51" s="7">
        <f t="shared" si="16"/>
        <v>67.727035408485349</v>
      </c>
      <c r="G51" s="7">
        <f t="shared" si="16"/>
        <v>7.3109407990297761</v>
      </c>
      <c r="H51" s="7">
        <f t="shared" si="16"/>
        <v>3.5256202097171143</v>
      </c>
      <c r="I51" s="7">
        <f t="shared" si="16"/>
        <v>10.783833466509359</v>
      </c>
      <c r="J51" s="7" t="e">
        <f t="shared" si="16"/>
        <v>#DIV/0!</v>
      </c>
      <c r="K51" s="7" t="e">
        <f t="shared" si="16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7">B20/B18*100</f>
        <v>100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67.157567738595176</v>
      </c>
      <c r="C57" s="7">
        <f>((C12/C10)-1)*100</f>
        <v>120.29226170707408</v>
      </c>
      <c r="D57" s="7">
        <f t="shared" ref="D57:K57" si="18">((D12/D10)-1)*100</f>
        <v>-15.127322780454222</v>
      </c>
      <c r="E57" s="7">
        <f>((E12/E10)-1)*100</f>
        <v>27.649769585253448</v>
      </c>
      <c r="F57" s="7" t="e">
        <f t="shared" si="18"/>
        <v>#DIV/0!</v>
      </c>
      <c r="G57" s="7" t="e">
        <f t="shared" si="18"/>
        <v>#DIV/0!</v>
      </c>
      <c r="H57" s="7" t="e">
        <f t="shared" si="18"/>
        <v>#DIV/0!</v>
      </c>
      <c r="I57" s="7" t="e">
        <f t="shared" si="18"/>
        <v>#DIV/0!</v>
      </c>
      <c r="J57" s="7" t="e">
        <f t="shared" si="18"/>
        <v>#DIV/0!</v>
      </c>
      <c r="K57" s="7" t="e">
        <f t="shared" si="18"/>
        <v>#DIV/0!</v>
      </c>
    </row>
    <row r="58" spans="1:12" x14ac:dyDescent="0.25">
      <c r="A58" t="s">
        <v>25</v>
      </c>
      <c r="B58" s="7">
        <f>((B33/B32)-1)*100</f>
        <v>12.687880302062936</v>
      </c>
      <c r="C58" s="7">
        <f>((C33/C32)-1)*100</f>
        <v>-5.8389648077964544</v>
      </c>
      <c r="D58" s="7">
        <f t="shared" ref="D58:K58" si="19">((D33/D32)-1)*100</f>
        <v>102.24361822780264</v>
      </c>
      <c r="E58" s="7">
        <f t="shared" si="19"/>
        <v>3.168802281909544</v>
      </c>
      <c r="F58" s="7" t="e">
        <f t="shared" si="19"/>
        <v>#DIV/0!</v>
      </c>
      <c r="G58" s="7">
        <f t="shared" si="19"/>
        <v>83.282591247376516</v>
      </c>
      <c r="H58" s="7">
        <f t="shared" si="19"/>
        <v>-43.491377993249316</v>
      </c>
      <c r="I58" s="7">
        <f t="shared" si="19"/>
        <v>-93.37191475562004</v>
      </c>
      <c r="J58" s="7" t="e">
        <f t="shared" si="19"/>
        <v>#DIV/0!</v>
      </c>
      <c r="K58" s="7" t="e">
        <f t="shared" si="19"/>
        <v>#DIV/0!</v>
      </c>
    </row>
    <row r="59" spans="1:12" x14ac:dyDescent="0.25">
      <c r="A59" t="s">
        <v>26</v>
      </c>
      <c r="B59" s="7">
        <f t="shared" ref="B59:K59" si="20">((B35/B34)-1)*100</f>
        <v>-32.585833937063015</v>
      </c>
      <c r="C59" s="7">
        <f t="shared" si="20"/>
        <v>-57.25631283525933</v>
      </c>
      <c r="D59" s="7">
        <f t="shared" si="20"/>
        <v>138.29060759406192</v>
      </c>
      <c r="E59" s="7">
        <f t="shared" si="20"/>
        <v>-19.178230703341626</v>
      </c>
      <c r="F59" s="7" t="e">
        <f t="shared" si="20"/>
        <v>#DIV/0!</v>
      </c>
      <c r="G59" s="7" t="e">
        <f t="shared" si="20"/>
        <v>#DIV/0!</v>
      </c>
      <c r="H59" s="7" t="e">
        <f t="shared" si="20"/>
        <v>#DIV/0!</v>
      </c>
      <c r="I59" s="7" t="e">
        <f t="shared" si="20"/>
        <v>#DIV/0!</v>
      </c>
      <c r="J59" s="7" t="e">
        <f t="shared" si="20"/>
        <v>#DIV/0!</v>
      </c>
      <c r="K59" s="7" t="e">
        <f t="shared" si="20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37</v>
      </c>
      <c r="B62" s="4">
        <f>B17/(B11*3)</f>
        <v>68368.415397791759</v>
      </c>
      <c r="C62" s="4">
        <f>C17/(C11*3)</f>
        <v>89284.763505353098</v>
      </c>
      <c r="D62" s="4">
        <f t="shared" ref="D62:K63" si="21">D17/(D11*3)</f>
        <v>85188.526193247963</v>
      </c>
      <c r="E62" s="4">
        <f t="shared" si="21"/>
        <v>339368.27698447893</v>
      </c>
      <c r="F62" s="4">
        <f t="shared" si="21"/>
        <v>655786.71666666656</v>
      </c>
      <c r="G62" s="4">
        <f t="shared" si="21"/>
        <v>3633.592151111111</v>
      </c>
      <c r="H62" s="4">
        <f t="shared" si="21"/>
        <v>4951.6417752380949</v>
      </c>
      <c r="I62" s="4">
        <f t="shared" si="21"/>
        <v>24856531</v>
      </c>
      <c r="J62" s="4" t="e">
        <f t="shared" si="21"/>
        <v>#DIV/0!</v>
      </c>
      <c r="K62" s="4" t="e">
        <f t="shared" si="21"/>
        <v>#DIV/0!</v>
      </c>
    </row>
    <row r="63" spans="1:12" x14ac:dyDescent="0.25">
      <c r="A63" t="s">
        <v>38</v>
      </c>
      <c r="B63" s="4">
        <f>B18/(B12*3)</f>
        <v>122543.04581305711</v>
      </c>
      <c r="C63" s="4">
        <f>C18/(C12*3)</f>
        <v>99634.709835670132</v>
      </c>
      <c r="D63" s="4">
        <f t="shared" si="21"/>
        <v>136032.10768731753</v>
      </c>
      <c r="E63" s="4">
        <f t="shared" si="21"/>
        <v>301158.86672924185</v>
      </c>
      <c r="F63" s="4">
        <f t="shared" si="21"/>
        <v>1913220.6274509805</v>
      </c>
      <c r="G63" s="4">
        <f t="shared" si="21"/>
        <v>8272.0060796645703</v>
      </c>
      <c r="H63" s="4">
        <f t="shared" si="21"/>
        <v>14283.322300000002</v>
      </c>
      <c r="I63" s="4">
        <f t="shared" si="21"/>
        <v>4822424.6000000006</v>
      </c>
      <c r="J63" s="4" t="e">
        <f t="shared" si="21"/>
        <v>#DIV/0!</v>
      </c>
      <c r="K63" s="4" t="e">
        <f t="shared" si="21"/>
        <v>#DIV/0!</v>
      </c>
    </row>
    <row r="64" spans="1:12" x14ac:dyDescent="0.25">
      <c r="A64" t="s">
        <v>30</v>
      </c>
      <c r="B64" s="4">
        <f>(B63/B62)*B46</f>
        <v>131.40350892504344</v>
      </c>
      <c r="C64" s="4">
        <f t="shared" ref="C64:K64" si="22">(C63/C62)*C46</f>
        <v>80.614763424297976</v>
      </c>
      <c r="D64" s="4">
        <f t="shared" si="22"/>
        <v>248.04698949300155</v>
      </c>
      <c r="E64" s="4">
        <f t="shared" si="22"/>
        <v>85.726025094172783</v>
      </c>
      <c r="F64" s="4">
        <f t="shared" si="22"/>
        <v>462.5991178779326</v>
      </c>
      <c r="G64" s="4">
        <f t="shared" si="22"/>
        <v>39.533528624233497</v>
      </c>
      <c r="H64" s="4">
        <f t="shared" si="22"/>
        <v>26.679205278308014</v>
      </c>
      <c r="I64" s="4">
        <f t="shared" si="22"/>
        <v>11.582519191341184</v>
      </c>
      <c r="J64" s="4" t="e">
        <f t="shared" si="22"/>
        <v>#DIV/0!</v>
      </c>
      <c r="K64" s="4" t="e">
        <f t="shared" si="22"/>
        <v>#DIV/0!</v>
      </c>
    </row>
    <row r="65" spans="1:11" x14ac:dyDescent="0.25">
      <c r="A65" t="s">
        <v>39</v>
      </c>
      <c r="B65" s="4">
        <f>B17/B11</f>
        <v>205105.24619337526</v>
      </c>
      <c r="C65" s="4">
        <f>C17/C11</f>
        <v>267854.29051605926</v>
      </c>
      <c r="D65" s="4">
        <f t="shared" ref="D65:K66" si="23">D17/D11</f>
        <v>255565.57857974389</v>
      </c>
      <c r="E65" s="4">
        <f t="shared" si="23"/>
        <v>1018104.8309534368</v>
      </c>
      <c r="F65" s="4">
        <f t="shared" si="23"/>
        <v>1967360.15</v>
      </c>
      <c r="G65" s="4">
        <f t="shared" si="23"/>
        <v>10900.776453333334</v>
      </c>
      <c r="H65" s="4">
        <f t="shared" si="23"/>
        <v>14854.925325714286</v>
      </c>
      <c r="I65" s="4">
        <f t="shared" si="23"/>
        <v>74569593</v>
      </c>
      <c r="J65" s="4" t="e">
        <f t="shared" si="23"/>
        <v>#DIV/0!</v>
      </c>
      <c r="K65" s="4" t="e">
        <f t="shared" si="23"/>
        <v>#DIV/0!</v>
      </c>
    </row>
    <row r="66" spans="1:11" x14ac:dyDescent="0.25">
      <c r="A66" t="s">
        <v>40</v>
      </c>
      <c r="B66" s="4">
        <f>B18/B12</f>
        <v>367629.13743917138</v>
      </c>
      <c r="C66" s="4">
        <f>C18/C12</f>
        <v>298904.1295070104</v>
      </c>
      <c r="D66" s="4">
        <f t="shared" si="23"/>
        <v>408096.3230619526</v>
      </c>
      <c r="E66" s="4">
        <f t="shared" si="23"/>
        <v>903476.6001877255</v>
      </c>
      <c r="F66" s="4">
        <f t="shared" si="23"/>
        <v>5739661.8823529407</v>
      </c>
      <c r="G66" s="4">
        <f t="shared" si="23"/>
        <v>24816.018238993711</v>
      </c>
      <c r="H66" s="4">
        <f t="shared" si="23"/>
        <v>42849.966900000007</v>
      </c>
      <c r="I66" s="4">
        <f t="shared" si="23"/>
        <v>14467273.800000001</v>
      </c>
      <c r="J66" s="4" t="e">
        <f t="shared" si="23"/>
        <v>#DIV/0!</v>
      </c>
      <c r="K66" s="4" t="e">
        <f t="shared" si="23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108.31524683738132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86.890216024108852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91</v>
      </c>
    </row>
    <row r="75" spans="1:11" x14ac:dyDescent="0.25">
      <c r="A75" t="s">
        <v>92</v>
      </c>
      <c r="B75" s="10"/>
      <c r="C75" s="10"/>
      <c r="D75" s="10"/>
      <c r="E75" s="10"/>
      <c r="F75" s="10"/>
    </row>
    <row r="76" spans="1:11" x14ac:dyDescent="0.25">
      <c r="A76" t="s">
        <v>93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139</v>
      </c>
    </row>
  </sheetData>
  <mergeCells count="4">
    <mergeCell ref="A4:A5"/>
    <mergeCell ref="B4:B5"/>
    <mergeCell ref="A2:K2"/>
    <mergeCell ref="D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4"/>
  <sheetViews>
    <sheetView zoomScale="70" zoomScaleNormal="70" workbookViewId="0">
      <selection activeCell="C11" sqref="C11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8.28515625" customWidth="1"/>
    <col min="4" max="4" width="18.42578125" customWidth="1"/>
    <col min="5" max="5" width="16.42578125" customWidth="1"/>
    <col min="6" max="6" width="17.28515625" customWidth="1"/>
    <col min="7" max="7" width="15.28515625" customWidth="1"/>
    <col min="8" max="8" width="18.5703125" customWidth="1"/>
    <col min="9" max="9" width="18.42578125" customWidth="1"/>
    <col min="10" max="10" width="18.42578125" hidden="1" customWidth="1"/>
    <col min="11" max="11" width="16.28515625" customWidth="1"/>
    <col min="17" max="17" width="15.28515625" customWidth="1"/>
  </cols>
  <sheetData>
    <row r="2" spans="1:21" ht="15.75" x14ac:dyDescent="0.25">
      <c r="A2" s="60" t="s">
        <v>101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21" x14ac:dyDescent="0.25">
      <c r="A4" s="56" t="s">
        <v>0</v>
      </c>
      <c r="B4" s="58" t="s">
        <v>1</v>
      </c>
      <c r="C4" s="61" t="s">
        <v>2</v>
      </c>
      <c r="D4" s="61"/>
      <c r="E4" s="61"/>
      <c r="F4" s="61"/>
      <c r="G4" s="61"/>
      <c r="H4" s="61"/>
      <c r="I4" s="61"/>
      <c r="J4" s="61"/>
      <c r="K4" s="61"/>
    </row>
    <row r="5" spans="1:21" ht="105.75" thickBot="1" x14ac:dyDescent="0.3">
      <c r="A5" s="57"/>
      <c r="B5" s="59"/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35" t="s">
        <v>52</v>
      </c>
      <c r="K5" s="27" t="s">
        <v>50</v>
      </c>
      <c r="Q5" s="41"/>
    </row>
    <row r="6" spans="1:21" ht="15.75" thickTop="1" x14ac:dyDescent="0.25">
      <c r="U6" s="41"/>
    </row>
    <row r="7" spans="1:21" x14ac:dyDescent="0.25">
      <c r="A7" s="2" t="s">
        <v>3</v>
      </c>
    </row>
    <row r="9" spans="1:21" x14ac:dyDescent="0.25">
      <c r="A9" t="s">
        <v>4</v>
      </c>
    </row>
    <row r="10" spans="1:21" x14ac:dyDescent="0.25">
      <c r="A10" s="3" t="s">
        <v>63</v>
      </c>
      <c r="B10" s="47">
        <f>C10+D10+E10+F10+G10+H10+I10+K10</f>
        <v>13075.666666666668</v>
      </c>
      <c r="C10" s="4">
        <v>3011</v>
      </c>
      <c r="D10" s="4">
        <v>2373.3333333333335</v>
      </c>
      <c r="E10" s="13">
        <v>408.33333333333331</v>
      </c>
      <c r="F10" s="4">
        <v>0</v>
      </c>
      <c r="G10" s="4">
        <v>2806</v>
      </c>
      <c r="H10" s="4">
        <v>3100</v>
      </c>
      <c r="I10" s="4">
        <v>0</v>
      </c>
      <c r="K10">
        <v>1377</v>
      </c>
      <c r="L10" s="43"/>
    </row>
    <row r="11" spans="1:21" x14ac:dyDescent="0.25">
      <c r="A11" s="3" t="s">
        <v>102</v>
      </c>
      <c r="B11" s="47">
        <f>C11+D11+E11+F11+G11+H11</f>
        <v>18446</v>
      </c>
      <c r="C11" s="4">
        <v>9714</v>
      </c>
      <c r="D11" s="4">
        <v>1718</v>
      </c>
      <c r="E11" s="13">
        <v>451</v>
      </c>
      <c r="F11" s="46">
        <v>63</v>
      </c>
      <c r="G11" s="4">
        <v>3000</v>
      </c>
      <c r="H11" s="13">
        <v>3500</v>
      </c>
      <c r="I11" s="4">
        <v>1</v>
      </c>
      <c r="J11" s="4"/>
      <c r="K11" s="4">
        <v>0</v>
      </c>
      <c r="L11" s="43"/>
    </row>
    <row r="12" spans="1:21" x14ac:dyDescent="0.25">
      <c r="A12" s="3" t="s">
        <v>103</v>
      </c>
      <c r="B12" s="47">
        <f t="shared" ref="B12:B13" si="0">C12+D12+E12+F12+G12+H12</f>
        <v>11367.333333333334</v>
      </c>
      <c r="C12" s="4">
        <v>7158</v>
      </c>
      <c r="D12" s="4">
        <v>2021.6666666666667</v>
      </c>
      <c r="E12" s="13">
        <v>455.33333333333331</v>
      </c>
      <c r="F12" s="13">
        <v>50</v>
      </c>
      <c r="G12" s="4">
        <v>682.33333333333337</v>
      </c>
      <c r="H12" s="4">
        <v>1000</v>
      </c>
      <c r="I12" s="4">
        <v>1</v>
      </c>
      <c r="J12" s="4"/>
      <c r="K12" s="4">
        <v>0</v>
      </c>
      <c r="L12" s="43"/>
    </row>
    <row r="13" spans="1:21" s="41" customFormat="1" x14ac:dyDescent="0.25">
      <c r="A13" s="42" t="s">
        <v>86</v>
      </c>
      <c r="B13" s="47">
        <f t="shared" si="0"/>
        <v>47588</v>
      </c>
      <c r="C13" s="46">
        <v>38856</v>
      </c>
      <c r="D13" s="46">
        <v>1718</v>
      </c>
      <c r="E13" s="46">
        <v>451</v>
      </c>
      <c r="F13" s="46">
        <v>63</v>
      </c>
      <c r="G13" s="46">
        <v>3000</v>
      </c>
      <c r="H13" s="46">
        <v>3500</v>
      </c>
      <c r="I13" s="46">
        <v>5</v>
      </c>
      <c r="J13" s="46"/>
      <c r="K13" s="46">
        <v>0</v>
      </c>
      <c r="L13" s="25"/>
      <c r="Q13" s="43"/>
    </row>
    <row r="14" spans="1:21" x14ac:dyDescent="0.25">
      <c r="L14" s="45"/>
    </row>
    <row r="15" spans="1:21" x14ac:dyDescent="0.25">
      <c r="A15" s="5" t="s">
        <v>5</v>
      </c>
    </row>
    <row r="16" spans="1:21" x14ac:dyDescent="0.25">
      <c r="A16" s="3" t="s">
        <v>63</v>
      </c>
      <c r="B16" s="4">
        <f>SUM(C16:K16)</f>
        <v>2832410032.9000001</v>
      </c>
      <c r="C16" s="4">
        <v>2001430566</v>
      </c>
      <c r="D16" s="4">
        <v>297346119</v>
      </c>
      <c r="E16" s="13">
        <v>375481812</v>
      </c>
      <c r="F16" s="4">
        <v>0</v>
      </c>
      <c r="G16" s="4">
        <v>11923168.149999999</v>
      </c>
      <c r="H16" s="4">
        <v>27560724.75</v>
      </c>
      <c r="I16" s="4">
        <v>17422769</v>
      </c>
      <c r="J16" s="4"/>
      <c r="K16" s="4">
        <v>101244874</v>
      </c>
    </row>
    <row r="17" spans="1:12" x14ac:dyDescent="0.25">
      <c r="A17" s="3" t="s">
        <v>102</v>
      </c>
      <c r="B17" s="4">
        <f t="shared" ref="B17:B19" si="1">SUM(C17:K17)</f>
        <v>4004423088.283</v>
      </c>
      <c r="C17" s="4">
        <v>2601936578.073</v>
      </c>
      <c r="D17" s="4">
        <v>439061664</v>
      </c>
      <c r="E17" s="13">
        <v>459165278.75999999</v>
      </c>
      <c r="F17" s="4">
        <v>123943689.44999999</v>
      </c>
      <c r="G17" s="4">
        <v>98106988.079999998</v>
      </c>
      <c r="H17" s="4">
        <v>155976715.92000002</v>
      </c>
      <c r="I17" s="4">
        <v>126232174</v>
      </c>
      <c r="J17" s="4"/>
      <c r="K17" s="4">
        <v>0</v>
      </c>
    </row>
    <row r="18" spans="1:12" x14ac:dyDescent="0.25">
      <c r="A18" s="3" t="s">
        <v>103</v>
      </c>
      <c r="B18" s="4">
        <f t="shared" si="1"/>
        <v>2639321367.0300002</v>
      </c>
      <c r="C18" s="4">
        <v>2025513650.1900001</v>
      </c>
      <c r="D18" s="4">
        <v>0</v>
      </c>
      <c r="E18" s="13">
        <v>380549626.17000002</v>
      </c>
      <c r="F18" s="4">
        <v>135747810.97999999</v>
      </c>
      <c r="G18" s="4">
        <v>35824712.019999996</v>
      </c>
      <c r="H18" s="4">
        <v>42292689.07</v>
      </c>
      <c r="I18" s="4">
        <v>19392878.600000001</v>
      </c>
      <c r="J18" s="4"/>
      <c r="K18" s="4">
        <v>0</v>
      </c>
    </row>
    <row r="19" spans="1:12" x14ac:dyDescent="0.25">
      <c r="A19" s="3" t="s">
        <v>86</v>
      </c>
      <c r="B19" s="4">
        <f t="shared" si="1"/>
        <v>16696424117.891003</v>
      </c>
      <c r="C19" s="4">
        <v>11275058504.981001</v>
      </c>
      <c r="D19" s="6">
        <v>1463538880</v>
      </c>
      <c r="E19" s="13">
        <v>1989716207.96</v>
      </c>
      <c r="F19" s="4">
        <v>537089320.94999993</v>
      </c>
      <c r="G19" s="6">
        <v>196213976.16000003</v>
      </c>
      <c r="H19" s="4">
        <v>311953431.83999997</v>
      </c>
      <c r="I19" s="4">
        <v>922853796</v>
      </c>
      <c r="J19" s="4"/>
      <c r="K19" s="4">
        <v>0</v>
      </c>
    </row>
    <row r="20" spans="1:12" x14ac:dyDescent="0.25">
      <c r="A20" s="3" t="s">
        <v>104</v>
      </c>
      <c r="B20" s="47">
        <f>C20+D20+G20+H20+E20+F20+I20</f>
        <v>2639321367.0299997</v>
      </c>
      <c r="C20" s="52">
        <f>C18</f>
        <v>2025513650.1900001</v>
      </c>
      <c r="D20" s="52">
        <f>D18</f>
        <v>0</v>
      </c>
      <c r="E20" s="52">
        <f t="shared" ref="E20:J20" si="2">E18</f>
        <v>380549626.17000002</v>
      </c>
      <c r="F20" s="52">
        <f t="shared" si="2"/>
        <v>135747810.97999999</v>
      </c>
      <c r="G20" s="52">
        <f t="shared" si="2"/>
        <v>35824712.019999996</v>
      </c>
      <c r="H20" s="52">
        <f t="shared" si="2"/>
        <v>42292689.07</v>
      </c>
      <c r="I20" s="52">
        <f t="shared" si="2"/>
        <v>19392878.600000001</v>
      </c>
      <c r="J20" s="52">
        <f t="shared" si="2"/>
        <v>0</v>
      </c>
      <c r="K20" s="24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102</v>
      </c>
      <c r="B23" s="13">
        <f>B17</f>
        <v>4004423088.283</v>
      </c>
      <c r="C23" s="13"/>
    </row>
    <row r="24" spans="1:12" x14ac:dyDescent="0.25">
      <c r="A24" s="3" t="s">
        <v>103</v>
      </c>
      <c r="B24" s="13">
        <v>3919429924.75</v>
      </c>
      <c r="C24" s="13"/>
    </row>
    <row r="26" spans="1:12" x14ac:dyDescent="0.25">
      <c r="A26" t="s">
        <v>7</v>
      </c>
    </row>
    <row r="27" spans="1:12" x14ac:dyDescent="0.25">
      <c r="A27" s="3" t="s">
        <v>64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  <c r="I27" s="15">
        <v>0.99</v>
      </c>
      <c r="J27" s="15">
        <v>0.99</v>
      </c>
      <c r="K27" s="15">
        <v>0.99</v>
      </c>
    </row>
    <row r="28" spans="1:12" x14ac:dyDescent="0.25">
      <c r="A28" s="3" t="s">
        <v>105</v>
      </c>
      <c r="B28" s="15">
        <v>0.99</v>
      </c>
      <c r="C28" s="15">
        <v>0.99</v>
      </c>
      <c r="D28" s="15">
        <v>0.99</v>
      </c>
      <c r="E28" s="15">
        <v>0.99</v>
      </c>
      <c r="F28" s="15">
        <v>0.99</v>
      </c>
      <c r="G28" s="15">
        <v>0.99</v>
      </c>
      <c r="H28" s="15">
        <v>0.99</v>
      </c>
      <c r="I28" s="15">
        <v>0.99</v>
      </c>
      <c r="J28" s="15">
        <v>0.99</v>
      </c>
      <c r="K28" s="15">
        <v>0.99</v>
      </c>
    </row>
    <row r="29" spans="1:12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 x14ac:dyDescent="0.25">
      <c r="A31" s="3" t="s">
        <v>9</v>
      </c>
    </row>
    <row r="32" spans="1:12" x14ac:dyDescent="0.25">
      <c r="A32" s="3" t="s">
        <v>65</v>
      </c>
      <c r="B32" s="22">
        <f>B16/B27</f>
        <v>2861020235.2525253</v>
      </c>
      <c r="C32" s="22">
        <f>C16/C27</f>
        <v>2021647036.3636365</v>
      </c>
      <c r="D32" s="22">
        <f t="shared" ref="D32:K32" si="3">D16/D27</f>
        <v>300349615.15151513</v>
      </c>
      <c r="E32" s="22">
        <f>E16/E27</f>
        <v>379274557.57575756</v>
      </c>
      <c r="F32" s="22">
        <f t="shared" si="3"/>
        <v>0</v>
      </c>
      <c r="G32" s="22">
        <f t="shared" si="3"/>
        <v>12043604.191919191</v>
      </c>
      <c r="H32" s="22">
        <f t="shared" si="3"/>
        <v>27839115.90909091</v>
      </c>
      <c r="I32" s="22">
        <f t="shared" si="3"/>
        <v>17598756.565656565</v>
      </c>
      <c r="J32" s="22">
        <f t="shared" si="3"/>
        <v>0</v>
      </c>
      <c r="K32" s="22">
        <f t="shared" si="3"/>
        <v>102267549.49494949</v>
      </c>
    </row>
    <row r="33" spans="1:11" x14ac:dyDescent="0.25">
      <c r="A33" s="3" t="s">
        <v>106</v>
      </c>
      <c r="B33" s="22">
        <f>B18/B28</f>
        <v>2665981178.818182</v>
      </c>
      <c r="C33" s="22">
        <f>C18/C28</f>
        <v>2045973384.030303</v>
      </c>
      <c r="D33" s="22">
        <f t="shared" ref="D33:G33" si="4">D18/D28</f>
        <v>0</v>
      </c>
      <c r="E33" s="22">
        <f>E18/E28</f>
        <v>384393561.78787881</v>
      </c>
      <c r="F33" s="22">
        <f t="shared" si="4"/>
        <v>137119000.98989898</v>
      </c>
      <c r="G33" s="22">
        <f t="shared" si="4"/>
        <v>36186577.797979794</v>
      </c>
      <c r="H33" s="22">
        <f t="shared" ref="H33:K33" si="5">H18/H28</f>
        <v>42719887.94949495</v>
      </c>
      <c r="I33" s="22">
        <f t="shared" si="5"/>
        <v>19588766.262626264</v>
      </c>
      <c r="J33" s="22">
        <f t="shared" si="5"/>
        <v>0</v>
      </c>
      <c r="K33" s="22">
        <f t="shared" si="5"/>
        <v>0</v>
      </c>
    </row>
    <row r="34" spans="1:11" x14ac:dyDescent="0.25">
      <c r="A34" s="3" t="s">
        <v>66</v>
      </c>
      <c r="B34" s="14">
        <f t="shared" ref="B34:K34" si="6">B32/B10</f>
        <v>218804.92277659712</v>
      </c>
      <c r="C34" s="14">
        <f t="shared" si="6"/>
        <v>671420.47039642523</v>
      </c>
      <c r="D34" s="14">
        <f t="shared" si="6"/>
        <v>126551.80413687434</v>
      </c>
      <c r="E34" s="14">
        <f t="shared" si="6"/>
        <v>928835.65120593691</v>
      </c>
      <c r="F34" s="14" t="e">
        <f t="shared" si="6"/>
        <v>#DIV/0!</v>
      </c>
      <c r="G34" s="14">
        <f t="shared" si="6"/>
        <v>4292.0898759512438</v>
      </c>
      <c r="H34" s="14">
        <f t="shared" si="6"/>
        <v>8980.3599706744862</v>
      </c>
      <c r="I34" s="14" t="e">
        <f t="shared" si="6"/>
        <v>#DIV/0!</v>
      </c>
      <c r="J34" s="14" t="e">
        <f t="shared" si="6"/>
        <v>#DIV/0!</v>
      </c>
      <c r="K34" s="14">
        <f t="shared" si="6"/>
        <v>74268.372908460049</v>
      </c>
    </row>
    <row r="35" spans="1:11" x14ac:dyDescent="0.25">
      <c r="A35" s="3" t="s">
        <v>107</v>
      </c>
      <c r="B35" s="6">
        <f>B33/B12</f>
        <v>234530.04329524795</v>
      </c>
      <c r="C35" s="6">
        <f>C33/C12</f>
        <v>285830.31349962321</v>
      </c>
      <c r="D35" s="6">
        <f t="shared" ref="D35:K35" si="7">D33/D12</f>
        <v>0</v>
      </c>
      <c r="E35" s="6">
        <f>E33/E12</f>
        <v>844202.55151071481</v>
      </c>
      <c r="F35" s="6">
        <f t="shared" si="7"/>
        <v>2742380.0197979794</v>
      </c>
      <c r="G35" s="6">
        <f t="shared" si="7"/>
        <v>53033.577622833109</v>
      </c>
      <c r="H35" s="6">
        <f t="shared" si="7"/>
        <v>42719.887949494951</v>
      </c>
      <c r="I35" s="6">
        <f t="shared" si="7"/>
        <v>19588766.262626264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61.624923199248258</v>
      </c>
      <c r="C44" s="7">
        <f>C12/C11*100</f>
        <v>73.687461395923421</v>
      </c>
      <c r="D44" s="7">
        <f t="shared" ref="D44:K44" si="8">D12/D11*100</f>
        <v>117.67559177337989</v>
      </c>
      <c r="E44" s="7">
        <f t="shared" ref="E44" si="9">E12/E11*100</f>
        <v>100.96082779009608</v>
      </c>
      <c r="F44" s="7">
        <f t="shared" si="8"/>
        <v>79.365079365079367</v>
      </c>
      <c r="G44" s="7">
        <f t="shared" si="8"/>
        <v>22.744444444444444</v>
      </c>
      <c r="H44" s="7">
        <f t="shared" si="8"/>
        <v>28.571428571428569</v>
      </c>
      <c r="I44" s="7">
        <f t="shared" si="8"/>
        <v>100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>B18/B17*100</f>
        <v>65.910152569859378</v>
      </c>
      <c r="C45" s="7">
        <f>C18/C17*100</f>
        <v>77.84638823480087</v>
      </c>
      <c r="D45" s="7">
        <f t="shared" ref="D45:K45" si="10">D18/D17*100</f>
        <v>0</v>
      </c>
      <c r="E45" s="7">
        <f t="shared" ref="E45" si="11">E18/E17*100</f>
        <v>82.878572003025639</v>
      </c>
      <c r="F45" s="7">
        <f t="shared" si="10"/>
        <v>109.52377775938476</v>
      </c>
      <c r="G45" s="7">
        <f t="shared" si="10"/>
        <v>36.515963562949487</v>
      </c>
      <c r="H45" s="7">
        <f t="shared" si="10"/>
        <v>27.114745185231232</v>
      </c>
      <c r="I45" s="7">
        <f t="shared" si="10"/>
        <v>15.362865096500677</v>
      </c>
      <c r="J45" s="7" t="e">
        <f t="shared" si="10"/>
        <v>#DIV/0!</v>
      </c>
      <c r="K45" s="7" t="e">
        <f t="shared" si="10"/>
        <v>#DIV/0!</v>
      </c>
    </row>
    <row r="46" spans="1:11" x14ac:dyDescent="0.25">
      <c r="A46" t="s">
        <v>17</v>
      </c>
      <c r="B46" s="7">
        <f>AVERAGE(B44:B45)</f>
        <v>63.767537884553818</v>
      </c>
      <c r="C46" s="7">
        <f>AVERAGE(C44:C45)</f>
        <v>75.766924815362145</v>
      </c>
      <c r="D46" s="7">
        <f t="shared" ref="D46:K46" si="12">AVERAGE(D44:D45)</f>
        <v>58.837795886689946</v>
      </c>
      <c r="E46" s="7">
        <f t="shared" ref="E46" si="13">AVERAGE(E44:E45)</f>
        <v>91.919699896560857</v>
      </c>
      <c r="F46" s="7">
        <f t="shared" si="12"/>
        <v>94.444428562232062</v>
      </c>
      <c r="G46" s="7">
        <f t="shared" si="12"/>
        <v>29.630204003696967</v>
      </c>
      <c r="H46" s="7">
        <f t="shared" si="12"/>
        <v>27.843086878329899</v>
      </c>
      <c r="I46" s="7">
        <f t="shared" si="12"/>
        <v>57.681432548250342</v>
      </c>
      <c r="J46" s="7" t="e">
        <f t="shared" si="12"/>
        <v>#DIV/0!</v>
      </c>
      <c r="K46" s="7" t="e">
        <f t="shared" si="12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3">
        <f>B12/B13*100</f>
        <v>23.886974307248327</v>
      </c>
      <c r="C49" s="33">
        <f t="shared" ref="C49:K49" si="14">C12/C13*100</f>
        <v>18.421865348980855</v>
      </c>
      <c r="D49" s="33">
        <f t="shared" si="14"/>
        <v>117.67559177337989</v>
      </c>
      <c r="E49" s="33">
        <f t="shared" si="14"/>
        <v>100.96082779009608</v>
      </c>
      <c r="F49" s="33">
        <f t="shared" si="14"/>
        <v>79.365079365079367</v>
      </c>
      <c r="G49" s="33">
        <f t="shared" si="14"/>
        <v>22.744444444444444</v>
      </c>
      <c r="H49" s="33">
        <f t="shared" si="14"/>
        <v>28.571428571428569</v>
      </c>
      <c r="I49" s="33">
        <f t="shared" si="14"/>
        <v>20</v>
      </c>
      <c r="J49" s="33" t="e">
        <f t="shared" si="14"/>
        <v>#DIV/0!</v>
      </c>
      <c r="K49" s="33" t="e">
        <f t="shared" si="14"/>
        <v>#DIV/0!</v>
      </c>
      <c r="L49" s="24"/>
    </row>
    <row r="50" spans="1:12" x14ac:dyDescent="0.25">
      <c r="A50" t="s">
        <v>20</v>
      </c>
      <c r="B50" s="7">
        <f>B18/B19*100</f>
        <v>15.807704382651872</v>
      </c>
      <c r="C50" s="7">
        <f>C18/C19*100</f>
        <v>17.964551131111076</v>
      </c>
      <c r="D50" s="7">
        <f t="shared" ref="D50:K50" si="15">D18/D19*100</f>
        <v>0</v>
      </c>
      <c r="E50" s="7">
        <f>E18/E19*100</f>
        <v>19.125824308390531</v>
      </c>
      <c r="F50" s="7">
        <f t="shared" si="15"/>
        <v>25.274717944473409</v>
      </c>
      <c r="G50" s="7">
        <f t="shared" si="15"/>
        <v>18.25798178147474</v>
      </c>
      <c r="H50" s="7">
        <f t="shared" si="15"/>
        <v>13.557372592615618</v>
      </c>
      <c r="I50" s="7">
        <f t="shared" si="15"/>
        <v>2.1014031349338462</v>
      </c>
      <c r="J50" s="7" t="e">
        <f t="shared" si="15"/>
        <v>#DIV/0!</v>
      </c>
      <c r="K50" s="7" t="e">
        <f t="shared" si="15"/>
        <v>#DIV/0!</v>
      </c>
    </row>
    <row r="51" spans="1:12" x14ac:dyDescent="0.25">
      <c r="A51" t="s">
        <v>21</v>
      </c>
      <c r="B51" s="7">
        <f>(B49+B50)/2</f>
        <v>19.8473393449501</v>
      </c>
      <c r="C51" s="7">
        <f>(C49+C50)/2</f>
        <v>18.193208240045966</v>
      </c>
      <c r="D51" s="7">
        <f t="shared" ref="D51:K51" si="16">(D49+D50)/2</f>
        <v>58.837795886689946</v>
      </c>
      <c r="E51" s="7">
        <f>(E49+E50)/2</f>
        <v>60.043326049243305</v>
      </c>
      <c r="F51" s="7">
        <f t="shared" si="16"/>
        <v>52.319898654776388</v>
      </c>
      <c r="G51" s="7">
        <f t="shared" si="16"/>
        <v>20.50121311295959</v>
      </c>
      <c r="H51" s="7">
        <f t="shared" si="16"/>
        <v>21.064400582022095</v>
      </c>
      <c r="I51" s="7">
        <f t="shared" si="16"/>
        <v>11.050701567466923</v>
      </c>
      <c r="J51" s="7" t="e">
        <f t="shared" si="16"/>
        <v>#DIV/0!</v>
      </c>
      <c r="K51" s="7" t="e">
        <f t="shared" si="16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7">B20/B18*100</f>
        <v>99.999999999999972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-13.064980753052746</v>
      </c>
      <c r="C57" s="7">
        <f>((C12/C10)-1)*100</f>
        <v>137.72832945865164</v>
      </c>
      <c r="D57" s="7">
        <f t="shared" ref="D57:K57" si="18">((D12/D10)-1)*100</f>
        <v>-14.81741573033708</v>
      </c>
      <c r="E57" s="7">
        <f>((E12/E10)-1)*100</f>
        <v>11.510204081632658</v>
      </c>
      <c r="F57" s="7" t="e">
        <f t="shared" si="18"/>
        <v>#DIV/0!</v>
      </c>
      <c r="G57" s="7">
        <f t="shared" si="18"/>
        <v>-75.683060109289613</v>
      </c>
      <c r="H57" s="7">
        <f t="shared" si="18"/>
        <v>-67.741935483870975</v>
      </c>
      <c r="I57" s="7" t="e">
        <f t="shared" si="18"/>
        <v>#DIV/0!</v>
      </c>
      <c r="J57" s="7" t="e">
        <f t="shared" si="18"/>
        <v>#DIV/0!</v>
      </c>
      <c r="K57" s="7">
        <f t="shared" si="18"/>
        <v>-100</v>
      </c>
    </row>
    <row r="58" spans="1:12" x14ac:dyDescent="0.25">
      <c r="A58" t="s">
        <v>25</v>
      </c>
      <c r="B58" s="7">
        <f>((B33/B32)-1)*100</f>
        <v>-6.817115588038769</v>
      </c>
      <c r="C58" s="7">
        <f>((C33/C32)-1)*100</f>
        <v>1.2032935141053525</v>
      </c>
      <c r="D58" s="7">
        <f t="shared" ref="D58:K58" si="19">((D33/D32)-1)*100</f>
        <v>-100</v>
      </c>
      <c r="E58" s="7">
        <f t="shared" si="19"/>
        <v>1.3496829960967682</v>
      </c>
      <c r="F58" s="7" t="e">
        <f t="shared" si="19"/>
        <v>#DIV/0!</v>
      </c>
      <c r="G58" s="7">
        <f t="shared" si="19"/>
        <v>200.4630276894988</v>
      </c>
      <c r="H58" s="7">
        <f t="shared" si="19"/>
        <v>53.452746448549028</v>
      </c>
      <c r="I58" s="7">
        <f t="shared" si="19"/>
        <v>11.307672161640902</v>
      </c>
      <c r="J58" s="7" t="e">
        <f t="shared" si="19"/>
        <v>#DIV/0!</v>
      </c>
      <c r="K58" s="7">
        <f t="shared" si="19"/>
        <v>-100</v>
      </c>
      <c r="L58" s="24"/>
    </row>
    <row r="59" spans="1:12" x14ac:dyDescent="0.25">
      <c r="A59" t="s">
        <v>26</v>
      </c>
      <c r="B59" s="7">
        <f t="shared" ref="B59:K59" si="20">((B35/B34)-1)*100</f>
        <v>7.1868220875022981</v>
      </c>
      <c r="C59" s="7">
        <f t="shared" si="20"/>
        <v>-57.429014142082814</v>
      </c>
      <c r="D59" s="7">
        <f t="shared" si="20"/>
        <v>-100</v>
      </c>
      <c r="E59" s="7">
        <f t="shared" si="20"/>
        <v>-9.1117410906159986</v>
      </c>
      <c r="F59" s="7" t="e">
        <f t="shared" si="20"/>
        <v>#DIV/0!</v>
      </c>
      <c r="G59" s="7">
        <f t="shared" si="20"/>
        <v>1135.6120015096242</v>
      </c>
      <c r="H59" s="7">
        <f t="shared" si="20"/>
        <v>375.70351399050202</v>
      </c>
      <c r="I59" s="7" t="e">
        <f t="shared" si="20"/>
        <v>#DIV/0!</v>
      </c>
      <c r="J59" s="7" t="e">
        <f t="shared" si="20"/>
        <v>#DIV/0!</v>
      </c>
      <c r="K59" s="7" t="e">
        <f t="shared" si="20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37</v>
      </c>
      <c r="B62" s="4">
        <f>B17/(B11*3)</f>
        <v>72362.989054230362</v>
      </c>
      <c r="C62" s="4">
        <f>C17/(C11*3)</f>
        <v>89284.763505353098</v>
      </c>
      <c r="D62" s="4">
        <f t="shared" ref="D62:K63" si="21">D17/(D11*3)</f>
        <v>85188.526193247963</v>
      </c>
      <c r="E62" s="4">
        <f t="shared" si="21"/>
        <v>339368.27698447893</v>
      </c>
      <c r="F62" s="4">
        <f t="shared" si="21"/>
        <v>655786.71666666656</v>
      </c>
      <c r="G62" s="4">
        <f t="shared" si="21"/>
        <v>10900.776453333334</v>
      </c>
      <c r="H62" s="4">
        <f t="shared" si="21"/>
        <v>14854.925325714288</v>
      </c>
      <c r="I62" s="4">
        <f t="shared" si="21"/>
        <v>42077391.333333336</v>
      </c>
      <c r="J62" s="4" t="e">
        <f t="shared" si="21"/>
        <v>#DIV/0!</v>
      </c>
      <c r="K62" s="4" t="e">
        <f t="shared" si="21"/>
        <v>#DIV/0!</v>
      </c>
    </row>
    <row r="63" spans="1:12" x14ac:dyDescent="0.25">
      <c r="A63" t="s">
        <v>38</v>
      </c>
      <c r="B63" s="4">
        <f>B18/(B12*3)</f>
        <v>77394.914287431835</v>
      </c>
      <c r="C63" s="4">
        <f>C18/(C12*3)</f>
        <v>94324.003454875667</v>
      </c>
      <c r="D63" s="4">
        <f t="shared" si="21"/>
        <v>0</v>
      </c>
      <c r="E63" s="4">
        <f t="shared" si="21"/>
        <v>278586.84199853591</v>
      </c>
      <c r="F63" s="4">
        <f t="shared" si="21"/>
        <v>904985.40653333324</v>
      </c>
      <c r="G63" s="4">
        <f t="shared" si="21"/>
        <v>17501.080615534927</v>
      </c>
      <c r="H63" s="4">
        <f t="shared" si="21"/>
        <v>14097.563023333334</v>
      </c>
      <c r="I63" s="4">
        <f t="shared" si="21"/>
        <v>6464292.8666666672</v>
      </c>
      <c r="J63" s="4" t="e">
        <f t="shared" si="21"/>
        <v>#DIV/0!</v>
      </c>
      <c r="K63" s="4" t="e">
        <f t="shared" si="21"/>
        <v>#DIV/0!</v>
      </c>
    </row>
    <row r="64" spans="1:12" x14ac:dyDescent="0.25">
      <c r="A64" t="s">
        <v>30</v>
      </c>
      <c r="B64" s="4">
        <f>(B63/B62)*B46</f>
        <v>68.201758846597656</v>
      </c>
      <c r="C64" s="4">
        <f t="shared" ref="C64:K64" si="22">(C63/C62)*C46</f>
        <v>80.043216753562263</v>
      </c>
      <c r="D64" s="4">
        <f t="shared" si="22"/>
        <v>0</v>
      </c>
      <c r="E64" s="4">
        <f t="shared" si="22"/>
        <v>75.456725475867628</v>
      </c>
      <c r="F64" s="4">
        <f t="shared" si="22"/>
        <v>130.33327361622113</v>
      </c>
      <c r="G64" s="4">
        <f t="shared" si="22"/>
        <v>47.570977273355282</v>
      </c>
      <c r="H64" s="4">
        <f t="shared" si="22"/>
        <v>26.423537205665969</v>
      </c>
      <c r="I64" s="4">
        <f t="shared" si="22"/>
        <v>8.8615206681167322</v>
      </c>
      <c r="J64" s="4" t="e">
        <f t="shared" si="22"/>
        <v>#DIV/0!</v>
      </c>
      <c r="K64" s="4" t="e">
        <f t="shared" si="22"/>
        <v>#DIV/0!</v>
      </c>
    </row>
    <row r="65" spans="1:11" x14ac:dyDescent="0.25">
      <c r="A65" t="s">
        <v>39</v>
      </c>
      <c r="B65" s="4">
        <f>B17/B11</f>
        <v>217088.96716269109</v>
      </c>
      <c r="C65" s="4">
        <f>C17/C11</f>
        <v>267854.29051605926</v>
      </c>
      <c r="D65" s="4">
        <f t="shared" ref="D65:K66" si="23">D17/D11</f>
        <v>255565.57857974389</v>
      </c>
      <c r="E65" s="4">
        <f t="shared" si="23"/>
        <v>1018104.8309534368</v>
      </c>
      <c r="F65" s="4">
        <f t="shared" si="23"/>
        <v>1967360.15</v>
      </c>
      <c r="G65" s="4">
        <f t="shared" si="23"/>
        <v>32702.32936</v>
      </c>
      <c r="H65" s="4">
        <f t="shared" si="23"/>
        <v>44564.775977142861</v>
      </c>
      <c r="I65" s="4">
        <f t="shared" si="23"/>
        <v>126232174</v>
      </c>
      <c r="J65" s="4" t="e">
        <f t="shared" si="23"/>
        <v>#DIV/0!</v>
      </c>
      <c r="K65" s="4" t="e">
        <f t="shared" si="23"/>
        <v>#DIV/0!</v>
      </c>
    </row>
    <row r="66" spans="1:11" x14ac:dyDescent="0.25">
      <c r="A66" t="s">
        <v>40</v>
      </c>
      <c r="B66" s="4">
        <f>B18/B12</f>
        <v>232184.74286229548</v>
      </c>
      <c r="C66" s="4">
        <f>C18/C12</f>
        <v>282972.010364627</v>
      </c>
      <c r="D66" s="4">
        <f t="shared" si="23"/>
        <v>0</v>
      </c>
      <c r="E66" s="4">
        <f t="shared" si="23"/>
        <v>835760.52599560772</v>
      </c>
      <c r="F66" s="4">
        <f t="shared" si="23"/>
        <v>2714956.2196</v>
      </c>
      <c r="G66" s="4">
        <f t="shared" si="23"/>
        <v>52503.241846604782</v>
      </c>
      <c r="H66" s="4">
        <f t="shared" si="23"/>
        <v>42292.68907</v>
      </c>
      <c r="I66" s="4">
        <f t="shared" si="23"/>
        <v>19392878.600000001</v>
      </c>
      <c r="J66" s="4" t="e">
        <f t="shared" si="23"/>
        <v>#DIV/0!</v>
      </c>
      <c r="K66" s="4" t="e">
        <f t="shared" si="23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97.87751789310947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67.339419703959848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91</v>
      </c>
    </row>
    <row r="75" spans="1:11" x14ac:dyDescent="0.25">
      <c r="A75" t="s">
        <v>92</v>
      </c>
      <c r="B75" s="10"/>
      <c r="C75" s="10"/>
      <c r="D75" s="10"/>
      <c r="E75" s="10"/>
      <c r="F75" s="10"/>
    </row>
    <row r="76" spans="1:11" x14ac:dyDescent="0.25">
      <c r="A76" t="s">
        <v>93</v>
      </c>
    </row>
    <row r="79" spans="1:11" x14ac:dyDescent="0.25">
      <c r="A79" t="s">
        <v>140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141</v>
      </c>
    </row>
  </sheetData>
  <mergeCells count="4">
    <mergeCell ref="A4:A5"/>
    <mergeCell ref="B4:B5"/>
    <mergeCell ref="C4:K4"/>
    <mergeCell ref="A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4"/>
  <sheetViews>
    <sheetView topLeftCell="A4" zoomScale="80" zoomScaleNormal="80" workbookViewId="0">
      <pane ySplit="2" topLeftCell="A6" activePane="bottomLeft" state="frozen"/>
      <selection activeCell="A4" sqref="A4"/>
      <selection pane="bottomLeft" activeCell="C11" sqref="C11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5.42578125" bestFit="1" customWidth="1"/>
    <col min="7" max="8" width="15.28515625" customWidth="1"/>
    <col min="9" max="9" width="17.28515625" customWidth="1"/>
    <col min="10" max="10" width="15" hidden="1" customWidth="1"/>
    <col min="11" max="11" width="16" customWidth="1"/>
  </cols>
  <sheetData>
    <row r="2" spans="1:21" ht="15.75" x14ac:dyDescent="0.25">
      <c r="A2" s="60" t="s">
        <v>108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21" x14ac:dyDescent="0.25">
      <c r="A4" s="56" t="s">
        <v>0</v>
      </c>
      <c r="B4" s="58" t="s">
        <v>1</v>
      </c>
      <c r="C4" s="30"/>
      <c r="D4" s="61" t="s">
        <v>2</v>
      </c>
      <c r="E4" s="61"/>
      <c r="F4" s="61"/>
      <c r="G4" s="61"/>
      <c r="H4" s="61"/>
      <c r="I4" s="61"/>
      <c r="J4" s="61"/>
      <c r="K4" s="30"/>
    </row>
    <row r="5" spans="1:21" ht="105.75" thickBot="1" x14ac:dyDescent="0.3">
      <c r="A5" s="57"/>
      <c r="B5" s="59"/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35" t="s">
        <v>53</v>
      </c>
      <c r="K5" s="27" t="s">
        <v>50</v>
      </c>
      <c r="Q5" s="41"/>
    </row>
    <row r="6" spans="1:21" ht="15.75" thickTop="1" x14ac:dyDescent="0.25">
      <c r="U6" s="41"/>
    </row>
    <row r="7" spans="1:21" x14ac:dyDescent="0.25">
      <c r="A7" s="2" t="s">
        <v>3</v>
      </c>
    </row>
    <row r="9" spans="1:21" x14ac:dyDescent="0.25">
      <c r="A9" t="s">
        <v>4</v>
      </c>
    </row>
    <row r="10" spans="1:21" x14ac:dyDescent="0.25">
      <c r="A10" s="3" t="s">
        <v>67</v>
      </c>
      <c r="B10" s="46">
        <f>C10+D10+E10+F10+G10+H10+I10+K10</f>
        <v>13526</v>
      </c>
      <c r="C10" s="13">
        <v>3011</v>
      </c>
      <c r="D10" s="4">
        <v>2690</v>
      </c>
      <c r="E10" s="13">
        <v>398</v>
      </c>
      <c r="F10" s="4">
        <v>63</v>
      </c>
      <c r="G10" s="4">
        <v>2806</v>
      </c>
      <c r="H10" s="4">
        <v>3100</v>
      </c>
      <c r="I10" s="4">
        <v>0</v>
      </c>
      <c r="J10" s="4"/>
      <c r="K10">
        <v>1458</v>
      </c>
      <c r="L10" s="43"/>
    </row>
    <row r="11" spans="1:21" x14ac:dyDescent="0.25">
      <c r="A11" s="3" t="s">
        <v>109</v>
      </c>
      <c r="B11" s="46">
        <f t="shared" ref="B11:B12" si="0">C11+D11+E11+F11+G11+H11+I11</f>
        <v>18448</v>
      </c>
      <c r="C11" s="13">
        <v>9714</v>
      </c>
      <c r="D11" s="4">
        <v>1718</v>
      </c>
      <c r="E11" s="13">
        <v>451</v>
      </c>
      <c r="F11" s="4">
        <v>63</v>
      </c>
      <c r="G11" s="4">
        <v>3000</v>
      </c>
      <c r="H11" s="13">
        <v>3500</v>
      </c>
      <c r="I11" s="4">
        <v>2</v>
      </c>
      <c r="J11" s="4"/>
      <c r="K11" s="4">
        <v>0</v>
      </c>
      <c r="L11" s="43"/>
    </row>
    <row r="12" spans="1:21" x14ac:dyDescent="0.25">
      <c r="A12" s="3" t="s">
        <v>110</v>
      </c>
      <c r="B12" s="46">
        <f t="shared" si="0"/>
        <v>14564.666666666666</v>
      </c>
      <c r="C12" s="13">
        <v>10251</v>
      </c>
      <c r="D12" s="4">
        <v>2065.6666666666665</v>
      </c>
      <c r="E12" s="13">
        <v>490.66666666666669</v>
      </c>
      <c r="F12" s="4">
        <v>53</v>
      </c>
      <c r="G12" s="4">
        <v>704.33333333333337</v>
      </c>
      <c r="H12" s="4">
        <v>1000</v>
      </c>
      <c r="I12" s="4">
        <v>0</v>
      </c>
      <c r="J12" s="4"/>
      <c r="K12">
        <v>0</v>
      </c>
      <c r="L12" s="43"/>
    </row>
    <row r="13" spans="1:21" s="41" customFormat="1" x14ac:dyDescent="0.25">
      <c r="A13" s="42" t="s">
        <v>86</v>
      </c>
      <c r="B13" s="46">
        <f>C13+D13+E13+F13+G13+H13</f>
        <v>47588</v>
      </c>
      <c r="C13" s="46">
        <v>38856</v>
      </c>
      <c r="D13" s="46">
        <v>1718</v>
      </c>
      <c r="E13" s="46">
        <v>451</v>
      </c>
      <c r="F13" s="46">
        <v>63</v>
      </c>
      <c r="G13" s="46">
        <v>3000</v>
      </c>
      <c r="H13" s="46">
        <v>3500</v>
      </c>
      <c r="I13" s="46">
        <v>5</v>
      </c>
      <c r="J13" s="46"/>
      <c r="K13" s="41">
        <v>0</v>
      </c>
      <c r="L13" s="25"/>
      <c r="Q13" s="43"/>
    </row>
    <row r="14" spans="1:21" x14ac:dyDescent="0.25">
      <c r="L14" s="45"/>
    </row>
    <row r="15" spans="1:21" x14ac:dyDescent="0.25">
      <c r="A15" s="5" t="s">
        <v>5</v>
      </c>
    </row>
    <row r="16" spans="1:21" x14ac:dyDescent="0.25">
      <c r="A16" s="3" t="s">
        <v>67</v>
      </c>
      <c r="B16" s="4">
        <f>SUM(C16:K16)</f>
        <v>4209872575.1800003</v>
      </c>
      <c r="C16" s="4">
        <v>2570451219.0599999</v>
      </c>
      <c r="D16" s="4">
        <v>288533949.25999999</v>
      </c>
      <c r="E16" s="13">
        <v>425404357.16999996</v>
      </c>
      <c r="F16" s="4">
        <v>253749143.75999999</v>
      </c>
      <c r="G16" s="4">
        <v>92126627.280000001</v>
      </c>
      <c r="H16" s="4">
        <v>174646236.23000002</v>
      </c>
      <c r="I16" s="4">
        <v>101226419.51999998</v>
      </c>
      <c r="J16" s="4"/>
      <c r="K16" s="4">
        <v>303734622.89999998</v>
      </c>
    </row>
    <row r="17" spans="1:12" x14ac:dyDescent="0.25">
      <c r="A17" s="3" t="s">
        <v>109</v>
      </c>
      <c r="B17" s="4">
        <f t="shared" ref="B17:B19" si="1">SUM(C17:K17)</f>
        <v>5193352565.0419998</v>
      </c>
      <c r="C17" s="4">
        <v>3469248770.7620001</v>
      </c>
      <c r="D17" s="4">
        <v>146353888</v>
      </c>
      <c r="E17" s="13">
        <v>612220371.67999995</v>
      </c>
      <c r="F17" s="4">
        <v>165258252.59999999</v>
      </c>
      <c r="G17" s="4">
        <v>65404658.719999999</v>
      </c>
      <c r="H17" s="4">
        <v>103984477.28</v>
      </c>
      <c r="I17" s="4">
        <v>630882146</v>
      </c>
      <c r="J17" s="4"/>
      <c r="K17" s="4">
        <v>0</v>
      </c>
    </row>
    <row r="18" spans="1:12" x14ac:dyDescent="0.25">
      <c r="A18" s="3" t="s">
        <v>110</v>
      </c>
      <c r="B18" s="4">
        <f t="shared" si="1"/>
        <v>3884757116.7800002</v>
      </c>
      <c r="C18" s="4">
        <v>2746092832.1399999</v>
      </c>
      <c r="D18" s="4">
        <v>0</v>
      </c>
      <c r="E18" s="13">
        <v>420467092.63999999</v>
      </c>
      <c r="F18" s="4">
        <v>108596386.97999999</v>
      </c>
      <c r="G18" s="4">
        <v>87510565.650000006</v>
      </c>
      <c r="H18" s="4">
        <v>156244435.56999999</v>
      </c>
      <c r="I18" s="4">
        <v>1015880.8</v>
      </c>
      <c r="J18" s="4"/>
      <c r="K18" s="4">
        <v>364829923</v>
      </c>
    </row>
    <row r="19" spans="1:12" x14ac:dyDescent="0.25">
      <c r="A19" s="3" t="s">
        <v>86</v>
      </c>
      <c r="B19" s="4">
        <f t="shared" si="1"/>
        <v>16696424117.891003</v>
      </c>
      <c r="C19" s="4">
        <v>11275058504.981001</v>
      </c>
      <c r="D19" s="6">
        <v>1463538880</v>
      </c>
      <c r="E19" s="13">
        <v>1989716207.96</v>
      </c>
      <c r="F19" s="4">
        <v>537089320.94999993</v>
      </c>
      <c r="G19" s="6">
        <v>196213976.16000003</v>
      </c>
      <c r="H19" s="4">
        <v>311953431.83999997</v>
      </c>
      <c r="I19" s="4">
        <v>922853796</v>
      </c>
      <c r="J19" s="4"/>
      <c r="K19" s="4">
        <v>0</v>
      </c>
    </row>
    <row r="20" spans="1:12" x14ac:dyDescent="0.25">
      <c r="A20" s="3" t="s">
        <v>111</v>
      </c>
      <c r="B20" s="47">
        <f>C20+D20+E20+F20+I20+G20+H20+K20</f>
        <v>3884757116.7800002</v>
      </c>
      <c r="C20" s="52">
        <f>C18</f>
        <v>2746092832.1399999</v>
      </c>
      <c r="D20" s="52">
        <f>D18</f>
        <v>0</v>
      </c>
      <c r="E20" s="52">
        <f t="shared" ref="E20:K20" si="2">E18</f>
        <v>420467092.63999999</v>
      </c>
      <c r="F20" s="52">
        <f t="shared" si="2"/>
        <v>108596386.97999999</v>
      </c>
      <c r="G20" s="52">
        <f t="shared" si="2"/>
        <v>87510565.650000006</v>
      </c>
      <c r="H20" s="52">
        <f t="shared" si="2"/>
        <v>156244435.56999999</v>
      </c>
      <c r="I20" s="52">
        <f t="shared" si="2"/>
        <v>1015880.8</v>
      </c>
      <c r="J20" s="52">
        <f t="shared" si="2"/>
        <v>0</v>
      </c>
      <c r="K20" s="52">
        <f t="shared" si="2"/>
        <v>364829923</v>
      </c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109</v>
      </c>
      <c r="B23" s="13">
        <f>B17</f>
        <v>5193352565.0419998</v>
      </c>
      <c r="C23" s="13"/>
    </row>
    <row r="24" spans="1:12" x14ac:dyDescent="0.25">
      <c r="A24" s="3" t="s">
        <v>110</v>
      </c>
      <c r="B24" s="13">
        <v>4647854079</v>
      </c>
      <c r="C24" s="13"/>
    </row>
    <row r="26" spans="1:12" x14ac:dyDescent="0.25">
      <c r="A26" t="s">
        <v>7</v>
      </c>
    </row>
    <row r="27" spans="1:12" x14ac:dyDescent="0.25">
      <c r="A27" s="3" t="s">
        <v>68</v>
      </c>
      <c r="B27" s="15">
        <v>0.99</v>
      </c>
      <c r="C27" s="15">
        <v>0.99</v>
      </c>
      <c r="D27" s="15">
        <v>0.99</v>
      </c>
      <c r="E27" s="15">
        <v>0.99</v>
      </c>
      <c r="F27" s="15">
        <v>0.99</v>
      </c>
      <c r="G27" s="15">
        <v>0.99</v>
      </c>
      <c r="H27" s="15">
        <v>0.99</v>
      </c>
      <c r="I27" s="15">
        <v>0.99</v>
      </c>
      <c r="J27" s="15">
        <v>0.99</v>
      </c>
      <c r="K27" s="15">
        <v>0.99</v>
      </c>
    </row>
    <row r="28" spans="1:12" x14ac:dyDescent="0.25">
      <c r="A28" s="3" t="s">
        <v>112</v>
      </c>
      <c r="B28" s="15">
        <v>0.99</v>
      </c>
      <c r="C28" s="15">
        <v>0.99</v>
      </c>
      <c r="D28" s="15">
        <v>0.99</v>
      </c>
      <c r="E28" s="15">
        <v>0.99</v>
      </c>
      <c r="F28" s="15">
        <v>0.99</v>
      </c>
      <c r="G28" s="15">
        <v>0.99</v>
      </c>
      <c r="H28" s="15">
        <v>0.99</v>
      </c>
      <c r="I28" s="15">
        <v>0.99</v>
      </c>
      <c r="J28" s="15">
        <v>0.99</v>
      </c>
      <c r="K28" s="15">
        <v>0.99</v>
      </c>
    </row>
    <row r="29" spans="1:12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 x14ac:dyDescent="0.25">
      <c r="A31" s="3" t="s">
        <v>9</v>
      </c>
    </row>
    <row r="32" spans="1:12" x14ac:dyDescent="0.25">
      <c r="A32" s="3" t="s">
        <v>69</v>
      </c>
      <c r="B32" s="22">
        <f>B16/B27</f>
        <v>4252396540.5858588</v>
      </c>
      <c r="C32" s="22">
        <f>C16/C27</f>
        <v>2596415372.787879</v>
      </c>
      <c r="D32" s="22">
        <f t="shared" ref="D32:K32" si="3">D16/D27</f>
        <v>291448433.5959596</v>
      </c>
      <c r="E32" s="22">
        <f>E16/E27</f>
        <v>429701370.87878782</v>
      </c>
      <c r="F32" s="22">
        <f t="shared" si="3"/>
        <v>256312266.42424241</v>
      </c>
      <c r="G32" s="22">
        <f t="shared" si="3"/>
        <v>93057199.272727281</v>
      </c>
      <c r="H32" s="22">
        <f t="shared" si="3"/>
        <v>176410339.62626263</v>
      </c>
      <c r="I32" s="22">
        <f t="shared" si="3"/>
        <v>102248908.60606059</v>
      </c>
      <c r="J32" s="22">
        <f t="shared" si="3"/>
        <v>0</v>
      </c>
      <c r="K32" s="22">
        <f t="shared" si="3"/>
        <v>306802649.39393938</v>
      </c>
    </row>
    <row r="33" spans="1:11" x14ac:dyDescent="0.25">
      <c r="A33" s="3" t="s">
        <v>113</v>
      </c>
      <c r="B33" s="22">
        <f>B18/B28</f>
        <v>3923997087.6565657</v>
      </c>
      <c r="C33" s="22">
        <f>C18/C28</f>
        <v>2773831143.5757575</v>
      </c>
      <c r="D33" s="22">
        <f t="shared" ref="D33:K33" si="4">D18/D28</f>
        <v>0</v>
      </c>
      <c r="E33" s="22">
        <f>E18/E28</f>
        <v>424714234.98989898</v>
      </c>
      <c r="F33" s="22">
        <f t="shared" si="4"/>
        <v>109693320.18181817</v>
      </c>
      <c r="G33" s="22">
        <f t="shared" si="4"/>
        <v>88394510.757575765</v>
      </c>
      <c r="H33" s="22">
        <f t="shared" si="4"/>
        <v>157822662.19191918</v>
      </c>
      <c r="I33" s="22">
        <f t="shared" si="4"/>
        <v>1026142.2222222222</v>
      </c>
      <c r="J33" s="22">
        <f t="shared" si="4"/>
        <v>0</v>
      </c>
      <c r="K33" s="22">
        <f t="shared" si="4"/>
        <v>368515073.73737377</v>
      </c>
    </row>
    <row r="34" spans="1:11" x14ac:dyDescent="0.25">
      <c r="A34" s="3" t="s">
        <v>70</v>
      </c>
      <c r="B34" s="14">
        <f>B32/B10</f>
        <v>314386.8505534422</v>
      </c>
      <c r="C34" s="14">
        <f>C32/C10</f>
        <v>862309.98764127505</v>
      </c>
      <c r="D34" s="14">
        <f>D32/D10</f>
        <v>108345.14260072848</v>
      </c>
      <c r="E34" s="14">
        <f>E32/E10</f>
        <v>1079651.6856250949</v>
      </c>
      <c r="F34" s="14">
        <f>F32/F10</f>
        <v>4068448.6734006731</v>
      </c>
      <c r="G34" s="14">
        <f t="shared" ref="G34:K34" si="5">G32/G10</f>
        <v>33163.649063694684</v>
      </c>
      <c r="H34" s="14">
        <f t="shared" si="5"/>
        <v>56906.561169762143</v>
      </c>
      <c r="I34" s="14" t="e">
        <f t="shared" si="5"/>
        <v>#DIV/0!</v>
      </c>
      <c r="J34" s="14" t="e">
        <f t="shared" si="5"/>
        <v>#DIV/0!</v>
      </c>
      <c r="K34" s="14">
        <f t="shared" si="5"/>
        <v>210427.05719748928</v>
      </c>
    </row>
    <row r="35" spans="1:11" x14ac:dyDescent="0.25">
      <c r="A35" s="3" t="s">
        <v>114</v>
      </c>
      <c r="B35" s="6">
        <f>B33/B12</f>
        <v>269418.9422568247</v>
      </c>
      <c r="C35" s="6">
        <f>C33/C12</f>
        <v>270591.27339535241</v>
      </c>
      <c r="D35" s="6">
        <f t="shared" ref="D35:K35" si="6">D33/D12</f>
        <v>0</v>
      </c>
      <c r="E35" s="6">
        <f>E33/E12</f>
        <v>865586.07674571802</v>
      </c>
      <c r="F35" s="6">
        <f t="shared" si="6"/>
        <v>2069685.2864493995</v>
      </c>
      <c r="G35" s="6">
        <f t="shared" si="6"/>
        <v>125500.96179494902</v>
      </c>
      <c r="H35" s="6">
        <f t="shared" si="6"/>
        <v>157822.66219191917</v>
      </c>
      <c r="I35" s="6" t="e">
        <f t="shared" si="6"/>
        <v>#DIV/0!</v>
      </c>
      <c r="J35" s="6" t="e">
        <f t="shared" si="6"/>
        <v>#DIV/0!</v>
      </c>
      <c r="K35" s="6" t="e">
        <f t="shared" si="6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78.949840994507085</v>
      </c>
      <c r="C44" s="7">
        <f>C12/C11*100</f>
        <v>105.52810376775787</v>
      </c>
      <c r="D44" s="7">
        <f t="shared" ref="D44:K44" si="7">D12/D11*100</f>
        <v>120.23670935195963</v>
      </c>
      <c r="E44" s="7">
        <f t="shared" ref="E44" si="8">E12/E11*100</f>
        <v>108.79526977087951</v>
      </c>
      <c r="F44" s="7">
        <f t="shared" si="7"/>
        <v>84.126984126984127</v>
      </c>
      <c r="G44" s="7">
        <f t="shared" si="7"/>
        <v>23.477777777777778</v>
      </c>
      <c r="H44" s="7">
        <f t="shared" si="7"/>
        <v>28.571428571428569</v>
      </c>
      <c r="I44" s="7">
        <f t="shared" si="7"/>
        <v>0</v>
      </c>
      <c r="J44" s="7" t="e">
        <f t="shared" si="7"/>
        <v>#DIV/0!</v>
      </c>
      <c r="K44" s="7" t="e">
        <f t="shared" si="7"/>
        <v>#DIV/0!</v>
      </c>
    </row>
    <row r="45" spans="1:11" x14ac:dyDescent="0.25">
      <c r="A45" t="s">
        <v>16</v>
      </c>
      <c r="B45" s="7">
        <f>B18/B17*100</f>
        <v>74.802491610707406</v>
      </c>
      <c r="C45" s="7">
        <f>C18/C17*100</f>
        <v>79.15525848948667</v>
      </c>
      <c r="D45" s="7">
        <f t="shared" ref="D45:K45" si="9">D18/D17*100</f>
        <v>0</v>
      </c>
      <c r="E45" s="7">
        <f t="shared" ref="E45" si="10">E18/E17*100</f>
        <v>68.679043052127142</v>
      </c>
      <c r="F45" s="7">
        <f t="shared" si="9"/>
        <v>65.713140052891973</v>
      </c>
      <c r="G45" s="7">
        <f t="shared" si="9"/>
        <v>133.79867330955167</v>
      </c>
      <c r="H45" s="7">
        <f t="shared" si="9"/>
        <v>150.25746116824638</v>
      </c>
      <c r="I45" s="7">
        <f t="shared" si="9"/>
        <v>0.16102544769114452</v>
      </c>
      <c r="J45" s="7" t="e">
        <f t="shared" si="9"/>
        <v>#DIV/0!</v>
      </c>
      <c r="K45" s="7" t="e">
        <f t="shared" si="9"/>
        <v>#DIV/0!</v>
      </c>
    </row>
    <row r="46" spans="1:11" x14ac:dyDescent="0.25">
      <c r="A46" t="s">
        <v>17</v>
      </c>
      <c r="B46" s="7">
        <f>AVERAGE(B44:B45)</f>
        <v>76.876166302607245</v>
      </c>
      <c r="C46" s="7">
        <f>AVERAGE(C44:C45)</f>
        <v>92.34168112862227</v>
      </c>
      <c r="D46" s="7">
        <f t="shared" ref="D46:K46" si="11">AVERAGE(D44:D45)</f>
        <v>60.118354675979816</v>
      </c>
      <c r="E46" s="7">
        <f t="shared" ref="E46" si="12">AVERAGE(E44:E45)</f>
        <v>88.737156411503321</v>
      </c>
      <c r="F46" s="7">
        <f t="shared" si="11"/>
        <v>74.920062089938057</v>
      </c>
      <c r="G46" s="7">
        <f t="shared" si="11"/>
        <v>78.638225543664731</v>
      </c>
      <c r="H46" s="7">
        <f t="shared" si="11"/>
        <v>89.414444869837467</v>
      </c>
      <c r="I46" s="7">
        <f t="shared" si="11"/>
        <v>8.0512723845572259E-2</v>
      </c>
      <c r="J46" s="7" t="e">
        <f t="shared" si="11"/>
        <v>#DIV/0!</v>
      </c>
      <c r="K46" s="7" t="e">
        <f t="shared" si="11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3">
        <f>B12/B13*100</f>
        <v>30.605754952228853</v>
      </c>
      <c r="C49" s="33">
        <f t="shared" ref="C49:K49" si="13">C12/C13*100</f>
        <v>26.382025941939467</v>
      </c>
      <c r="D49" s="33">
        <f t="shared" si="13"/>
        <v>120.23670935195963</v>
      </c>
      <c r="E49" s="33">
        <f t="shared" si="13"/>
        <v>108.79526977087951</v>
      </c>
      <c r="F49" s="33">
        <f t="shared" si="13"/>
        <v>84.126984126984127</v>
      </c>
      <c r="G49" s="33">
        <f t="shared" si="13"/>
        <v>23.477777777777778</v>
      </c>
      <c r="H49" s="33">
        <f t="shared" si="13"/>
        <v>28.571428571428569</v>
      </c>
      <c r="I49" s="33">
        <f t="shared" si="13"/>
        <v>0</v>
      </c>
      <c r="J49" s="33" t="e">
        <f t="shared" si="13"/>
        <v>#DIV/0!</v>
      </c>
      <c r="K49" s="33" t="e">
        <f t="shared" si="13"/>
        <v>#DIV/0!</v>
      </c>
      <c r="L49" s="24"/>
    </row>
    <row r="50" spans="1:12" x14ac:dyDescent="0.25">
      <c r="A50" t="s">
        <v>20</v>
      </c>
      <c r="B50" s="7">
        <f>B18/B19*100</f>
        <v>23.267000702367763</v>
      </c>
      <c r="C50" s="7">
        <f>C18/C19*100</f>
        <v>24.355464150601559</v>
      </c>
      <c r="D50" s="7">
        <f t="shared" ref="D50:K50" si="14">D18/D19*100</f>
        <v>0</v>
      </c>
      <c r="E50" s="7">
        <f>E18/E19*100</f>
        <v>21.132013246808352</v>
      </c>
      <c r="F50" s="7">
        <f t="shared" si="14"/>
        <v>20.219427708582145</v>
      </c>
      <c r="G50" s="7">
        <f t="shared" si="14"/>
        <v>44.599557769850556</v>
      </c>
      <c r="H50" s="7">
        <f t="shared" si="14"/>
        <v>50.085820389415467</v>
      </c>
      <c r="I50" s="7">
        <f t="shared" si="14"/>
        <v>0.11008036206853292</v>
      </c>
      <c r="J50" s="7" t="e">
        <f t="shared" si="14"/>
        <v>#DIV/0!</v>
      </c>
      <c r="K50" s="7" t="e">
        <f t="shared" si="14"/>
        <v>#DIV/0!</v>
      </c>
    </row>
    <row r="51" spans="1:12" x14ac:dyDescent="0.25">
      <c r="A51" t="s">
        <v>21</v>
      </c>
      <c r="B51" s="7">
        <f>(B49+B50)/2</f>
        <v>26.936377827298308</v>
      </c>
      <c r="C51" s="7">
        <f>(C49+C50)/2</f>
        <v>25.368745046270512</v>
      </c>
      <c r="D51" s="7">
        <f t="shared" ref="D51:K51" si="15">(D49+D50)/2</f>
        <v>60.118354675979816</v>
      </c>
      <c r="E51" s="7">
        <f>(E49+E50)/2</f>
        <v>64.963641508843935</v>
      </c>
      <c r="F51" s="7">
        <f t="shared" si="15"/>
        <v>52.173205917783136</v>
      </c>
      <c r="G51" s="7">
        <f t="shared" si="15"/>
        <v>34.038667773814169</v>
      </c>
      <c r="H51" s="7">
        <f t="shared" si="15"/>
        <v>39.328624480422022</v>
      </c>
      <c r="I51" s="7">
        <f t="shared" si="15"/>
        <v>5.5040181034266458E-2</v>
      </c>
      <c r="J51" s="7" t="e">
        <f t="shared" si="15"/>
        <v>#DIV/0!</v>
      </c>
      <c r="K51" s="7" t="e">
        <f t="shared" si="15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6">B20/B18*100</f>
        <v>100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7.6790379023115918</v>
      </c>
      <c r="C57" s="7">
        <f>((C12/C10)-1)*100</f>
        <v>240.45167718365991</v>
      </c>
      <c r="D57" s="7">
        <f>((D12/D10)-1)*100</f>
        <v>-23.209417596034697</v>
      </c>
      <c r="E57" s="7">
        <f>((E12/E10)-1)*100</f>
        <v>23.283082077051944</v>
      </c>
      <c r="F57" s="7">
        <f>((F12/F10)-1)*100</f>
        <v>-15.873015873015872</v>
      </c>
      <c r="G57" s="7">
        <f t="shared" ref="G57:K57" si="17">((G12/G10)-1)*100</f>
        <v>-74.899025896887622</v>
      </c>
      <c r="H57" s="7">
        <f t="shared" si="17"/>
        <v>-67.741935483870975</v>
      </c>
      <c r="I57" s="7" t="e">
        <f t="shared" si="17"/>
        <v>#DIV/0!</v>
      </c>
      <c r="J57" s="7" t="e">
        <f t="shared" si="17"/>
        <v>#DIV/0!</v>
      </c>
      <c r="K57" s="7">
        <f t="shared" si="17"/>
        <v>-100</v>
      </c>
    </row>
    <row r="58" spans="1:12" x14ac:dyDescent="0.25">
      <c r="A58" t="s">
        <v>25</v>
      </c>
      <c r="B58" s="7">
        <f>((B33/B32)-1)*100</f>
        <v>-7.7226911882504972</v>
      </c>
      <c r="C58" s="7">
        <f>((C33/C32)-1)*100</f>
        <v>6.8331043117103363</v>
      </c>
      <c r="D58" s="7">
        <f t="shared" ref="D58:K58" si="18">((D33/D32)-1)*100</f>
        <v>-100</v>
      </c>
      <c r="E58" s="7">
        <f t="shared" si="18"/>
        <v>-1.1606050682802294</v>
      </c>
      <c r="F58" s="7">
        <f t="shared" si="18"/>
        <v>-57.203249882603657</v>
      </c>
      <c r="G58" s="7">
        <f t="shared" si="18"/>
        <v>-5.0105618389463258</v>
      </c>
      <c r="H58" s="7">
        <f t="shared" si="18"/>
        <v>-10.536614505545838</v>
      </c>
      <c r="I58" s="7">
        <f t="shared" si="18"/>
        <v>-98.996427212562537</v>
      </c>
      <c r="J58" s="7" t="e">
        <f t="shared" si="18"/>
        <v>#DIV/0!</v>
      </c>
      <c r="K58" s="7">
        <f t="shared" si="18"/>
        <v>20.114697335678699</v>
      </c>
      <c r="L58" s="24"/>
    </row>
    <row r="59" spans="1:12" x14ac:dyDescent="0.25">
      <c r="A59" t="s">
        <v>26</v>
      </c>
      <c r="B59" s="7">
        <f t="shared" ref="B59:K59" si="19">((B35/B34)-1)*100</f>
        <v>-14.303368037644271</v>
      </c>
      <c r="C59" s="7">
        <f t="shared" si="19"/>
        <v>-68.620185632371488</v>
      </c>
      <c r="D59" s="7">
        <f t="shared" si="19"/>
        <v>-100</v>
      </c>
      <c r="E59" s="7">
        <f t="shared" si="19"/>
        <v>-19.827284274134904</v>
      </c>
      <c r="F59" s="7">
        <f t="shared" si="19"/>
        <v>-49.128391369887368</v>
      </c>
      <c r="G59" s="7">
        <f t="shared" si="19"/>
        <v>278.42929031696627</v>
      </c>
      <c r="H59" s="7">
        <f t="shared" si="19"/>
        <v>177.33649503280787</v>
      </c>
      <c r="I59" s="7" t="e">
        <f t="shared" si="19"/>
        <v>#DIV/0!</v>
      </c>
      <c r="J59" s="7" t="e">
        <f t="shared" si="19"/>
        <v>#DIV/0!</v>
      </c>
      <c r="K59" s="7" t="e">
        <f t="shared" si="19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28</v>
      </c>
      <c r="B62" s="4">
        <f>B17/(B11*3)</f>
        <v>93837.680056410813</v>
      </c>
      <c r="C62" s="4">
        <f>C17/(C11*3)</f>
        <v>119046.35134040217</v>
      </c>
      <c r="D62" s="4">
        <f t="shared" ref="D62:K63" si="20">D17/(D11*3)</f>
        <v>28396.175397749321</v>
      </c>
      <c r="E62" s="4">
        <f t="shared" si="20"/>
        <v>452491.03597930522</v>
      </c>
      <c r="F62" s="4">
        <f t="shared" si="20"/>
        <v>874382.2888888889</v>
      </c>
      <c r="G62" s="4">
        <f t="shared" si="20"/>
        <v>7267.184302222222</v>
      </c>
      <c r="H62" s="4">
        <f t="shared" si="20"/>
        <v>9903.2835504761897</v>
      </c>
      <c r="I62" s="4">
        <f t="shared" si="20"/>
        <v>105147024.33333333</v>
      </c>
      <c r="J62" s="4" t="e">
        <f t="shared" si="20"/>
        <v>#DIV/0!</v>
      </c>
      <c r="K62" s="4" t="e">
        <f t="shared" si="20"/>
        <v>#DIV/0!</v>
      </c>
    </row>
    <row r="63" spans="1:12" x14ac:dyDescent="0.25">
      <c r="A63" t="s">
        <v>29</v>
      </c>
      <c r="B63" s="4">
        <f>B18/(B12*3)</f>
        <v>88908.250944752144</v>
      </c>
      <c r="C63" s="4">
        <f>C18/(C12*3)</f>
        <v>89295.120220466299</v>
      </c>
      <c r="D63" s="4">
        <f t="shared" si="20"/>
        <v>0</v>
      </c>
      <c r="E63" s="4">
        <f t="shared" si="20"/>
        <v>285643.40532608697</v>
      </c>
      <c r="F63" s="4">
        <f t="shared" si="20"/>
        <v>682996.14452830178</v>
      </c>
      <c r="G63" s="4">
        <f t="shared" si="20"/>
        <v>41415.317392333178</v>
      </c>
      <c r="H63" s="4">
        <f t="shared" si="20"/>
        <v>52081.478523333331</v>
      </c>
      <c r="I63" s="4" t="e">
        <f t="shared" si="20"/>
        <v>#DIV/0!</v>
      </c>
      <c r="J63" s="4" t="e">
        <f t="shared" si="20"/>
        <v>#DIV/0!</v>
      </c>
      <c r="K63" s="4" t="e">
        <f t="shared" si="20"/>
        <v>#DIV/0!</v>
      </c>
    </row>
    <row r="64" spans="1:12" x14ac:dyDescent="0.25">
      <c r="A64" t="s">
        <v>30</v>
      </c>
      <c r="B64" s="4">
        <f>(B63/B62)*B46</f>
        <v>72.837750050873666</v>
      </c>
      <c r="C64" s="4">
        <f t="shared" ref="C64:K64" si="21">(C63/C62)*C46</f>
        <v>69.264294326523071</v>
      </c>
      <c r="D64" s="4">
        <f t="shared" si="21"/>
        <v>0</v>
      </c>
      <c r="E64" s="4">
        <f t="shared" si="21"/>
        <v>56.016984914359007</v>
      </c>
      <c r="F64" s="4">
        <f t="shared" si="21"/>
        <v>58.521443315454732</v>
      </c>
      <c r="G64" s="4">
        <f t="shared" si="21"/>
        <v>448.15528747012189</v>
      </c>
      <c r="H64" s="4">
        <f t="shared" si="21"/>
        <v>470.23156172684696</v>
      </c>
      <c r="I64" s="4" t="e">
        <f t="shared" si="21"/>
        <v>#DIV/0!</v>
      </c>
      <c r="J64" s="4" t="e">
        <f t="shared" si="21"/>
        <v>#DIV/0!</v>
      </c>
      <c r="K64" s="4" t="e">
        <f t="shared" si="21"/>
        <v>#DIV/0!</v>
      </c>
    </row>
    <row r="65" spans="1:11" x14ac:dyDescent="0.25">
      <c r="A65" t="s">
        <v>39</v>
      </c>
      <c r="B65" s="4">
        <f>B17/B11</f>
        <v>281513.04016923241</v>
      </c>
      <c r="C65" s="4">
        <f>C17/C11</f>
        <v>357139.05402120651</v>
      </c>
      <c r="D65" s="4">
        <f t="shared" ref="D65:K66" si="22">D17/D11</f>
        <v>85188.526193247963</v>
      </c>
      <c r="E65" s="4">
        <f t="shared" si="22"/>
        <v>1357473.1079379157</v>
      </c>
      <c r="F65" s="4">
        <f t="shared" si="22"/>
        <v>2623146.8666666667</v>
      </c>
      <c r="G65" s="4">
        <f t="shared" si="22"/>
        <v>21801.552906666668</v>
      </c>
      <c r="H65" s="4">
        <f t="shared" si="22"/>
        <v>29709.850651428573</v>
      </c>
      <c r="I65" s="4">
        <f t="shared" si="22"/>
        <v>315441073</v>
      </c>
      <c r="J65" s="4" t="e">
        <f t="shared" si="22"/>
        <v>#DIV/0!</v>
      </c>
      <c r="K65" s="4" t="e">
        <f t="shared" si="22"/>
        <v>#DIV/0!</v>
      </c>
    </row>
    <row r="66" spans="1:11" x14ac:dyDescent="0.25">
      <c r="A66" t="s">
        <v>40</v>
      </c>
      <c r="B66" s="4">
        <f>B18/B12</f>
        <v>266724.75283425645</v>
      </c>
      <c r="C66" s="4">
        <f>C18/C12</f>
        <v>267885.36066139885</v>
      </c>
      <c r="D66" s="4">
        <f t="shared" si="22"/>
        <v>0</v>
      </c>
      <c r="E66" s="4">
        <f t="shared" si="22"/>
        <v>856930.21597826085</v>
      </c>
      <c r="F66" s="4">
        <f t="shared" si="22"/>
        <v>2048988.4335849055</v>
      </c>
      <c r="G66" s="4">
        <f t="shared" si="22"/>
        <v>124245.95217699953</v>
      </c>
      <c r="H66" s="4">
        <f t="shared" si="22"/>
        <v>156244.43557</v>
      </c>
      <c r="I66" s="4" t="e">
        <f t="shared" si="22"/>
        <v>#DIV/0!</v>
      </c>
      <c r="J66" s="4" t="e">
        <f t="shared" si="22"/>
        <v>#DIV/0!</v>
      </c>
      <c r="K66" s="4" t="e">
        <f t="shared" si="22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89.496216957925938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83.58173580216652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91</v>
      </c>
    </row>
    <row r="75" spans="1:11" x14ac:dyDescent="0.25">
      <c r="A75" t="s">
        <v>92</v>
      </c>
      <c r="B75" s="10"/>
      <c r="C75" s="10"/>
      <c r="D75" s="10"/>
      <c r="E75" s="10"/>
      <c r="F75" s="10"/>
    </row>
    <row r="76" spans="1:11" x14ac:dyDescent="0.25">
      <c r="A76" t="s">
        <v>93</v>
      </c>
    </row>
    <row r="79" spans="1:11" x14ac:dyDescent="0.25">
      <c r="A79" t="s">
        <v>142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58</v>
      </c>
    </row>
  </sheetData>
  <mergeCells count="4">
    <mergeCell ref="A4:A5"/>
    <mergeCell ref="B4:B5"/>
    <mergeCell ref="D4:J4"/>
    <mergeCell ref="A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90" zoomScaleNormal="90" workbookViewId="0">
      <selection activeCell="E7" sqref="E7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6.85546875" bestFit="1" customWidth="1"/>
    <col min="7" max="8" width="15.28515625" customWidth="1"/>
    <col min="9" max="9" width="13.5703125" customWidth="1"/>
    <col min="10" max="10" width="14.42578125" hidden="1" customWidth="1"/>
    <col min="11" max="11" width="17.42578125" customWidth="1"/>
  </cols>
  <sheetData>
    <row r="2" spans="1:17" ht="15.75" x14ac:dyDescent="0.25">
      <c r="A2" s="60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17" x14ac:dyDescent="0.25">
      <c r="A4" s="56" t="s">
        <v>0</v>
      </c>
      <c r="B4" s="62" t="s">
        <v>1</v>
      </c>
      <c r="C4" s="31"/>
      <c r="D4" s="61" t="s">
        <v>2</v>
      </c>
      <c r="E4" s="61"/>
      <c r="F4" s="61"/>
      <c r="G4" s="61"/>
      <c r="H4" s="29"/>
      <c r="I4" s="28"/>
      <c r="J4" s="28"/>
      <c r="K4" s="31"/>
    </row>
    <row r="5" spans="1:17" ht="105.75" thickBot="1" x14ac:dyDescent="0.3">
      <c r="A5" s="57"/>
      <c r="B5" s="63"/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35" t="s">
        <v>53</v>
      </c>
      <c r="K5" s="27" t="s">
        <v>50</v>
      </c>
      <c r="Q5" s="41"/>
    </row>
    <row r="6" spans="1:17" ht="15.75" thickTop="1" x14ac:dyDescent="0.25"/>
    <row r="7" spans="1:17" x14ac:dyDescent="0.25">
      <c r="A7" s="2" t="s">
        <v>3</v>
      </c>
    </row>
    <row r="9" spans="1:17" x14ac:dyDescent="0.25">
      <c r="A9" t="s">
        <v>4</v>
      </c>
      <c r="L9" s="38"/>
    </row>
    <row r="10" spans="1:17" x14ac:dyDescent="0.25">
      <c r="A10" s="3" t="s">
        <v>71</v>
      </c>
      <c r="B10" s="46">
        <f>C10+D10+E10+F10+G10+H10+I10</f>
        <v>5646.333333333333</v>
      </c>
      <c r="C10" s="46">
        <f>(+'I Trimestre'!C10+'II trimestre'!C10)/2</f>
        <v>3011</v>
      </c>
      <c r="D10" s="13">
        <f>(+'I Trimestre'!D10+'II trimestre'!D10)/2</f>
        <v>2267.833333333333</v>
      </c>
      <c r="E10" s="13">
        <f>(+'I Trimestre'!E10+'II trimestre'!E10)/2</f>
        <v>367.5</v>
      </c>
      <c r="F10" s="13">
        <f>(+'I Trimestre'!F10+'II trimestre'!F10)/2</f>
        <v>0</v>
      </c>
      <c r="G10" s="13">
        <f>(+'I Trimestre'!G10+'II trimestre'!G10)/2</f>
        <v>0</v>
      </c>
      <c r="H10" s="13">
        <f>(+'I Trimestre'!H10+'II trimestre'!H10)/2</f>
        <v>0</v>
      </c>
      <c r="I10" s="13">
        <f>(+'I Trimestre'!I10+'II trimestre'!I10)/2</f>
        <v>0</v>
      </c>
      <c r="J10" s="13">
        <f>(+'I Trimestre'!J10+'II trimestre'!J10)/2</f>
        <v>0</v>
      </c>
      <c r="L10" s="24"/>
    </row>
    <row r="11" spans="1:17" x14ac:dyDescent="0.25">
      <c r="A11" s="3" t="s">
        <v>116</v>
      </c>
      <c r="B11" s="46">
        <f t="shared" ref="B11:B13" si="0">C11+D11+E11+F11+G11+H11+I11</f>
        <v>24911</v>
      </c>
      <c r="C11" s="46">
        <f>(+'I Trimestre'!C11+'II trimestre'!C11)</f>
        <v>19428</v>
      </c>
      <c r="D11" s="13">
        <f>(+'I Trimestre'!D11+'II trimestre'!D11)/2</f>
        <v>1718</v>
      </c>
      <c r="E11" s="13">
        <f>(+'I Trimestre'!E11+'II trimestre'!E11)/2</f>
        <v>451</v>
      </c>
      <c r="F11" s="13">
        <f>(+'I Trimestre'!F11+'II trimestre'!F11)/2</f>
        <v>63</v>
      </c>
      <c r="G11" s="13">
        <f>(+'I Trimestre'!G11+'II trimestre'!G11)/2</f>
        <v>1500</v>
      </c>
      <c r="H11" s="13">
        <f>(+'I Trimestre'!H11+'II trimestre'!H11)/2</f>
        <v>1750</v>
      </c>
      <c r="I11" s="13">
        <f>(+'I Trimestre'!I11+'II trimestre'!I11)/2</f>
        <v>1</v>
      </c>
      <c r="J11" s="13">
        <f>(+'I Trimestre'!J11+'II trimestre'!J11)/2</f>
        <v>0</v>
      </c>
      <c r="L11" s="24"/>
    </row>
    <row r="12" spans="1:17" x14ac:dyDescent="0.25">
      <c r="A12" s="3" t="s">
        <v>117</v>
      </c>
      <c r="B12" s="46">
        <f t="shared" si="0"/>
        <v>20024.666666666668</v>
      </c>
      <c r="C12" s="46">
        <f>(+'I Trimestre'!C12+'II trimestre'!C12)</f>
        <v>17088</v>
      </c>
      <c r="D12" s="13">
        <f>(+'I Trimestre'!D12+'II trimestre'!D12)/2</f>
        <v>2162.666666666667</v>
      </c>
      <c r="E12" s="13">
        <f>(+'I Trimestre'!E12+'II trimestre'!E12)/2</f>
        <v>471.16666666666669</v>
      </c>
      <c r="F12" s="13">
        <f>(+'I Trimestre'!F12+'II trimestre'!F12)/2</f>
        <v>60</v>
      </c>
      <c r="G12" s="13">
        <f>(+'I Trimestre'!G12+'II trimestre'!G12)/2</f>
        <v>159</v>
      </c>
      <c r="H12" s="13">
        <f>(+'I Trimestre'!H12+'II trimestre'!H12)/2</f>
        <v>83.333333333333329</v>
      </c>
      <c r="I12" s="13">
        <f>(+'I Trimestre'!I12+'II trimestre'!I12)/2</f>
        <v>0.5</v>
      </c>
      <c r="J12" s="13">
        <f>(+'I Trimestre'!J12+'II trimestre'!J12)/2</f>
        <v>0</v>
      </c>
      <c r="L12" s="24"/>
    </row>
    <row r="13" spans="1:17" s="41" customFormat="1" x14ac:dyDescent="0.25">
      <c r="A13" s="42" t="s">
        <v>86</v>
      </c>
      <c r="B13" s="46">
        <f t="shared" si="0"/>
        <v>47593</v>
      </c>
      <c r="C13" s="46">
        <f>(+'I Trimestre'!C13+'II trimestre'!C13)/2</f>
        <v>38856</v>
      </c>
      <c r="D13" s="13">
        <f>+'II trimestre'!D13</f>
        <v>1718</v>
      </c>
      <c r="E13" s="13">
        <f>+'II trimestre'!E13</f>
        <v>451</v>
      </c>
      <c r="F13" s="13">
        <f>+'II trimestre'!F13</f>
        <v>63</v>
      </c>
      <c r="G13" s="13">
        <f>+'II trimestre'!G13</f>
        <v>3000</v>
      </c>
      <c r="H13" s="13">
        <f>+'II trimestre'!H13</f>
        <v>3500</v>
      </c>
      <c r="I13" s="13">
        <f>+'II trimestre'!I13</f>
        <v>5</v>
      </c>
      <c r="J13" s="13">
        <f>+'II trimestre'!J13</f>
        <v>0</v>
      </c>
      <c r="L13" s="25"/>
    </row>
    <row r="14" spans="1:17" x14ac:dyDescent="0.25">
      <c r="L14" s="39"/>
    </row>
    <row r="15" spans="1:17" x14ac:dyDescent="0.25">
      <c r="A15" s="5" t="s">
        <v>5</v>
      </c>
    </row>
    <row r="16" spans="1:17" x14ac:dyDescent="0.25">
      <c r="A16" s="3" t="s">
        <v>71</v>
      </c>
      <c r="B16" s="4">
        <f>SUM(C16:K16)</f>
        <v>6726408809.54</v>
      </c>
      <c r="C16" s="13">
        <f>+'I Trimestre'!C16+'II trimestre'!C16</f>
        <v>4904254372.4700003</v>
      </c>
      <c r="D16" s="13">
        <f>+'I Trimestre'!D16+'II trimestre'!D16</f>
        <v>672876117</v>
      </c>
      <c r="E16" s="13">
        <f>+'I Trimestre'!E16+'II trimestre'!E16</f>
        <v>904830483.87</v>
      </c>
      <c r="F16" s="13">
        <f>+'I Trimestre'!F16+'II trimestre'!F16</f>
        <v>0</v>
      </c>
      <c r="G16" s="13">
        <f>+'I Trimestre'!G16+'II trimestre'!G16</f>
        <v>5937250.2000000002</v>
      </c>
      <c r="H16" s="13">
        <f>+'I Trimestre'!H16+'II trimestre'!H16</f>
        <v>18033520</v>
      </c>
      <c r="I16" s="13">
        <f>+'I Trimestre'!I16+'II trimestre'!I16</f>
        <v>220477066</v>
      </c>
      <c r="J16" s="13">
        <f>+'I Trimestre'!J16+'II trimestre'!J16</f>
        <v>0</v>
      </c>
      <c r="K16" s="13">
        <f>+'I Trimestre'!K16+'II trimestre'!K16</f>
        <v>0</v>
      </c>
    </row>
    <row r="17" spans="1:13" x14ac:dyDescent="0.25">
      <c r="A17" s="3" t="s">
        <v>116</v>
      </c>
      <c r="B17" s="4">
        <f t="shared" ref="B17:B19" si="1">SUM(C17:K17)</f>
        <v>7498648462.566</v>
      </c>
      <c r="C17" s="13">
        <f>+'I Trimestre'!C17+'II trimestre'!C17</f>
        <v>5203873156.1459999</v>
      </c>
      <c r="D17" s="13">
        <f>+'I Trimestre'!D17+'II trimestre'!D17</f>
        <v>878123328</v>
      </c>
      <c r="E17" s="13">
        <f>+'I Trimestre'!E17+'II trimestre'!E17</f>
        <v>918330557.51999998</v>
      </c>
      <c r="F17" s="13">
        <f>+'I Trimestre'!F17+'II trimestre'!F17</f>
        <v>247887378.89999998</v>
      </c>
      <c r="G17" s="13">
        <f>+'I Trimestre'!G17+'II trimestre'!G17</f>
        <v>32702329.359999999</v>
      </c>
      <c r="H17" s="13">
        <f>+'I Trimestre'!H17+'II trimestre'!H17</f>
        <v>51992238.640000001</v>
      </c>
      <c r="I17" s="13">
        <f>+'I Trimestre'!I17+'II trimestre'!I17</f>
        <v>165739474</v>
      </c>
      <c r="J17" s="13">
        <f>+'I Trimestre'!J17+'II trimestre'!J17</f>
        <v>0</v>
      </c>
      <c r="K17" s="13">
        <f>+'I Trimestre'!K17+'II trimestre'!K17</f>
        <v>0</v>
      </c>
    </row>
    <row r="18" spans="1:13" x14ac:dyDescent="0.25">
      <c r="A18" s="3" t="s">
        <v>117</v>
      </c>
      <c r="B18" s="4">
        <f t="shared" si="1"/>
        <v>7529073898.1600008</v>
      </c>
      <c r="C18" s="13">
        <f>+'I Trimestre'!C18+'II trimestre'!C18</f>
        <v>4796241046.5200005</v>
      </c>
      <c r="D18" s="13">
        <f>+'I Trimestre'!D18+'II trimestre'!D18</f>
        <v>1462869316</v>
      </c>
      <c r="E18" s="13">
        <f>+'I Trimestre'!E18+'II trimestre'!E18</f>
        <v>919220996.88999999</v>
      </c>
      <c r="F18" s="13">
        <f>+'I Trimestre'!F18+'II trimestre'!F18</f>
        <v>292722756</v>
      </c>
      <c r="G18" s="13">
        <f>+'I Trimestre'!G18+'II trimestre'!G18</f>
        <v>8894497.8000000007</v>
      </c>
      <c r="H18" s="13">
        <f>+'I Trimestre'!H18+'II trimestre'!H18</f>
        <v>8130032.1500000004</v>
      </c>
      <c r="I18" s="13">
        <f>+'I Trimestre'!I18+'II trimestre'!I18</f>
        <v>40995252.799999997</v>
      </c>
      <c r="J18" s="13">
        <f>+'I Trimestre'!J18+'II trimestre'!J18</f>
        <v>0</v>
      </c>
      <c r="K18" s="13">
        <f>+'I Trimestre'!K18+'II trimestre'!K18</f>
        <v>0</v>
      </c>
    </row>
    <row r="19" spans="1:13" x14ac:dyDescent="0.25">
      <c r="A19" s="3" t="s">
        <v>86</v>
      </c>
      <c r="B19" s="4">
        <f t="shared" si="1"/>
        <v>16696424117.891003</v>
      </c>
      <c r="C19" s="13">
        <f>+'II trimestre'!C19</f>
        <v>11275058504.981001</v>
      </c>
      <c r="D19" s="13">
        <f>+'II trimestre'!D19</f>
        <v>1463538880</v>
      </c>
      <c r="E19" s="13">
        <f>+'II trimestre'!E19</f>
        <v>1989716207.96</v>
      </c>
      <c r="F19" s="13">
        <f>+'II trimestre'!F19</f>
        <v>537089320.94999993</v>
      </c>
      <c r="G19" s="13">
        <f>+'II trimestre'!G19</f>
        <v>196213976.16000003</v>
      </c>
      <c r="H19" s="13">
        <f>+'II trimestre'!H19</f>
        <v>311953431.83999997</v>
      </c>
      <c r="I19" s="13">
        <f>+'II trimestre'!I19</f>
        <v>922853796</v>
      </c>
      <c r="J19" s="13">
        <f>+'II trimestre'!J19</f>
        <v>0</v>
      </c>
      <c r="K19" s="13">
        <f>+'II trimestre'!K19</f>
        <v>0</v>
      </c>
      <c r="L19" s="24"/>
    </row>
    <row r="20" spans="1:13" x14ac:dyDescent="0.25">
      <c r="A20" s="3" t="s">
        <v>118</v>
      </c>
      <c r="B20" s="47">
        <f>C20+D20+E20+F20+I20+G20+H20</f>
        <v>7529073898.1600008</v>
      </c>
      <c r="C20" s="46">
        <f>+'I Trimestre'!C20+'II trimestre'!C20</f>
        <v>4796241046.5200005</v>
      </c>
      <c r="D20" s="46">
        <f t="shared" ref="D20:J20" si="2">D18</f>
        <v>1462869316</v>
      </c>
      <c r="E20" s="46">
        <f t="shared" si="2"/>
        <v>919220996.88999999</v>
      </c>
      <c r="F20" s="46">
        <f t="shared" si="2"/>
        <v>292722756</v>
      </c>
      <c r="G20" s="46">
        <f t="shared" si="2"/>
        <v>8894497.8000000007</v>
      </c>
      <c r="H20" s="46">
        <f t="shared" si="2"/>
        <v>8130032.1500000004</v>
      </c>
      <c r="I20" s="46">
        <f t="shared" si="2"/>
        <v>40995252.799999997</v>
      </c>
      <c r="J20" s="46">
        <f t="shared" si="2"/>
        <v>0</v>
      </c>
      <c r="K20" s="24"/>
      <c r="L20" s="24"/>
    </row>
    <row r="21" spans="1:13" x14ac:dyDescent="0.25">
      <c r="B21" s="4"/>
      <c r="C21" s="4"/>
      <c r="D21" s="4"/>
      <c r="E21" s="4"/>
      <c r="F21" s="4"/>
      <c r="G21" s="4"/>
      <c r="H21" s="4"/>
    </row>
    <row r="22" spans="1:13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3" x14ac:dyDescent="0.25">
      <c r="A23" s="3" t="s">
        <v>116</v>
      </c>
      <c r="B23" s="13">
        <f>'I Trimestre'!B23+'II trimestre'!B23</f>
        <v>7498648462.566</v>
      </c>
      <c r="C23" s="13"/>
    </row>
    <row r="24" spans="1:13" x14ac:dyDescent="0.25">
      <c r="A24" s="3" t="s">
        <v>117</v>
      </c>
      <c r="B24" s="13">
        <f>'I Trimestre'!B24+'II trimestre'!B24</f>
        <v>7278521946.5100002</v>
      </c>
      <c r="C24" s="13"/>
    </row>
    <row r="26" spans="1:13" x14ac:dyDescent="0.25">
      <c r="A26" t="s">
        <v>7</v>
      </c>
    </row>
    <row r="27" spans="1:13" x14ac:dyDescent="0.25">
      <c r="A27" s="3" t="s">
        <v>72</v>
      </c>
      <c r="B27" s="16">
        <v>1</v>
      </c>
      <c r="C27" s="16">
        <v>1</v>
      </c>
      <c r="D27" s="16">
        <v>1</v>
      </c>
      <c r="E27" s="16">
        <v>1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</row>
    <row r="28" spans="1:13" x14ac:dyDescent="0.25">
      <c r="A28" s="3" t="s">
        <v>119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  <c r="I28" s="11">
        <v>0.99</v>
      </c>
      <c r="J28" s="11">
        <v>0.99</v>
      </c>
      <c r="K28" s="11">
        <v>0.99</v>
      </c>
    </row>
    <row r="29" spans="1:13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  <c r="L29" s="19"/>
      <c r="M29" s="19"/>
    </row>
    <row r="31" spans="1:13" x14ac:dyDescent="0.25">
      <c r="A31" s="3" t="s">
        <v>9</v>
      </c>
    </row>
    <row r="32" spans="1:13" x14ac:dyDescent="0.25">
      <c r="A32" s="3" t="s">
        <v>73</v>
      </c>
      <c r="B32" s="22">
        <f>B16/B27</f>
        <v>6726408809.54</v>
      </c>
      <c r="C32" s="22">
        <f>C16/C27</f>
        <v>4904254372.4700003</v>
      </c>
      <c r="D32" s="22">
        <f t="shared" ref="D32:F32" si="3">D16/D27</f>
        <v>672876117</v>
      </c>
      <c r="E32" s="22">
        <f>E16/E27</f>
        <v>904830483.87</v>
      </c>
      <c r="F32" s="22">
        <f t="shared" si="3"/>
        <v>0</v>
      </c>
      <c r="G32" s="22">
        <f>G16/G27</f>
        <v>5937250.2000000002</v>
      </c>
      <c r="H32" s="22">
        <f t="shared" ref="H32:K32" si="4">H16/H27</f>
        <v>18033520</v>
      </c>
      <c r="I32" s="22">
        <f t="shared" si="4"/>
        <v>220477066</v>
      </c>
      <c r="J32" s="22">
        <f t="shared" si="4"/>
        <v>0</v>
      </c>
      <c r="K32" s="22">
        <f t="shared" si="4"/>
        <v>0</v>
      </c>
    </row>
    <row r="33" spans="1:11" x14ac:dyDescent="0.25">
      <c r="A33" s="3" t="s">
        <v>120</v>
      </c>
      <c r="B33" s="22">
        <f>B18/B28</f>
        <v>7605125149.6565666</v>
      </c>
      <c r="C33" s="22">
        <f>C18/C28</f>
        <v>4844687925.7777786</v>
      </c>
      <c r="D33" s="22">
        <f t="shared" ref="D33:G33" si="5">D18/D28</f>
        <v>1477645773.7373738</v>
      </c>
      <c r="E33" s="22">
        <f>E18/E28</f>
        <v>928506057.46464646</v>
      </c>
      <c r="F33" s="22">
        <f t="shared" si="5"/>
        <v>295679551.5151515</v>
      </c>
      <c r="G33" s="22">
        <f t="shared" si="5"/>
        <v>8984341.2121212129</v>
      </c>
      <c r="H33" s="22">
        <f t="shared" ref="H33:K33" si="6">H18/H28</f>
        <v>8212153.6868686872</v>
      </c>
      <c r="I33" s="22">
        <f t="shared" si="6"/>
        <v>41409346.262626261</v>
      </c>
      <c r="J33" s="22">
        <f t="shared" si="6"/>
        <v>0</v>
      </c>
      <c r="K33" s="22">
        <f t="shared" si="6"/>
        <v>0</v>
      </c>
    </row>
    <row r="34" spans="1:11" x14ac:dyDescent="0.25">
      <c r="A34" s="3" t="s">
        <v>74</v>
      </c>
      <c r="B34" s="6">
        <f>B32/B10</f>
        <v>1191287.9407650984</v>
      </c>
      <c r="C34" s="6">
        <f>C32/C10</f>
        <v>1628779.2668449022</v>
      </c>
      <c r="D34" s="6">
        <f t="shared" ref="D34:K34" si="7">D32/D10</f>
        <v>296704.39494377899</v>
      </c>
      <c r="E34" s="6">
        <f>E32/E10</f>
        <v>2462123.7656326531</v>
      </c>
      <c r="F34" s="6" t="e">
        <f t="shared" si="7"/>
        <v>#DIV/0!</v>
      </c>
      <c r="G34" s="6" t="e">
        <f t="shared" si="7"/>
        <v>#DIV/0!</v>
      </c>
      <c r="H34" s="6" t="e">
        <f t="shared" si="7"/>
        <v>#DIV/0!</v>
      </c>
      <c r="I34" s="6" t="e">
        <f t="shared" si="7"/>
        <v>#DIV/0!</v>
      </c>
      <c r="J34" s="6" t="e">
        <f t="shared" si="7"/>
        <v>#DIV/0!</v>
      </c>
      <c r="K34" s="6" t="e">
        <f t="shared" si="7"/>
        <v>#DIV/0!</v>
      </c>
    </row>
    <row r="35" spans="1:11" x14ac:dyDescent="0.25">
      <c r="A35" s="3" t="s">
        <v>121</v>
      </c>
      <c r="B35" s="6">
        <f>B33/B12</f>
        <v>379787.85246478842</v>
      </c>
      <c r="C35" s="6">
        <f>C33/C12</f>
        <v>283514.04060029134</v>
      </c>
      <c r="D35" s="6">
        <f t="shared" ref="D35:K35" si="8">D33/D12</f>
        <v>683251.74494638119</v>
      </c>
      <c r="E35" s="6">
        <f>E33/E12</f>
        <v>1970653.1109967735</v>
      </c>
      <c r="F35" s="6">
        <f t="shared" si="8"/>
        <v>4927992.5252525248</v>
      </c>
      <c r="G35" s="6">
        <f t="shared" si="8"/>
        <v>56505.290642271779</v>
      </c>
      <c r="H35" s="6">
        <f t="shared" si="8"/>
        <v>98545.844242424253</v>
      </c>
      <c r="I35" s="6">
        <f t="shared" si="8"/>
        <v>82818692.525252521</v>
      </c>
      <c r="J35" s="6" t="e">
        <f t="shared" si="8"/>
        <v>#DIV/0!</v>
      </c>
      <c r="K35" s="6" t="e">
        <f t="shared" si="8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>B12/B11*100</f>
        <v>80.384836685266208</v>
      </c>
      <c r="C44" s="7">
        <f>C12/C11*100</f>
        <v>87.955528103767762</v>
      </c>
      <c r="D44" s="7">
        <f t="shared" ref="D44:K44" si="9">D12/D11*100</f>
        <v>125.88280946837409</v>
      </c>
      <c r="E44" s="7">
        <f>E12/E11*100</f>
        <v>104.47154471544715</v>
      </c>
      <c r="F44" s="7">
        <f t="shared" si="9"/>
        <v>95.238095238095227</v>
      </c>
      <c r="G44" s="7">
        <f t="shared" si="9"/>
        <v>10.6</v>
      </c>
      <c r="H44" s="7">
        <f t="shared" si="9"/>
        <v>4.7619047619047619</v>
      </c>
      <c r="I44" s="7">
        <f t="shared" si="9"/>
        <v>50</v>
      </c>
      <c r="J44" s="7" t="e">
        <f t="shared" si="9"/>
        <v>#DIV/0!</v>
      </c>
      <c r="K44" s="7" t="e">
        <f t="shared" si="9"/>
        <v>#DIV/0!</v>
      </c>
    </row>
    <row r="45" spans="1:11" x14ac:dyDescent="0.25">
      <c r="A45" t="s">
        <v>16</v>
      </c>
      <c r="B45" s="7">
        <f>B18/B17*100</f>
        <v>100.40574559196752</v>
      </c>
      <c r="C45" s="7">
        <f>C18/C17*100</f>
        <v>92.16675546473364</v>
      </c>
      <c r="D45" s="7">
        <f t="shared" ref="D45:K45" si="10">D18/D17*100</f>
        <v>166.59041724034464</v>
      </c>
      <c r="E45" s="7">
        <f>E18/E17*100</f>
        <v>100.09696283791369</v>
      </c>
      <c r="F45" s="7">
        <f t="shared" si="10"/>
        <v>118.08699470661111</v>
      </c>
      <c r="G45" s="7">
        <f t="shared" si="10"/>
        <v>27.198361627656244</v>
      </c>
      <c r="H45" s="7">
        <f t="shared" si="10"/>
        <v>15.637011143707891</v>
      </c>
      <c r="I45" s="7">
        <f t="shared" si="10"/>
        <v>24.734754980578735</v>
      </c>
      <c r="J45" s="7" t="e">
        <f t="shared" si="10"/>
        <v>#DIV/0!</v>
      </c>
      <c r="K45" s="7" t="e">
        <f t="shared" si="10"/>
        <v>#DIV/0!</v>
      </c>
    </row>
    <row r="46" spans="1:11" x14ac:dyDescent="0.25">
      <c r="A46" t="s">
        <v>17</v>
      </c>
      <c r="B46" s="7">
        <f>AVERAGE(B44:B45)</f>
        <v>90.395291138616869</v>
      </c>
      <c r="C46" s="7">
        <f>AVERAGE(C44:C45)</f>
        <v>90.061141784250708</v>
      </c>
      <c r="D46" s="7">
        <f t="shared" ref="D46:K46" si="11">AVERAGE(D44:D45)</f>
        <v>146.23661335435935</v>
      </c>
      <c r="E46" s="7">
        <f>AVERAGE(E44:E45)</f>
        <v>102.28425377668043</v>
      </c>
      <c r="F46" s="7">
        <f t="shared" si="11"/>
        <v>106.66254497235317</v>
      </c>
      <c r="G46" s="7">
        <f t="shared" si="11"/>
        <v>18.899180813828121</v>
      </c>
      <c r="H46" s="7">
        <f t="shared" si="11"/>
        <v>10.199457952806327</v>
      </c>
      <c r="I46" s="7">
        <f t="shared" si="11"/>
        <v>37.367377490289371</v>
      </c>
      <c r="J46" s="7" t="e">
        <f t="shared" si="11"/>
        <v>#DIV/0!</v>
      </c>
      <c r="K46" s="7" t="e">
        <f t="shared" si="11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3">
        <f>B12/(B13)*100</f>
        <v>42.074814923763299</v>
      </c>
      <c r="C49" s="33">
        <f t="shared" ref="C49:K49" si="12">C12/(C13)*100</f>
        <v>43.977764051883881</v>
      </c>
      <c r="D49" s="33">
        <f t="shared" si="12"/>
        <v>125.88280946837409</v>
      </c>
      <c r="E49" s="33">
        <f t="shared" si="12"/>
        <v>104.47154471544715</v>
      </c>
      <c r="F49" s="33">
        <f t="shared" si="12"/>
        <v>95.238095238095227</v>
      </c>
      <c r="G49" s="33">
        <f t="shared" si="12"/>
        <v>5.3</v>
      </c>
      <c r="H49" s="33">
        <f t="shared" si="12"/>
        <v>2.3809523809523809</v>
      </c>
      <c r="I49" s="33">
        <f t="shared" si="12"/>
        <v>10</v>
      </c>
      <c r="J49" s="33" t="e">
        <f t="shared" si="12"/>
        <v>#DIV/0!</v>
      </c>
      <c r="K49" s="33" t="e">
        <f t="shared" si="12"/>
        <v>#DIV/0!</v>
      </c>
      <c r="L49" s="24"/>
    </row>
    <row r="50" spans="1:12" x14ac:dyDescent="0.25">
      <c r="A50" t="s">
        <v>20</v>
      </c>
      <c r="B50" s="7">
        <f>B18/B19*100</f>
        <v>45.093930562606182</v>
      </c>
      <c r="C50" s="7">
        <f>C18/C19*100</f>
        <v>42.538502522192303</v>
      </c>
      <c r="D50" s="7">
        <f t="shared" ref="D50:K50" si="13">D18/D19*100</f>
        <v>99.95425034420677</v>
      </c>
      <c r="E50" s="7">
        <f>E18/E19*100</f>
        <v>46.198598232883242</v>
      </c>
      <c r="F50" s="7">
        <f t="shared" si="13"/>
        <v>54.501689864589743</v>
      </c>
      <c r="G50" s="7">
        <f t="shared" si="13"/>
        <v>4.5330602712760397</v>
      </c>
      <c r="H50" s="7">
        <f t="shared" si="13"/>
        <v>2.6061685239513155</v>
      </c>
      <c r="I50" s="7">
        <f t="shared" si="13"/>
        <v>4.4422261660177425</v>
      </c>
      <c r="J50" s="7" t="e">
        <f t="shared" si="13"/>
        <v>#DIV/0!</v>
      </c>
      <c r="K50" s="7" t="e">
        <f t="shared" si="13"/>
        <v>#DIV/0!</v>
      </c>
    </row>
    <row r="51" spans="1:12" x14ac:dyDescent="0.25">
      <c r="A51" t="s">
        <v>21</v>
      </c>
      <c r="B51" s="7">
        <f>(B49+B50)/2</f>
        <v>43.584372743184744</v>
      </c>
      <c r="C51" s="7">
        <f>(C49+C50)/2</f>
        <v>43.258133287038092</v>
      </c>
      <c r="D51" s="7">
        <f t="shared" ref="D51:K51" si="14">(D49+D50)/2</f>
        <v>112.91852990629043</v>
      </c>
      <c r="E51" s="7">
        <f>(E49+E50)/2</f>
        <v>75.335071474165204</v>
      </c>
      <c r="F51" s="7">
        <f t="shared" si="14"/>
        <v>74.869892551342488</v>
      </c>
      <c r="G51" s="7">
        <f t="shared" si="14"/>
        <v>4.9165301356380198</v>
      </c>
      <c r="H51" s="7">
        <f t="shared" si="14"/>
        <v>2.493560452451848</v>
      </c>
      <c r="I51" s="7">
        <f t="shared" si="14"/>
        <v>7.2211130830088717</v>
      </c>
      <c r="J51" s="7" t="e">
        <f t="shared" si="14"/>
        <v>#DIV/0!</v>
      </c>
      <c r="K51" s="7" t="e">
        <f t="shared" si="14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 t="shared" ref="B54" si="15">B20/B18*100</f>
        <v>100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254.64903477182838</v>
      </c>
      <c r="C57" s="7">
        <f>((C12/C10)-1)*100</f>
        <v>467.51909664563271</v>
      </c>
      <c r="D57" s="7">
        <f t="shared" ref="D57:K57" si="16">((D12/D10)-1)*100</f>
        <v>-4.6373190269713866</v>
      </c>
      <c r="E57" s="7">
        <f>((E12/E10)-1)*100</f>
        <v>28.208616780045361</v>
      </c>
      <c r="F57" s="7" t="e">
        <f t="shared" si="16"/>
        <v>#DIV/0!</v>
      </c>
      <c r="G57" s="7" t="e">
        <f t="shared" si="16"/>
        <v>#DIV/0!</v>
      </c>
      <c r="H57" s="7" t="e">
        <f t="shared" si="16"/>
        <v>#DIV/0!</v>
      </c>
      <c r="I57" s="7" t="e">
        <f t="shared" si="16"/>
        <v>#DIV/0!</v>
      </c>
      <c r="J57" s="7" t="e">
        <f t="shared" si="16"/>
        <v>#DIV/0!</v>
      </c>
      <c r="K57" s="7" t="e">
        <f t="shared" si="16"/>
        <v>#DIV/0!</v>
      </c>
    </row>
    <row r="58" spans="1:12" x14ac:dyDescent="0.25">
      <c r="A58" t="s">
        <v>25</v>
      </c>
      <c r="B58" s="7">
        <f>((B33/B32)-1)*100</f>
        <v>13.063677290477681</v>
      </c>
      <c r="C58" s="7">
        <f>((C33/C32)-1)*100</f>
        <v>-1.2145872168988103</v>
      </c>
      <c r="D58" s="7">
        <f t="shared" ref="D58:F58" si="17">((D33/D32)-1)*100</f>
        <v>119.60145952651993</v>
      </c>
      <c r="E58" s="7">
        <f>((E33/E32)-1)*100</f>
        <v>2.6165755925225964</v>
      </c>
      <c r="F58" s="7" t="e">
        <f t="shared" si="17"/>
        <v>#DIV/0!</v>
      </c>
      <c r="G58" s="7">
        <f>((G33/G32)-1)*100</f>
        <v>51.321586752756552</v>
      </c>
      <c r="H58" s="7">
        <f t="shared" ref="H58:K58" si="18">((H33/H32)-1)*100</f>
        <v>-54.461726346998887</v>
      </c>
      <c r="I58" s="7">
        <f t="shared" si="18"/>
        <v>-81.21829766066179</v>
      </c>
      <c r="J58" s="7" t="e">
        <f t="shared" si="18"/>
        <v>#DIV/0!</v>
      </c>
      <c r="K58" s="7" t="e">
        <f t="shared" si="18"/>
        <v>#DIV/0!</v>
      </c>
    </row>
    <row r="59" spans="1:12" x14ac:dyDescent="0.25">
      <c r="A59" t="s">
        <v>26</v>
      </c>
      <c r="B59" s="7">
        <f>((B35/B34)-1)*100</f>
        <v>-68.119558717192106</v>
      </c>
      <c r="C59" s="7">
        <f>((C35/C34)-1)*100</f>
        <v>-82.593464542958941</v>
      </c>
      <c r="D59" s="7">
        <f t="shared" ref="D59:K59" si="19">((D35/D34)-1)*100</f>
        <v>130.28029128987021</v>
      </c>
      <c r="E59" s="7">
        <f>((E35/E34)-1)*100</f>
        <v>-19.961248963030677</v>
      </c>
      <c r="F59" s="7" t="e">
        <f t="shared" si="19"/>
        <v>#DIV/0!</v>
      </c>
      <c r="G59" s="7" t="e">
        <f t="shared" si="19"/>
        <v>#DIV/0!</v>
      </c>
      <c r="H59" s="7" t="e">
        <f t="shared" si="19"/>
        <v>#DIV/0!</v>
      </c>
      <c r="I59" s="7" t="e">
        <f t="shared" si="19"/>
        <v>#DIV/0!</v>
      </c>
      <c r="J59" s="7" t="e">
        <f t="shared" si="19"/>
        <v>#DIV/0!</v>
      </c>
      <c r="K59" s="7" t="e">
        <f t="shared" si="19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28</v>
      </c>
      <c r="B62" s="4">
        <f>B17/(B11*6)</f>
        <v>50169.593503311793</v>
      </c>
      <c r="C62" s="4">
        <f t="shared" ref="C62:K62" si="20">C17/(C11*6)</f>
        <v>44642.381752676549</v>
      </c>
      <c r="D62" s="4">
        <f t="shared" si="20"/>
        <v>85188.526193247963</v>
      </c>
      <c r="E62" s="4">
        <f t="shared" si="20"/>
        <v>339368.27698447893</v>
      </c>
      <c r="F62" s="4">
        <f t="shared" si="20"/>
        <v>655786.71666666656</v>
      </c>
      <c r="G62" s="4">
        <f t="shared" si="20"/>
        <v>3633.592151111111</v>
      </c>
      <c r="H62" s="4">
        <f t="shared" si="20"/>
        <v>4951.6417752380949</v>
      </c>
      <c r="I62" s="4">
        <f t="shared" si="20"/>
        <v>27623245.666666668</v>
      </c>
      <c r="J62" s="4" t="e">
        <f t="shared" si="20"/>
        <v>#DIV/0!</v>
      </c>
      <c r="K62" s="4" t="e">
        <f t="shared" si="20"/>
        <v>#DIV/0!</v>
      </c>
    </row>
    <row r="63" spans="1:12" x14ac:dyDescent="0.25">
      <c r="A63" t="s">
        <v>29</v>
      </c>
      <c r="B63" s="4">
        <f>B18/(B12*6)</f>
        <v>62664.995656690087</v>
      </c>
      <c r="C63" s="4">
        <f t="shared" ref="C63:K63" si="21">C18/(C12*6)</f>
        <v>46779.816699048068</v>
      </c>
      <c r="D63" s="4">
        <f t="shared" si="21"/>
        <v>112736.53791615288</v>
      </c>
      <c r="E63" s="4">
        <f t="shared" si="21"/>
        <v>325157.76331446762</v>
      </c>
      <c r="F63" s="4">
        <f t="shared" si="21"/>
        <v>813118.76666666672</v>
      </c>
      <c r="G63" s="4">
        <f t="shared" si="21"/>
        <v>9323.3729559748444</v>
      </c>
      <c r="H63" s="4">
        <f t="shared" si="21"/>
        <v>16260.0643</v>
      </c>
      <c r="I63" s="4">
        <f t="shared" si="21"/>
        <v>13665084.266666666</v>
      </c>
      <c r="J63" s="4" t="e">
        <f t="shared" si="21"/>
        <v>#DIV/0!</v>
      </c>
      <c r="K63" s="4" t="e">
        <f t="shared" si="21"/>
        <v>#DIV/0!</v>
      </c>
    </row>
    <row r="64" spans="1:12" x14ac:dyDescent="0.25">
      <c r="A64" t="s">
        <v>30</v>
      </c>
      <c r="B64" s="10">
        <f>(B63/B62)*B46</f>
        <v>112.90943639423209</v>
      </c>
      <c r="C64" s="10">
        <f t="shared" ref="C64:K64" si="22">(C63/C62)*C46</f>
        <v>94.373183933485635</v>
      </c>
      <c r="D64" s="10">
        <f t="shared" si="22"/>
        <v>193.52617356890272</v>
      </c>
      <c r="E64" s="10">
        <f t="shared" si="22"/>
        <v>98.001261272384284</v>
      </c>
      <c r="F64" s="10">
        <f t="shared" si="22"/>
        <v>132.25232352721139</v>
      </c>
      <c r="G64" s="10">
        <f t="shared" si="22"/>
        <v>48.493090022732069</v>
      </c>
      <c r="H64" s="10">
        <f t="shared" si="22"/>
        <v>33.492697910240651</v>
      </c>
      <c r="I64" s="10">
        <f t="shared" si="22"/>
        <v>18.485458529782012</v>
      </c>
      <c r="J64" s="10" t="e">
        <f t="shared" si="22"/>
        <v>#DIV/0!</v>
      </c>
      <c r="K64" s="10" t="e">
        <f t="shared" si="22"/>
        <v>#DIV/0!</v>
      </c>
    </row>
    <row r="65" spans="1:11" x14ac:dyDescent="0.25">
      <c r="A65" t="s">
        <v>39</v>
      </c>
      <c r="B65" s="4">
        <f>B17/B11</f>
        <v>301017.56101987074</v>
      </c>
      <c r="C65" s="4">
        <f t="shared" ref="C65:K65" si="23">C17/C11</f>
        <v>267854.29051605926</v>
      </c>
      <c r="D65" s="4">
        <f t="shared" si="23"/>
        <v>511131.15715948778</v>
      </c>
      <c r="E65" s="4">
        <f t="shared" si="23"/>
        <v>2036209.6619068736</v>
      </c>
      <c r="F65" s="4">
        <f t="shared" si="23"/>
        <v>3934720.3</v>
      </c>
      <c r="G65" s="4">
        <f t="shared" si="23"/>
        <v>21801.552906666668</v>
      </c>
      <c r="H65" s="4">
        <f t="shared" si="23"/>
        <v>29709.850651428573</v>
      </c>
      <c r="I65" s="4">
        <f t="shared" si="23"/>
        <v>165739474</v>
      </c>
      <c r="J65" s="4" t="e">
        <f t="shared" si="23"/>
        <v>#DIV/0!</v>
      </c>
      <c r="K65" s="4" t="e">
        <f t="shared" si="23"/>
        <v>#DIV/0!</v>
      </c>
    </row>
    <row r="66" spans="1:11" x14ac:dyDescent="0.25">
      <c r="A66" t="s">
        <v>40</v>
      </c>
      <c r="B66" s="4">
        <f>B18/B12</f>
        <v>375989.97394014051</v>
      </c>
      <c r="C66" s="4">
        <f t="shared" ref="C66:K66" si="24">C18/C12</f>
        <v>280678.90019428841</v>
      </c>
      <c r="D66" s="4">
        <f t="shared" si="24"/>
        <v>676419.22749691724</v>
      </c>
      <c r="E66" s="4">
        <f t="shared" si="24"/>
        <v>1950946.5798868057</v>
      </c>
      <c r="F66" s="4">
        <f t="shared" si="24"/>
        <v>4878712.5999999996</v>
      </c>
      <c r="G66" s="4">
        <f t="shared" si="24"/>
        <v>55940.237735849063</v>
      </c>
      <c r="H66" s="4">
        <f t="shared" si="24"/>
        <v>97560.385800000004</v>
      </c>
      <c r="I66" s="4">
        <f t="shared" si="24"/>
        <v>81990505.599999994</v>
      </c>
      <c r="J66" s="4" t="e">
        <f t="shared" si="24"/>
        <v>#DIV/0!</v>
      </c>
      <c r="K66" s="4" t="e">
        <f t="shared" si="24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97.064450785299599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103.44234658480542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91</v>
      </c>
    </row>
    <row r="75" spans="1:11" x14ac:dyDescent="0.25">
      <c r="A75" t="s">
        <v>92</v>
      </c>
      <c r="B75" s="10"/>
      <c r="C75" s="10"/>
      <c r="D75" s="10"/>
      <c r="E75" s="10"/>
      <c r="F75" s="10"/>
    </row>
    <row r="76" spans="1:11" x14ac:dyDescent="0.25">
      <c r="A76" t="s">
        <v>93</v>
      </c>
    </row>
    <row r="79" spans="1:11" x14ac:dyDescent="0.25">
      <c r="A79" t="s">
        <v>36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139</v>
      </c>
    </row>
  </sheetData>
  <mergeCells count="4">
    <mergeCell ref="A4:A5"/>
    <mergeCell ref="B4:B5"/>
    <mergeCell ref="D4:G4"/>
    <mergeCell ref="A2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4"/>
  <sheetViews>
    <sheetView zoomScale="90" zoomScaleNormal="90" workbookViewId="0">
      <selection activeCell="C12" sqref="C12"/>
    </sheetView>
  </sheetViews>
  <sheetFormatPr baseColWidth="10" defaultColWidth="11.42578125" defaultRowHeight="15" x14ac:dyDescent="0.25"/>
  <cols>
    <col min="1" max="1" width="55.140625" customWidth="1"/>
    <col min="2" max="2" width="16.85546875" bestFit="1" customWidth="1"/>
    <col min="3" max="3" width="16.85546875" customWidth="1"/>
    <col min="4" max="4" width="16.5703125" bestFit="1" customWidth="1"/>
    <col min="5" max="5" width="16.42578125" customWidth="1"/>
    <col min="6" max="6" width="16.85546875" bestFit="1" customWidth="1"/>
    <col min="7" max="8" width="15.28515625" customWidth="1"/>
    <col min="9" max="9" width="14.42578125" customWidth="1"/>
    <col min="10" max="10" width="16" hidden="1" customWidth="1"/>
    <col min="11" max="11" width="16.7109375" customWidth="1"/>
  </cols>
  <sheetData>
    <row r="2" spans="1:17" ht="15.75" x14ac:dyDescent="0.25">
      <c r="A2" s="60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4" spans="1:17" x14ac:dyDescent="0.25">
      <c r="A4" s="56" t="s">
        <v>0</v>
      </c>
      <c r="B4" s="58" t="s">
        <v>1</v>
      </c>
      <c r="C4" s="61" t="s">
        <v>2</v>
      </c>
      <c r="D4" s="61"/>
      <c r="E4" s="61"/>
      <c r="F4" s="61"/>
      <c r="G4" s="61"/>
      <c r="H4" s="61"/>
      <c r="I4" s="61"/>
      <c r="J4" s="61"/>
      <c r="K4" s="61"/>
    </row>
    <row r="5" spans="1:17" ht="105.75" thickBot="1" x14ac:dyDescent="0.3">
      <c r="A5" s="57"/>
      <c r="B5" s="59"/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35" t="s">
        <v>53</v>
      </c>
      <c r="K5" s="27" t="s">
        <v>50</v>
      </c>
      <c r="Q5" s="41"/>
    </row>
    <row r="6" spans="1:17" ht="15.75" thickTop="1" x14ac:dyDescent="0.25"/>
    <row r="7" spans="1:17" x14ac:dyDescent="0.25">
      <c r="A7" s="2" t="s">
        <v>3</v>
      </c>
    </row>
    <row r="9" spans="1:17" x14ac:dyDescent="0.25">
      <c r="A9" t="s">
        <v>4</v>
      </c>
    </row>
    <row r="10" spans="1:17" x14ac:dyDescent="0.25">
      <c r="A10" s="3" t="s">
        <v>75</v>
      </c>
      <c r="B10" s="46">
        <f>C10+D10+E10+F10+G10+H10+I10</f>
        <v>7663.7777777777774</v>
      </c>
      <c r="C10" s="46">
        <f>(+'I Trimestre'!C10+'II trimestre'!C10+'III Trimestre'!C10)/3</f>
        <v>3011</v>
      </c>
      <c r="D10" s="13">
        <f>(+'I Trimestre'!D10+'II trimestre'!D10+'III Trimestre'!D10)/3</f>
        <v>2303</v>
      </c>
      <c r="E10" s="13">
        <f>(+'I Trimestre'!E10+'II trimestre'!E10+'III Trimestre'!E10)/3</f>
        <v>381.11111111111109</v>
      </c>
      <c r="F10" s="13">
        <f>(+'I Trimestre'!F10+'II trimestre'!F10+'III Trimestre'!F10)/3</f>
        <v>0</v>
      </c>
      <c r="G10" s="13">
        <f>(+'I Trimestre'!G10+'II trimestre'!G10+'III Trimestre'!G10)/3</f>
        <v>935.33333333333337</v>
      </c>
      <c r="H10" s="13">
        <f>(+'I Trimestre'!H10+'II trimestre'!H10+'III Trimestre'!H10)/3</f>
        <v>1033.3333333333333</v>
      </c>
      <c r="I10" s="13">
        <f>(+'I Trimestre'!I10+'II trimestre'!I10+'III Trimestre'!I10)/3</f>
        <v>0</v>
      </c>
      <c r="J10" s="13">
        <f>(+'I Trimestre'!J10+'II trimestre'!J10+'III Trimestre'!J10)/3</f>
        <v>0</v>
      </c>
      <c r="K10" s="13">
        <f>(+'I Trimestre'!K10+'II trimestre'!K10+'III Trimestre'!K10)/3</f>
        <v>459</v>
      </c>
    </row>
    <row r="11" spans="1:17" x14ac:dyDescent="0.25">
      <c r="A11" s="3" t="s">
        <v>122</v>
      </c>
      <c r="B11" s="46">
        <f t="shared" ref="B11:B13" si="0">C11+D11+E11+F11+G11+H11+I11</f>
        <v>35708.333333333336</v>
      </c>
      <c r="C11" s="46">
        <f>(+'I Trimestre'!C11+'II trimestre'!C11+'III Trimestre'!C11)</f>
        <v>29142</v>
      </c>
      <c r="D11" s="13">
        <f>(+'I Trimestre'!D11+'II trimestre'!D11+'III Trimestre'!D11)/3</f>
        <v>1718</v>
      </c>
      <c r="E11" s="13">
        <f>(+'I Trimestre'!E11+'II trimestre'!E11+'III Trimestre'!E11)/3</f>
        <v>451</v>
      </c>
      <c r="F11" s="13">
        <f>(+'I Trimestre'!F11+'II trimestre'!F11+'III Trimestre'!F11)/3</f>
        <v>63</v>
      </c>
      <c r="G11" s="13">
        <f>(+'I Trimestre'!G11+'II trimestre'!G11+'III Trimestre'!G11)/3</f>
        <v>2000</v>
      </c>
      <c r="H11" s="13">
        <f>(+'I Trimestre'!H11+'II trimestre'!H11+'III Trimestre'!H11)/3</f>
        <v>2333.3333333333335</v>
      </c>
      <c r="I11" s="13">
        <f>(+'I Trimestre'!I11+'II trimestre'!I11+'III Trimestre'!I11)/3</f>
        <v>1</v>
      </c>
      <c r="J11" s="13">
        <f>(+'I Trimestre'!J11+'II trimestre'!J11+'III Trimestre'!J11)/3</f>
        <v>0</v>
      </c>
      <c r="K11" s="13">
        <f>(+'I Trimestre'!K11+'II trimestre'!K11+'III Trimestre'!K11)/3</f>
        <v>0</v>
      </c>
    </row>
    <row r="12" spans="1:17" x14ac:dyDescent="0.25">
      <c r="A12" s="3" t="s">
        <v>123</v>
      </c>
      <c r="B12" s="46">
        <f t="shared" si="0"/>
        <v>27607.22222222223</v>
      </c>
      <c r="C12" s="46">
        <f>(+'I Trimestre'!C12+'II trimestre'!C12+'III Trimestre'!C12)</f>
        <v>24246</v>
      </c>
      <c r="D12" s="13">
        <f>(+'I Trimestre'!D12+'II trimestre'!D12+'III Trimestre'!D12)/3</f>
        <v>2115.666666666667</v>
      </c>
      <c r="E12" s="13">
        <f>(+'I Trimestre'!E12+'II trimestre'!E12+'III Trimestre'!E12)/3</f>
        <v>465.88888888888891</v>
      </c>
      <c r="F12" s="13">
        <f>(+'I Trimestre'!F12+'II trimestre'!F12+'III Trimestre'!F12)/3</f>
        <v>56.666666666666664</v>
      </c>
      <c r="G12" s="13">
        <f>(+'I Trimestre'!G12+'II trimestre'!G12+'III Trimestre'!G12)/3</f>
        <v>333.44444444444446</v>
      </c>
      <c r="H12" s="13">
        <f>(+'I Trimestre'!H12+'II trimestre'!H12+'III Trimestre'!H12)/3</f>
        <v>388.88888888888891</v>
      </c>
      <c r="I12" s="13">
        <f>(+'I Trimestre'!I12+'II trimestre'!I12+'III Trimestre'!I12)/3</f>
        <v>0.66666666666666663</v>
      </c>
      <c r="J12" s="13">
        <f>(+'I Trimestre'!J12+'II trimestre'!J12+'III Trimestre'!J12)/3</f>
        <v>0</v>
      </c>
      <c r="K12" s="13">
        <f>(+'I Trimestre'!K12+'II trimestre'!K12+'III Trimestre'!K12)/3</f>
        <v>0</v>
      </c>
    </row>
    <row r="13" spans="1:17" s="41" customFormat="1" x14ac:dyDescent="0.25">
      <c r="A13" s="42" t="s">
        <v>86</v>
      </c>
      <c r="B13" s="46">
        <f t="shared" si="0"/>
        <v>47593</v>
      </c>
      <c r="C13" s="46">
        <f>(+'I Trimestre'!C13+'II trimestre'!C13+'III Trimestre'!C13)/3</f>
        <v>38856</v>
      </c>
      <c r="D13" s="13">
        <f>+'III Trimestre'!D13</f>
        <v>1718</v>
      </c>
      <c r="E13" s="13">
        <f>+'III Trimestre'!E13</f>
        <v>451</v>
      </c>
      <c r="F13" s="13">
        <f>+'III Trimestre'!F13</f>
        <v>63</v>
      </c>
      <c r="G13" s="13">
        <f>+'III Trimestre'!G13</f>
        <v>3000</v>
      </c>
      <c r="H13" s="13">
        <f>+'III Trimestre'!H13</f>
        <v>3500</v>
      </c>
      <c r="I13" s="13">
        <f>+'III Trimestre'!I13</f>
        <v>5</v>
      </c>
      <c r="J13" s="13">
        <f>+'III Trimestre'!J13</f>
        <v>0</v>
      </c>
      <c r="K13" s="13">
        <f>+'III Trimestre'!K13</f>
        <v>0</v>
      </c>
      <c r="L13" s="41" t="s">
        <v>51</v>
      </c>
    </row>
    <row r="15" spans="1:17" x14ac:dyDescent="0.25">
      <c r="A15" s="5" t="s">
        <v>5</v>
      </c>
    </row>
    <row r="16" spans="1:17" x14ac:dyDescent="0.25">
      <c r="A16" s="3" t="s">
        <v>75</v>
      </c>
      <c r="B16" s="4">
        <f>SUM(C16:K16)</f>
        <v>9558818842.4400005</v>
      </c>
      <c r="C16" s="13">
        <f>+'I Trimestre'!C16+'II trimestre'!C16+'III Trimestre'!C16</f>
        <v>6905684938.4700003</v>
      </c>
      <c r="D16" s="13">
        <f>+'I Trimestre'!D16+'II trimestre'!D16+'III Trimestre'!D16</f>
        <v>970222236</v>
      </c>
      <c r="E16" s="13">
        <f>+'I Trimestre'!E16+'II trimestre'!E16+'III Trimestre'!E16</f>
        <v>1280312295.8699999</v>
      </c>
      <c r="F16" s="13">
        <f>+'I Trimestre'!F16+'II trimestre'!F16+'III Trimestre'!F16</f>
        <v>0</v>
      </c>
      <c r="G16" s="13">
        <f>+'I Trimestre'!G16+'II trimestre'!G16+'III Trimestre'!G16</f>
        <v>17860418.349999998</v>
      </c>
      <c r="H16" s="13">
        <f>+'I Trimestre'!H16+'II trimestre'!H16+'III Trimestre'!H16</f>
        <v>45594244.75</v>
      </c>
      <c r="I16" s="13">
        <f>+'I Trimestre'!I16+'II trimestre'!I16+'III Trimestre'!I16</f>
        <v>237899835</v>
      </c>
      <c r="J16" s="13">
        <f>+'I Trimestre'!J16+'II trimestre'!J16+'III Trimestre'!J16</f>
        <v>0</v>
      </c>
      <c r="K16" s="13">
        <f>+'I Trimestre'!K16+'II trimestre'!K16+'III Trimestre'!K16</f>
        <v>101244874</v>
      </c>
    </row>
    <row r="17" spans="1:12" x14ac:dyDescent="0.25">
      <c r="A17" s="3" t="s">
        <v>122</v>
      </c>
      <c r="B17" s="4">
        <f t="shared" ref="B17:B19" si="1">SUM(C17:K17)</f>
        <v>11503071550.849001</v>
      </c>
      <c r="C17" s="13">
        <f>+'I Trimestre'!C17+'II trimestre'!C17+'III Trimestre'!C17</f>
        <v>7805809734.2189999</v>
      </c>
      <c r="D17" s="13">
        <f>+'I Trimestre'!D17+'II trimestre'!D17+'III Trimestre'!D17</f>
        <v>1317184992</v>
      </c>
      <c r="E17" s="13">
        <f>+'I Trimestre'!E17+'II trimestre'!E17+'III Trimestre'!E17</f>
        <v>1377495836.28</v>
      </c>
      <c r="F17" s="13">
        <f>+'I Trimestre'!F17+'II trimestre'!F17+'III Trimestre'!F17</f>
        <v>371831068.34999996</v>
      </c>
      <c r="G17" s="13">
        <f>+'I Trimestre'!G17+'II trimestre'!G17+'III Trimestre'!G17</f>
        <v>130809317.44</v>
      </c>
      <c r="H17" s="13">
        <f>+'I Trimestre'!H17+'II trimestre'!H17+'III Trimestre'!H17</f>
        <v>207968954.56</v>
      </c>
      <c r="I17" s="13">
        <f>+'I Trimestre'!I17+'II trimestre'!I17+'III Trimestre'!I17</f>
        <v>291971648</v>
      </c>
      <c r="J17" s="13">
        <f>+'I Trimestre'!J17+'II trimestre'!J17+'III Trimestre'!J17</f>
        <v>0</v>
      </c>
      <c r="K17" s="13">
        <f>+'I Trimestre'!K17+'II trimestre'!K17+'III Trimestre'!K17</f>
        <v>0</v>
      </c>
    </row>
    <row r="18" spans="1:12" x14ac:dyDescent="0.25">
      <c r="A18" s="3" t="s">
        <v>123</v>
      </c>
      <c r="B18" s="4">
        <f t="shared" si="1"/>
        <v>10168395265.189999</v>
      </c>
      <c r="C18" s="13">
        <f>+'I Trimestre'!C18+'II trimestre'!C18+'III Trimestre'!C18</f>
        <v>6821754696.710001</v>
      </c>
      <c r="D18" s="13">
        <f>+'I Trimestre'!D18+'II trimestre'!D18+'III Trimestre'!D18</f>
        <v>1462869316</v>
      </c>
      <c r="E18" s="13">
        <f>+'I Trimestre'!E18+'II trimestre'!E18+'III Trimestre'!E18</f>
        <v>1299770623.0599999</v>
      </c>
      <c r="F18" s="13">
        <f>+'I Trimestre'!F18+'II trimestre'!F18+'III Trimestre'!F18</f>
        <v>428470566.98000002</v>
      </c>
      <c r="G18" s="13">
        <f>+'I Trimestre'!G18+'II trimestre'!G18+'III Trimestre'!G18</f>
        <v>44719209.819999993</v>
      </c>
      <c r="H18" s="13">
        <f>+'I Trimestre'!H18+'II trimestre'!H18+'III Trimestre'!H18</f>
        <v>50422721.219999999</v>
      </c>
      <c r="I18" s="13">
        <f>+'I Trimestre'!I18+'II trimestre'!I18+'III Trimestre'!I18</f>
        <v>60388131.399999999</v>
      </c>
      <c r="J18" s="13">
        <f>+'I Trimestre'!J18+'II trimestre'!J18+'III Trimestre'!J18</f>
        <v>0</v>
      </c>
      <c r="K18" s="13">
        <f>+'I Trimestre'!K18+'II trimestre'!K18+'III Trimestre'!K18</f>
        <v>0</v>
      </c>
    </row>
    <row r="19" spans="1:12" x14ac:dyDescent="0.25">
      <c r="A19" s="3" t="s">
        <v>86</v>
      </c>
      <c r="B19" s="4">
        <f t="shared" si="1"/>
        <v>16696424117.891003</v>
      </c>
      <c r="C19" s="13">
        <f>+'III Trimestre'!C19</f>
        <v>11275058504.981001</v>
      </c>
      <c r="D19" s="13">
        <f>+'III Trimestre'!D19</f>
        <v>1463538880</v>
      </c>
      <c r="E19" s="13">
        <f>+'III Trimestre'!E19</f>
        <v>1989716207.96</v>
      </c>
      <c r="F19" s="13">
        <f>+'III Trimestre'!F19</f>
        <v>537089320.94999993</v>
      </c>
      <c r="G19" s="13">
        <f>+'III Trimestre'!G19</f>
        <v>196213976.16000003</v>
      </c>
      <c r="H19" s="13">
        <f>+'III Trimestre'!H19</f>
        <v>311953431.83999997</v>
      </c>
      <c r="I19" s="13">
        <f>+'III Trimestre'!I19</f>
        <v>922853796</v>
      </c>
      <c r="J19" s="13">
        <f>+'III Trimestre'!J19</f>
        <v>0</v>
      </c>
      <c r="K19" s="13">
        <f>+'III Trimestre'!K19</f>
        <v>0</v>
      </c>
      <c r="L19" s="24"/>
    </row>
    <row r="20" spans="1:12" x14ac:dyDescent="0.25">
      <c r="A20" s="3" t="s">
        <v>124</v>
      </c>
      <c r="B20" s="47">
        <f>C20+D20+E20+F20+I20</f>
        <v>10073253334.15</v>
      </c>
      <c r="C20" s="46">
        <f>+'I Trimestre'!C20+'II trimestre'!C20+'III Trimestre'!C20</f>
        <v>6821754696.710001</v>
      </c>
      <c r="D20" s="46">
        <f t="shared" ref="D20:J20" si="2">D18</f>
        <v>1462869316</v>
      </c>
      <c r="E20" s="46">
        <f t="shared" si="2"/>
        <v>1299770623.0599999</v>
      </c>
      <c r="F20" s="46">
        <f t="shared" si="2"/>
        <v>428470566.98000002</v>
      </c>
      <c r="G20" s="46">
        <f t="shared" si="2"/>
        <v>44719209.819999993</v>
      </c>
      <c r="H20" s="46">
        <f t="shared" si="2"/>
        <v>50422721.219999999</v>
      </c>
      <c r="I20" s="46">
        <f t="shared" si="2"/>
        <v>60388131.399999999</v>
      </c>
      <c r="J20" s="46">
        <f t="shared" si="2"/>
        <v>0</v>
      </c>
      <c r="K20" s="53"/>
      <c r="L20" s="24"/>
    </row>
    <row r="21" spans="1:12" x14ac:dyDescent="0.25">
      <c r="B21" s="4"/>
      <c r="C21" s="4"/>
      <c r="D21" s="4"/>
      <c r="E21" s="4"/>
      <c r="F21" s="4"/>
      <c r="G21" s="4"/>
      <c r="H21" s="4"/>
    </row>
    <row r="22" spans="1:12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2" x14ac:dyDescent="0.25">
      <c r="A23" s="3" t="s">
        <v>122</v>
      </c>
      <c r="B23" s="13">
        <f>'I Trimestre'!B23+'II trimestre'!B23+'III Trimestre'!B23</f>
        <v>11503071550.848999</v>
      </c>
      <c r="C23" s="13"/>
    </row>
    <row r="24" spans="1:12" x14ac:dyDescent="0.25">
      <c r="A24" s="3" t="s">
        <v>123</v>
      </c>
      <c r="B24" s="13">
        <f>'I Trimestre'!B24+'II trimestre'!B24+'III Trimestre'!B24</f>
        <v>11197951871.26</v>
      </c>
      <c r="C24" s="13"/>
    </row>
    <row r="26" spans="1:12" x14ac:dyDescent="0.25">
      <c r="A26" t="s">
        <v>7</v>
      </c>
    </row>
    <row r="27" spans="1:12" x14ac:dyDescent="0.25">
      <c r="A27" s="3" t="s">
        <v>76</v>
      </c>
      <c r="B27" s="16">
        <v>0.99</v>
      </c>
      <c r="C27" s="16">
        <v>0.99</v>
      </c>
      <c r="D27" s="16">
        <v>0.99</v>
      </c>
      <c r="E27" s="16">
        <v>0.99</v>
      </c>
      <c r="F27" s="16">
        <v>0.99</v>
      </c>
      <c r="G27" s="16">
        <v>0.99</v>
      </c>
      <c r="H27" s="16">
        <v>0.99</v>
      </c>
      <c r="I27" s="16">
        <v>0.99</v>
      </c>
      <c r="J27" s="16">
        <v>0.99</v>
      </c>
      <c r="K27" s="16">
        <v>0.99</v>
      </c>
    </row>
    <row r="28" spans="1:12" x14ac:dyDescent="0.25">
      <c r="A28" s="3" t="s">
        <v>125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  <c r="I28" s="11">
        <v>0.99</v>
      </c>
      <c r="J28" s="11">
        <v>0.99</v>
      </c>
      <c r="K28" s="11">
        <v>0.99</v>
      </c>
    </row>
    <row r="29" spans="1:12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  <c r="K29" s="19" t="s">
        <v>42</v>
      </c>
    </row>
    <row r="31" spans="1:12" x14ac:dyDescent="0.25">
      <c r="A31" s="3" t="s">
        <v>9</v>
      </c>
    </row>
    <row r="32" spans="1:12" x14ac:dyDescent="0.25">
      <c r="A32" s="3" t="s">
        <v>77</v>
      </c>
      <c r="B32" s="22">
        <f>B16/B27</f>
        <v>9655372568.121212</v>
      </c>
      <c r="C32" s="22">
        <f>C16/C27</f>
        <v>6975439331.787879</v>
      </c>
      <c r="D32" s="22">
        <f t="shared" ref="D32:K32" si="3">D16/D27</f>
        <v>980022460.60606062</v>
      </c>
      <c r="E32" s="22">
        <f>E16/E27</f>
        <v>1293244743.3030303</v>
      </c>
      <c r="F32" s="22">
        <f t="shared" si="3"/>
        <v>0</v>
      </c>
      <c r="G32" s="22">
        <f t="shared" si="3"/>
        <v>18040826.616161615</v>
      </c>
      <c r="H32" s="22">
        <f t="shared" si="3"/>
        <v>46054792.676767677</v>
      </c>
      <c r="I32" s="22">
        <f t="shared" si="3"/>
        <v>240302863.63636363</v>
      </c>
      <c r="J32" s="22">
        <f t="shared" si="3"/>
        <v>0</v>
      </c>
      <c r="K32" s="22">
        <f t="shared" si="3"/>
        <v>102267549.49494949</v>
      </c>
    </row>
    <row r="33" spans="1:11" x14ac:dyDescent="0.25">
      <c r="A33" s="3" t="s">
        <v>126</v>
      </c>
      <c r="B33" s="22">
        <f>B18/B28</f>
        <v>10271106328.474747</v>
      </c>
      <c r="C33" s="22">
        <f>C18/C28</f>
        <v>6890661309.8080816</v>
      </c>
      <c r="D33" s="22">
        <f t="shared" ref="D33:G33" si="4">D18/D28</f>
        <v>1477645773.7373738</v>
      </c>
      <c r="E33" s="22">
        <f>E18/E28</f>
        <v>1312899619.2525251</v>
      </c>
      <c r="F33" s="22">
        <f t="shared" si="4"/>
        <v>432798552.50505054</v>
      </c>
      <c r="G33" s="22">
        <f t="shared" si="4"/>
        <v>45170919.010101005</v>
      </c>
      <c r="H33" s="22">
        <f t="shared" ref="H33:K33" si="5">H18/H28</f>
        <v>50932041.636363633</v>
      </c>
      <c r="I33" s="22">
        <f t="shared" si="5"/>
        <v>60998112.525252521</v>
      </c>
      <c r="J33" s="22">
        <f t="shared" si="5"/>
        <v>0</v>
      </c>
      <c r="K33" s="22">
        <f t="shared" si="5"/>
        <v>0</v>
      </c>
    </row>
    <row r="34" spans="1:11" x14ac:dyDescent="0.25">
      <c r="A34" s="3" t="s">
        <v>78</v>
      </c>
      <c r="B34" s="6">
        <f>B32/B10</f>
        <v>1259871.1559876318</v>
      </c>
      <c r="C34" s="6">
        <f>C32/C10</f>
        <v>2316652.0530680437</v>
      </c>
      <c r="D34" s="6">
        <f t="shared" ref="D34:K34" si="6">D32/D10</f>
        <v>425541.66765352176</v>
      </c>
      <c r="E34" s="6">
        <f>E32/E10</f>
        <v>3393353.5538563477</v>
      </c>
      <c r="F34" s="6" t="e">
        <f t="shared" si="6"/>
        <v>#DIV/0!</v>
      </c>
      <c r="G34" s="6">
        <f t="shared" si="6"/>
        <v>19288.125391477137</v>
      </c>
      <c r="H34" s="6">
        <f t="shared" si="6"/>
        <v>44569.15420332356</v>
      </c>
      <c r="I34" s="6" t="e">
        <f t="shared" si="6"/>
        <v>#DIV/0!</v>
      </c>
      <c r="J34" s="6" t="e">
        <f t="shared" si="6"/>
        <v>#DIV/0!</v>
      </c>
      <c r="K34" s="6">
        <f t="shared" si="6"/>
        <v>222805.11872538016</v>
      </c>
    </row>
    <row r="35" spans="1:11" x14ac:dyDescent="0.25">
      <c r="A35" s="3" t="s">
        <v>127</v>
      </c>
      <c r="B35" s="6">
        <f>B33/B12</f>
        <v>372044.17908467067</v>
      </c>
      <c r="C35" s="6">
        <f>C33/C12</f>
        <v>284197.8598452562</v>
      </c>
      <c r="D35" s="6">
        <f t="shared" ref="D35:K35" si="7">D33/D12</f>
        <v>698430.33263149846</v>
      </c>
      <c r="E35" s="6">
        <f>E33/E12</f>
        <v>2818053.0821065409</v>
      </c>
      <c r="F35" s="6">
        <f t="shared" si="7"/>
        <v>7637621.51479501</v>
      </c>
      <c r="G35" s="6">
        <f t="shared" si="7"/>
        <v>135467.60116324859</v>
      </c>
      <c r="H35" s="6">
        <f t="shared" si="7"/>
        <v>130968.10706493504</v>
      </c>
      <c r="I35" s="6">
        <f t="shared" si="7"/>
        <v>91497168.787878782</v>
      </c>
      <c r="J35" s="6" t="e">
        <f t="shared" si="7"/>
        <v>#DIV/0!</v>
      </c>
      <c r="K35" s="6" t="e">
        <f t="shared" si="7"/>
        <v>#DIV/0!</v>
      </c>
    </row>
    <row r="37" spans="1:11" x14ac:dyDescent="0.25">
      <c r="A37" s="2" t="s">
        <v>10</v>
      </c>
    </row>
    <row r="39" spans="1:11" x14ac:dyDescent="0.25">
      <c r="A39" t="s">
        <v>11</v>
      </c>
    </row>
    <row r="40" spans="1:11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  <c r="K40" s="23" t="s">
        <v>41</v>
      </c>
    </row>
    <row r="41" spans="1:11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  <c r="K41" s="23" t="s">
        <v>41</v>
      </c>
    </row>
    <row r="43" spans="1:11" x14ac:dyDescent="0.25">
      <c r="A43" t="s">
        <v>14</v>
      </c>
    </row>
    <row r="44" spans="1:11" x14ac:dyDescent="0.25">
      <c r="A44" t="s">
        <v>15</v>
      </c>
      <c r="B44" s="7">
        <f t="shared" ref="B44:K44" si="8">B12/B11*100</f>
        <v>77.313107740178936</v>
      </c>
      <c r="C44" s="7">
        <f t="shared" si="8"/>
        <v>83.199505867819639</v>
      </c>
      <c r="D44" s="7">
        <f t="shared" si="8"/>
        <v>123.14707023670937</v>
      </c>
      <c r="E44" s="7">
        <f t="shared" si="8"/>
        <v>103.30130574033014</v>
      </c>
      <c r="F44" s="7">
        <f t="shared" si="8"/>
        <v>89.947089947089935</v>
      </c>
      <c r="G44" s="7">
        <f t="shared" si="8"/>
        <v>16.672222222222221</v>
      </c>
      <c r="H44" s="7">
        <f t="shared" si="8"/>
        <v>16.666666666666664</v>
      </c>
      <c r="I44" s="7">
        <f t="shared" si="8"/>
        <v>66.666666666666657</v>
      </c>
      <c r="J44" s="7" t="e">
        <f t="shared" si="8"/>
        <v>#DIV/0!</v>
      </c>
      <c r="K44" s="7" t="e">
        <f t="shared" si="8"/>
        <v>#DIV/0!</v>
      </c>
    </row>
    <row r="45" spans="1:11" x14ac:dyDescent="0.25">
      <c r="A45" t="s">
        <v>16</v>
      </c>
      <c r="B45" s="7">
        <f t="shared" ref="B45:K45" si="9">B18/B17*100</f>
        <v>88.397218258105198</v>
      </c>
      <c r="C45" s="7">
        <f t="shared" si="9"/>
        <v>87.393299721422721</v>
      </c>
      <c r="D45" s="7">
        <f t="shared" si="9"/>
        <v>111.06027816022974</v>
      </c>
      <c r="E45" s="7">
        <f t="shared" si="9"/>
        <v>94.357499226284332</v>
      </c>
      <c r="F45" s="7">
        <f t="shared" si="9"/>
        <v>115.23258905753566</v>
      </c>
      <c r="G45" s="7">
        <f t="shared" si="9"/>
        <v>34.186563079126174</v>
      </c>
      <c r="H45" s="7">
        <f t="shared" si="9"/>
        <v>24.245311674850399</v>
      </c>
      <c r="I45" s="7">
        <f t="shared" si="9"/>
        <v>20.682875139986194</v>
      </c>
      <c r="J45" s="7" t="e">
        <f t="shared" si="9"/>
        <v>#DIV/0!</v>
      </c>
      <c r="K45" s="7" t="e">
        <f t="shared" si="9"/>
        <v>#DIV/0!</v>
      </c>
    </row>
    <row r="46" spans="1:11" x14ac:dyDescent="0.25">
      <c r="A46" t="s">
        <v>17</v>
      </c>
      <c r="B46" s="7">
        <f t="shared" ref="B46:K46" si="10">AVERAGE(B44:B45)</f>
        <v>82.855162999142067</v>
      </c>
      <c r="C46" s="7">
        <f t="shared" si="10"/>
        <v>85.296402794621173</v>
      </c>
      <c r="D46" s="7">
        <f t="shared" si="10"/>
        <v>117.10367419846955</v>
      </c>
      <c r="E46" s="7">
        <f t="shared" si="10"/>
        <v>98.829402483307234</v>
      </c>
      <c r="F46" s="7">
        <f t="shared" si="10"/>
        <v>102.5898395023128</v>
      </c>
      <c r="G46" s="7">
        <f t="shared" si="10"/>
        <v>25.429392650674195</v>
      </c>
      <c r="H46" s="7">
        <f t="shared" si="10"/>
        <v>20.455989170758532</v>
      </c>
      <c r="I46" s="7">
        <f t="shared" si="10"/>
        <v>43.674770903326426</v>
      </c>
      <c r="J46" s="7" t="e">
        <f t="shared" si="10"/>
        <v>#DIV/0!</v>
      </c>
      <c r="K46" s="7" t="e">
        <f t="shared" si="10"/>
        <v>#DIV/0!</v>
      </c>
    </row>
    <row r="47" spans="1:11" x14ac:dyDescent="0.25">
      <c r="B47" s="7"/>
      <c r="C47" s="7"/>
      <c r="D47" s="7"/>
      <c r="E47" s="7"/>
      <c r="F47" s="7"/>
      <c r="G47" s="7"/>
      <c r="H47" s="7"/>
    </row>
    <row r="48" spans="1:11" x14ac:dyDescent="0.25">
      <c r="A48" t="s">
        <v>18</v>
      </c>
    </row>
    <row r="49" spans="1:12" x14ac:dyDescent="0.25">
      <c r="A49" t="s">
        <v>19</v>
      </c>
      <c r="B49" s="33">
        <f>B12/(B13)*100</f>
        <v>58.006896439018831</v>
      </c>
      <c r="C49" s="33">
        <f t="shared" ref="C49:K49" si="11">C12/(C13)*100</f>
        <v>62.399629400864733</v>
      </c>
      <c r="D49" s="33">
        <f t="shared" si="11"/>
        <v>123.14707023670937</v>
      </c>
      <c r="E49" s="33">
        <f t="shared" si="11"/>
        <v>103.30130574033014</v>
      </c>
      <c r="F49" s="33">
        <f t="shared" si="11"/>
        <v>89.947089947089935</v>
      </c>
      <c r="G49" s="33">
        <f t="shared" si="11"/>
        <v>11.114814814814816</v>
      </c>
      <c r="H49" s="33">
        <f t="shared" si="11"/>
        <v>11.111111111111112</v>
      </c>
      <c r="I49" s="33">
        <f t="shared" si="11"/>
        <v>13.333333333333334</v>
      </c>
      <c r="J49" s="33" t="e">
        <f t="shared" si="11"/>
        <v>#DIV/0!</v>
      </c>
      <c r="K49" s="33" t="e">
        <f t="shared" si="11"/>
        <v>#DIV/0!</v>
      </c>
      <c r="L49" s="24"/>
    </row>
    <row r="50" spans="1:12" x14ac:dyDescent="0.25">
      <c r="A50" t="s">
        <v>20</v>
      </c>
      <c r="B50" s="7">
        <f>B18/B19*100</f>
        <v>60.901634945258046</v>
      </c>
      <c r="C50" s="7">
        <f>C18/C19*100</f>
        <v>60.503053653303382</v>
      </c>
      <c r="D50" s="7">
        <f t="shared" ref="D50:K50" si="12">D18/D19*100</f>
        <v>99.95425034420677</v>
      </c>
      <c r="E50" s="7">
        <f t="shared" si="12"/>
        <v>65.324422541273776</v>
      </c>
      <c r="F50" s="7">
        <f t="shared" si="12"/>
        <v>79.776407809063159</v>
      </c>
      <c r="G50" s="7">
        <f t="shared" si="12"/>
        <v>22.791042052750779</v>
      </c>
      <c r="H50" s="7">
        <f t="shared" si="12"/>
        <v>16.163541116566936</v>
      </c>
      <c r="I50" s="7">
        <f t="shared" si="12"/>
        <v>6.5436293009515882</v>
      </c>
      <c r="J50" s="7" t="e">
        <f t="shared" si="12"/>
        <v>#DIV/0!</v>
      </c>
      <c r="K50" s="7" t="e">
        <f t="shared" si="12"/>
        <v>#DIV/0!</v>
      </c>
    </row>
    <row r="51" spans="1:12" x14ac:dyDescent="0.25">
      <c r="A51" t="s">
        <v>21</v>
      </c>
      <c r="B51" s="7">
        <f>(B49+B50)/2</f>
        <v>59.454265692138435</v>
      </c>
      <c r="C51" s="7">
        <f>(C49+C50)/2</f>
        <v>61.451341527084054</v>
      </c>
      <c r="D51" s="7">
        <f t="shared" ref="D51:K51" si="13">(D49+D50)/2</f>
        <v>111.55066029045807</v>
      </c>
      <c r="E51" s="7">
        <f t="shared" si="13"/>
        <v>84.312864140801963</v>
      </c>
      <c r="F51" s="7">
        <f t="shared" si="13"/>
        <v>84.861748878076554</v>
      </c>
      <c r="G51" s="7">
        <f t="shared" si="13"/>
        <v>16.952928433782798</v>
      </c>
      <c r="H51" s="7">
        <f t="shared" si="13"/>
        <v>13.637326113839023</v>
      </c>
      <c r="I51" s="7">
        <f t="shared" si="13"/>
        <v>9.9384813171424611</v>
      </c>
      <c r="J51" s="7" t="e">
        <f t="shared" si="13"/>
        <v>#DIV/0!</v>
      </c>
      <c r="K51" s="7" t="e">
        <f t="shared" si="13"/>
        <v>#DIV/0!</v>
      </c>
    </row>
    <row r="53" spans="1:12" x14ac:dyDescent="0.25">
      <c r="A53" t="s">
        <v>35</v>
      </c>
    </row>
    <row r="54" spans="1:12" x14ac:dyDescent="0.25">
      <c r="A54" t="s">
        <v>22</v>
      </c>
      <c r="B54" s="7">
        <f>B20/B18*100</f>
        <v>99.064336814623019</v>
      </c>
      <c r="C54" s="7"/>
      <c r="D54" s="7"/>
      <c r="E54" s="7"/>
      <c r="F54" s="7"/>
      <c r="G54" s="7"/>
      <c r="H54" s="7"/>
      <c r="I54" s="7"/>
      <c r="J54" s="7"/>
      <c r="K54" s="7"/>
      <c r="L54" s="24"/>
    </row>
    <row r="56" spans="1:12" x14ac:dyDescent="0.25">
      <c r="A56" t="s">
        <v>23</v>
      </c>
    </row>
    <row r="57" spans="1:12" x14ac:dyDescent="0.25">
      <c r="A57" t="s">
        <v>24</v>
      </c>
      <c r="B57" s="7">
        <f>((B12/B10)-1)*100</f>
        <v>260.22994171716891</v>
      </c>
      <c r="C57" s="7">
        <f>((C12/C10)-1)*100</f>
        <v>705.24742610428427</v>
      </c>
      <c r="D57" s="7">
        <f t="shared" ref="D57:K57" si="14">((D12/D10)-1)*100</f>
        <v>-8.1343175568099451</v>
      </c>
      <c r="E57" s="7">
        <f>((E12/E10)-1)*100</f>
        <v>22.244897959183696</v>
      </c>
      <c r="F57" s="7" t="e">
        <f t="shared" si="14"/>
        <v>#DIV/0!</v>
      </c>
      <c r="G57" s="7">
        <f t="shared" si="14"/>
        <v>-64.35020194820622</v>
      </c>
      <c r="H57" s="7">
        <f t="shared" si="14"/>
        <v>-62.36559139784945</v>
      </c>
      <c r="I57" s="7" t="e">
        <f t="shared" si="14"/>
        <v>#DIV/0!</v>
      </c>
      <c r="J57" s="7" t="e">
        <f t="shared" si="14"/>
        <v>#DIV/0!</v>
      </c>
      <c r="K57" s="7">
        <f t="shared" si="14"/>
        <v>-100</v>
      </c>
      <c r="L57" s="24"/>
    </row>
    <row r="58" spans="1:12" x14ac:dyDescent="0.25">
      <c r="A58" t="s">
        <v>25</v>
      </c>
      <c r="B58" s="33">
        <f>((B33/B32)-1)*100</f>
        <v>6.3771103187305389</v>
      </c>
      <c r="C58" s="33">
        <f>((C33/C32)-1)*100</f>
        <v>-1.2153789596227149</v>
      </c>
      <c r="D58" s="7">
        <f t="shared" ref="D58:K58" si="15">((D33/D32)-1)*100</f>
        <v>50.776725343986051</v>
      </c>
      <c r="E58" s="7">
        <f>((E33/E32)-1)*100</f>
        <v>1.5198110064839732</v>
      </c>
      <c r="F58" s="7" t="e">
        <f t="shared" si="15"/>
        <v>#DIV/0!</v>
      </c>
      <c r="G58" s="7">
        <f t="shared" si="15"/>
        <v>150.38164808720734</v>
      </c>
      <c r="H58" s="7">
        <f t="shared" si="15"/>
        <v>10.590100782401922</v>
      </c>
      <c r="I58" s="7">
        <f t="shared" si="15"/>
        <v>-74.616152466015791</v>
      </c>
      <c r="J58" s="7" t="e">
        <f t="shared" si="15"/>
        <v>#DIV/0!</v>
      </c>
      <c r="K58" s="7">
        <f t="shared" si="15"/>
        <v>-100</v>
      </c>
      <c r="L58" s="24"/>
    </row>
    <row r="59" spans="1:12" x14ac:dyDescent="0.25">
      <c r="A59" t="s">
        <v>26</v>
      </c>
      <c r="B59" s="7">
        <f>((B35/B34)-1)*100</f>
        <v>-70.46966451160479</v>
      </c>
      <c r="C59" s="7">
        <f>((C35/C34)-1)*100</f>
        <v>-87.732389097064427</v>
      </c>
      <c r="D59" s="7">
        <f t="shared" ref="D59:K59" si="16">((D35/D34)-1)*100</f>
        <v>64.127366535623025</v>
      </c>
      <c r="E59" s="7">
        <f>((E35/E34)-1)*100</f>
        <v>-16.953743917901253</v>
      </c>
      <c r="F59" s="7" t="e">
        <f t="shared" si="16"/>
        <v>#DIV/0!</v>
      </c>
      <c r="G59" s="7">
        <f t="shared" si="16"/>
        <v>602.33679226861409</v>
      </c>
      <c r="H59" s="7">
        <f t="shared" si="16"/>
        <v>193.85369636466794</v>
      </c>
      <c r="I59" s="7" t="e">
        <f t="shared" si="16"/>
        <v>#DIV/0!</v>
      </c>
      <c r="J59" s="7" t="e">
        <f t="shared" si="16"/>
        <v>#DIV/0!</v>
      </c>
      <c r="K59" s="7" t="e">
        <f t="shared" si="16"/>
        <v>#DIV/0!</v>
      </c>
    </row>
    <row r="60" spans="1:12" x14ac:dyDescent="0.25">
      <c r="B60" s="8"/>
      <c r="C60" s="8"/>
      <c r="D60" s="8"/>
      <c r="E60" s="8"/>
      <c r="F60" s="8"/>
      <c r="G60" s="8"/>
      <c r="H60" s="8"/>
    </row>
    <row r="61" spans="1:12" x14ac:dyDescent="0.25">
      <c r="A61" t="s">
        <v>27</v>
      </c>
    </row>
    <row r="62" spans="1:12" x14ac:dyDescent="0.25">
      <c r="A62" t="s">
        <v>28</v>
      </c>
      <c r="B62" s="4">
        <f>B17/(B11*9)</f>
        <v>35793.29926362972</v>
      </c>
      <c r="C62" s="4">
        <f>C17/(C11*9)</f>
        <v>29761.587835117698</v>
      </c>
      <c r="D62" s="4">
        <f t="shared" ref="D62:K62" si="17">D17/(D11*9)</f>
        <v>85188.526193247963</v>
      </c>
      <c r="E62" s="4">
        <f t="shared" si="17"/>
        <v>339368.27698447893</v>
      </c>
      <c r="F62" s="4">
        <f t="shared" si="17"/>
        <v>655786.71666666656</v>
      </c>
      <c r="G62" s="4">
        <f t="shared" si="17"/>
        <v>7267.184302222222</v>
      </c>
      <c r="H62" s="4">
        <f t="shared" si="17"/>
        <v>9903.2835504761897</v>
      </c>
      <c r="I62" s="4">
        <f t="shared" si="17"/>
        <v>32441294.222222224</v>
      </c>
      <c r="J62" s="4" t="e">
        <f t="shared" si="17"/>
        <v>#DIV/0!</v>
      </c>
      <c r="K62" s="4" t="e">
        <f t="shared" si="17"/>
        <v>#DIV/0!</v>
      </c>
    </row>
    <row r="63" spans="1:12" x14ac:dyDescent="0.25">
      <c r="A63" t="s">
        <v>29</v>
      </c>
      <c r="B63" s="4">
        <f>B18/(B12*9)</f>
        <v>40924.859699313769</v>
      </c>
      <c r="C63" s="4">
        <f>C18/(C12*9)</f>
        <v>31261.764582978183</v>
      </c>
      <c r="D63" s="4">
        <f t="shared" ref="D63:K63" si="18">D18/(D12*9)</f>
        <v>76827.33658946483</v>
      </c>
      <c r="E63" s="4">
        <f t="shared" si="18"/>
        <v>309985.83903171954</v>
      </c>
      <c r="F63" s="4">
        <f t="shared" si="18"/>
        <v>840138.36662745103</v>
      </c>
      <c r="G63" s="4">
        <f t="shared" si="18"/>
        <v>14901.436127957346</v>
      </c>
      <c r="H63" s="4">
        <f t="shared" si="18"/>
        <v>14406.491777142857</v>
      </c>
      <c r="I63" s="4">
        <f t="shared" si="18"/>
        <v>10064688.566666666</v>
      </c>
      <c r="J63" s="4" t="e">
        <f t="shared" si="18"/>
        <v>#DIV/0!</v>
      </c>
      <c r="K63" s="4" t="e">
        <f t="shared" si="18"/>
        <v>#DIV/0!</v>
      </c>
    </row>
    <row r="64" spans="1:12" x14ac:dyDescent="0.25">
      <c r="A64" t="s">
        <v>30</v>
      </c>
      <c r="B64" s="10">
        <f>(B63/B62)*B46</f>
        <v>94.733818643791736</v>
      </c>
      <c r="C64" s="10">
        <f t="shared" ref="C64:K64" si="19">(C63/C62)*C46</f>
        <v>89.595893831777616</v>
      </c>
      <c r="D64" s="10">
        <f t="shared" si="19"/>
        <v>105.61003688571772</v>
      </c>
      <c r="E64" s="10">
        <f t="shared" si="19"/>
        <v>90.272772464211883</v>
      </c>
      <c r="F64" s="10">
        <f t="shared" si="19"/>
        <v>131.42940837555153</v>
      </c>
      <c r="G64" s="10">
        <f t="shared" si="19"/>
        <v>52.143231077942481</v>
      </c>
      <c r="H64" s="10">
        <f t="shared" si="19"/>
        <v>29.757709983744313</v>
      </c>
      <c r="I64" s="10">
        <f t="shared" si="19"/>
        <v>13.549797500415037</v>
      </c>
      <c r="J64" s="10" t="e">
        <f t="shared" si="19"/>
        <v>#DIV/0!</v>
      </c>
      <c r="K64" s="10" t="e">
        <f t="shared" si="19"/>
        <v>#DIV/0!</v>
      </c>
    </row>
    <row r="65" spans="1:11" x14ac:dyDescent="0.25">
      <c r="A65" t="s">
        <v>39</v>
      </c>
      <c r="B65" s="4">
        <f>B17/B11</f>
        <v>322139.69337266748</v>
      </c>
      <c r="C65" s="4">
        <f>C17/C11</f>
        <v>267854.29051605926</v>
      </c>
      <c r="D65" s="4">
        <f t="shared" ref="D65:K66" si="20">D17/D11</f>
        <v>766696.73573923169</v>
      </c>
      <c r="E65" s="4">
        <f t="shared" si="20"/>
        <v>3054314.4928603102</v>
      </c>
      <c r="F65" s="4">
        <f t="shared" si="20"/>
        <v>5902080.4499999993</v>
      </c>
      <c r="G65" s="4">
        <f t="shared" si="20"/>
        <v>65404.658719999999</v>
      </c>
      <c r="H65" s="4">
        <f t="shared" si="20"/>
        <v>89129.551954285707</v>
      </c>
      <c r="I65" s="4">
        <f t="shared" si="20"/>
        <v>291971648</v>
      </c>
      <c r="J65" s="4" t="e">
        <f t="shared" si="20"/>
        <v>#DIV/0!</v>
      </c>
      <c r="K65" s="4" t="e">
        <f t="shared" si="20"/>
        <v>#DIV/0!</v>
      </c>
    </row>
    <row r="66" spans="1:11" x14ac:dyDescent="0.25">
      <c r="A66" t="s">
        <v>40</v>
      </c>
      <c r="B66" s="4">
        <f>B18/B12</f>
        <v>368323.73729382391</v>
      </c>
      <c r="C66" s="4">
        <f>C18/C12</f>
        <v>281355.88124680362</v>
      </c>
      <c r="D66" s="4">
        <f t="shared" si="20"/>
        <v>691446.02930518345</v>
      </c>
      <c r="E66" s="4">
        <f t="shared" si="20"/>
        <v>2789872.5512854755</v>
      </c>
      <c r="F66" s="4">
        <f t="shared" si="20"/>
        <v>7561245.2996470593</v>
      </c>
      <c r="G66" s="4">
        <f t="shared" si="20"/>
        <v>134112.9251516161</v>
      </c>
      <c r="H66" s="4">
        <f t="shared" si="20"/>
        <v>129658.4259942857</v>
      </c>
      <c r="I66" s="4">
        <f t="shared" si="20"/>
        <v>90582197.100000009</v>
      </c>
      <c r="J66" s="4" t="e">
        <f t="shared" si="20"/>
        <v>#DIV/0!</v>
      </c>
      <c r="K66" s="4" t="e">
        <f t="shared" si="20"/>
        <v>#DIV/0!</v>
      </c>
    </row>
    <row r="67" spans="1:11" x14ac:dyDescent="0.25">
      <c r="B67" s="7"/>
      <c r="C67" s="7"/>
      <c r="D67" s="7"/>
      <c r="E67" s="7"/>
      <c r="F67" s="7"/>
      <c r="G67" s="7"/>
      <c r="H67" s="7"/>
    </row>
    <row r="68" spans="1:11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1" x14ac:dyDescent="0.25">
      <c r="A69" t="s">
        <v>32</v>
      </c>
      <c r="B69" s="8">
        <f>(B24/B23)*100</f>
        <v>97.34749385639978</v>
      </c>
      <c r="C69" s="8"/>
      <c r="D69" s="7"/>
      <c r="E69" s="7"/>
      <c r="F69" s="7"/>
      <c r="G69" s="7"/>
      <c r="H69" s="7"/>
    </row>
    <row r="70" spans="1:11" x14ac:dyDescent="0.25">
      <c r="A70" t="s">
        <v>33</v>
      </c>
      <c r="B70" s="8">
        <f>(B18/B24)*100</f>
        <v>90.805848981076622</v>
      </c>
      <c r="C70" s="8"/>
      <c r="D70" s="7"/>
      <c r="E70" s="7"/>
      <c r="F70" s="7"/>
      <c r="G70" s="7"/>
      <c r="H70" s="7"/>
    </row>
    <row r="71" spans="1:11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ht="15.75" thickTop="1" x14ac:dyDescent="0.25"/>
    <row r="73" spans="1:11" x14ac:dyDescent="0.25">
      <c r="A73" s="12" t="s">
        <v>34</v>
      </c>
    </row>
    <row r="74" spans="1:11" x14ac:dyDescent="0.25">
      <c r="A74" t="s">
        <v>91</v>
      </c>
    </row>
    <row r="75" spans="1:11" x14ac:dyDescent="0.25">
      <c r="A75" t="s">
        <v>92</v>
      </c>
      <c r="B75" s="10"/>
      <c r="C75" s="10"/>
      <c r="D75" s="10"/>
      <c r="E75" s="10"/>
      <c r="F75" s="10"/>
    </row>
    <row r="76" spans="1:11" x14ac:dyDescent="0.25">
      <c r="A76" t="s">
        <v>93</v>
      </c>
    </row>
    <row r="79" spans="1:11" x14ac:dyDescent="0.25">
      <c r="A79" t="s">
        <v>140</v>
      </c>
    </row>
    <row r="80" spans="1:11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141</v>
      </c>
    </row>
  </sheetData>
  <mergeCells count="4">
    <mergeCell ref="A4:A5"/>
    <mergeCell ref="B4:B5"/>
    <mergeCell ref="C4:K4"/>
    <mergeCell ref="A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4"/>
  <sheetViews>
    <sheetView tabSelected="1" zoomScale="70" zoomScaleNormal="70" workbookViewId="0">
      <selection activeCell="K5" sqref="K5"/>
    </sheetView>
  </sheetViews>
  <sheetFormatPr baseColWidth="10" defaultColWidth="11.42578125" defaultRowHeight="15" x14ac:dyDescent="0.25"/>
  <cols>
    <col min="1" max="1" width="55.140625" customWidth="1"/>
    <col min="2" max="2" width="17.5703125" bestFit="1" customWidth="1"/>
    <col min="3" max="3" width="17.5703125" customWidth="1"/>
    <col min="4" max="4" width="16.5703125" bestFit="1" customWidth="1"/>
    <col min="5" max="5" width="16.42578125" customWidth="1"/>
    <col min="6" max="6" width="17.5703125" bestFit="1" customWidth="1"/>
    <col min="7" max="8" width="15.28515625" customWidth="1"/>
    <col min="9" max="9" width="15.7109375" customWidth="1"/>
    <col min="10" max="10" width="16.140625" customWidth="1"/>
  </cols>
  <sheetData>
    <row r="2" spans="1:16" ht="15.75" x14ac:dyDescent="0.25">
      <c r="A2" s="60" t="s">
        <v>115</v>
      </c>
      <c r="B2" s="60"/>
      <c r="C2" s="60"/>
      <c r="D2" s="60"/>
      <c r="E2" s="60"/>
      <c r="F2" s="60"/>
      <c r="G2" s="60"/>
      <c r="H2" s="60"/>
      <c r="I2" s="60"/>
      <c r="J2" s="60"/>
    </row>
    <row r="4" spans="1:16" x14ac:dyDescent="0.25">
      <c r="A4" s="56" t="s">
        <v>0</v>
      </c>
      <c r="B4" s="21"/>
      <c r="C4" s="21"/>
      <c r="D4" s="61" t="s">
        <v>2</v>
      </c>
      <c r="E4" s="61"/>
      <c r="F4" s="61"/>
      <c r="G4" s="61"/>
      <c r="H4" s="61"/>
      <c r="I4" s="61"/>
      <c r="J4" s="28"/>
    </row>
    <row r="5" spans="1:16" ht="105.75" thickBot="1" x14ac:dyDescent="0.3">
      <c r="A5" s="57"/>
      <c r="B5" s="1" t="s">
        <v>1</v>
      </c>
      <c r="C5" s="54" t="s">
        <v>135</v>
      </c>
      <c r="D5" s="54" t="s">
        <v>47</v>
      </c>
      <c r="E5" s="54" t="s">
        <v>134</v>
      </c>
      <c r="F5" s="55" t="s">
        <v>136</v>
      </c>
      <c r="G5" s="54" t="s">
        <v>48</v>
      </c>
      <c r="H5" s="54" t="s">
        <v>49</v>
      </c>
      <c r="I5" s="55" t="s">
        <v>137</v>
      </c>
      <c r="J5" s="35" t="s">
        <v>50</v>
      </c>
      <c r="P5" s="41"/>
    </row>
    <row r="6" spans="1:16" ht="15.75" thickTop="1" x14ac:dyDescent="0.25"/>
    <row r="7" spans="1:16" x14ac:dyDescent="0.25">
      <c r="A7" s="2" t="s">
        <v>3</v>
      </c>
    </row>
    <row r="9" spans="1:16" x14ac:dyDescent="0.25">
      <c r="A9" t="s">
        <v>4</v>
      </c>
    </row>
    <row r="10" spans="1:16" x14ac:dyDescent="0.25">
      <c r="A10" s="3" t="s">
        <v>79</v>
      </c>
      <c r="B10" s="46">
        <f>C10+D10+E10+F10+G10+H10+I10+J10</f>
        <v>9473.5833333333321</v>
      </c>
      <c r="C10" s="13">
        <f>(+'I Trimestre'!C10+'II trimestre'!C10+'III Trimestre'!C10+'IV Trimestre'!C10)/4</f>
        <v>3011</v>
      </c>
      <c r="D10" s="13">
        <f>(+'I Trimestre'!D10+'II trimestre'!D10+'III Trimestre'!D10+'IV Trimestre'!D10)/4</f>
        <v>2399.75</v>
      </c>
      <c r="E10" s="13">
        <f>(+'I Trimestre'!E10+'II trimestre'!E10+'III Trimestre'!E10+'IV Trimestre'!E10)/4</f>
        <v>385.33333333333331</v>
      </c>
      <c r="F10" s="13">
        <f>(+'I Trimestre'!F10+'II trimestre'!F10+'III Trimestre'!F10+'IV Trimestre'!F10)/4</f>
        <v>15.75</v>
      </c>
      <c r="G10" s="13">
        <f>(+'I Trimestre'!G10+'II trimestre'!G10+'III Trimestre'!G10+'IV Trimestre'!G10)/4</f>
        <v>1403</v>
      </c>
      <c r="H10" s="13">
        <f>(+'I Trimestre'!H10+'II trimestre'!H10+'III Trimestre'!H10+'IV Trimestre'!H10)/4</f>
        <v>1550</v>
      </c>
      <c r="I10" s="13">
        <f>(+'I Trimestre'!I10+'II trimestre'!I10+'III Trimestre'!I10+'IV Trimestre'!I10)/4</f>
        <v>0</v>
      </c>
      <c r="J10" s="13">
        <f>(+'I Trimestre'!K10+'II trimestre'!K10+'III Trimestre'!K10+'IV Trimestre'!K10)/4</f>
        <v>708.75</v>
      </c>
    </row>
    <row r="11" spans="1:16" x14ac:dyDescent="0.25">
      <c r="A11" s="3" t="s">
        <v>128</v>
      </c>
      <c r="B11" s="46">
        <f>C11+D11+E11+F11+G11+H11</f>
        <v>47588</v>
      </c>
      <c r="C11" s="13">
        <f>(+'I Trimestre'!C11+'II trimestre'!C11+'III Trimestre'!C11+'IV Trimestre'!C11)</f>
        <v>38856</v>
      </c>
      <c r="D11" s="13">
        <f>(+'I Trimestre'!D11+'II trimestre'!D11+'III Trimestre'!D11+'IV Trimestre'!D11)/4</f>
        <v>1718</v>
      </c>
      <c r="E11" s="13">
        <f>(+'I Trimestre'!E11+'II trimestre'!E11+'III Trimestre'!E11+'IV Trimestre'!E11)/4</f>
        <v>451</v>
      </c>
      <c r="F11" s="13">
        <f>(+'I Trimestre'!F11+'II trimestre'!F11+'III Trimestre'!F11+'IV Trimestre'!F11)/4</f>
        <v>63</v>
      </c>
      <c r="G11" s="13">
        <f>'IV Trimestre'!G13</f>
        <v>3000</v>
      </c>
      <c r="H11" s="13">
        <f>'IV Trimestre'!H13</f>
        <v>3500</v>
      </c>
      <c r="I11" s="13">
        <f>(+'I Trimestre'!I11+'II trimestre'!I11+'III Trimestre'!I11+'IV Trimestre'!I11)</f>
        <v>5</v>
      </c>
      <c r="J11" s="13">
        <f>(+'I Trimestre'!K11+'II trimestre'!K11+'III Trimestre'!K11+'IV Trimestre'!K11)</f>
        <v>0</v>
      </c>
    </row>
    <row r="12" spans="1:16" x14ac:dyDescent="0.25">
      <c r="A12" s="3" t="s">
        <v>129</v>
      </c>
      <c r="B12" s="46">
        <f>C12+D12+E12+F12+G12+H12</f>
        <v>38095.833333333328</v>
      </c>
      <c r="C12" s="13">
        <f>(+'I Trimestre'!C12+'II trimestre'!C12+'III Trimestre'!C12+'IV Trimestre'!C12)</f>
        <v>34497</v>
      </c>
      <c r="D12" s="13">
        <f>(+'I Trimestre'!D12+'II trimestre'!D12+'III Trimestre'!D12+'IV Trimestre'!D12)/4</f>
        <v>2103.166666666667</v>
      </c>
      <c r="E12" s="13">
        <f>(+'I Trimestre'!E12+'II trimestre'!E12+'III Trimestre'!E12+'IV Trimestre'!E12)/4</f>
        <v>472.08333333333337</v>
      </c>
      <c r="F12" s="13">
        <f>(+'I Trimestre'!F12+'II trimestre'!F12+'III Trimestre'!F12+'IV Trimestre'!F12)/4</f>
        <v>55.75</v>
      </c>
      <c r="G12" s="13">
        <f>(+'I Trimestre'!G12+'II trimestre'!G12+'III Trimestre'!G12+'IV Trimestre'!G12)/4</f>
        <v>426.16666666666669</v>
      </c>
      <c r="H12" s="13">
        <f>(+'I Trimestre'!H12+'II trimestre'!H12+'III Trimestre'!H12+'IV Trimestre'!H12)/4</f>
        <v>541.66666666666674</v>
      </c>
      <c r="I12" s="13">
        <f>(+'I Trimestre'!I12+'II trimestre'!I12+'III Trimestre'!I12+'IV Trimestre'!I12)</f>
        <v>2</v>
      </c>
      <c r="J12" s="13">
        <f>(+'I Trimestre'!K12+'II trimestre'!K12+'III Trimestre'!K12+'IV Trimestre'!K12)</f>
        <v>0</v>
      </c>
    </row>
    <row r="13" spans="1:16" s="41" customFormat="1" x14ac:dyDescent="0.25">
      <c r="A13" s="42" t="s">
        <v>86</v>
      </c>
      <c r="B13" s="46">
        <f>C13+D13+E13+F13+G13+H13</f>
        <v>47588</v>
      </c>
      <c r="C13" s="13">
        <f>+'IV Trimestre'!C13</f>
        <v>38856</v>
      </c>
      <c r="D13" s="13">
        <f>+'IV Trimestre'!D13</f>
        <v>1718</v>
      </c>
      <c r="E13" s="13">
        <f>+'IV Trimestre'!E13</f>
        <v>451</v>
      </c>
      <c r="F13" s="13">
        <f>+'IV Trimestre'!F13</f>
        <v>63</v>
      </c>
      <c r="G13" s="13">
        <f>+'IV Trimestre'!G13</f>
        <v>3000</v>
      </c>
      <c r="H13" s="13">
        <f>+'IV Trimestre'!H13</f>
        <v>3500</v>
      </c>
      <c r="I13" s="13">
        <f>+'IV Trimestre'!I13</f>
        <v>5</v>
      </c>
      <c r="J13" s="13">
        <f>+'IV Trimestre'!K13</f>
        <v>0</v>
      </c>
    </row>
    <row r="15" spans="1:16" x14ac:dyDescent="0.25">
      <c r="A15" s="5" t="s">
        <v>5</v>
      </c>
    </row>
    <row r="16" spans="1:16" x14ac:dyDescent="0.25">
      <c r="A16" s="3" t="s">
        <v>54</v>
      </c>
      <c r="B16" s="4">
        <f>SUM(C16:J16)</f>
        <v>13768691417.620001</v>
      </c>
      <c r="C16" s="13">
        <f>+'I Trimestre'!C16+'II trimestre'!C16+'III Trimestre'!C16+'IV Trimestre'!C16</f>
        <v>9476136157.5300007</v>
      </c>
      <c r="D16" s="13">
        <f>+'I Trimestre'!D16+'II trimestre'!D16+'III Trimestre'!D16+'IV Trimestre'!D16</f>
        <v>1258756185.26</v>
      </c>
      <c r="E16" s="13">
        <f>+'I Trimestre'!E16+'II trimestre'!E16+'III Trimestre'!E16+'IV Trimestre'!E16</f>
        <v>1705716653.04</v>
      </c>
      <c r="F16" s="13">
        <f>+'I Trimestre'!F16+'II trimestre'!F16+'III Trimestre'!F16+'IV Trimestre'!F16</f>
        <v>253749143.75999999</v>
      </c>
      <c r="G16" s="13">
        <f>+'I Trimestre'!G16+'II trimestre'!G16+'III Trimestre'!G16+'IV Trimestre'!G16</f>
        <v>109987045.63</v>
      </c>
      <c r="H16" s="13">
        <f>+'I Trimestre'!H16+'II trimestre'!H16+'III Trimestre'!H16+'IV Trimestre'!H16</f>
        <v>220240480.98000002</v>
      </c>
      <c r="I16" s="13">
        <f>+'I Trimestre'!I16+'II trimestre'!I16+'III Trimestre'!I16+'IV Trimestre'!I16</f>
        <v>339126254.51999998</v>
      </c>
      <c r="J16" s="13">
        <f>+'I Trimestre'!K16+'II trimestre'!K16+'III Trimestre'!K16+'IV Trimestre'!K16</f>
        <v>404979496.89999998</v>
      </c>
    </row>
    <row r="17" spans="1:11" x14ac:dyDescent="0.25">
      <c r="A17" s="3" t="s">
        <v>128</v>
      </c>
      <c r="B17" s="4">
        <f t="shared" ref="B17:B19" si="0">SUM(C17:J17)</f>
        <v>16696424115.890999</v>
      </c>
      <c r="C17" s="13">
        <f>+'I Trimestre'!C17+'II trimestre'!C17+'III Trimestre'!C17+'IV Trimestre'!C17</f>
        <v>11275058504.980999</v>
      </c>
      <c r="D17" s="13">
        <f>+'I Trimestre'!D17+'II trimestre'!D17+'III Trimestre'!D17+'IV Trimestre'!D17</f>
        <v>1463538880</v>
      </c>
      <c r="E17" s="13">
        <f>+'I Trimestre'!E17+'II trimestre'!E17+'III Trimestre'!E17+'IV Trimestre'!E17</f>
        <v>1989716207.96</v>
      </c>
      <c r="F17" s="13">
        <f>+'I Trimestre'!F17+'II trimestre'!F17+'III Trimestre'!F17+'IV Trimestre'!F17</f>
        <v>537089320.94999993</v>
      </c>
      <c r="G17" s="13">
        <f>+'I Trimestre'!G17+'II trimestre'!G17+'III Trimestre'!G17+'IV Trimestre'!G17</f>
        <v>196213976.16</v>
      </c>
      <c r="H17" s="13">
        <f>+'I Trimestre'!H17+'II trimestre'!H17+'III Trimestre'!H17+'IV Trimestre'!H17</f>
        <v>311953431.84000003</v>
      </c>
      <c r="I17" s="13">
        <f>+'I Trimestre'!I17+'II trimestre'!I17+'III Trimestre'!I17+'IV Trimestre'!I17</f>
        <v>922853794</v>
      </c>
      <c r="J17" s="13">
        <f>+'I Trimestre'!K17+'II trimestre'!K17+'III Trimestre'!K17+'IV Trimestre'!K17</f>
        <v>0</v>
      </c>
    </row>
    <row r="18" spans="1:11" x14ac:dyDescent="0.25">
      <c r="A18" s="3" t="s">
        <v>129</v>
      </c>
      <c r="B18" s="4">
        <f t="shared" si="0"/>
        <v>14053152381.969999</v>
      </c>
      <c r="C18" s="13">
        <f>+'I Trimestre'!C18+'II trimestre'!C18+'III Trimestre'!C18+'IV Trimestre'!C18</f>
        <v>9567847528.8500004</v>
      </c>
      <c r="D18" s="13">
        <f>+'I Trimestre'!D18+'II trimestre'!D18+'III Trimestre'!D18+'IV Trimestre'!D18</f>
        <v>1462869316</v>
      </c>
      <c r="E18" s="13">
        <f>+'I Trimestre'!E18+'II trimestre'!E18+'III Trimestre'!E18+'IV Trimestre'!E18</f>
        <v>1720237715.6999998</v>
      </c>
      <c r="F18" s="13">
        <f>+'I Trimestre'!F18+'II trimestre'!F18+'III Trimestre'!F18+'IV Trimestre'!F18</f>
        <v>537066953.96000004</v>
      </c>
      <c r="G18" s="13">
        <f>+'I Trimestre'!G18+'II trimestre'!G18+'III Trimestre'!G18+'IV Trimestre'!G18</f>
        <v>132229775.47</v>
      </c>
      <c r="H18" s="13">
        <f>+'I Trimestre'!H18+'II trimestre'!H18+'III Trimestre'!H18+'IV Trimestre'!H18</f>
        <v>206667156.78999999</v>
      </c>
      <c r="I18" s="13">
        <f>+'I Trimestre'!I18+'II trimestre'!I18+'III Trimestre'!I18+'IV Trimestre'!I18</f>
        <v>61404012.199999996</v>
      </c>
      <c r="J18" s="13">
        <f>+'I Trimestre'!K18+'II trimestre'!K18+'III Trimestre'!K18+'IV Trimestre'!K18</f>
        <v>364829923</v>
      </c>
    </row>
    <row r="19" spans="1:11" x14ac:dyDescent="0.25">
      <c r="A19" s="3" t="s">
        <v>86</v>
      </c>
      <c r="B19" s="4">
        <f t="shared" si="0"/>
        <v>16696424117.891003</v>
      </c>
      <c r="C19" s="4">
        <f>+'IV Trimestre'!C19</f>
        <v>11275058504.981001</v>
      </c>
      <c r="D19" s="4">
        <f>+'IV Trimestre'!D19</f>
        <v>1463538880</v>
      </c>
      <c r="E19" s="4">
        <f>+'IV Trimestre'!E19</f>
        <v>1989716207.96</v>
      </c>
      <c r="F19" s="4">
        <f>+'IV Trimestre'!F19</f>
        <v>537089320.94999993</v>
      </c>
      <c r="G19" s="4">
        <f>+'IV Trimestre'!G19</f>
        <v>196213976.16000003</v>
      </c>
      <c r="H19" s="4">
        <f>+'IV Trimestre'!H19</f>
        <v>311953431.83999997</v>
      </c>
      <c r="I19" s="4">
        <f>+'IV Trimestre'!I19</f>
        <v>922853796</v>
      </c>
      <c r="J19" s="4">
        <f>+'IV Trimestre'!K19</f>
        <v>0</v>
      </c>
      <c r="K19" s="24"/>
    </row>
    <row r="20" spans="1:11" x14ac:dyDescent="0.25">
      <c r="A20" s="3" t="s">
        <v>130</v>
      </c>
      <c r="B20" s="47">
        <f>C20+D20+E20+F20+I20+G20+H20+J20</f>
        <v>14053152381.969999</v>
      </c>
      <c r="C20" s="46">
        <f>+'I Trimestre'!C20+'II trimestre'!C20+'III Trimestre'!C20+'IV Trimestre'!C20</f>
        <v>9567847528.8500004</v>
      </c>
      <c r="D20" s="46">
        <f t="shared" ref="D20:J20" si="1">D18</f>
        <v>1462869316</v>
      </c>
      <c r="E20" s="46">
        <f t="shared" si="1"/>
        <v>1720237715.6999998</v>
      </c>
      <c r="F20" s="46">
        <f t="shared" si="1"/>
        <v>537066953.96000004</v>
      </c>
      <c r="G20" s="46">
        <f t="shared" si="1"/>
        <v>132229775.47</v>
      </c>
      <c r="H20" s="46">
        <f t="shared" si="1"/>
        <v>206667156.78999999</v>
      </c>
      <c r="I20" s="46">
        <f t="shared" si="1"/>
        <v>61404012.199999996</v>
      </c>
      <c r="J20" s="46">
        <f t="shared" si="1"/>
        <v>364829923</v>
      </c>
      <c r="K20" s="24"/>
    </row>
    <row r="21" spans="1:11" x14ac:dyDescent="0.25">
      <c r="B21" s="4"/>
      <c r="C21" s="4"/>
      <c r="D21" s="4"/>
      <c r="E21" s="4"/>
      <c r="F21" s="4"/>
      <c r="G21" s="4"/>
      <c r="H21" s="4"/>
    </row>
    <row r="22" spans="1:11" x14ac:dyDescent="0.25">
      <c r="A22" s="3" t="s">
        <v>6</v>
      </c>
      <c r="B22" s="4"/>
      <c r="C22" s="4"/>
      <c r="D22" s="4"/>
      <c r="E22" s="4"/>
      <c r="F22" s="4"/>
      <c r="G22" s="4"/>
      <c r="H22" s="4"/>
    </row>
    <row r="23" spans="1:11" x14ac:dyDescent="0.25">
      <c r="A23" s="3" t="s">
        <v>128</v>
      </c>
      <c r="B23" s="13">
        <f>'I Trimestre'!B23+'II trimestre'!B23+'III Trimestre'!B23+'IV Trimestre'!B23</f>
        <v>16696424115.890999</v>
      </c>
      <c r="C23" s="13"/>
      <c r="D23" s="4"/>
      <c r="E23" s="4"/>
      <c r="F23" s="4"/>
      <c r="G23" s="4"/>
      <c r="H23" s="4"/>
    </row>
    <row r="24" spans="1:11" x14ac:dyDescent="0.25">
      <c r="A24" s="3" t="s">
        <v>129</v>
      </c>
      <c r="B24" s="13">
        <f>'I Trimestre'!B24+'II trimestre'!B24+'III Trimestre'!B24+'IV Trimestre'!B24</f>
        <v>15845805950.26</v>
      </c>
      <c r="C24" s="13"/>
      <c r="D24" s="4"/>
      <c r="E24" s="4"/>
      <c r="F24" s="4"/>
      <c r="G24" s="4"/>
      <c r="H24" s="4"/>
    </row>
    <row r="25" spans="1:11" x14ac:dyDescent="0.25">
      <c r="B25" s="4"/>
      <c r="C25" s="4"/>
      <c r="D25" s="4"/>
      <c r="E25" s="4"/>
      <c r="F25" s="4"/>
      <c r="G25" s="4"/>
      <c r="H25" s="4"/>
    </row>
    <row r="26" spans="1:11" x14ac:dyDescent="0.25">
      <c r="A26" t="s">
        <v>7</v>
      </c>
    </row>
    <row r="27" spans="1:11" x14ac:dyDescent="0.25">
      <c r="A27" s="3" t="s">
        <v>80</v>
      </c>
      <c r="B27" s="16">
        <v>0.99</v>
      </c>
      <c r="C27" s="16">
        <v>0.99</v>
      </c>
      <c r="D27" s="16">
        <v>0.99</v>
      </c>
      <c r="E27" s="16">
        <v>0.99</v>
      </c>
      <c r="F27" s="16">
        <v>0.99</v>
      </c>
      <c r="G27" s="16">
        <v>0.99</v>
      </c>
      <c r="H27" s="16">
        <v>0.99</v>
      </c>
      <c r="I27" s="16">
        <v>0.99</v>
      </c>
      <c r="J27" s="16">
        <v>0.99</v>
      </c>
    </row>
    <row r="28" spans="1:11" x14ac:dyDescent="0.25">
      <c r="A28" s="3" t="s">
        <v>131</v>
      </c>
      <c r="B28" s="11">
        <v>0.99</v>
      </c>
      <c r="C28" s="11">
        <v>0.99</v>
      </c>
      <c r="D28" s="11">
        <v>0.99</v>
      </c>
      <c r="E28" s="11">
        <v>0.99</v>
      </c>
      <c r="F28" s="11">
        <v>0.99</v>
      </c>
      <c r="G28" s="11">
        <v>0.99</v>
      </c>
      <c r="H28" s="11">
        <v>0.99</v>
      </c>
      <c r="I28" s="11">
        <v>0.99</v>
      </c>
      <c r="J28" s="11">
        <v>0.99</v>
      </c>
    </row>
    <row r="29" spans="1:11" x14ac:dyDescent="0.25">
      <c r="A29" s="3" t="s">
        <v>8</v>
      </c>
      <c r="B29" s="19" t="s">
        <v>42</v>
      </c>
      <c r="C29" s="19" t="s">
        <v>42</v>
      </c>
      <c r="D29" s="19" t="s">
        <v>42</v>
      </c>
      <c r="E29" s="19" t="s">
        <v>42</v>
      </c>
      <c r="F29" s="19" t="s">
        <v>42</v>
      </c>
      <c r="G29" s="19" t="s">
        <v>42</v>
      </c>
      <c r="H29" s="19" t="s">
        <v>42</v>
      </c>
      <c r="I29" s="19" t="s">
        <v>42</v>
      </c>
      <c r="J29" s="19" t="s">
        <v>42</v>
      </c>
    </row>
    <row r="31" spans="1:11" x14ac:dyDescent="0.25">
      <c r="A31" s="3" t="s">
        <v>9</v>
      </c>
    </row>
    <row r="32" spans="1:11" x14ac:dyDescent="0.25">
      <c r="A32" s="3" t="s">
        <v>81</v>
      </c>
      <c r="B32" s="22">
        <f>B16/B27</f>
        <v>13907769108.707071</v>
      </c>
      <c r="C32" s="22">
        <f>C16/C27</f>
        <v>9571854704.575758</v>
      </c>
      <c r="D32" s="22">
        <f t="shared" ref="D32:J32" si="2">D16/D27</f>
        <v>1271470894.2020202</v>
      </c>
      <c r="E32" s="22">
        <f>E16/E27</f>
        <v>1722946114.1818182</v>
      </c>
      <c r="F32" s="22">
        <f t="shared" si="2"/>
        <v>256312266.42424241</v>
      </c>
      <c r="G32" s="22">
        <f t="shared" si="2"/>
        <v>111098025.88888888</v>
      </c>
      <c r="H32" s="22">
        <f t="shared" si="2"/>
        <v>222465132.30303031</v>
      </c>
      <c r="I32" s="22">
        <f t="shared" si="2"/>
        <v>342551772.24242425</v>
      </c>
      <c r="J32" s="22">
        <f t="shared" si="2"/>
        <v>409070198.8888889</v>
      </c>
    </row>
    <row r="33" spans="1:10" x14ac:dyDescent="0.25">
      <c r="A33" s="3" t="s">
        <v>132</v>
      </c>
      <c r="B33" s="22">
        <f>B18/B28</f>
        <v>14195103416.131313</v>
      </c>
      <c r="C33" s="22">
        <f>C18/C28</f>
        <v>9664492453.3838387</v>
      </c>
      <c r="D33" s="22">
        <f t="shared" ref="D33:G33" si="3">D18/D28</f>
        <v>1477645773.7373738</v>
      </c>
      <c r="E33" s="22">
        <f>E18/E28</f>
        <v>1737613854.242424</v>
      </c>
      <c r="F33" s="22">
        <f t="shared" si="3"/>
        <v>542491872.68686879</v>
      </c>
      <c r="G33" s="22">
        <f t="shared" si="3"/>
        <v>133565429.76767677</v>
      </c>
      <c r="H33" s="22">
        <f t="shared" ref="H33:J33" si="4">H18/H28</f>
        <v>208754703.82828283</v>
      </c>
      <c r="I33" s="22">
        <f t="shared" si="4"/>
        <v>62024254.747474745</v>
      </c>
      <c r="J33" s="22">
        <f t="shared" si="4"/>
        <v>368515073.73737377</v>
      </c>
    </row>
    <row r="34" spans="1:10" x14ac:dyDescent="0.25">
      <c r="A34" s="3" t="s">
        <v>82</v>
      </c>
      <c r="B34" s="6">
        <f>B32/B10</f>
        <v>1468057.9269062646</v>
      </c>
      <c r="C34" s="6">
        <f>C32/C10</f>
        <v>3178962.0407093186</v>
      </c>
      <c r="D34" s="6">
        <f t="shared" ref="D34:J34" si="5">D32/D10</f>
        <v>529834.73036858847</v>
      </c>
      <c r="E34" s="6">
        <f>E32/E10</f>
        <v>4471313.4451085255</v>
      </c>
      <c r="F34" s="6">
        <f t="shared" si="5"/>
        <v>16273794.693602692</v>
      </c>
      <c r="G34" s="6">
        <f t="shared" si="5"/>
        <v>79186.048388374111</v>
      </c>
      <c r="H34" s="6">
        <f t="shared" si="5"/>
        <v>143525.89180840665</v>
      </c>
      <c r="I34" s="6" t="e">
        <f t="shared" si="5"/>
        <v>#DIV/0!</v>
      </c>
      <c r="J34" s="6">
        <f t="shared" si="5"/>
        <v>577171.35645698605</v>
      </c>
    </row>
    <row r="35" spans="1:10" x14ac:dyDescent="0.25">
      <c r="A35" s="3" t="s">
        <v>133</v>
      </c>
      <c r="B35" s="6">
        <f>B33/B12</f>
        <v>372615.64255403209</v>
      </c>
      <c r="C35" s="6">
        <f>C33/C12</f>
        <v>280154.57730770326</v>
      </c>
      <c r="D35" s="6">
        <f t="shared" ref="D35:J35" si="6">D33/D12</f>
        <v>702581.39649926627</v>
      </c>
      <c r="E35" s="6">
        <f>E33/E12</f>
        <v>3680735.4370536781</v>
      </c>
      <c r="F35" s="6">
        <f t="shared" si="6"/>
        <v>9730795.9226344172</v>
      </c>
      <c r="G35" s="6">
        <f t="shared" si="6"/>
        <v>313411.25483224896</v>
      </c>
      <c r="H35" s="6">
        <f t="shared" si="6"/>
        <v>385393.29937529133</v>
      </c>
      <c r="I35" s="6">
        <f t="shared" si="6"/>
        <v>31012127.373737372</v>
      </c>
      <c r="J35" s="6" t="e">
        <f t="shared" si="6"/>
        <v>#DIV/0!</v>
      </c>
    </row>
    <row r="37" spans="1:10" x14ac:dyDescent="0.25">
      <c r="A37" s="2" t="s">
        <v>10</v>
      </c>
    </row>
    <row r="39" spans="1:10" x14ac:dyDescent="0.25">
      <c r="A39" t="s">
        <v>11</v>
      </c>
    </row>
    <row r="40" spans="1:10" x14ac:dyDescent="0.25">
      <c r="A40" t="s">
        <v>12</v>
      </c>
      <c r="B40" s="23" t="s">
        <v>41</v>
      </c>
      <c r="C40" s="23" t="s">
        <v>41</v>
      </c>
      <c r="D40" s="23" t="s">
        <v>41</v>
      </c>
      <c r="E40" s="23" t="s">
        <v>41</v>
      </c>
      <c r="F40" s="23" t="s">
        <v>41</v>
      </c>
      <c r="G40" s="23" t="s">
        <v>41</v>
      </c>
      <c r="H40" s="23" t="s">
        <v>41</v>
      </c>
      <c r="I40" s="23" t="s">
        <v>41</v>
      </c>
      <c r="J40" s="23" t="s">
        <v>41</v>
      </c>
    </row>
    <row r="41" spans="1:10" x14ac:dyDescent="0.25">
      <c r="A41" t="s">
        <v>13</v>
      </c>
      <c r="B41" s="23" t="s">
        <v>41</v>
      </c>
      <c r="C41" s="23" t="s">
        <v>41</v>
      </c>
      <c r="D41" s="23" t="s">
        <v>41</v>
      </c>
      <c r="E41" s="23" t="s">
        <v>41</v>
      </c>
      <c r="F41" s="23" t="s">
        <v>41</v>
      </c>
      <c r="G41" s="23" t="s">
        <v>41</v>
      </c>
      <c r="H41" s="23" t="s">
        <v>41</v>
      </c>
      <c r="I41" s="23" t="s">
        <v>41</v>
      </c>
      <c r="J41" s="23" t="s">
        <v>41</v>
      </c>
    </row>
    <row r="43" spans="1:10" x14ac:dyDescent="0.25">
      <c r="A43" t="s">
        <v>14</v>
      </c>
    </row>
    <row r="44" spans="1:10" x14ac:dyDescent="0.25">
      <c r="A44" t="s">
        <v>15</v>
      </c>
      <c r="B44" s="7">
        <f>B12/B11*100</f>
        <v>80.053444846039611</v>
      </c>
      <c r="C44" s="7">
        <f>C12/C11*100</f>
        <v>88.7816553428042</v>
      </c>
      <c r="D44" s="7">
        <f t="shared" ref="D44:J44" si="7">D12/D11*100</f>
        <v>122.41948001552194</v>
      </c>
      <c r="E44" s="7">
        <f>E12/E11*100</f>
        <v>104.67479674796749</v>
      </c>
      <c r="F44" s="7">
        <f t="shared" si="7"/>
        <v>88.492063492063494</v>
      </c>
      <c r="G44" s="7">
        <f t="shared" si="7"/>
        <v>14.205555555555557</v>
      </c>
      <c r="H44" s="7">
        <f t="shared" si="7"/>
        <v>15.47619047619048</v>
      </c>
      <c r="I44" s="7">
        <f t="shared" si="7"/>
        <v>40</v>
      </c>
      <c r="J44" s="7" t="e">
        <f t="shared" si="7"/>
        <v>#DIV/0!</v>
      </c>
    </row>
    <row r="45" spans="1:10" x14ac:dyDescent="0.25">
      <c r="A45" t="s">
        <v>16</v>
      </c>
      <c r="B45" s="7">
        <f>B18/B17*100</f>
        <v>84.168635657708052</v>
      </c>
      <c r="C45" s="7">
        <f>C18/C17*100</f>
        <v>84.858517803904959</v>
      </c>
      <c r="D45" s="7">
        <f t="shared" ref="D45:J45" si="8">D18/D17*100</f>
        <v>99.95425034420677</v>
      </c>
      <c r="E45" s="7">
        <f>E18/E17*100</f>
        <v>86.456435788082103</v>
      </c>
      <c r="F45" s="7">
        <f t="shared" si="8"/>
        <v>99.995835517645304</v>
      </c>
      <c r="G45" s="7">
        <f t="shared" si="8"/>
        <v>67.390599822601331</v>
      </c>
      <c r="H45" s="7">
        <f t="shared" si="8"/>
        <v>66.249361505982378</v>
      </c>
      <c r="I45" s="7">
        <f t="shared" si="8"/>
        <v>6.6537096774399771</v>
      </c>
      <c r="J45" s="7" t="e">
        <f t="shared" si="8"/>
        <v>#DIV/0!</v>
      </c>
    </row>
    <row r="46" spans="1:10" x14ac:dyDescent="0.25">
      <c r="A46" t="s">
        <v>17</v>
      </c>
      <c r="B46" s="7">
        <f>AVERAGE(B44:B45)</f>
        <v>82.111040251873831</v>
      </c>
      <c r="C46" s="7">
        <f>AVERAGE(C44:C45)</f>
        <v>86.820086573354587</v>
      </c>
      <c r="D46" s="7">
        <f t="shared" ref="D46:J46" si="9">AVERAGE(D44:D45)</f>
        <v>111.18686517986436</v>
      </c>
      <c r="E46" s="7">
        <f>AVERAGE(E44:E45)</f>
        <v>95.565616268024797</v>
      </c>
      <c r="F46" s="7">
        <f t="shared" si="9"/>
        <v>94.243949504854399</v>
      </c>
      <c r="G46" s="7">
        <f t="shared" si="9"/>
        <v>40.798077689078447</v>
      </c>
      <c r="H46" s="7">
        <f t="shared" si="9"/>
        <v>40.86277599108643</v>
      </c>
      <c r="I46" s="7">
        <f t="shared" si="9"/>
        <v>23.326854838719989</v>
      </c>
      <c r="J46" s="7" t="e">
        <f t="shared" si="9"/>
        <v>#DIV/0!</v>
      </c>
    </row>
    <row r="47" spans="1:10" x14ac:dyDescent="0.25">
      <c r="B47" s="7"/>
      <c r="C47" s="7"/>
      <c r="D47" s="7"/>
      <c r="E47" s="7"/>
      <c r="F47" s="7"/>
      <c r="G47" s="7"/>
      <c r="H47" s="7"/>
    </row>
    <row r="48" spans="1:10" x14ac:dyDescent="0.25">
      <c r="A48" t="s">
        <v>18</v>
      </c>
    </row>
    <row r="49" spans="1:11" x14ac:dyDescent="0.25">
      <c r="A49" t="s">
        <v>19</v>
      </c>
      <c r="B49" s="7">
        <f>B12/B13*100</f>
        <v>80.053444846039611</v>
      </c>
      <c r="C49" s="7">
        <f>C12/C13*100</f>
        <v>88.7816553428042</v>
      </c>
      <c r="D49" s="7">
        <f t="shared" ref="D49:J49" si="10">D12/D13*100</f>
        <v>122.41948001552194</v>
      </c>
      <c r="E49" s="7">
        <f>E12/E13*100</f>
        <v>104.67479674796749</v>
      </c>
      <c r="F49" s="7">
        <f t="shared" si="10"/>
        <v>88.492063492063494</v>
      </c>
      <c r="G49" s="7">
        <f t="shared" si="10"/>
        <v>14.205555555555557</v>
      </c>
      <c r="H49" s="7">
        <f t="shared" si="10"/>
        <v>15.47619047619048</v>
      </c>
      <c r="I49" s="7">
        <f t="shared" si="10"/>
        <v>40</v>
      </c>
      <c r="J49" s="7" t="e">
        <f t="shared" si="10"/>
        <v>#DIV/0!</v>
      </c>
    </row>
    <row r="50" spans="1:11" x14ac:dyDescent="0.25">
      <c r="A50" t="s">
        <v>20</v>
      </c>
      <c r="B50" s="7">
        <f>B18/B19*100</f>
        <v>84.168635647625806</v>
      </c>
      <c r="C50" s="7">
        <f>C18/C19*100</f>
        <v>84.858517803904931</v>
      </c>
      <c r="D50" s="7">
        <f t="shared" ref="D50:J50" si="11">D18/D19*100</f>
        <v>99.95425034420677</v>
      </c>
      <c r="E50" s="7">
        <f>E18/E19*100</f>
        <v>86.456435788082103</v>
      </c>
      <c r="F50" s="7">
        <f t="shared" si="11"/>
        <v>99.995835517645304</v>
      </c>
      <c r="G50" s="7">
        <f t="shared" si="11"/>
        <v>67.390599822601331</v>
      </c>
      <c r="H50" s="7">
        <f t="shared" si="11"/>
        <v>66.249361505982407</v>
      </c>
      <c r="I50" s="7">
        <f t="shared" si="11"/>
        <v>6.6537096630201216</v>
      </c>
      <c r="J50" s="7" t="e">
        <f t="shared" si="11"/>
        <v>#DIV/0!</v>
      </c>
    </row>
    <row r="51" spans="1:11" x14ac:dyDescent="0.25">
      <c r="A51" t="s">
        <v>21</v>
      </c>
      <c r="B51" s="7">
        <f>(B49+B50)/2</f>
        <v>82.111040246832715</v>
      </c>
      <c r="C51" s="7">
        <f>(C49+C50)/2</f>
        <v>86.820086573354558</v>
      </c>
      <c r="D51" s="7">
        <f t="shared" ref="D51:J51" si="12">(D49+D50)/2</f>
        <v>111.18686517986436</v>
      </c>
      <c r="E51" s="7">
        <f>(E49+E50)/2</f>
        <v>95.565616268024797</v>
      </c>
      <c r="F51" s="7">
        <f t="shared" si="12"/>
        <v>94.243949504854399</v>
      </c>
      <c r="G51" s="7">
        <f t="shared" si="12"/>
        <v>40.798077689078447</v>
      </c>
      <c r="H51" s="7">
        <f t="shared" si="12"/>
        <v>40.862775991086444</v>
      </c>
      <c r="I51" s="7">
        <f t="shared" si="12"/>
        <v>23.326854831510062</v>
      </c>
      <c r="J51" s="7" t="e">
        <f t="shared" si="12"/>
        <v>#DIV/0!</v>
      </c>
    </row>
    <row r="53" spans="1:11" x14ac:dyDescent="0.25">
      <c r="A53" t="s">
        <v>35</v>
      </c>
    </row>
    <row r="54" spans="1:11" x14ac:dyDescent="0.25">
      <c r="A54" t="s">
        <v>22</v>
      </c>
      <c r="B54" s="7">
        <f>B20/B18*100</f>
        <v>100</v>
      </c>
      <c r="C54" s="7"/>
      <c r="D54" s="7"/>
      <c r="E54" s="7"/>
      <c r="F54" s="7"/>
      <c r="G54" s="7"/>
      <c r="H54" s="7"/>
      <c r="I54" s="7"/>
      <c r="J54" s="7"/>
      <c r="K54" s="24"/>
    </row>
    <row r="56" spans="1:11" x14ac:dyDescent="0.25">
      <c r="A56" t="s">
        <v>23</v>
      </c>
    </row>
    <row r="57" spans="1:11" x14ac:dyDescent="0.25">
      <c r="A57" t="s">
        <v>24</v>
      </c>
      <c r="B57" s="7">
        <f t="shared" ref="B57:J57" si="13">((B12/B10)-1)*100</f>
        <v>302.12696709270517</v>
      </c>
      <c r="C57" s="33">
        <f t="shared" si="13"/>
        <v>1045.6991032879441</v>
      </c>
      <c r="D57" s="7">
        <f t="shared" si="13"/>
        <v>-12.358926277042737</v>
      </c>
      <c r="E57" s="7">
        <f t="shared" si="13"/>
        <v>22.512975778546718</v>
      </c>
      <c r="F57" s="7">
        <f t="shared" si="13"/>
        <v>253.96825396825395</v>
      </c>
      <c r="G57" s="7">
        <f t="shared" si="13"/>
        <v>-69.624613922546928</v>
      </c>
      <c r="H57" s="7">
        <f t="shared" si="13"/>
        <v>-65.053763440860209</v>
      </c>
      <c r="I57" s="7" t="e">
        <f t="shared" si="13"/>
        <v>#DIV/0!</v>
      </c>
      <c r="J57" s="7">
        <f t="shared" si="13"/>
        <v>-100</v>
      </c>
      <c r="K57" s="24"/>
    </row>
    <row r="58" spans="1:11" x14ac:dyDescent="0.25">
      <c r="A58" t="s">
        <v>25</v>
      </c>
      <c r="B58" s="7">
        <f>((B33/B32)-1)*100</f>
        <v>2.0659985449740681</v>
      </c>
      <c r="C58" s="33">
        <f>((C33/C32)-1)*100</f>
        <v>0.96781398869119073</v>
      </c>
      <c r="D58" s="7">
        <f t="shared" ref="D58:J58" si="14">((D33/D32)-1)*100</f>
        <v>16.215461987806634</v>
      </c>
      <c r="E58" s="7">
        <f>((E33/E32)-1)*100</f>
        <v>0.8513173998811352</v>
      </c>
      <c r="F58" s="7">
        <f t="shared" si="14"/>
        <v>111.65271574983784</v>
      </c>
      <c r="G58" s="7">
        <f t="shared" si="14"/>
        <v>20.223045098261181</v>
      </c>
      <c r="H58" s="7">
        <f t="shared" si="14"/>
        <v>-6.1629561148808909</v>
      </c>
      <c r="I58" s="7">
        <f t="shared" si="14"/>
        <v>-81.893465521591253</v>
      </c>
      <c r="J58" s="7">
        <f t="shared" si="14"/>
        <v>-9.9139769315072179</v>
      </c>
      <c r="K58" s="24"/>
    </row>
    <row r="59" spans="1:11" x14ac:dyDescent="0.25">
      <c r="A59" t="s">
        <v>26</v>
      </c>
      <c r="B59" s="7">
        <f t="shared" ref="B59:J59" si="15">((B35/B34)-1)*100</f>
        <v>-74.618464590203899</v>
      </c>
      <c r="C59" s="7">
        <f t="shared" si="15"/>
        <v>-91.187231123867321</v>
      </c>
      <c r="D59" s="7">
        <f t="shared" si="15"/>
        <v>32.603877441273752</v>
      </c>
      <c r="E59" s="7">
        <f t="shared" si="15"/>
        <v>-17.681113564510099</v>
      </c>
      <c r="F59" s="7">
        <f t="shared" si="15"/>
        <v>-40.205735012377666</v>
      </c>
      <c r="G59" s="7">
        <f t="shared" si="15"/>
        <v>295.79100259568349</v>
      </c>
      <c r="H59" s="7">
        <f t="shared" si="15"/>
        <v>168.51831019434078</v>
      </c>
      <c r="I59" s="7" t="e">
        <f t="shared" si="15"/>
        <v>#DIV/0!</v>
      </c>
      <c r="J59" s="7" t="e">
        <f t="shared" si="15"/>
        <v>#DIV/0!</v>
      </c>
    </row>
    <row r="60" spans="1:11" x14ac:dyDescent="0.25">
      <c r="B60" s="8"/>
      <c r="C60" s="8"/>
      <c r="D60" s="8"/>
      <c r="E60" s="8"/>
      <c r="F60" s="8"/>
      <c r="G60" s="8"/>
      <c r="H60" s="8"/>
    </row>
    <row r="61" spans="1:11" x14ac:dyDescent="0.25">
      <c r="A61" t="s">
        <v>27</v>
      </c>
    </row>
    <row r="62" spans="1:11" x14ac:dyDescent="0.25">
      <c r="A62" t="s">
        <v>37</v>
      </c>
      <c r="B62" s="4">
        <f>B17/(B11*12)</f>
        <v>29237.805251833444</v>
      </c>
      <c r="C62" s="4">
        <f>C17/(C11*12)</f>
        <v>24181.290116028838</v>
      </c>
      <c r="D62" s="4">
        <f t="shared" ref="D62:J62" si="16">D17/(D11*12)</f>
        <v>70990.438494373302</v>
      </c>
      <c r="E62" s="4">
        <f t="shared" si="16"/>
        <v>367648.96673318552</v>
      </c>
      <c r="F62" s="4">
        <f t="shared" si="16"/>
        <v>710435.60972222209</v>
      </c>
      <c r="G62" s="4">
        <f t="shared" si="16"/>
        <v>5450.3882266666669</v>
      </c>
      <c r="H62" s="4">
        <f t="shared" si="16"/>
        <v>7427.4626628571441</v>
      </c>
      <c r="I62" s="4">
        <f t="shared" si="16"/>
        <v>15380896.566666666</v>
      </c>
      <c r="J62" s="4" t="e">
        <f t="shared" si="16"/>
        <v>#DIV/0!</v>
      </c>
    </row>
    <row r="63" spans="1:11" x14ac:dyDescent="0.25">
      <c r="A63" t="s">
        <v>38</v>
      </c>
      <c r="B63" s="4">
        <f>B18/(B12*12)</f>
        <v>30740.790510707648</v>
      </c>
      <c r="C63" s="4">
        <f>C18/(C12*12)</f>
        <v>23112.752627885518</v>
      </c>
      <c r="D63" s="4">
        <f t="shared" ref="D63:J63" si="17">D18/(D12*12)</f>
        <v>57962.965211189468</v>
      </c>
      <c r="E63" s="4">
        <f t="shared" si="17"/>
        <v>303660.67355692846</v>
      </c>
      <c r="F63" s="4">
        <f t="shared" si="17"/>
        <v>802790.66361733933</v>
      </c>
      <c r="G63" s="4">
        <f t="shared" si="17"/>
        <v>25856.428523660539</v>
      </c>
      <c r="H63" s="4">
        <f t="shared" si="17"/>
        <v>31794.947198461534</v>
      </c>
      <c r="I63" s="4">
        <f t="shared" si="17"/>
        <v>2558500.5083333333</v>
      </c>
      <c r="J63" s="4" t="e">
        <f t="shared" si="17"/>
        <v>#DIV/0!</v>
      </c>
    </row>
    <row r="64" spans="1:11" x14ac:dyDescent="0.25">
      <c r="A64" t="s">
        <v>30</v>
      </c>
      <c r="B64" s="10">
        <f>(B63/B62)*B46</f>
        <v>86.33200287291919</v>
      </c>
      <c r="C64" s="10">
        <f t="shared" ref="C64:J64" si="18">(C63/C62)*C46</f>
        <v>82.983628022866242</v>
      </c>
      <c r="D64" s="10">
        <f t="shared" si="18"/>
        <v>90.78293549169301</v>
      </c>
      <c r="E64" s="10">
        <f t="shared" si="18"/>
        <v>78.932683158856136</v>
      </c>
      <c r="F64" s="10">
        <f t="shared" si="18"/>
        <v>106.49545395747147</v>
      </c>
      <c r="G64" s="10">
        <f t="shared" si="18"/>
        <v>193.54448450281402</v>
      </c>
      <c r="H64" s="10">
        <f t="shared" si="18"/>
        <v>174.92242828984834</v>
      </c>
      <c r="I64" s="10">
        <f t="shared" si="18"/>
        <v>3.8802529946157196</v>
      </c>
      <c r="J64" s="10" t="e">
        <f t="shared" si="18"/>
        <v>#DIV/0!</v>
      </c>
    </row>
    <row r="65" spans="1:10" x14ac:dyDescent="0.25">
      <c r="A65" t="s">
        <v>45</v>
      </c>
      <c r="B65" s="4">
        <f>B17/B11</f>
        <v>350853.66302200133</v>
      </c>
      <c r="C65" s="4">
        <f>C17/C11</f>
        <v>290175.48139234609</v>
      </c>
      <c r="D65" s="4">
        <f t="shared" ref="D65:J66" si="19">D17/D11</f>
        <v>851885.26193247968</v>
      </c>
      <c r="E65" s="4">
        <f t="shared" si="19"/>
        <v>4411787.600798226</v>
      </c>
      <c r="F65" s="4">
        <f t="shared" si="19"/>
        <v>8525227.3166666664</v>
      </c>
      <c r="G65" s="4">
        <f t="shared" si="19"/>
        <v>65404.658719999999</v>
      </c>
      <c r="H65" s="4">
        <f t="shared" si="19"/>
        <v>89129.551954285722</v>
      </c>
      <c r="I65" s="4">
        <f t="shared" si="19"/>
        <v>184570758.80000001</v>
      </c>
      <c r="J65" s="4" t="e">
        <f t="shared" si="19"/>
        <v>#DIV/0!</v>
      </c>
    </row>
    <row r="66" spans="1:10" x14ac:dyDescent="0.25">
      <c r="A66" t="s">
        <v>46</v>
      </c>
      <c r="B66" s="4">
        <f>B18/B12</f>
        <v>368889.48612849176</v>
      </c>
      <c r="C66" s="4">
        <f>C18/C12</f>
        <v>277353.03153462621</v>
      </c>
      <c r="D66" s="4">
        <f t="shared" si="19"/>
        <v>695555.58253427362</v>
      </c>
      <c r="E66" s="4">
        <f t="shared" si="19"/>
        <v>3643928.0826831413</v>
      </c>
      <c r="F66" s="4">
        <f t="shared" si="19"/>
        <v>9633487.9634080715</v>
      </c>
      <c r="G66" s="4">
        <f t="shared" si="19"/>
        <v>310277.14228392649</v>
      </c>
      <c r="H66" s="4">
        <f t="shared" si="19"/>
        <v>381539.36638153839</v>
      </c>
      <c r="I66" s="4">
        <f t="shared" si="19"/>
        <v>30702006.099999998</v>
      </c>
      <c r="J66" s="4" t="e">
        <f t="shared" si="19"/>
        <v>#DIV/0!</v>
      </c>
    </row>
    <row r="67" spans="1:10" x14ac:dyDescent="0.25">
      <c r="B67" s="7"/>
      <c r="C67" s="7"/>
      <c r="D67" s="7"/>
      <c r="E67" s="7"/>
      <c r="F67" s="7"/>
      <c r="G67" s="7"/>
      <c r="H67" s="7"/>
    </row>
    <row r="68" spans="1:10" x14ac:dyDescent="0.25">
      <c r="A68" t="s">
        <v>31</v>
      </c>
      <c r="B68" s="7"/>
      <c r="C68" s="7"/>
      <c r="D68" s="7"/>
      <c r="E68" s="7"/>
      <c r="F68" s="7"/>
      <c r="G68" s="7"/>
      <c r="H68" s="7"/>
    </row>
    <row r="69" spans="1:10" x14ac:dyDescent="0.25">
      <c r="A69" t="s">
        <v>32</v>
      </c>
      <c r="B69" s="8">
        <f>(B24/B23)*100</f>
        <v>94.905387167175434</v>
      </c>
      <c r="C69" s="8"/>
      <c r="D69" s="7"/>
      <c r="E69" s="7"/>
      <c r="F69" s="7"/>
      <c r="G69" s="7"/>
      <c r="H69" s="7"/>
    </row>
    <row r="70" spans="1:10" x14ac:dyDescent="0.25">
      <c r="A70" t="s">
        <v>33</v>
      </c>
      <c r="B70" s="8">
        <f>(B18/B24)*100</f>
        <v>88.686889301073464</v>
      </c>
      <c r="C70" s="8"/>
      <c r="D70" s="7"/>
      <c r="E70" s="7"/>
      <c r="F70" s="7"/>
      <c r="G70" s="7"/>
      <c r="H70" s="7"/>
    </row>
    <row r="71" spans="1:10" ht="15.75" thickBo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ht="15.75" thickTop="1" x14ac:dyDescent="0.25"/>
    <row r="73" spans="1:10" x14ac:dyDescent="0.25">
      <c r="A73" s="12" t="s">
        <v>34</v>
      </c>
    </row>
    <row r="74" spans="1:10" x14ac:dyDescent="0.25">
      <c r="A74" t="s">
        <v>91</v>
      </c>
    </row>
    <row r="75" spans="1:10" x14ac:dyDescent="0.25">
      <c r="A75" t="s">
        <v>92</v>
      </c>
      <c r="B75" s="10"/>
      <c r="C75" s="10"/>
      <c r="D75" s="10"/>
      <c r="E75" s="10"/>
      <c r="F75" s="10"/>
    </row>
    <row r="76" spans="1:10" x14ac:dyDescent="0.25">
      <c r="A76" t="s">
        <v>93</v>
      </c>
    </row>
    <row r="79" spans="1:10" x14ac:dyDescent="0.25">
      <c r="A79" t="s">
        <v>36</v>
      </c>
    </row>
    <row r="80" spans="1:10" x14ac:dyDescent="0.25">
      <c r="A80" s="20"/>
    </row>
    <row r="81" spans="1:1" x14ac:dyDescent="0.25">
      <c r="A81" s="20"/>
    </row>
    <row r="82" spans="1:1" x14ac:dyDescent="0.25">
      <c r="A82" s="20"/>
    </row>
    <row r="84" spans="1:1" x14ac:dyDescent="0.25">
      <c r="A84" s="20" t="s">
        <v>58</v>
      </c>
    </row>
  </sheetData>
  <mergeCells count="3">
    <mergeCell ref="A4:A5"/>
    <mergeCell ref="D4:I4"/>
    <mergeCell ref="A2:J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2" sqref="M3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dcterms:created xsi:type="dcterms:W3CDTF">2012-04-10T15:25:06Z</dcterms:created>
  <dcterms:modified xsi:type="dcterms:W3CDTF">2017-03-09T15:53:05Z</dcterms:modified>
</cp:coreProperties>
</file>