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5600" windowHeight="9240" firstSheet="2" activeTab="7"/>
  </bookViews>
  <sheets>
    <sheet name="I Trimestre" sheetId="4" r:id="rId1"/>
    <sheet name="Hoja2 (2)" sheetId="15" state="hidden" r:id="rId2"/>
    <sheet name="II Trimestre" sheetId="7" r:id="rId3"/>
    <sheet name="III Trimestre" sheetId="8" r:id="rId4"/>
    <sheet name="IV Trimestre" sheetId="3" r:id="rId5"/>
    <sheet name="I Semestre" sheetId="9" r:id="rId6"/>
    <sheet name="III T Acumulado" sheetId="10" r:id="rId7"/>
    <sheet name="Anual" sheetId="2" r:id="rId8"/>
    <sheet name="Observaciones" sheetId="11" r:id="rId9"/>
    <sheet name="Hoja1" sheetId="16" r:id="rId10"/>
  </sheets>
  <calcPr calcId="125725"/>
</workbook>
</file>

<file path=xl/calcChain.xml><?xml version="1.0" encoding="utf-8"?>
<calcChain xmlns="http://schemas.openxmlformats.org/spreadsheetml/2006/main">
  <c r="L15" i="2"/>
  <c r="L14" i="9"/>
  <c r="L14" i="10" s="1"/>
  <c r="L12" i="2" l="1"/>
  <c r="C21" i="4"/>
  <c r="C21" i="7"/>
  <c r="C21" i="8"/>
  <c r="C21" i="3"/>
  <c r="D15" i="2"/>
  <c r="E15"/>
  <c r="E45" s="1"/>
  <c r="C22" i="3"/>
  <c r="D12" i="2"/>
  <c r="E12"/>
  <c r="C12" s="1"/>
  <c r="C44" s="1"/>
  <c r="F21" i="4"/>
  <c r="F21" i="7"/>
  <c r="F21" i="8"/>
  <c r="F21" i="3"/>
  <c r="F48" s="1"/>
  <c r="G15" i="2"/>
  <c r="H15"/>
  <c r="I15"/>
  <c r="I45" s="1"/>
  <c r="F20" i="4"/>
  <c r="F20" i="7"/>
  <c r="F20" i="8"/>
  <c r="F20" i="3"/>
  <c r="G12" i="2"/>
  <c r="H12"/>
  <c r="I12"/>
  <c r="K22"/>
  <c r="K15"/>
  <c r="K48" s="1"/>
  <c r="K21"/>
  <c r="K12"/>
  <c r="L22"/>
  <c r="L67" s="1"/>
  <c r="L21"/>
  <c r="L66" s="1"/>
  <c r="L44"/>
  <c r="M22"/>
  <c r="M15"/>
  <c r="M21"/>
  <c r="M12"/>
  <c r="M66"/>
  <c r="N22"/>
  <c r="N15"/>
  <c r="N21"/>
  <c r="N12"/>
  <c r="O22"/>
  <c r="O15"/>
  <c r="O21"/>
  <c r="O12"/>
  <c r="O66" s="1"/>
  <c r="P22"/>
  <c r="P24" s="1"/>
  <c r="P15"/>
  <c r="P21"/>
  <c r="P12"/>
  <c r="P66"/>
  <c r="B15"/>
  <c r="D14" i="10"/>
  <c r="E14"/>
  <c r="C20" i="4"/>
  <c r="C20" i="7"/>
  <c r="C68" s="1"/>
  <c r="C20" i="8"/>
  <c r="D12" i="10"/>
  <c r="E12"/>
  <c r="C12" s="1"/>
  <c r="C43" s="1"/>
  <c r="F21"/>
  <c r="G14"/>
  <c r="G44" s="1"/>
  <c r="H14"/>
  <c r="I14"/>
  <c r="F14"/>
  <c r="G12"/>
  <c r="H12"/>
  <c r="I12"/>
  <c r="K21"/>
  <c r="K48" s="1"/>
  <c r="K14"/>
  <c r="K66"/>
  <c r="K20"/>
  <c r="K12"/>
  <c r="K65" s="1"/>
  <c r="K47"/>
  <c r="K49" s="1"/>
  <c r="L21"/>
  <c r="L20"/>
  <c r="L12"/>
  <c r="M21"/>
  <c r="M14"/>
  <c r="M20"/>
  <c r="M12"/>
  <c r="M65" s="1"/>
  <c r="N21"/>
  <c r="N14"/>
  <c r="N20"/>
  <c r="N12"/>
  <c r="O67"/>
  <c r="P67"/>
  <c r="B14"/>
  <c r="C21" i="9"/>
  <c r="D14"/>
  <c r="E14"/>
  <c r="C20"/>
  <c r="D12"/>
  <c r="E12"/>
  <c r="E43" s="1"/>
  <c r="F21"/>
  <c r="G14"/>
  <c r="G44" s="1"/>
  <c r="H14"/>
  <c r="I14"/>
  <c r="G12"/>
  <c r="H12"/>
  <c r="I12"/>
  <c r="K21"/>
  <c r="K14"/>
  <c r="K20"/>
  <c r="K12"/>
  <c r="K65" s="1"/>
  <c r="L21"/>
  <c r="L20"/>
  <c r="L12"/>
  <c r="L65" s="1"/>
  <c r="L48"/>
  <c r="M21"/>
  <c r="M14"/>
  <c r="M20"/>
  <c r="M12"/>
  <c r="N21"/>
  <c r="N14"/>
  <c r="N47" s="1"/>
  <c r="N49" s="1"/>
  <c r="N20"/>
  <c r="N12"/>
  <c r="N43" s="1"/>
  <c r="O67"/>
  <c r="P67"/>
  <c r="B12"/>
  <c r="B43" s="1"/>
  <c r="C14" i="3"/>
  <c r="C66"/>
  <c r="C20"/>
  <c r="C12"/>
  <c r="C47"/>
  <c r="C48"/>
  <c r="F14"/>
  <c r="F66"/>
  <c r="F12"/>
  <c r="K66"/>
  <c r="K67" s="1"/>
  <c r="K65"/>
  <c r="K47"/>
  <c r="K48"/>
  <c r="K49"/>
  <c r="L66"/>
  <c r="L65"/>
  <c r="L47"/>
  <c r="L49" s="1"/>
  <c r="M66"/>
  <c r="M65"/>
  <c r="M47"/>
  <c r="M49" s="1"/>
  <c r="N66"/>
  <c r="N67" s="1"/>
  <c r="N65"/>
  <c r="N47"/>
  <c r="N49" s="1"/>
  <c r="O66"/>
  <c r="O65"/>
  <c r="O47"/>
  <c r="O49"/>
  <c r="O67"/>
  <c r="P66"/>
  <c r="P65"/>
  <c r="P47"/>
  <c r="P49"/>
  <c r="P67" s="1"/>
  <c r="B14"/>
  <c r="B20"/>
  <c r="B26" s="1"/>
  <c r="B72" s="1"/>
  <c r="B12"/>
  <c r="B65"/>
  <c r="B19"/>
  <c r="B35"/>
  <c r="B10"/>
  <c r="C14" i="8"/>
  <c r="C66"/>
  <c r="C12"/>
  <c r="F14"/>
  <c r="F12"/>
  <c r="F43" s="1"/>
  <c r="F48"/>
  <c r="K66"/>
  <c r="K65"/>
  <c r="K47"/>
  <c r="K48"/>
  <c r="K49"/>
  <c r="L66"/>
  <c r="L65"/>
  <c r="L47"/>
  <c r="L49" s="1"/>
  <c r="L67" s="1"/>
  <c r="M66"/>
  <c r="M65"/>
  <c r="M67" s="1"/>
  <c r="M47"/>
  <c r="M49"/>
  <c r="N66"/>
  <c r="N65"/>
  <c r="N67" s="1"/>
  <c r="N47"/>
  <c r="N49" s="1"/>
  <c r="B14"/>
  <c r="B12"/>
  <c r="C14" i="7"/>
  <c r="C66"/>
  <c r="C12"/>
  <c r="C65"/>
  <c r="F14"/>
  <c r="F66"/>
  <c r="F12"/>
  <c r="F47" s="1"/>
  <c r="F48"/>
  <c r="K66"/>
  <c r="K65"/>
  <c r="K47"/>
  <c r="K48"/>
  <c r="L66"/>
  <c r="L65"/>
  <c r="L47"/>
  <c r="L48"/>
  <c r="L49"/>
  <c r="M66"/>
  <c r="M65"/>
  <c r="M67" s="1"/>
  <c r="M47"/>
  <c r="M49" s="1"/>
  <c r="N66"/>
  <c r="N65"/>
  <c r="N47"/>
  <c r="N49" s="1"/>
  <c r="B14"/>
  <c r="B47" s="1"/>
  <c r="B12"/>
  <c r="F14" i="4"/>
  <c r="F66"/>
  <c r="F12"/>
  <c r="F48"/>
  <c r="C14"/>
  <c r="C66"/>
  <c r="C12"/>
  <c r="C48"/>
  <c r="K66"/>
  <c r="K65"/>
  <c r="K47"/>
  <c r="K48"/>
  <c r="K49"/>
  <c r="K67"/>
  <c r="L66"/>
  <c r="L65"/>
  <c r="L47"/>
  <c r="L49"/>
  <c r="M66"/>
  <c r="M65"/>
  <c r="M47"/>
  <c r="M49" s="1"/>
  <c r="M67"/>
  <c r="N66"/>
  <c r="N65"/>
  <c r="N47"/>
  <c r="N49"/>
  <c r="N67" s="1"/>
  <c r="O67"/>
  <c r="P67"/>
  <c r="B21"/>
  <c r="B14"/>
  <c r="B12"/>
  <c r="B43" s="1"/>
  <c r="B47"/>
  <c r="D45" i="2"/>
  <c r="G45"/>
  <c r="J15"/>
  <c r="J45" s="1"/>
  <c r="K45"/>
  <c r="N45"/>
  <c r="D44"/>
  <c r="E44"/>
  <c r="H44"/>
  <c r="I44"/>
  <c r="J12"/>
  <c r="J44"/>
  <c r="K44"/>
  <c r="M44"/>
  <c r="O44"/>
  <c r="C44" i="3"/>
  <c r="D44"/>
  <c r="E44"/>
  <c r="F44"/>
  <c r="G44"/>
  <c r="H44"/>
  <c r="I44"/>
  <c r="J44"/>
  <c r="K44"/>
  <c r="L44"/>
  <c r="M44"/>
  <c r="N44"/>
  <c r="O44"/>
  <c r="P44"/>
  <c r="C43"/>
  <c r="D43"/>
  <c r="E43"/>
  <c r="G43"/>
  <c r="H43"/>
  <c r="I43"/>
  <c r="J43"/>
  <c r="K43"/>
  <c r="L43"/>
  <c r="M43"/>
  <c r="N43"/>
  <c r="O43"/>
  <c r="P43"/>
  <c r="B43"/>
  <c r="O24" i="2"/>
  <c r="M23"/>
  <c r="M54" s="1"/>
  <c r="N23"/>
  <c r="O23"/>
  <c r="O54" s="1"/>
  <c r="P23"/>
  <c r="F22" i="3"/>
  <c r="F23" i="2"/>
  <c r="K23"/>
  <c r="L23"/>
  <c r="C19" i="4"/>
  <c r="B19" s="1"/>
  <c r="B35" s="1"/>
  <c r="B37" s="1"/>
  <c r="C19" i="7"/>
  <c r="C20" i="2"/>
  <c r="F19" i="4"/>
  <c r="F19" i="7"/>
  <c r="F19" i="9" s="1"/>
  <c r="F35" s="1"/>
  <c r="K20" i="2"/>
  <c r="L20"/>
  <c r="L36" s="1"/>
  <c r="M20"/>
  <c r="N20"/>
  <c r="O20"/>
  <c r="P20"/>
  <c r="P36" s="1"/>
  <c r="B16" i="7"/>
  <c r="M23" i="3"/>
  <c r="F23"/>
  <c r="K23"/>
  <c r="L23"/>
  <c r="N23"/>
  <c r="O23"/>
  <c r="P23"/>
  <c r="K23" i="8"/>
  <c r="L23"/>
  <c r="N23"/>
  <c r="M23"/>
  <c r="C23" i="4"/>
  <c r="F23"/>
  <c r="K23"/>
  <c r="L23"/>
  <c r="M23"/>
  <c r="N23"/>
  <c r="D44" i="10"/>
  <c r="H44"/>
  <c r="I44"/>
  <c r="J14"/>
  <c r="K44"/>
  <c r="L44"/>
  <c r="M44"/>
  <c r="O14"/>
  <c r="O44" s="1"/>
  <c r="P14"/>
  <c r="P44" s="1"/>
  <c r="D43"/>
  <c r="E43"/>
  <c r="G43"/>
  <c r="J12"/>
  <c r="J43" s="1"/>
  <c r="K43"/>
  <c r="N43"/>
  <c r="D44" i="9"/>
  <c r="E44"/>
  <c r="H44"/>
  <c r="I44"/>
  <c r="J14"/>
  <c r="J44" s="1"/>
  <c r="K44"/>
  <c r="L44"/>
  <c r="M44"/>
  <c r="N44"/>
  <c r="D43"/>
  <c r="G43"/>
  <c r="H43"/>
  <c r="J12"/>
  <c r="L43"/>
  <c r="M43"/>
  <c r="O12"/>
  <c r="O43" s="1"/>
  <c r="P12"/>
  <c r="P43" s="1"/>
  <c r="D44" i="8"/>
  <c r="E44"/>
  <c r="F44"/>
  <c r="G44"/>
  <c r="H44"/>
  <c r="I44"/>
  <c r="J44"/>
  <c r="K44"/>
  <c r="L44"/>
  <c r="M44"/>
  <c r="N44"/>
  <c r="C43"/>
  <c r="D43"/>
  <c r="E43"/>
  <c r="G43"/>
  <c r="H43"/>
  <c r="I43"/>
  <c r="J43"/>
  <c r="K43"/>
  <c r="L43"/>
  <c r="M43"/>
  <c r="N43"/>
  <c r="B43"/>
  <c r="B44" i="4"/>
  <c r="C44" i="7"/>
  <c r="D44"/>
  <c r="E44"/>
  <c r="F44"/>
  <c r="G44"/>
  <c r="H44"/>
  <c r="I44"/>
  <c r="J44"/>
  <c r="K44"/>
  <c r="L44"/>
  <c r="M44"/>
  <c r="N44"/>
  <c r="B44"/>
  <c r="D43"/>
  <c r="E43"/>
  <c r="F43"/>
  <c r="G43"/>
  <c r="H43"/>
  <c r="I43"/>
  <c r="J43"/>
  <c r="K43"/>
  <c r="L43"/>
  <c r="M43"/>
  <c r="N43"/>
  <c r="B43"/>
  <c r="B69" i="4"/>
  <c r="B10"/>
  <c r="C44"/>
  <c r="D44"/>
  <c r="E44"/>
  <c r="F44"/>
  <c r="G44"/>
  <c r="H44"/>
  <c r="I44"/>
  <c r="J44"/>
  <c r="K44"/>
  <c r="L44"/>
  <c r="M44"/>
  <c r="N44"/>
  <c r="D43"/>
  <c r="E43"/>
  <c r="G43"/>
  <c r="H43"/>
  <c r="I43"/>
  <c r="J43"/>
  <c r="K43"/>
  <c r="L43"/>
  <c r="M43"/>
  <c r="N43"/>
  <c r="F22" i="8"/>
  <c r="F22" i="10" s="1"/>
  <c r="C23" i="7"/>
  <c r="F23"/>
  <c r="K23"/>
  <c r="L23"/>
  <c r="M23"/>
  <c r="N23"/>
  <c r="F22"/>
  <c r="C22"/>
  <c r="B19"/>
  <c r="B35" s="1"/>
  <c r="B37" s="1"/>
  <c r="F22" i="4"/>
  <c r="O22" i="10"/>
  <c r="P22"/>
  <c r="O21"/>
  <c r="O36" s="1"/>
  <c r="O38" s="1"/>
  <c r="P21"/>
  <c r="P36" s="1"/>
  <c r="O20"/>
  <c r="P20"/>
  <c r="O19"/>
  <c r="O35" s="1"/>
  <c r="P19"/>
  <c r="P35"/>
  <c r="O16"/>
  <c r="P16"/>
  <c r="O15"/>
  <c r="P15"/>
  <c r="O13"/>
  <c r="P13"/>
  <c r="O12"/>
  <c r="P12"/>
  <c r="O11"/>
  <c r="P11"/>
  <c r="O10"/>
  <c r="P10"/>
  <c r="O22" i="9"/>
  <c r="P22"/>
  <c r="O21"/>
  <c r="O36"/>
  <c r="P21"/>
  <c r="O20"/>
  <c r="P20"/>
  <c r="O19"/>
  <c r="O35" s="1"/>
  <c r="P19"/>
  <c r="P35" s="1"/>
  <c r="O16"/>
  <c r="P16"/>
  <c r="O15"/>
  <c r="P15"/>
  <c r="O14"/>
  <c r="P14"/>
  <c r="O13"/>
  <c r="P13"/>
  <c r="O11"/>
  <c r="P11"/>
  <c r="O10"/>
  <c r="P10"/>
  <c r="M52" i="3"/>
  <c r="P38" i="10"/>
  <c r="O38" i="9"/>
  <c r="O37"/>
  <c r="O37" i="10"/>
  <c r="O23" i="9"/>
  <c r="O36" i="8"/>
  <c r="O38"/>
  <c r="P36"/>
  <c r="P38"/>
  <c r="O35"/>
  <c r="O37"/>
  <c r="P35"/>
  <c r="P37"/>
  <c r="P23"/>
  <c r="O23"/>
  <c r="F16"/>
  <c r="O36" i="7"/>
  <c r="O38" s="1"/>
  <c r="P36"/>
  <c r="P38" s="1"/>
  <c r="O35"/>
  <c r="O37" s="1"/>
  <c r="P35"/>
  <c r="P37"/>
  <c r="O23"/>
  <c r="P23"/>
  <c r="O36" i="4"/>
  <c r="O38"/>
  <c r="P36"/>
  <c r="P38" s="1"/>
  <c r="O35"/>
  <c r="O37"/>
  <c r="P35"/>
  <c r="P37" s="1"/>
  <c r="O23"/>
  <c r="P23"/>
  <c r="J47"/>
  <c r="B13" i="3"/>
  <c r="P17" i="2"/>
  <c r="P16"/>
  <c r="P14"/>
  <c r="P11"/>
  <c r="P10"/>
  <c r="P69" i="3"/>
  <c r="P68"/>
  <c r="P60"/>
  <c r="P53"/>
  <c r="P52"/>
  <c r="P48"/>
  <c r="P36"/>
  <c r="P61" s="1"/>
  <c r="P38"/>
  <c r="P62" s="1"/>
  <c r="P35"/>
  <c r="P37"/>
  <c r="P54"/>
  <c r="P54" i="2"/>
  <c r="P38"/>
  <c r="P49"/>
  <c r="P37"/>
  <c r="O17"/>
  <c r="N17"/>
  <c r="N53" s="1"/>
  <c r="O36"/>
  <c r="N36"/>
  <c r="M36"/>
  <c r="O11"/>
  <c r="O14"/>
  <c r="O16"/>
  <c r="O10"/>
  <c r="N11"/>
  <c r="N14"/>
  <c r="N16"/>
  <c r="N10"/>
  <c r="N38" s="1"/>
  <c r="M17"/>
  <c r="M11"/>
  <c r="M14"/>
  <c r="M16"/>
  <c r="M10"/>
  <c r="M38" s="1"/>
  <c r="O69" i="3"/>
  <c r="O68"/>
  <c r="O60"/>
  <c r="O53"/>
  <c r="O52"/>
  <c r="O54" s="1"/>
  <c r="O48"/>
  <c r="O36"/>
  <c r="O35"/>
  <c r="O37"/>
  <c r="N22" i="9"/>
  <c r="M22"/>
  <c r="N16"/>
  <c r="N52" s="1"/>
  <c r="M16"/>
  <c r="M52" s="1"/>
  <c r="N16" i="10"/>
  <c r="M16"/>
  <c r="N22"/>
  <c r="M22"/>
  <c r="N19"/>
  <c r="N35" s="1"/>
  <c r="M19"/>
  <c r="M35" s="1"/>
  <c r="N11"/>
  <c r="N13"/>
  <c r="N15"/>
  <c r="M11"/>
  <c r="M13"/>
  <c r="M15"/>
  <c r="N10"/>
  <c r="M10"/>
  <c r="M23" i="9"/>
  <c r="N19"/>
  <c r="N35" s="1"/>
  <c r="M19"/>
  <c r="M35"/>
  <c r="N11"/>
  <c r="N13"/>
  <c r="N15"/>
  <c r="M11"/>
  <c r="M13"/>
  <c r="M15"/>
  <c r="N10"/>
  <c r="M10"/>
  <c r="M60" s="1"/>
  <c r="O38" i="3"/>
  <c r="N61" i="2"/>
  <c r="M69"/>
  <c r="O37"/>
  <c r="O49"/>
  <c r="N23" i="10"/>
  <c r="N53" i="9"/>
  <c r="N54"/>
  <c r="M69" i="10"/>
  <c r="M49" i="2"/>
  <c r="N49"/>
  <c r="N54"/>
  <c r="O69"/>
  <c r="M36" i="9"/>
  <c r="N60"/>
  <c r="M53"/>
  <c r="M54" s="1"/>
  <c r="N36" i="10"/>
  <c r="N69" i="2"/>
  <c r="N23" i="9"/>
  <c r="M61" i="2"/>
  <c r="M53"/>
  <c r="M55" s="1"/>
  <c r="N53" i="10"/>
  <c r="M69" i="3"/>
  <c r="N69"/>
  <c r="M68"/>
  <c r="N68"/>
  <c r="M60"/>
  <c r="N60"/>
  <c r="M53"/>
  <c r="N53"/>
  <c r="N52"/>
  <c r="M48"/>
  <c r="N48"/>
  <c r="N36"/>
  <c r="N38" s="1"/>
  <c r="M36"/>
  <c r="M38"/>
  <c r="M35"/>
  <c r="N35"/>
  <c r="N37"/>
  <c r="M69" i="8"/>
  <c r="N69"/>
  <c r="M68"/>
  <c r="N68"/>
  <c r="M60"/>
  <c r="N60"/>
  <c r="M53"/>
  <c r="N53"/>
  <c r="M52"/>
  <c r="M54" s="1"/>
  <c r="N52"/>
  <c r="M48"/>
  <c r="N48"/>
  <c r="M36"/>
  <c r="N36"/>
  <c r="M35"/>
  <c r="M37" s="1"/>
  <c r="N35"/>
  <c r="N37"/>
  <c r="B19"/>
  <c r="M69" i="7"/>
  <c r="N69"/>
  <c r="M68"/>
  <c r="N68"/>
  <c r="M60"/>
  <c r="N60"/>
  <c r="M53"/>
  <c r="N53"/>
  <c r="N52"/>
  <c r="N54"/>
  <c r="M52"/>
  <c r="M54" s="1"/>
  <c r="M48"/>
  <c r="N48"/>
  <c r="M36"/>
  <c r="M38" s="1"/>
  <c r="M62" s="1"/>
  <c r="N36"/>
  <c r="M35"/>
  <c r="M37"/>
  <c r="N35"/>
  <c r="N37" s="1"/>
  <c r="M69" i="4"/>
  <c r="N69"/>
  <c r="M68"/>
  <c r="N68"/>
  <c r="M60"/>
  <c r="N60"/>
  <c r="M53"/>
  <c r="N53"/>
  <c r="M52"/>
  <c r="N52"/>
  <c r="N54" s="1"/>
  <c r="M48"/>
  <c r="N48"/>
  <c r="M36"/>
  <c r="M61" s="1"/>
  <c r="N36"/>
  <c r="N38"/>
  <c r="M35"/>
  <c r="M37"/>
  <c r="N35"/>
  <c r="N37"/>
  <c r="M38"/>
  <c r="M62" s="1"/>
  <c r="M61" i="7"/>
  <c r="M54" i="4"/>
  <c r="N61" i="7"/>
  <c r="N61" i="3"/>
  <c r="N62" i="4"/>
  <c r="N38" i="7"/>
  <c r="N62"/>
  <c r="N54" i="8"/>
  <c r="N54" i="3"/>
  <c r="M54"/>
  <c r="J14" i="2"/>
  <c r="H11"/>
  <c r="H10"/>
  <c r="J13" i="10"/>
  <c r="H11"/>
  <c r="H10"/>
  <c r="J13" i="9"/>
  <c r="H11"/>
  <c r="H10"/>
  <c r="L36" i="3"/>
  <c r="K36"/>
  <c r="F36"/>
  <c r="F38" s="1"/>
  <c r="F62" s="1"/>
  <c r="L35"/>
  <c r="L37" s="1"/>
  <c r="K35"/>
  <c r="F35"/>
  <c r="C35"/>
  <c r="F11" i="7"/>
  <c r="F10"/>
  <c r="F11" i="4"/>
  <c r="F10"/>
  <c r="F11" i="3"/>
  <c r="F10"/>
  <c r="L36" i="8"/>
  <c r="L38" s="1"/>
  <c r="K36"/>
  <c r="F36"/>
  <c r="L35"/>
  <c r="L37"/>
  <c r="K35"/>
  <c r="F35"/>
  <c r="F37" s="1"/>
  <c r="C35"/>
  <c r="B35"/>
  <c r="F11"/>
  <c r="F10"/>
  <c r="F22" i="9"/>
  <c r="F13" i="7"/>
  <c r="F69"/>
  <c r="F15"/>
  <c r="F16"/>
  <c r="F52" s="1"/>
  <c r="F13" i="8"/>
  <c r="F15"/>
  <c r="F13" i="3"/>
  <c r="F69"/>
  <c r="F15"/>
  <c r="F16"/>
  <c r="F13" i="4"/>
  <c r="F69"/>
  <c r="F15"/>
  <c r="F16"/>
  <c r="F68" i="7"/>
  <c r="B11"/>
  <c r="B13"/>
  <c r="B15"/>
  <c r="B11" i="8"/>
  <c r="B13"/>
  <c r="B15"/>
  <c r="B11" i="3"/>
  <c r="B15"/>
  <c r="B11" i="4"/>
  <c r="B13"/>
  <c r="B15"/>
  <c r="B10" i="7"/>
  <c r="B10" i="8"/>
  <c r="L53" i="4"/>
  <c r="F19" i="10"/>
  <c r="F35" s="1"/>
  <c r="C19"/>
  <c r="C35" s="1"/>
  <c r="C19" i="9"/>
  <c r="C11" i="3"/>
  <c r="C13"/>
  <c r="C15"/>
  <c r="C10"/>
  <c r="C37"/>
  <c r="C22" i="8"/>
  <c r="B22"/>
  <c r="C11"/>
  <c r="C13"/>
  <c r="C15"/>
  <c r="C10"/>
  <c r="L69" i="3"/>
  <c r="K69"/>
  <c r="L68"/>
  <c r="K68"/>
  <c r="L60"/>
  <c r="K60"/>
  <c r="J60"/>
  <c r="I60"/>
  <c r="H60"/>
  <c r="G60"/>
  <c r="E60"/>
  <c r="D60"/>
  <c r="L53"/>
  <c r="K53"/>
  <c r="K54" s="1"/>
  <c r="F53"/>
  <c r="F54" s="1"/>
  <c r="L52"/>
  <c r="L54" s="1"/>
  <c r="K52"/>
  <c r="J52"/>
  <c r="I52"/>
  <c r="H52"/>
  <c r="G52"/>
  <c r="E52"/>
  <c r="L48"/>
  <c r="J47"/>
  <c r="I47"/>
  <c r="H47"/>
  <c r="G47"/>
  <c r="E47"/>
  <c r="D47"/>
  <c r="L38"/>
  <c r="K38"/>
  <c r="K37"/>
  <c r="L69" i="8"/>
  <c r="K69"/>
  <c r="L68"/>
  <c r="K68"/>
  <c r="L60"/>
  <c r="K60"/>
  <c r="J60"/>
  <c r="I60"/>
  <c r="H60"/>
  <c r="G60"/>
  <c r="E60"/>
  <c r="D60"/>
  <c r="L53"/>
  <c r="K53"/>
  <c r="L52"/>
  <c r="L54" s="1"/>
  <c r="K52"/>
  <c r="J52"/>
  <c r="I52"/>
  <c r="H52"/>
  <c r="G52"/>
  <c r="E52"/>
  <c r="L48"/>
  <c r="J47"/>
  <c r="I47"/>
  <c r="H47"/>
  <c r="G47"/>
  <c r="E47"/>
  <c r="D47"/>
  <c r="K38"/>
  <c r="K37"/>
  <c r="K62" s="1"/>
  <c r="L69" i="7"/>
  <c r="K69"/>
  <c r="L68"/>
  <c r="K68"/>
  <c r="L60"/>
  <c r="K60"/>
  <c r="J60"/>
  <c r="I60"/>
  <c r="H60"/>
  <c r="G60"/>
  <c r="E60"/>
  <c r="D60"/>
  <c r="L53"/>
  <c r="K53"/>
  <c r="F53"/>
  <c r="L52"/>
  <c r="L54" s="1"/>
  <c r="K52"/>
  <c r="J52"/>
  <c r="I52"/>
  <c r="H52"/>
  <c r="G52"/>
  <c r="E52"/>
  <c r="J47"/>
  <c r="I47"/>
  <c r="H47"/>
  <c r="G47"/>
  <c r="E47"/>
  <c r="L36"/>
  <c r="K36"/>
  <c r="K38"/>
  <c r="F36"/>
  <c r="L35"/>
  <c r="L37"/>
  <c r="K35"/>
  <c r="C35"/>
  <c r="C11"/>
  <c r="C13"/>
  <c r="C15"/>
  <c r="C10"/>
  <c r="D60" i="4"/>
  <c r="E60"/>
  <c r="G60"/>
  <c r="H60"/>
  <c r="I60"/>
  <c r="J60"/>
  <c r="K60"/>
  <c r="L60"/>
  <c r="F53"/>
  <c r="E52"/>
  <c r="G52"/>
  <c r="H52"/>
  <c r="I52"/>
  <c r="J52"/>
  <c r="K52"/>
  <c r="L52"/>
  <c r="F35"/>
  <c r="F36"/>
  <c r="C36"/>
  <c r="C38" s="1"/>
  <c r="E47"/>
  <c r="G47"/>
  <c r="H47"/>
  <c r="I47"/>
  <c r="C22"/>
  <c r="B22" s="1"/>
  <c r="C11"/>
  <c r="C13"/>
  <c r="C15"/>
  <c r="C10"/>
  <c r="F38"/>
  <c r="C53"/>
  <c r="F52" i="3"/>
  <c r="F52" i="8"/>
  <c r="F60" i="7"/>
  <c r="F60" i="4"/>
  <c r="F52"/>
  <c r="F54" s="1"/>
  <c r="C69"/>
  <c r="F23" i="10"/>
  <c r="F37" i="3"/>
  <c r="C60"/>
  <c r="K54" i="8"/>
  <c r="B60"/>
  <c r="C37"/>
  <c r="K54" i="7"/>
  <c r="B60" i="3"/>
  <c r="C22" i="10"/>
  <c r="F53"/>
  <c r="C60" i="7"/>
  <c r="C60" i="4"/>
  <c r="L62" i="8"/>
  <c r="K61"/>
  <c r="K61" i="3"/>
  <c r="F60"/>
  <c r="C60" i="8"/>
  <c r="L61"/>
  <c r="K53" i="4"/>
  <c r="B73"/>
  <c r="D52" i="3"/>
  <c r="C16"/>
  <c r="C52"/>
  <c r="B16"/>
  <c r="B52"/>
  <c r="D52" i="8"/>
  <c r="B16"/>
  <c r="C16"/>
  <c r="L35" i="4"/>
  <c r="L37"/>
  <c r="L62" s="1"/>
  <c r="L36"/>
  <c r="L38" s="1"/>
  <c r="L61"/>
  <c r="J17" i="2"/>
  <c r="I17"/>
  <c r="I11"/>
  <c r="J11"/>
  <c r="I14"/>
  <c r="I16"/>
  <c r="J16"/>
  <c r="J10"/>
  <c r="J61" s="1"/>
  <c r="I10"/>
  <c r="J16" i="10"/>
  <c r="I16"/>
  <c r="I11"/>
  <c r="J11"/>
  <c r="I13"/>
  <c r="I15"/>
  <c r="J15"/>
  <c r="J10"/>
  <c r="I10"/>
  <c r="I60" s="1"/>
  <c r="J16" i="9"/>
  <c r="I16"/>
  <c r="I52" s="1"/>
  <c r="I11"/>
  <c r="J11"/>
  <c r="I13"/>
  <c r="I15"/>
  <c r="J15"/>
  <c r="I10"/>
  <c r="J10"/>
  <c r="K36" i="4"/>
  <c r="I52" i="10"/>
  <c r="J47"/>
  <c r="J60"/>
  <c r="I48" i="2"/>
  <c r="I53"/>
  <c r="I61"/>
  <c r="J48"/>
  <c r="K38" i="4"/>
  <c r="I60" i="9"/>
  <c r="J60"/>
  <c r="J52"/>
  <c r="L48" i="4"/>
  <c r="L68"/>
  <c r="L69"/>
  <c r="D47" i="7"/>
  <c r="K36" i="2"/>
  <c r="K10" i="9"/>
  <c r="K60" s="1"/>
  <c r="L10"/>
  <c r="K11"/>
  <c r="L11"/>
  <c r="H13"/>
  <c r="K13"/>
  <c r="L13"/>
  <c r="H15"/>
  <c r="K15"/>
  <c r="L15"/>
  <c r="H16"/>
  <c r="K16"/>
  <c r="K52" s="1"/>
  <c r="L16"/>
  <c r="K10" i="10"/>
  <c r="L10"/>
  <c r="K11"/>
  <c r="L11"/>
  <c r="H13"/>
  <c r="K13"/>
  <c r="L13"/>
  <c r="H15"/>
  <c r="K15"/>
  <c r="L15"/>
  <c r="H16"/>
  <c r="H52" s="1"/>
  <c r="K16"/>
  <c r="K52" s="1"/>
  <c r="L16"/>
  <c r="K10" i="2"/>
  <c r="L10"/>
  <c r="L61" s="1"/>
  <c r="K11"/>
  <c r="L11"/>
  <c r="H14"/>
  <c r="K14"/>
  <c r="L14"/>
  <c r="K70"/>
  <c r="H16"/>
  <c r="K16"/>
  <c r="L16"/>
  <c r="H17"/>
  <c r="K17"/>
  <c r="K53" s="1"/>
  <c r="L17"/>
  <c r="D11"/>
  <c r="E11"/>
  <c r="G11"/>
  <c r="F11" s="1"/>
  <c r="D14"/>
  <c r="E14"/>
  <c r="G14"/>
  <c r="D16"/>
  <c r="E16"/>
  <c r="G16"/>
  <c r="G10"/>
  <c r="F10" s="1"/>
  <c r="E10"/>
  <c r="D10"/>
  <c r="D11" i="10"/>
  <c r="E11"/>
  <c r="G11"/>
  <c r="D13"/>
  <c r="E13"/>
  <c r="G13"/>
  <c r="D15"/>
  <c r="E15"/>
  <c r="C15" s="1"/>
  <c r="G15"/>
  <c r="B15" s="1"/>
  <c r="G10"/>
  <c r="E10"/>
  <c r="D10"/>
  <c r="G11" i="9"/>
  <c r="F11" s="1"/>
  <c r="G13"/>
  <c r="G15"/>
  <c r="G10"/>
  <c r="E11"/>
  <c r="E13"/>
  <c r="E15"/>
  <c r="E10"/>
  <c r="D11"/>
  <c r="B11" s="1"/>
  <c r="D13"/>
  <c r="D15"/>
  <c r="C15" s="1"/>
  <c r="D10"/>
  <c r="C10" s="1"/>
  <c r="C11"/>
  <c r="C13"/>
  <c r="F10" i="10"/>
  <c r="L69" i="2"/>
  <c r="B10"/>
  <c r="B61" s="1"/>
  <c r="D61"/>
  <c r="B15" i="9"/>
  <c r="D60" i="10"/>
  <c r="G61" i="2"/>
  <c r="H60" i="9"/>
  <c r="H52"/>
  <c r="H47"/>
  <c r="B52" i="7"/>
  <c r="D52"/>
  <c r="C16"/>
  <c r="C52" s="1"/>
  <c r="E47" i="9"/>
  <c r="E60"/>
  <c r="G60" i="10"/>
  <c r="G47"/>
  <c r="B10" i="9"/>
  <c r="K69" i="2"/>
  <c r="D52" i="4"/>
  <c r="C16"/>
  <c r="C52" s="1"/>
  <c r="B16"/>
  <c r="B52"/>
  <c r="F16" i="2"/>
  <c r="H60" i="10"/>
  <c r="H47"/>
  <c r="B14" i="2"/>
  <c r="C14"/>
  <c r="K60" i="10"/>
  <c r="C16" i="2"/>
  <c r="B16"/>
  <c r="G47" i="9"/>
  <c r="F15"/>
  <c r="L52" i="10"/>
  <c r="L60"/>
  <c r="B13" i="9"/>
  <c r="F14" i="2"/>
  <c r="H61"/>
  <c r="F13" i="10"/>
  <c r="E48" i="2"/>
  <c r="E61"/>
  <c r="B11"/>
  <c r="K61"/>
  <c r="K38"/>
  <c r="K69" i="4"/>
  <c r="F69" i="10"/>
  <c r="F60"/>
  <c r="D47" i="4"/>
  <c r="D48" i="2"/>
  <c r="D47" i="10"/>
  <c r="B27" i="9"/>
  <c r="B27" i="10"/>
  <c r="B28" i="2"/>
  <c r="L22" i="9"/>
  <c r="K22"/>
  <c r="L19"/>
  <c r="L35" s="1"/>
  <c r="K19"/>
  <c r="L19" i="10"/>
  <c r="L35" s="1"/>
  <c r="L37" s="1"/>
  <c r="K19"/>
  <c r="L22"/>
  <c r="K22"/>
  <c r="K53" s="1"/>
  <c r="E16" i="9"/>
  <c r="E52"/>
  <c r="G16"/>
  <c r="G52" s="1"/>
  <c r="D16"/>
  <c r="B16" s="1"/>
  <c r="E16" i="10"/>
  <c r="G16"/>
  <c r="F16" s="1"/>
  <c r="D16"/>
  <c r="E17" i="2"/>
  <c r="E53" s="1"/>
  <c r="G17"/>
  <c r="F17" s="1"/>
  <c r="D17"/>
  <c r="D53" s="1"/>
  <c r="C16" i="9"/>
  <c r="C17" i="2"/>
  <c r="F16" i="9"/>
  <c r="K36" i="10"/>
  <c r="K23"/>
  <c r="K69"/>
  <c r="K54"/>
  <c r="L69"/>
  <c r="L53"/>
  <c r="L23"/>
  <c r="G52"/>
  <c r="K53" i="9"/>
  <c r="K54" s="1"/>
  <c r="L68"/>
  <c r="K35" i="10"/>
  <c r="K37" s="1"/>
  <c r="K62" s="1"/>
  <c r="L53" i="9"/>
  <c r="L36"/>
  <c r="L23"/>
  <c r="G53" i="2"/>
  <c r="K54"/>
  <c r="K55" s="1"/>
  <c r="K35" i="9"/>
  <c r="B37" i="8"/>
  <c r="K38" i="10"/>
  <c r="K68"/>
  <c r="B68" i="3"/>
  <c r="K68" i="4"/>
  <c r="K35"/>
  <c r="K37" s="1"/>
  <c r="K62" s="1"/>
  <c r="B36"/>
  <c r="B61" s="1"/>
  <c r="B38"/>
  <c r="B62" s="1"/>
  <c r="L54" i="10" l="1"/>
  <c r="C10" i="2"/>
  <c r="C11"/>
  <c r="F11" i="10"/>
  <c r="N37"/>
  <c r="P37" i="9"/>
  <c r="F12" i="2"/>
  <c r="F44" s="1"/>
  <c r="B16" i="10"/>
  <c r="M37" i="9"/>
  <c r="N37"/>
  <c r="M37" i="10"/>
  <c r="O38" i="2"/>
  <c r="L38"/>
  <c r="F14" i="9"/>
  <c r="F52" s="1"/>
  <c r="C12"/>
  <c r="B12" i="10"/>
  <c r="B43" s="1"/>
  <c r="K66" i="2"/>
  <c r="C15"/>
  <c r="C48" s="1"/>
  <c r="L53"/>
  <c r="L67" i="3"/>
  <c r="C54" i="7"/>
  <c r="L37" i="9"/>
  <c r="L61"/>
  <c r="B11" i="10"/>
  <c r="C11"/>
  <c r="K37" i="7"/>
  <c r="K62" s="1"/>
  <c r="K61"/>
  <c r="C35" i="9"/>
  <c r="C37" s="1"/>
  <c r="B19"/>
  <c r="B35" s="1"/>
  <c r="B37" s="1"/>
  <c r="F38" i="8"/>
  <c r="F62" s="1"/>
  <c r="F61"/>
  <c r="M38"/>
  <c r="M62" s="1"/>
  <c r="M61"/>
  <c r="B23" i="7"/>
  <c r="C47" i="4"/>
  <c r="C65"/>
  <c r="C68"/>
  <c r="C43"/>
  <c r="B47" i="8"/>
  <c r="B44"/>
  <c r="B52"/>
  <c r="L66" i="9"/>
  <c r="L47"/>
  <c r="L49" s="1"/>
  <c r="L60"/>
  <c r="L52"/>
  <c r="L54" s="1"/>
  <c r="L38"/>
  <c r="I43"/>
  <c r="I47"/>
  <c r="C68"/>
  <c r="B47" i="10"/>
  <c r="B52"/>
  <c r="N47"/>
  <c r="N49" s="1"/>
  <c r="N44"/>
  <c r="N52"/>
  <c r="N54" s="1"/>
  <c r="N69"/>
  <c r="I43"/>
  <c r="I47"/>
  <c r="P45" i="2"/>
  <c r="P53"/>
  <c r="P55" s="1"/>
  <c r="P61"/>
  <c r="B22" i="3"/>
  <c r="C21" i="2"/>
  <c r="B21" i="3"/>
  <c r="C36"/>
  <c r="C53"/>
  <c r="C54" s="1"/>
  <c r="C23"/>
  <c r="B23" s="1"/>
  <c r="C69"/>
  <c r="L69" i="9"/>
  <c r="F15" i="10"/>
  <c r="F10" i="9"/>
  <c r="G60"/>
  <c r="B10" i="10"/>
  <c r="B60" s="1"/>
  <c r="C10"/>
  <c r="C37" s="1"/>
  <c r="B13"/>
  <c r="C13"/>
  <c r="B22"/>
  <c r="P39" i="2"/>
  <c r="P63" s="1"/>
  <c r="N60" i="10"/>
  <c r="P62" i="2"/>
  <c r="P36" i="9"/>
  <c r="P38" s="1"/>
  <c r="P23"/>
  <c r="B22" i="7"/>
  <c r="C53"/>
  <c r="J43" i="9"/>
  <c r="J47"/>
  <c r="B44" i="10"/>
  <c r="C47" i="7"/>
  <c r="C43"/>
  <c r="F65" i="3"/>
  <c r="F67" s="1"/>
  <c r="F43"/>
  <c r="F47"/>
  <c r="F49" s="1"/>
  <c r="C49"/>
  <c r="M68" i="9"/>
  <c r="M65"/>
  <c r="M48"/>
  <c r="M60" i="10"/>
  <c r="M47"/>
  <c r="M49" s="1"/>
  <c r="M52"/>
  <c r="F12"/>
  <c r="F43" s="1"/>
  <c r="H43"/>
  <c r="O61" i="2"/>
  <c r="O67"/>
  <c r="O48"/>
  <c r="O50" s="1"/>
  <c r="O70"/>
  <c r="L24"/>
  <c r="L37"/>
  <c r="L54"/>
  <c r="L55" s="1"/>
  <c r="L70"/>
  <c r="C45"/>
  <c r="C53"/>
  <c r="C61"/>
  <c r="B21" i="8"/>
  <c r="C36"/>
  <c r="C48"/>
  <c r="C53"/>
  <c r="C69"/>
  <c r="C54" i="4"/>
  <c r="G48" i="2"/>
  <c r="F61" i="3"/>
  <c r="C36" i="2"/>
  <c r="C38" s="1"/>
  <c r="F61" i="4"/>
  <c r="F37"/>
  <c r="F62" s="1"/>
  <c r="L61" i="7"/>
  <c r="L38"/>
  <c r="L62" s="1"/>
  <c r="K62" i="3"/>
  <c r="F37" i="10"/>
  <c r="N38"/>
  <c r="N62" s="1"/>
  <c r="O53" i="2"/>
  <c r="O55" s="1"/>
  <c r="P70"/>
  <c r="O23" i="10"/>
  <c r="P37"/>
  <c r="F37" i="9"/>
  <c r="G44" i="2"/>
  <c r="O45"/>
  <c r="J53"/>
  <c r="B66" i="4"/>
  <c r="B53"/>
  <c r="B54" s="1"/>
  <c r="B20" i="7"/>
  <c r="F60" i="8"/>
  <c r="F69"/>
  <c r="F47"/>
  <c r="F49" s="1"/>
  <c r="C47"/>
  <c r="C44"/>
  <c r="C52"/>
  <c r="C54" s="1"/>
  <c r="N66" i="9"/>
  <c r="N36"/>
  <c r="N48"/>
  <c r="N69"/>
  <c r="K66"/>
  <c r="K48"/>
  <c r="K69"/>
  <c r="K36"/>
  <c r="K23"/>
  <c r="C14"/>
  <c r="D52"/>
  <c r="M36" i="10"/>
  <c r="M23"/>
  <c r="M66"/>
  <c r="M67" s="1"/>
  <c r="M48"/>
  <c r="L66"/>
  <c r="L48"/>
  <c r="L36"/>
  <c r="E44"/>
  <c r="E47"/>
  <c r="E60"/>
  <c r="E52"/>
  <c r="N70" i="2"/>
  <c r="N37"/>
  <c r="N67"/>
  <c r="N24"/>
  <c r="F65" i="8"/>
  <c r="F68"/>
  <c r="F15" i="2"/>
  <c r="H45"/>
  <c r="H48"/>
  <c r="H53"/>
  <c r="K37" i="9"/>
  <c r="C16" i="10"/>
  <c r="K61"/>
  <c r="B17" i="2"/>
  <c r="B53" s="1"/>
  <c r="B19" i="10"/>
  <c r="B35" s="1"/>
  <c r="D47" i="9"/>
  <c r="D60"/>
  <c r="F13"/>
  <c r="L49" i="2"/>
  <c r="K61" i="4"/>
  <c r="L61" i="3"/>
  <c r="C22" i="9"/>
  <c r="B22" s="1"/>
  <c r="F38" i="7"/>
  <c r="F61"/>
  <c r="F68" i="3"/>
  <c r="F54" i="7"/>
  <c r="N61" i="4"/>
  <c r="N38" i="8"/>
  <c r="N62" s="1"/>
  <c r="N61"/>
  <c r="M37" i="3"/>
  <c r="M62" s="1"/>
  <c r="M61"/>
  <c r="O39" i="2"/>
  <c r="O63" s="1"/>
  <c r="M53" i="10"/>
  <c r="N61"/>
  <c r="M61" i="9"/>
  <c r="M38"/>
  <c r="M62" s="1"/>
  <c r="O62" i="2"/>
  <c r="N55"/>
  <c r="J44" i="10"/>
  <c r="J52"/>
  <c r="C23" i="8"/>
  <c r="C23" i="2"/>
  <c r="B23" s="1"/>
  <c r="B20" i="8"/>
  <c r="K67"/>
  <c r="B14" i="9"/>
  <c r="K68"/>
  <c r="K43"/>
  <c r="F60"/>
  <c r="F44"/>
  <c r="F23"/>
  <c r="F36"/>
  <c r="F66"/>
  <c r="F53"/>
  <c r="F54" s="1"/>
  <c r="F69"/>
  <c r="N68" i="10"/>
  <c r="N65"/>
  <c r="M43"/>
  <c r="M68"/>
  <c r="L43"/>
  <c r="L47"/>
  <c r="L49" s="1"/>
  <c r="L68"/>
  <c r="F44"/>
  <c r="F52"/>
  <c r="F54" s="1"/>
  <c r="F36"/>
  <c r="F66"/>
  <c r="C65" i="8"/>
  <c r="C68"/>
  <c r="C14" i="10"/>
  <c r="D52"/>
  <c r="P48" i="2"/>
  <c r="P50" s="1"/>
  <c r="P67"/>
  <c r="P68" s="1"/>
  <c r="N44"/>
  <c r="N48"/>
  <c r="N50" s="1"/>
  <c r="M48"/>
  <c r="M50" s="1"/>
  <c r="M45"/>
  <c r="F21"/>
  <c r="F65" i="7"/>
  <c r="L54" i="4"/>
  <c r="C37" i="7"/>
  <c r="L62" i="3"/>
  <c r="O62"/>
  <c r="F47" i="4"/>
  <c r="F49" s="1"/>
  <c r="F43"/>
  <c r="N67" i="7"/>
  <c r="L67"/>
  <c r="M67" i="3"/>
  <c r="N65" i="9"/>
  <c r="M66"/>
  <c r="M69"/>
  <c r="F12"/>
  <c r="F43" s="1"/>
  <c r="C48"/>
  <c r="B21"/>
  <c r="C23"/>
  <c r="N66" i="10"/>
  <c r="N67" s="1"/>
  <c r="N48"/>
  <c r="K67"/>
  <c r="B45" i="2"/>
  <c r="P44"/>
  <c r="P69"/>
  <c r="M67"/>
  <c r="M24"/>
  <c r="M70"/>
  <c r="K67"/>
  <c r="K49"/>
  <c r="K50" s="1"/>
  <c r="F20" i="9"/>
  <c r="F48" s="1"/>
  <c r="F20" i="10"/>
  <c r="F65" i="4"/>
  <c r="F67" s="1"/>
  <c r="C22" i="2"/>
  <c r="C21" i="10"/>
  <c r="C48" i="7"/>
  <c r="K37" i="2"/>
  <c r="C69" i="7"/>
  <c r="B60"/>
  <c r="C36" i="9"/>
  <c r="C35" i="4"/>
  <c r="K54"/>
  <c r="F35" i="7"/>
  <c r="F37" s="1"/>
  <c r="C36"/>
  <c r="F68" i="4"/>
  <c r="N62" i="3"/>
  <c r="N68" i="9"/>
  <c r="M37" i="2"/>
  <c r="O61" i="3"/>
  <c r="P23" i="10"/>
  <c r="B23" i="4"/>
  <c r="B57" s="1"/>
  <c r="F20" i="2"/>
  <c r="F36" s="1"/>
  <c r="F38" s="1"/>
  <c r="K24"/>
  <c r="B60" i="4"/>
  <c r="B21" i="7"/>
  <c r="F49"/>
  <c r="B37" i="3"/>
  <c r="B44"/>
  <c r="B47"/>
  <c r="C65"/>
  <c r="C67" s="1"/>
  <c r="C68"/>
  <c r="K47" i="9"/>
  <c r="L45" i="2"/>
  <c r="L48"/>
  <c r="L50" s="1"/>
  <c r="F23" i="8"/>
  <c r="F22" i="2"/>
  <c r="F66" i="8"/>
  <c r="F53"/>
  <c r="F54" s="1"/>
  <c r="B12" i="2"/>
  <c r="B44" s="1"/>
  <c r="L67" i="4"/>
  <c r="C49"/>
  <c r="C67" s="1"/>
  <c r="K49" i="7"/>
  <c r="K67" s="1"/>
  <c r="M47" i="9"/>
  <c r="M49" s="1"/>
  <c r="L65" i="10"/>
  <c r="C20"/>
  <c r="B20" i="4"/>
  <c r="N66" i="2"/>
  <c r="B20" i="10"/>
  <c r="C48"/>
  <c r="C43" i="9" l="1"/>
  <c r="C65"/>
  <c r="K68" i="2"/>
  <c r="M54" i="10"/>
  <c r="M67" i="9"/>
  <c r="N68" i="2"/>
  <c r="B65" i="4"/>
  <c r="B68"/>
  <c r="B26"/>
  <c r="B72" s="1"/>
  <c r="M39" i="2"/>
  <c r="M63" s="1"/>
  <c r="M62"/>
  <c r="C38" i="7"/>
  <c r="C62" s="1"/>
  <c r="C61"/>
  <c r="C38" i="9"/>
  <c r="C62" s="1"/>
  <c r="C61"/>
  <c r="K39" i="2"/>
  <c r="K63" s="1"/>
  <c r="K62"/>
  <c r="B66" i="9"/>
  <c r="B36"/>
  <c r="B73"/>
  <c r="B69"/>
  <c r="B53"/>
  <c r="F69" i="2"/>
  <c r="F66"/>
  <c r="C47" i="10"/>
  <c r="C49" s="1"/>
  <c r="C44"/>
  <c r="C60"/>
  <c r="C52"/>
  <c r="L39" i="2"/>
  <c r="L63" s="1"/>
  <c r="L62"/>
  <c r="B20"/>
  <c r="B36" s="1"/>
  <c r="B38" s="1"/>
  <c r="C65" i="10"/>
  <c r="C68"/>
  <c r="F67" i="8"/>
  <c r="B66" i="7"/>
  <c r="B67" s="1"/>
  <c r="B36"/>
  <c r="B53"/>
  <c r="B54" s="1"/>
  <c r="B48"/>
  <c r="B49" s="1"/>
  <c r="B73"/>
  <c r="B69"/>
  <c r="F65" i="10"/>
  <c r="F68"/>
  <c r="F38"/>
  <c r="F62" s="1"/>
  <c r="F61"/>
  <c r="B65" i="8"/>
  <c r="B26"/>
  <c r="B72" s="1"/>
  <c r="B68"/>
  <c r="F62" i="7"/>
  <c r="L61" i="10"/>
  <c r="L38"/>
  <c r="L62" s="1"/>
  <c r="C47" i="9"/>
  <c r="C49" s="1"/>
  <c r="C44"/>
  <c r="C60"/>
  <c r="C52"/>
  <c r="C66"/>
  <c r="C69"/>
  <c r="N38"/>
  <c r="N62" s="1"/>
  <c r="N61"/>
  <c r="B48" i="4"/>
  <c r="B49" s="1"/>
  <c r="B67" s="1"/>
  <c r="C38" i="8"/>
  <c r="C62" s="1"/>
  <c r="C61"/>
  <c r="L68" i="2"/>
  <c r="O68"/>
  <c r="C49" i="7"/>
  <c r="C67" s="1"/>
  <c r="C61" i="3"/>
  <c r="C38"/>
  <c r="C62" s="1"/>
  <c r="B57" i="7"/>
  <c r="F67" i="2"/>
  <c r="F49"/>
  <c r="F24"/>
  <c r="F54"/>
  <c r="F70"/>
  <c r="F37"/>
  <c r="K49" i="9"/>
  <c r="K67" s="1"/>
  <c r="C66" i="10"/>
  <c r="C23"/>
  <c r="B23" s="1"/>
  <c r="C53"/>
  <c r="C36"/>
  <c r="C69"/>
  <c r="B21"/>
  <c r="F65" i="9"/>
  <c r="F68"/>
  <c r="B37" i="10"/>
  <c r="F53" i="2"/>
  <c r="F48"/>
  <c r="F50" s="1"/>
  <c r="F45"/>
  <c r="F61"/>
  <c r="N67" i="9"/>
  <c r="C49" i="8"/>
  <c r="C67" s="1"/>
  <c r="B65" i="7"/>
  <c r="B68"/>
  <c r="B26"/>
  <c r="B72" s="1"/>
  <c r="B66" i="8"/>
  <c r="B67" s="1"/>
  <c r="B69"/>
  <c r="B48"/>
  <c r="B36"/>
  <c r="B53"/>
  <c r="B54" s="1"/>
  <c r="B73"/>
  <c r="B66" i="3"/>
  <c r="B48"/>
  <c r="B49" s="1"/>
  <c r="B69"/>
  <c r="B73"/>
  <c r="B36"/>
  <c r="B53"/>
  <c r="B54" s="1"/>
  <c r="B20" i="9"/>
  <c r="L62"/>
  <c r="L67"/>
  <c r="B49" i="8"/>
  <c r="B48" i="9"/>
  <c r="C37" i="4"/>
  <c r="C62" s="1"/>
  <c r="C61"/>
  <c r="C53" i="9"/>
  <c r="C67" i="2"/>
  <c r="C49"/>
  <c r="C50" s="1"/>
  <c r="C37"/>
  <c r="B22"/>
  <c r="C54"/>
  <c r="C55" s="1"/>
  <c r="C24"/>
  <c r="C70"/>
  <c r="M68"/>
  <c r="B48"/>
  <c r="B23" i="9"/>
  <c r="B57" s="1"/>
  <c r="F67" i="7"/>
  <c r="F48" i="10"/>
  <c r="F47"/>
  <c r="F38" i="9"/>
  <c r="F62" s="1"/>
  <c r="F61"/>
  <c r="F47"/>
  <c r="F49" s="1"/>
  <c r="F67" s="1"/>
  <c r="B47"/>
  <c r="B52"/>
  <c r="B44"/>
  <c r="B60"/>
  <c r="B23" i="8"/>
  <c r="B57" s="1"/>
  <c r="N62" i="2"/>
  <c r="N39"/>
  <c r="N63" s="1"/>
  <c r="L67" i="10"/>
  <c r="M38"/>
  <c r="M62" s="1"/>
  <c r="M61"/>
  <c r="K38" i="9"/>
  <c r="K62" s="1"/>
  <c r="K61"/>
  <c r="B57" i="3"/>
  <c r="C66" i="2"/>
  <c r="C69"/>
  <c r="B21"/>
  <c r="B26" i="10"/>
  <c r="B72" s="1"/>
  <c r="B68"/>
  <c r="B65"/>
  <c r="B48"/>
  <c r="B49" s="1"/>
  <c r="F49" l="1"/>
  <c r="C68" i="2"/>
  <c r="C54" i="10"/>
  <c r="F67"/>
  <c r="B66" i="2"/>
  <c r="B69"/>
  <c r="B27"/>
  <c r="B73" s="1"/>
  <c r="B49" i="9"/>
  <c r="B65"/>
  <c r="B68"/>
  <c r="B26"/>
  <c r="B72" s="1"/>
  <c r="C67"/>
  <c r="B61" i="7"/>
  <c r="B38"/>
  <c r="B62" s="1"/>
  <c r="B67" i="2"/>
  <c r="B49"/>
  <c r="B50" s="1"/>
  <c r="B70"/>
  <c r="B54"/>
  <c r="B55" s="1"/>
  <c r="B37"/>
  <c r="B74"/>
  <c r="B38" i="8"/>
  <c r="B62" s="1"/>
  <c r="B61"/>
  <c r="C38" i="10"/>
  <c r="C62" s="1"/>
  <c r="C61"/>
  <c r="C54" i="9"/>
  <c r="B38"/>
  <c r="B62" s="1"/>
  <c r="B61"/>
  <c r="C62" i="2"/>
  <c r="C39"/>
  <c r="C63" s="1"/>
  <c r="B38" i="3"/>
  <c r="B62" s="1"/>
  <c r="B61"/>
  <c r="B67"/>
  <c r="F55" i="2"/>
  <c r="F39"/>
  <c r="F63" s="1"/>
  <c r="F62"/>
  <c r="C67" i="10"/>
  <c r="B54" i="9"/>
  <c r="B24" i="2"/>
  <c r="B58" s="1"/>
  <c r="B66" i="10"/>
  <c r="B67" s="1"/>
  <c r="B69"/>
  <c r="B53"/>
  <c r="B54" s="1"/>
  <c r="B36"/>
  <c r="B73"/>
  <c r="B57"/>
  <c r="F68" i="2"/>
  <c r="B68" l="1"/>
  <c r="B62"/>
  <c r="B39"/>
  <c r="B63" s="1"/>
  <c r="B38" i="10"/>
  <c r="B62" s="1"/>
  <c r="B61"/>
  <c r="B67" i="9"/>
</calcChain>
</file>

<file path=xl/sharedStrings.xml><?xml version="1.0" encoding="utf-8"?>
<sst xmlns="http://schemas.openxmlformats.org/spreadsheetml/2006/main" count="595" uniqueCount="144">
  <si>
    <t>Indicador</t>
  </si>
  <si>
    <t>Total</t>
  </si>
  <si>
    <t>Productos</t>
  </si>
  <si>
    <t>programa</t>
  </si>
  <si>
    <t>Comidas Servidas</t>
  </si>
  <si>
    <t>DAF</t>
  </si>
  <si>
    <t>Insumos</t>
  </si>
  <si>
    <t xml:space="preserve">Beneficiarios </t>
  </si>
  <si>
    <t>Gasto FODESAF</t>
  </si>
  <si>
    <t>Ingresos FODESAF</t>
  </si>
  <si>
    <t>Otros insumos</t>
  </si>
  <si>
    <t>Población objetivo</t>
  </si>
  <si>
    <t>Cálculos intermedios</t>
  </si>
  <si>
    <t>Indicadores</t>
  </si>
  <si>
    <t>De Cobertura Potencial</t>
  </si>
  <si>
    <t>Cobertura Programada</t>
  </si>
  <si>
    <t>Cobertura Efectiva</t>
  </si>
  <si>
    <t>De resultado</t>
  </si>
  <si>
    <t>Índice efectividad en beneficiarios (IEB)</t>
  </si>
  <si>
    <t xml:space="preserve">Índice efectividad en gasto (IEG) </t>
  </si>
  <si>
    <t>Índice efectividad total (IET)</t>
  </si>
  <si>
    <t xml:space="preserve">De avance </t>
  </si>
  <si>
    <t xml:space="preserve">Índice avance beneficiarios (IAB) </t>
  </si>
  <si>
    <t>Índice avance gasto (IAG)</t>
  </si>
  <si>
    <t xml:space="preserve">Índice avance total (IAT) </t>
  </si>
  <si>
    <t>Índice transferencia efectiva del gasto (ITG)</t>
  </si>
  <si>
    <t>De expansión</t>
  </si>
  <si>
    <t xml:space="preserve">Índice de crecimiento beneficiarios (ICB) </t>
  </si>
  <si>
    <t xml:space="preserve">Índice de crecimiento del gasto real (ICGR) </t>
  </si>
  <si>
    <t xml:space="preserve">Índice de crecimiento del gasto real por beneficiario (ICGRB) </t>
  </si>
  <si>
    <t>De gasto medio</t>
  </si>
  <si>
    <t xml:space="preserve">Gasto programado por beneficiario (GPB) </t>
  </si>
  <si>
    <t xml:space="preserve">Gasto efectivo por beneficiario (GEB) </t>
  </si>
  <si>
    <t xml:space="preserve">Índice de eficiencia (IE) </t>
  </si>
  <si>
    <t>De giro de recursos</t>
  </si>
  <si>
    <t>Índice de giro efectivo (IGE)</t>
  </si>
  <si>
    <t xml:space="preserve">Índice de uso de recursos (IUR) </t>
  </si>
  <si>
    <t>(Niños de 2 a 6 años)</t>
  </si>
  <si>
    <t xml:space="preserve">Gasto efectivo trimestral por beneficiario (GEB) </t>
  </si>
  <si>
    <t xml:space="preserve">Gasto programado trimestral por beneficiario (GPB) </t>
  </si>
  <si>
    <t>De composición</t>
  </si>
  <si>
    <t xml:space="preserve">Gasto programado acumulado por beneficiario (GPB) </t>
  </si>
  <si>
    <t xml:space="preserve">Gasto efectivo acumulado por beneficiario (GEB) </t>
  </si>
  <si>
    <t>NOTAS</t>
  </si>
  <si>
    <t xml:space="preserve">Gasto mensual programado por beneficiario (GPB) </t>
  </si>
  <si>
    <t xml:space="preserve">Gasto mensual efectivo por beneficiario (GEB) </t>
  </si>
  <si>
    <t xml:space="preserve">Gasto programado mensual por beneficiario (GPB) </t>
  </si>
  <si>
    <t xml:space="preserve">Gasto efectivo mensual por beneficiario (GEB) </t>
  </si>
  <si>
    <t>Intramuros</t>
  </si>
  <si>
    <t>Extramuros</t>
  </si>
  <si>
    <t>El cálculo de beneficiarios del trimestre se toma como el promedio de los individuos atendidos en los tres meses, debido a que el grueso de la población es la misma a través del período.</t>
  </si>
  <si>
    <t>Leche  (kg)</t>
  </si>
  <si>
    <t>Los beneficiarios se miden como comidas servidas intramuros + leche 1600 para evitar la duplicación de individuos, debido a que un mismo individuo puede recibir varios beneficios del programa.</t>
  </si>
  <si>
    <t>No se toman en cuenta modificaciones a las metas o al presupuesto que sean retroactivas, ni aquellas que respondan a cambios de precios.</t>
  </si>
  <si>
    <t>IPC, BCCR</t>
  </si>
  <si>
    <t>Total Comidas</t>
  </si>
  <si>
    <t>Total Leche</t>
  </si>
  <si>
    <t xml:space="preserve"> </t>
  </si>
  <si>
    <t>Comidas</t>
  </si>
  <si>
    <t>Leche</t>
  </si>
  <si>
    <t xml:space="preserve">Para el cálculo de Costos Medios por beneficiario en el caso de leche, se toma el total de beneficiarios de leche (1600, 640 y 320 grs). </t>
  </si>
  <si>
    <t>Compra de alimentos</t>
  </si>
  <si>
    <t>Vehiculos</t>
  </si>
  <si>
    <t>Proyecto prevención</t>
  </si>
  <si>
    <t xml:space="preserve">Debido a modificaciones se introdujo el producto vehiculos y el proyecto de prevención. </t>
  </si>
  <si>
    <t>Efectivos 1T 2015</t>
  </si>
  <si>
    <t>IPC (1T 2015)</t>
  </si>
  <si>
    <t>Gasto efectivo real 1T 2015</t>
  </si>
  <si>
    <t>Gasto efectivo real por beneficiario 1T 2015</t>
  </si>
  <si>
    <t>Efectivos 2T 2015</t>
  </si>
  <si>
    <t>IPC (2T 2015)</t>
  </si>
  <si>
    <t>Gasto efectivo real 2T 2015</t>
  </si>
  <si>
    <t>Gasto efectivo real por beneficiario 2T 2015</t>
  </si>
  <si>
    <t>Efectivos 3T 2015</t>
  </si>
  <si>
    <t>IPC (3T 2015)</t>
  </si>
  <si>
    <t>Gasto efectivo real 3T 2015</t>
  </si>
  <si>
    <t>Gasto efectivo real por beneficiario 3T 2015</t>
  </si>
  <si>
    <t>Efectivos 4T 2015</t>
  </si>
  <si>
    <t>IPC (4T 2015)</t>
  </si>
  <si>
    <t>Gasto efectivo real 4T 2015</t>
  </si>
  <si>
    <t>Gasto efectivo real por beneficiario 4T 2015</t>
  </si>
  <si>
    <t>Efectivos 1S 2015</t>
  </si>
  <si>
    <t>IPC (1S 2015)</t>
  </si>
  <si>
    <t>Gasto efectivo real 1S 2015</t>
  </si>
  <si>
    <t>Gasto efectivo real por beneficiario 1S 2015</t>
  </si>
  <si>
    <t>Efectivos  2015</t>
  </si>
  <si>
    <t>IPC ( 2015)</t>
  </si>
  <si>
    <t>Gasto efectivo real  2015</t>
  </si>
  <si>
    <t>Gasto efectivo real por beneficiario  2015</t>
  </si>
  <si>
    <t>Indicadores propuestos aplicado a CEN-CINAI. Primer trimestre 2016</t>
  </si>
  <si>
    <t>Programados 1T 2016</t>
  </si>
  <si>
    <t>Efectivos 1T 2016</t>
  </si>
  <si>
    <t>Programados año 2016</t>
  </si>
  <si>
    <t>En transferencias 1T 2016</t>
  </si>
  <si>
    <t>IPC (1T 2016)</t>
  </si>
  <si>
    <t>Gasto efectivo real 1T 2016</t>
  </si>
  <si>
    <t>Gasto efectivo real por beneficiario 1T 2016</t>
  </si>
  <si>
    <t>Fuentes: Informes trimestrales, CEN CINAI, 2015 y 2016</t>
  </si>
  <si>
    <t>Metas y Modificaciones CEN CINAI, Desaf 2016</t>
  </si>
  <si>
    <t>ENAHO 2015</t>
  </si>
  <si>
    <t>Salud Oral</t>
  </si>
  <si>
    <t>6Indicadores propuestos aplicado a CEN-CINAI. Segundo trimestre 2016</t>
  </si>
  <si>
    <t>Programados 2T 2016</t>
  </si>
  <si>
    <t>Efectivos 2T 2016</t>
  </si>
  <si>
    <t>En transferencias 2T 2016</t>
  </si>
  <si>
    <t>IPC (2T 2016)</t>
  </si>
  <si>
    <t>Gasto efectivo real 2T 2016</t>
  </si>
  <si>
    <t>Gasto efectivo real por beneficiario 2T 2016</t>
  </si>
  <si>
    <t>Indicadores propuestos aplicado a CEN-CINAI. Tercer trimestre 2016</t>
  </si>
  <si>
    <t>Programados 3T 2016</t>
  </si>
  <si>
    <t>Efectivos 3T 2016</t>
  </si>
  <si>
    <t>En transferencias 3T 2016</t>
  </si>
  <si>
    <t>IPC (3T 2016)</t>
  </si>
  <si>
    <t>Gasto efectivo real 3T 2016</t>
  </si>
  <si>
    <t>Gasto efectivo real por beneficiario 3T 2016</t>
  </si>
  <si>
    <t>Indicadores propuestos aplicado a CEN-CINAI. Cuarto trimestre 2016</t>
  </si>
  <si>
    <t>Programados 4T 2016</t>
  </si>
  <si>
    <t>Efectivos 4T 2016</t>
  </si>
  <si>
    <t>En transferencias 4T 2016</t>
  </si>
  <si>
    <t>IPC (4T 2016)</t>
  </si>
  <si>
    <t>Gasto efectivo real 4T 2016</t>
  </si>
  <si>
    <t>Gasto efectivo real por beneficiario 4T 2016</t>
  </si>
  <si>
    <t>Indicadores propuestos aplicado a CEN-CINAI. Primer Semestre 2016</t>
  </si>
  <si>
    <t>Programados 1S 2016</t>
  </si>
  <si>
    <t>Efectivos 1S 2016</t>
  </si>
  <si>
    <t>En transferencias 1S 2016</t>
  </si>
  <si>
    <t>IPC (1S 2016)</t>
  </si>
  <si>
    <t>Gasto efectivo real 1S 2016</t>
  </si>
  <si>
    <t>Gasto efectivo real por beneficiario 1S 2016</t>
  </si>
  <si>
    <t>Indicadores propuestos aplicado a CEN-CINAI. Tercer trimestre ACUMULADO 2016</t>
  </si>
  <si>
    <t>Indicadores propuestos aplicado a CEN-CINAI. Año 2016</t>
  </si>
  <si>
    <t>Programados  2016</t>
  </si>
  <si>
    <t>Efectivos  2016</t>
  </si>
  <si>
    <t>Programados 2016</t>
  </si>
  <si>
    <t>En transferencias  2016</t>
  </si>
  <si>
    <t>IPC ( 2016)</t>
  </si>
  <si>
    <t>Gasto efectivo real  2016</t>
  </si>
  <si>
    <t>Gasto efectivo real por beneficiario  2016</t>
  </si>
  <si>
    <t>Red  Cuido</t>
  </si>
  <si>
    <t>Fecha de actualización: 05/08/2016</t>
  </si>
  <si>
    <t>Fecha de actualización: 01/12/2016</t>
  </si>
  <si>
    <t>Red de cuido</t>
  </si>
  <si>
    <t xml:space="preserve">Transferencia a Asociaciones </t>
  </si>
  <si>
    <t>Fecha de actualización: 22/02/2017</t>
  </si>
</sst>
</file>

<file path=xl/styles.xml><?xml version="1.0" encoding="utf-8"?>
<styleSheet xmlns="http://schemas.openxmlformats.org/spreadsheetml/2006/main">
  <numFmts count="8">
    <numFmt numFmtId="164" formatCode="_(* #,##0.00_);_(* \(#,##0.00\);_(* &quot;-&quot;??_);_(@_)"/>
    <numFmt numFmtId="165" formatCode="#,##0.0____"/>
    <numFmt numFmtId="166" formatCode="#,##0.0"/>
    <numFmt numFmtId="167" formatCode="_(* #,##0_);_(* \(#,##0\);_(* &quot;-&quot;??_);_(@_)"/>
    <numFmt numFmtId="168" formatCode="#,##0____"/>
    <numFmt numFmtId="169" formatCode="&quot;$&quot;#,##0.00"/>
    <numFmt numFmtId="170" formatCode="_(* #,##0.0_);_(* \(#,##0.0\);_(* &quot;-&quot;??_);_(@_)"/>
    <numFmt numFmtId="171" formatCode="0_);\(0\)"/>
  </numFmts>
  <fonts count="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2"/>
      <color theme="1"/>
      <name val="Calibri"/>
      <family val="2"/>
      <scheme val="minor"/>
    </font>
    <font>
      <i/>
      <sz val="11"/>
      <color theme="1"/>
      <name val="Calibri"/>
      <family val="2"/>
      <scheme val="minor"/>
    </font>
    <font>
      <sz val="11"/>
      <color theme="9" tint="-0.249977111117893"/>
      <name val="Calibri"/>
      <family val="2"/>
      <scheme val="minor"/>
    </font>
    <font>
      <sz val="11"/>
      <color theme="3" tint="0.3999755851924192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theme="0"/>
        <bgColor indexed="64"/>
      </patternFill>
    </fill>
  </fills>
  <borders count="6">
    <border>
      <left/>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112">
    <xf numFmtId="0" fontId="0" fillId="0" borderId="0" xfId="0"/>
    <xf numFmtId="0" fontId="0" fillId="0" borderId="3" xfId="0" applyBorder="1" applyAlignment="1">
      <alignment horizontal="center"/>
    </xf>
    <xf numFmtId="0" fontId="3" fillId="0" borderId="0" xfId="0" applyFont="1"/>
    <xf numFmtId="0" fontId="0" fillId="0" borderId="0" xfId="0" applyAlignment="1">
      <alignment horizontal="left" indent="1"/>
    </xf>
    <xf numFmtId="3" fontId="0" fillId="0" borderId="0" xfId="0" applyNumberFormat="1"/>
    <xf numFmtId="3" fontId="0" fillId="0" borderId="0" xfId="0" applyNumberFormat="1" applyFill="1"/>
    <xf numFmtId="0" fontId="0" fillId="0" borderId="0" xfId="0" applyAlignment="1">
      <alignment horizontal="left"/>
    </xf>
    <xf numFmtId="0" fontId="0" fillId="2" borderId="0" xfId="0" applyFill="1" applyAlignment="1">
      <alignment horizontal="left"/>
    </xf>
    <xf numFmtId="3" fontId="0" fillId="2" borderId="0" xfId="0" applyNumberFormat="1" applyFill="1"/>
    <xf numFmtId="0" fontId="0" fillId="2" borderId="0" xfId="0" applyFill="1" applyAlignment="1">
      <alignment horizontal="left" indent="1"/>
    </xf>
    <xf numFmtId="0" fontId="0" fillId="3" borderId="0" xfId="0" applyFill="1" applyAlignment="1">
      <alignment horizontal="left" indent="1"/>
    </xf>
    <xf numFmtId="2" fontId="0" fillId="3" borderId="0" xfId="0" applyNumberFormat="1" applyFill="1"/>
    <xf numFmtId="0" fontId="3" fillId="3" borderId="0" xfId="0" applyFont="1" applyFill="1"/>
    <xf numFmtId="0" fontId="0" fillId="3" borderId="0" xfId="0" applyFill="1"/>
    <xf numFmtId="3" fontId="0" fillId="3" borderId="0" xfId="0" applyNumberFormat="1" applyFill="1"/>
    <xf numFmtId="165" fontId="0" fillId="0" borderId="0" xfId="0" applyNumberFormat="1"/>
    <xf numFmtId="165" fontId="0" fillId="3" borderId="0" xfId="0" applyNumberFormat="1" applyFill="1"/>
    <xf numFmtId="165" fontId="0" fillId="0" borderId="0" xfId="0" applyNumberFormat="1" applyFill="1"/>
    <xf numFmtId="0" fontId="0" fillId="2" borderId="0" xfId="0" applyFill="1"/>
    <xf numFmtId="165" fontId="0" fillId="2" borderId="0" xfId="0" applyNumberFormat="1" applyFill="1"/>
    <xf numFmtId="0" fontId="0" fillId="0" borderId="3" xfId="0" applyBorder="1"/>
    <xf numFmtId="166" fontId="0" fillId="0" borderId="0" xfId="0" applyNumberFormat="1"/>
    <xf numFmtId="164" fontId="0" fillId="0" borderId="0" xfId="1" applyFont="1"/>
    <xf numFmtId="164" fontId="0" fillId="2" borderId="0" xfId="1" applyFont="1" applyFill="1"/>
    <xf numFmtId="167" fontId="0" fillId="0" borderId="0" xfId="1" applyNumberFormat="1" applyFont="1"/>
    <xf numFmtId="0" fontId="0" fillId="0" borderId="1" xfId="0" applyBorder="1" applyAlignment="1">
      <alignment horizontal="center"/>
    </xf>
    <xf numFmtId="0" fontId="6" fillId="0" borderId="0" xfId="0" applyFont="1" applyAlignment="1">
      <alignment horizontal="left" indent="1"/>
    </xf>
    <xf numFmtId="0" fontId="6" fillId="0" borderId="0" xfId="0" applyFont="1" applyAlignment="1">
      <alignment horizontal="left" indent="2"/>
    </xf>
    <xf numFmtId="3" fontId="2" fillId="2" borderId="0" xfId="0" applyNumberFormat="1" applyFont="1" applyFill="1"/>
    <xf numFmtId="167" fontId="0" fillId="0" borderId="0" xfId="0" applyNumberFormat="1"/>
    <xf numFmtId="168" fontId="0" fillId="0" borderId="0" xfId="0" applyNumberFormat="1" applyFill="1"/>
    <xf numFmtId="3" fontId="4" fillId="2" borderId="0" xfId="0" applyNumberFormat="1" applyFont="1" applyFill="1"/>
    <xf numFmtId="0" fontId="0" fillId="0" borderId="0" xfId="0" applyFill="1"/>
    <xf numFmtId="0" fontId="0" fillId="0" borderId="0" xfId="0" applyFill="1" applyBorder="1"/>
    <xf numFmtId="3" fontId="0" fillId="3" borderId="0" xfId="0" applyNumberFormat="1" applyFill="1" applyAlignment="1">
      <alignment horizontal="right"/>
    </xf>
    <xf numFmtId="167" fontId="0" fillId="2" borderId="0" xfId="1" applyNumberFormat="1" applyFont="1" applyFill="1"/>
    <xf numFmtId="0" fontId="0" fillId="0" borderId="0" xfId="0" applyAlignment="1">
      <alignment horizontal="center"/>
    </xf>
    <xf numFmtId="167" fontId="0" fillId="0" borderId="0" xfId="1" applyNumberFormat="1" applyFont="1" applyFill="1"/>
    <xf numFmtId="0" fontId="2" fillId="0" borderId="0" xfId="0" applyFont="1" applyFill="1"/>
    <xf numFmtId="167" fontId="0" fillId="0" borderId="0" xfId="1" applyNumberFormat="1" applyFont="1" applyAlignment="1"/>
    <xf numFmtId="3" fontId="0" fillId="0" borderId="0" xfId="0" applyNumberFormat="1" applyAlignment="1"/>
    <xf numFmtId="169" fontId="0" fillId="0" borderId="0" xfId="0" applyNumberFormat="1"/>
    <xf numFmtId="14" fontId="0" fillId="0" borderId="0" xfId="0" applyNumberFormat="1" applyAlignment="1">
      <alignment horizontal="left"/>
    </xf>
    <xf numFmtId="164" fontId="2" fillId="2" borderId="0" xfId="1" applyFont="1" applyFill="1"/>
    <xf numFmtId="3" fontId="0" fillId="0" borderId="0" xfId="0" applyNumberFormat="1" applyFill="1" applyAlignment="1"/>
    <xf numFmtId="164" fontId="0" fillId="0" borderId="0" xfId="1" applyFont="1" applyFill="1"/>
    <xf numFmtId="167" fontId="0" fillId="0" borderId="0" xfId="0" applyNumberFormat="1" applyFill="1"/>
    <xf numFmtId="0" fontId="0" fillId="0" borderId="0" xfId="0" applyFill="1" applyAlignment="1">
      <alignment horizontal="center"/>
    </xf>
    <xf numFmtId="0" fontId="0" fillId="0" borderId="3" xfId="0" applyFill="1" applyBorder="1" applyAlignment="1">
      <alignment horizontal="center"/>
    </xf>
    <xf numFmtId="0" fontId="0" fillId="0" borderId="3" xfId="0" applyFill="1" applyBorder="1"/>
    <xf numFmtId="3" fontId="0" fillId="3" borderId="0" xfId="0" applyNumberFormat="1" applyFill="1" applyAlignment="1"/>
    <xf numFmtId="0" fontId="0" fillId="3" borderId="0" xfId="0" applyFill="1" applyAlignment="1"/>
    <xf numFmtId="167" fontId="4" fillId="0" borderId="0" xfId="1" applyNumberFormat="1" applyFont="1"/>
    <xf numFmtId="167" fontId="0" fillId="2" borderId="0" xfId="0" applyNumberFormat="1" applyFill="1"/>
    <xf numFmtId="3" fontId="0" fillId="0" borderId="0" xfId="0" applyNumberFormat="1" applyAlignment="1">
      <alignment horizontal="center"/>
    </xf>
    <xf numFmtId="3" fontId="0" fillId="0" borderId="0" xfId="0" applyNumberFormat="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165" fontId="0" fillId="0" borderId="0" xfId="0" applyNumberFormat="1" applyAlignment="1"/>
    <xf numFmtId="165" fontId="0" fillId="3" borderId="0" xfId="0" applyNumberFormat="1" applyFill="1" applyAlignment="1"/>
    <xf numFmtId="168" fontId="0" fillId="0" borderId="0" xfId="0" applyNumberFormat="1" applyFill="1" applyAlignment="1"/>
    <xf numFmtId="0" fontId="0" fillId="0" borderId="0" xfId="0" applyFill="1" applyAlignment="1">
      <alignment horizontal="left" indent="1"/>
    </xf>
    <xf numFmtId="170" fontId="0" fillId="0" borderId="0" xfId="1" applyNumberFormat="1" applyFont="1"/>
    <xf numFmtId="37" fontId="0" fillId="0" borderId="0" xfId="1" applyNumberFormat="1" applyFont="1"/>
    <xf numFmtId="37" fontId="0" fillId="0" borderId="0" xfId="1" applyNumberFormat="1" applyFont="1" applyFill="1"/>
    <xf numFmtId="0" fontId="0" fillId="0" borderId="4" xfId="0" applyBorder="1"/>
    <xf numFmtId="3" fontId="4" fillId="0" borderId="0" xfId="0" applyNumberFormat="1" applyFont="1"/>
    <xf numFmtId="0" fontId="0" fillId="0" borderId="0" xfId="0" applyBorder="1"/>
    <xf numFmtId="171" fontId="0" fillId="0" borderId="0" xfId="1" applyNumberFormat="1" applyFont="1"/>
    <xf numFmtId="171" fontId="0" fillId="0" borderId="0" xfId="0" applyNumberFormat="1"/>
    <xf numFmtId="171" fontId="4" fillId="0" borderId="0" xfId="0" applyNumberFormat="1" applyFont="1"/>
    <xf numFmtId="0" fontId="4" fillId="0" borderId="0" xfId="0" applyFont="1" applyFill="1"/>
    <xf numFmtId="0" fontId="4" fillId="0" borderId="0" xfId="0" applyFont="1"/>
    <xf numFmtId="37" fontId="0" fillId="0" borderId="0" xfId="0" applyNumberFormat="1"/>
    <xf numFmtId="0" fontId="2" fillId="0" borderId="0" xfId="0" applyFont="1"/>
    <xf numFmtId="3" fontId="4" fillId="0" borderId="0" xfId="0" applyNumberFormat="1" applyFont="1" applyFill="1"/>
    <xf numFmtId="0" fontId="7" fillId="0" borderId="0" xfId="0" applyFont="1"/>
    <xf numFmtId="3" fontId="4" fillId="0" borderId="0" xfId="0" applyNumberFormat="1" applyFont="1" applyFill="1" applyAlignment="1"/>
    <xf numFmtId="0" fontId="8" fillId="0" borderId="0" xfId="0" applyFont="1"/>
    <xf numFmtId="37" fontId="4" fillId="0" borderId="0" xfId="1" applyNumberFormat="1" applyFont="1"/>
    <xf numFmtId="171" fontId="4" fillId="0" borderId="0" xfId="1" applyNumberFormat="1" applyFont="1" applyFill="1"/>
    <xf numFmtId="171" fontId="4" fillId="0" borderId="0" xfId="0" applyNumberFormat="1" applyFont="1" applyFill="1"/>
    <xf numFmtId="167" fontId="4" fillId="0" borderId="0" xfId="1" applyNumberFormat="1" applyFont="1" applyFill="1"/>
    <xf numFmtId="0" fontId="0" fillId="0" borderId="1" xfId="0" applyBorder="1" applyAlignment="1"/>
    <xf numFmtId="0" fontId="0" fillId="0" borderId="0" xfId="0" applyBorder="1" applyAlignment="1"/>
    <xf numFmtId="164" fontId="4" fillId="0" borderId="0" xfId="1" applyFont="1"/>
    <xf numFmtId="1" fontId="4" fillId="0" borderId="0" xfId="1" applyNumberFormat="1" applyFont="1" applyFill="1"/>
    <xf numFmtId="1" fontId="4" fillId="0" borderId="0" xfId="0" applyNumberFormat="1" applyFont="1" applyFill="1"/>
    <xf numFmtId="1" fontId="0" fillId="0" borderId="0" xfId="1" applyNumberFormat="1" applyFont="1"/>
    <xf numFmtId="1" fontId="0" fillId="0" borderId="0" xfId="0" applyNumberFormat="1"/>
    <xf numFmtId="0" fontId="7" fillId="0" borderId="0" xfId="0" applyFont="1" applyFill="1"/>
    <xf numFmtId="4" fontId="0" fillId="0" borderId="0" xfId="1" applyNumberFormat="1" applyFont="1"/>
    <xf numFmtId="4" fontId="0" fillId="0" borderId="0" xfId="0" applyNumberFormat="1"/>
    <xf numFmtId="4" fontId="4" fillId="0" borderId="0" xfId="0" applyNumberFormat="1" applyFont="1"/>
    <xf numFmtId="4" fontId="0" fillId="0" borderId="0" xfId="1" applyNumberFormat="1" applyFont="1" applyAlignment="1"/>
    <xf numFmtId="167" fontId="0" fillId="4" borderId="0" xfId="1" applyNumberFormat="1" applyFont="1" applyFill="1" applyAlignment="1">
      <alignment horizontal="left"/>
    </xf>
    <xf numFmtId="168" fontId="0" fillId="0" borderId="0" xfId="0" applyNumberFormat="1" applyFill="1" applyAlignment="1">
      <alignment horizontal="right"/>
    </xf>
    <xf numFmtId="165" fontId="0" fillId="0" borderId="0" xfId="0" applyNumberFormat="1" applyFill="1" applyAlignment="1">
      <alignment horizontal="right"/>
    </xf>
    <xf numFmtId="164" fontId="1" fillId="0" borderId="0" xfId="1" applyFont="1"/>
    <xf numFmtId="0" fontId="0" fillId="3" borderId="0" xfId="0" applyFill="1" applyAlignment="1">
      <alignment horizontal="center"/>
    </xf>
    <xf numFmtId="0" fontId="0" fillId="0" borderId="1" xfId="0" applyBorder="1" applyAlignment="1">
      <alignment horizontal="center" vertical="center"/>
    </xf>
    <xf numFmtId="0" fontId="0" fillId="0" borderId="3" xfId="0" applyBorder="1" applyAlignment="1">
      <alignment horizontal="center" vertical="center"/>
    </xf>
    <xf numFmtId="0" fontId="5"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3" fontId="0" fillId="0" borderId="0" xfId="0" applyNumberFormat="1" applyAlignment="1">
      <alignment horizontal="center"/>
    </xf>
    <xf numFmtId="0" fontId="0" fillId="0" borderId="1" xfId="0" applyBorder="1" applyAlignment="1">
      <alignment horizontal="center"/>
    </xf>
    <xf numFmtId="0" fontId="0" fillId="0" borderId="0" xfId="0" applyBorder="1" applyAlignment="1">
      <alignment horizontal="center"/>
    </xf>
    <xf numFmtId="3" fontId="0" fillId="0" borderId="0" xfId="0" applyNumberFormat="1" applyFill="1" applyAlignment="1">
      <alignment horizontal="center"/>
    </xf>
    <xf numFmtId="0" fontId="0" fillId="0" borderId="2" xfId="0" applyBorder="1" applyAlignment="1">
      <alignment horizontal="center"/>
    </xf>
    <xf numFmtId="167" fontId="0" fillId="0" borderId="0" xfId="1" applyNumberFormat="1" applyFont="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s-ES"/>
  <c:style val="26"/>
  <c:chart>
    <c:title>
      <c:tx>
        <c:rich>
          <a:bodyPr/>
          <a:lstStyle/>
          <a:p>
            <a:pPr>
              <a:defRPr/>
            </a:pPr>
            <a:r>
              <a:rPr lang="es-ES"/>
              <a:t>CEN-CINAI: Indicadores de Cobertura Potencial 2016</a:t>
            </a:r>
          </a:p>
        </c:rich>
      </c:tx>
      <c:layout/>
    </c:title>
    <c:plotArea>
      <c:layout/>
      <c:barChart>
        <c:barDir val="col"/>
        <c:grouping val="clustered"/>
        <c:ser>
          <c:idx val="0"/>
          <c:order val="0"/>
          <c:tx>
            <c:strRef>
              <c:f>Anual!$A$44</c:f>
              <c:strCache>
                <c:ptCount val="1"/>
                <c:pt idx="0">
                  <c:v>Cobertura Programada</c:v>
                </c:pt>
              </c:strCache>
            </c:strRef>
          </c:tx>
          <c:cat>
            <c:strRef>
              <c:f>(Anual!$B$6,Anual!$C$5,Anual!$D$6,Anual!$E$6,Anual!$F$5,Anual!$K$5,Anual!$L$5)</c:f>
              <c:strCache>
                <c:ptCount val="7"/>
                <c:pt idx="0">
                  <c:v>Total</c:v>
                </c:pt>
                <c:pt idx="1">
                  <c:v>Total Comidas</c:v>
                </c:pt>
                <c:pt idx="2">
                  <c:v>Intramuros</c:v>
                </c:pt>
                <c:pt idx="3">
                  <c:v>Extramuros</c:v>
                </c:pt>
                <c:pt idx="4">
                  <c:v>Total Leche</c:v>
                </c:pt>
                <c:pt idx="5">
                  <c:v>DAF</c:v>
                </c:pt>
                <c:pt idx="6">
                  <c:v>Salud Oral</c:v>
                </c:pt>
              </c:strCache>
            </c:strRef>
          </c:cat>
          <c:val>
            <c:numRef>
              <c:f>(Anual!$B$44:$F$44,Anual!$K$44:$L$44)</c:f>
              <c:numCache>
                <c:formatCode>#,##0.0____</c:formatCode>
                <c:ptCount val="7"/>
                <c:pt idx="0">
                  <c:v>109.32111345450524</c:v>
                </c:pt>
                <c:pt idx="1">
                  <c:v>39.09650307669218</c:v>
                </c:pt>
                <c:pt idx="2">
                  <c:v>29.300259879775979</c:v>
                </c:pt>
                <c:pt idx="3">
                  <c:v>9.7962431969161994</c:v>
                </c:pt>
                <c:pt idx="4">
                  <c:v>105.90811788588988</c:v>
                </c:pt>
                <c:pt idx="5">
                  <c:v>8.0499537903741807</c:v>
                </c:pt>
                <c:pt idx="6">
                  <c:v>15.798162673681052</c:v>
                </c:pt>
              </c:numCache>
            </c:numRef>
          </c:val>
        </c:ser>
        <c:ser>
          <c:idx val="1"/>
          <c:order val="1"/>
          <c:tx>
            <c:strRef>
              <c:f>Anual!$A$45</c:f>
              <c:strCache>
                <c:ptCount val="1"/>
                <c:pt idx="0">
                  <c:v>Cobertura Efectiva</c:v>
                </c:pt>
              </c:strCache>
            </c:strRef>
          </c:tx>
          <c:cat>
            <c:strRef>
              <c:f>(Anual!$B$6,Anual!$C$5,Anual!$D$6,Anual!$E$6,Anual!$F$5,Anual!$K$5,Anual!$L$5)</c:f>
              <c:strCache>
                <c:ptCount val="7"/>
                <c:pt idx="0">
                  <c:v>Total</c:v>
                </c:pt>
                <c:pt idx="1">
                  <c:v>Total Comidas</c:v>
                </c:pt>
                <c:pt idx="2">
                  <c:v>Intramuros</c:v>
                </c:pt>
                <c:pt idx="3">
                  <c:v>Extramuros</c:v>
                </c:pt>
                <c:pt idx="4">
                  <c:v>Total Leche</c:v>
                </c:pt>
                <c:pt idx="5">
                  <c:v>DAF</c:v>
                </c:pt>
                <c:pt idx="6">
                  <c:v>Salud Oral</c:v>
                </c:pt>
              </c:strCache>
            </c:strRef>
          </c:cat>
          <c:val>
            <c:numRef>
              <c:f>(Anual!$B$45:$F$45,Anual!$K$45:$L$45)</c:f>
              <c:numCache>
                <c:formatCode>#,##0.0____</c:formatCode>
                <c:ptCount val="7"/>
                <c:pt idx="0">
                  <c:v>95.482252080749674</c:v>
                </c:pt>
                <c:pt idx="1">
                  <c:v>24.797586040743461</c:v>
                </c:pt>
                <c:pt idx="2">
                  <c:v>18.399856763325094</c:v>
                </c:pt>
                <c:pt idx="3">
                  <c:v>6.3977292774183683</c:v>
                </c:pt>
                <c:pt idx="4">
                  <c:v>94.408306147328403</c:v>
                </c:pt>
                <c:pt idx="5">
                  <c:v>7.2773578099533696</c:v>
                </c:pt>
                <c:pt idx="6">
                  <c:v>14.715988530533899</c:v>
                </c:pt>
              </c:numCache>
            </c:numRef>
          </c:val>
        </c:ser>
        <c:gapWidth val="75"/>
        <c:overlap val="-25"/>
        <c:axId val="54588928"/>
        <c:axId val="54590464"/>
      </c:barChart>
      <c:catAx>
        <c:axId val="54588928"/>
        <c:scaling>
          <c:orientation val="minMax"/>
        </c:scaling>
        <c:axPos val="b"/>
        <c:numFmt formatCode="General" sourceLinked="0"/>
        <c:majorTickMark val="none"/>
        <c:tickLblPos val="nextTo"/>
        <c:crossAx val="54590464"/>
        <c:crosses val="autoZero"/>
        <c:auto val="1"/>
        <c:lblAlgn val="ctr"/>
        <c:lblOffset val="100"/>
      </c:catAx>
      <c:valAx>
        <c:axId val="54590464"/>
        <c:scaling>
          <c:orientation val="minMax"/>
        </c:scaling>
        <c:axPos val="l"/>
        <c:majorGridlines/>
        <c:numFmt formatCode="#,##0.0____" sourceLinked="1"/>
        <c:majorTickMark val="none"/>
        <c:tickLblPos val="nextTo"/>
        <c:crossAx val="54588928"/>
        <c:crosses val="autoZero"/>
        <c:crossBetween val="between"/>
      </c:valAx>
    </c:plotArea>
    <c:legend>
      <c:legendPos val="b"/>
      <c:layout/>
    </c:legend>
    <c:plotVisOnly val="1"/>
    <c:dispBlanksAs val="gap"/>
  </c:chart>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style val="26"/>
  <c:chart>
    <c:title>
      <c:tx>
        <c:rich>
          <a:bodyPr/>
          <a:lstStyle/>
          <a:p>
            <a:pPr>
              <a:defRPr/>
            </a:pPr>
            <a:r>
              <a:rPr lang="es-ES"/>
              <a:t>CEN-CINAI:Indicadores de Resultado 2016</a:t>
            </a:r>
          </a:p>
        </c:rich>
      </c:tx>
      <c:layout/>
    </c:title>
    <c:plotArea>
      <c:layout/>
      <c:barChart>
        <c:barDir val="col"/>
        <c:grouping val="clustered"/>
        <c:ser>
          <c:idx val="0"/>
          <c:order val="0"/>
          <c:tx>
            <c:strRef>
              <c:f>Anual!$A$48</c:f>
              <c:strCache>
                <c:ptCount val="1"/>
                <c:pt idx="0">
                  <c:v>Índice efectividad en beneficiarios (IEB)</c:v>
                </c:pt>
              </c:strCache>
            </c:strRef>
          </c:tx>
          <c:cat>
            <c:strRef>
              <c:f>(Anual!$B$6,Anual!$C$5,Anual!$F$5,Anual!$K$5:$L$5)</c:f>
              <c:strCache>
                <c:ptCount val="5"/>
                <c:pt idx="0">
                  <c:v>Total</c:v>
                </c:pt>
                <c:pt idx="1">
                  <c:v>Total Comidas</c:v>
                </c:pt>
                <c:pt idx="2">
                  <c:v>Total Leche</c:v>
                </c:pt>
                <c:pt idx="3">
                  <c:v>DAF</c:v>
                </c:pt>
                <c:pt idx="4">
                  <c:v>Salud Oral</c:v>
                </c:pt>
              </c:strCache>
            </c:strRef>
          </c:cat>
          <c:val>
            <c:numRef>
              <c:f>(Anual!$B$48:$C$48,Anual!$F$48,Anual!$K$48:$L$48)</c:f>
              <c:numCache>
                <c:formatCode>#,##0.0____</c:formatCode>
                <c:ptCount val="5"/>
                <c:pt idx="0">
                  <c:v>87.341089990347839</c:v>
                </c:pt>
                <c:pt idx="1">
                  <c:v>63.426608748358419</c:v>
                </c:pt>
                <c:pt idx="2">
                  <c:v>89.141708900018529</c:v>
                </c:pt>
                <c:pt idx="3">
                  <c:v>90.402479311811064</c:v>
                </c:pt>
                <c:pt idx="4">
                  <c:v>93.15</c:v>
                </c:pt>
              </c:numCache>
            </c:numRef>
          </c:val>
        </c:ser>
        <c:ser>
          <c:idx val="1"/>
          <c:order val="1"/>
          <c:tx>
            <c:strRef>
              <c:f>Anual!$A$49</c:f>
              <c:strCache>
                <c:ptCount val="1"/>
                <c:pt idx="0">
                  <c:v>Índice efectividad en gasto (IEG) </c:v>
                </c:pt>
              </c:strCache>
            </c:strRef>
          </c:tx>
          <c:cat>
            <c:strRef>
              <c:f>(Anual!$B$6,Anual!$C$5,Anual!$F$5,Anual!$K$5:$L$5)</c:f>
              <c:strCache>
                <c:ptCount val="5"/>
                <c:pt idx="0">
                  <c:v>Total</c:v>
                </c:pt>
                <c:pt idx="1">
                  <c:v>Total Comidas</c:v>
                </c:pt>
                <c:pt idx="2">
                  <c:v>Total Leche</c:v>
                </c:pt>
                <c:pt idx="3">
                  <c:v>DAF</c:v>
                </c:pt>
                <c:pt idx="4">
                  <c:v>Salud Oral</c:v>
                </c:pt>
              </c:strCache>
            </c:strRef>
          </c:cat>
          <c:val>
            <c:numRef>
              <c:f>(Anual!$B$49:$C$49,Anual!$F$49,Anual!$K$49:$L$49)</c:f>
              <c:numCache>
                <c:formatCode>#,##0.0____</c:formatCode>
                <c:ptCount val="5"/>
                <c:pt idx="0">
                  <c:v>73.70534477167341</c:v>
                </c:pt>
                <c:pt idx="1">
                  <c:v>70.593446491111834</c:v>
                </c:pt>
                <c:pt idx="2">
                  <c:v>84.766873414768057</c:v>
                </c:pt>
                <c:pt idx="3">
                  <c:v>62.005318707143516</c:v>
                </c:pt>
                <c:pt idx="4">
                  <c:v>11.615272286698126</c:v>
                </c:pt>
              </c:numCache>
            </c:numRef>
          </c:val>
        </c:ser>
        <c:ser>
          <c:idx val="2"/>
          <c:order val="2"/>
          <c:tx>
            <c:strRef>
              <c:f>Anual!$A$50</c:f>
              <c:strCache>
                <c:ptCount val="1"/>
                <c:pt idx="0">
                  <c:v>Índice efectividad total (IET)</c:v>
                </c:pt>
              </c:strCache>
            </c:strRef>
          </c:tx>
          <c:cat>
            <c:strRef>
              <c:f>(Anual!$B$6,Anual!$C$5,Anual!$F$5,Anual!$K$5:$L$5)</c:f>
              <c:strCache>
                <c:ptCount val="5"/>
                <c:pt idx="0">
                  <c:v>Total</c:v>
                </c:pt>
                <c:pt idx="1">
                  <c:v>Total Comidas</c:v>
                </c:pt>
                <c:pt idx="2">
                  <c:v>Total Leche</c:v>
                </c:pt>
                <c:pt idx="3">
                  <c:v>DAF</c:v>
                </c:pt>
                <c:pt idx="4">
                  <c:v>Salud Oral</c:v>
                </c:pt>
              </c:strCache>
            </c:strRef>
          </c:cat>
          <c:val>
            <c:numRef>
              <c:f>(Anual!$B$50:$C$50,Anual!$F$50,Anual!$K$50:$L$50)</c:f>
              <c:numCache>
                <c:formatCode>#,##0.0____</c:formatCode>
                <c:ptCount val="5"/>
                <c:pt idx="0">
                  <c:v>80.523217381010625</c:v>
                </c:pt>
                <c:pt idx="1">
                  <c:v>67.010027619735126</c:v>
                </c:pt>
                <c:pt idx="2">
                  <c:v>86.9542911573933</c:v>
                </c:pt>
                <c:pt idx="3">
                  <c:v>76.203899009477283</c:v>
                </c:pt>
                <c:pt idx="4">
                  <c:v>52.382636143349067</c:v>
                </c:pt>
              </c:numCache>
            </c:numRef>
          </c:val>
        </c:ser>
        <c:gapWidth val="75"/>
        <c:overlap val="-25"/>
        <c:axId val="51345664"/>
        <c:axId val="51351552"/>
      </c:barChart>
      <c:catAx>
        <c:axId val="51345664"/>
        <c:scaling>
          <c:orientation val="minMax"/>
        </c:scaling>
        <c:axPos val="b"/>
        <c:numFmt formatCode="General" sourceLinked="0"/>
        <c:majorTickMark val="none"/>
        <c:tickLblPos val="nextTo"/>
        <c:crossAx val="51351552"/>
        <c:crosses val="autoZero"/>
        <c:auto val="1"/>
        <c:lblAlgn val="ctr"/>
        <c:lblOffset val="100"/>
      </c:catAx>
      <c:valAx>
        <c:axId val="51351552"/>
        <c:scaling>
          <c:orientation val="minMax"/>
        </c:scaling>
        <c:axPos val="l"/>
        <c:majorGridlines/>
        <c:numFmt formatCode="#,##0.0____" sourceLinked="1"/>
        <c:majorTickMark val="none"/>
        <c:tickLblPos val="nextTo"/>
        <c:crossAx val="51345664"/>
        <c:crosses val="autoZero"/>
        <c:crossBetween val="between"/>
      </c:valAx>
    </c:plotArea>
    <c:legend>
      <c:legendPos val="b"/>
      <c:layout/>
    </c:legend>
    <c:plotVisOnly val="1"/>
    <c:dispBlanksAs val="gap"/>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style val="26"/>
  <c:chart>
    <c:title>
      <c:tx>
        <c:rich>
          <a:bodyPr/>
          <a:lstStyle/>
          <a:p>
            <a:pPr>
              <a:defRPr/>
            </a:pPr>
            <a:r>
              <a:rPr lang="es-ES"/>
              <a:t>CEN-CINAI: Indicadores de Avance 2016</a:t>
            </a:r>
          </a:p>
        </c:rich>
      </c:tx>
      <c:layout/>
    </c:title>
    <c:plotArea>
      <c:layout/>
      <c:barChart>
        <c:barDir val="col"/>
        <c:grouping val="clustered"/>
        <c:ser>
          <c:idx val="0"/>
          <c:order val="0"/>
          <c:tx>
            <c:strRef>
              <c:f>Anual!$A$53</c:f>
              <c:strCache>
                <c:ptCount val="1"/>
                <c:pt idx="0">
                  <c:v>Índice avance beneficiarios (IAB) </c:v>
                </c:pt>
              </c:strCache>
            </c:strRef>
          </c:tx>
          <c:cat>
            <c:strRef>
              <c:f>(Anual!$B$4,Anual!$C$5,Anual!$F$5,Anual!$K$5,Anual!$L$5)</c:f>
              <c:strCache>
                <c:ptCount val="5"/>
                <c:pt idx="0">
                  <c:v>Total</c:v>
                </c:pt>
                <c:pt idx="1">
                  <c:v>Total Comidas</c:v>
                </c:pt>
                <c:pt idx="2">
                  <c:v>Total Leche</c:v>
                </c:pt>
                <c:pt idx="3">
                  <c:v>DAF</c:v>
                </c:pt>
                <c:pt idx="4">
                  <c:v>Salud Oral</c:v>
                </c:pt>
              </c:strCache>
            </c:strRef>
          </c:cat>
          <c:val>
            <c:numRef>
              <c:f>(Anual!$B$53:$C$53,Anual!$F$53,Anual!$K$53:$L$53)</c:f>
              <c:numCache>
                <c:formatCode>#,##0.0____</c:formatCode>
                <c:ptCount val="5"/>
                <c:pt idx="0">
                  <c:v>87.341247763077718</c:v>
                </c:pt>
                <c:pt idx="1">
                  <c:v>63.426608748358419</c:v>
                </c:pt>
                <c:pt idx="2">
                  <c:v>89.141653495297163</c:v>
                </c:pt>
                <c:pt idx="3">
                  <c:v>90.402479311811064</c:v>
                </c:pt>
                <c:pt idx="4">
                  <c:v>93.15</c:v>
                </c:pt>
              </c:numCache>
            </c:numRef>
          </c:val>
        </c:ser>
        <c:ser>
          <c:idx val="1"/>
          <c:order val="1"/>
          <c:tx>
            <c:strRef>
              <c:f>Anual!$A$54</c:f>
              <c:strCache>
                <c:ptCount val="1"/>
                <c:pt idx="0">
                  <c:v>Índice avance gasto (IAG)</c:v>
                </c:pt>
              </c:strCache>
            </c:strRef>
          </c:tx>
          <c:cat>
            <c:strRef>
              <c:f>(Anual!$B$4,Anual!$C$5,Anual!$F$5,Anual!$K$5,Anual!$L$5)</c:f>
              <c:strCache>
                <c:ptCount val="5"/>
                <c:pt idx="0">
                  <c:v>Total</c:v>
                </c:pt>
                <c:pt idx="1">
                  <c:v>Total Comidas</c:v>
                </c:pt>
                <c:pt idx="2">
                  <c:v>Total Leche</c:v>
                </c:pt>
                <c:pt idx="3">
                  <c:v>DAF</c:v>
                </c:pt>
                <c:pt idx="4">
                  <c:v>Salud Oral</c:v>
                </c:pt>
              </c:strCache>
            </c:strRef>
          </c:cat>
          <c:val>
            <c:numRef>
              <c:f>(Anual!$B$54:$C$54,Anual!$F$54,Anual!$K$54:$L$54)</c:f>
              <c:numCache>
                <c:formatCode>#,##0.0____</c:formatCode>
                <c:ptCount val="5"/>
                <c:pt idx="0">
                  <c:v>73.705344772267495</c:v>
                </c:pt>
                <c:pt idx="1">
                  <c:v>70.593446491111834</c:v>
                </c:pt>
                <c:pt idx="2">
                  <c:v>84.766873416906876</c:v>
                </c:pt>
                <c:pt idx="3">
                  <c:v>62.005318707143516</c:v>
                </c:pt>
                <c:pt idx="4">
                  <c:v>11.615272286698126</c:v>
                </c:pt>
              </c:numCache>
            </c:numRef>
          </c:val>
        </c:ser>
        <c:ser>
          <c:idx val="2"/>
          <c:order val="2"/>
          <c:tx>
            <c:strRef>
              <c:f>Anual!$A$55</c:f>
              <c:strCache>
                <c:ptCount val="1"/>
                <c:pt idx="0">
                  <c:v>Índice avance total (IAT) </c:v>
                </c:pt>
              </c:strCache>
            </c:strRef>
          </c:tx>
          <c:cat>
            <c:strRef>
              <c:f>(Anual!$B$4,Anual!$C$5,Anual!$F$5,Anual!$K$5,Anual!$L$5)</c:f>
              <c:strCache>
                <c:ptCount val="5"/>
                <c:pt idx="0">
                  <c:v>Total</c:v>
                </c:pt>
                <c:pt idx="1">
                  <c:v>Total Comidas</c:v>
                </c:pt>
                <c:pt idx="2">
                  <c:v>Total Leche</c:v>
                </c:pt>
                <c:pt idx="3">
                  <c:v>DAF</c:v>
                </c:pt>
                <c:pt idx="4">
                  <c:v>Salud Oral</c:v>
                </c:pt>
              </c:strCache>
            </c:strRef>
          </c:cat>
          <c:val>
            <c:numRef>
              <c:f>(Anual!$B$55:$C$55,Anual!$F$55,Anual!$K$55:$L$55)</c:f>
              <c:numCache>
                <c:formatCode>#,##0.0____</c:formatCode>
                <c:ptCount val="5"/>
                <c:pt idx="0">
                  <c:v>80.523296267672606</c:v>
                </c:pt>
                <c:pt idx="1">
                  <c:v>67.010027619735126</c:v>
                </c:pt>
                <c:pt idx="2">
                  <c:v>86.954263456102012</c:v>
                </c:pt>
                <c:pt idx="3">
                  <c:v>76.203899009477283</c:v>
                </c:pt>
                <c:pt idx="4">
                  <c:v>52.382636143349067</c:v>
                </c:pt>
              </c:numCache>
            </c:numRef>
          </c:val>
        </c:ser>
        <c:gapWidth val="75"/>
        <c:overlap val="-25"/>
        <c:axId val="51382528"/>
        <c:axId val="51392512"/>
      </c:barChart>
      <c:catAx>
        <c:axId val="51382528"/>
        <c:scaling>
          <c:orientation val="minMax"/>
        </c:scaling>
        <c:axPos val="b"/>
        <c:numFmt formatCode="General" sourceLinked="0"/>
        <c:majorTickMark val="none"/>
        <c:tickLblPos val="nextTo"/>
        <c:crossAx val="51392512"/>
        <c:crosses val="autoZero"/>
        <c:auto val="1"/>
        <c:lblAlgn val="ctr"/>
        <c:lblOffset val="100"/>
      </c:catAx>
      <c:valAx>
        <c:axId val="51392512"/>
        <c:scaling>
          <c:orientation val="minMax"/>
        </c:scaling>
        <c:axPos val="l"/>
        <c:majorGridlines/>
        <c:numFmt formatCode="#,##0.0____" sourceLinked="1"/>
        <c:majorTickMark val="none"/>
        <c:tickLblPos val="nextTo"/>
        <c:crossAx val="51382528"/>
        <c:crosses val="autoZero"/>
        <c:crossBetween val="between"/>
      </c:valAx>
    </c:plotArea>
    <c:legend>
      <c:legendPos val="b"/>
      <c:layout/>
    </c:legend>
    <c:plotVisOnly val="1"/>
    <c:dispBlanksAs val="gap"/>
  </c:chart>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style val="26"/>
  <c:chart>
    <c:title>
      <c:tx>
        <c:rich>
          <a:bodyPr/>
          <a:lstStyle/>
          <a:p>
            <a:pPr>
              <a:defRPr/>
            </a:pPr>
            <a:r>
              <a:rPr lang="en-US"/>
              <a:t>CEN-CINAI: Índice transferencia efectiva del gasto (ITG) 2016</a:t>
            </a:r>
          </a:p>
        </c:rich>
      </c:tx>
      <c:layout/>
    </c:title>
    <c:plotArea>
      <c:layout>
        <c:manualLayout>
          <c:layoutTarget val="inner"/>
          <c:xMode val="edge"/>
          <c:yMode val="edge"/>
          <c:x val="0.10483116868573249"/>
          <c:y val="0.20168708300775381"/>
          <c:w val="0.89319352297952403"/>
          <c:h val="0.65439057522389943"/>
        </c:manualLayout>
      </c:layout>
      <c:barChart>
        <c:barDir val="col"/>
        <c:grouping val="clustered"/>
        <c:ser>
          <c:idx val="0"/>
          <c:order val="0"/>
          <c:tx>
            <c:strRef>
              <c:f>Anual!$A$58</c:f>
              <c:strCache>
                <c:ptCount val="1"/>
                <c:pt idx="0">
                  <c:v>Índice transferencia efectiva del gasto (ITG)</c:v>
                </c:pt>
              </c:strCache>
            </c:strRef>
          </c:tx>
          <c:cat>
            <c:strRef>
              <c:f>Anual!$B$4</c:f>
              <c:strCache>
                <c:ptCount val="1"/>
                <c:pt idx="0">
                  <c:v>Total</c:v>
                </c:pt>
              </c:strCache>
            </c:strRef>
          </c:cat>
          <c:val>
            <c:numRef>
              <c:f>Anual!$B$58</c:f>
              <c:numCache>
                <c:formatCode>#,##0.0____</c:formatCode>
                <c:ptCount val="1"/>
                <c:pt idx="0">
                  <c:v>100</c:v>
                </c:pt>
              </c:numCache>
            </c:numRef>
          </c:val>
        </c:ser>
        <c:gapWidth val="75"/>
        <c:overlap val="-25"/>
        <c:axId val="51408896"/>
        <c:axId val="51410432"/>
      </c:barChart>
      <c:catAx>
        <c:axId val="51408896"/>
        <c:scaling>
          <c:orientation val="minMax"/>
        </c:scaling>
        <c:axPos val="b"/>
        <c:numFmt formatCode="General" sourceLinked="0"/>
        <c:majorTickMark val="none"/>
        <c:tickLblPos val="nextTo"/>
        <c:crossAx val="51410432"/>
        <c:crosses val="autoZero"/>
        <c:auto val="1"/>
        <c:lblAlgn val="ctr"/>
        <c:lblOffset val="100"/>
      </c:catAx>
      <c:valAx>
        <c:axId val="51410432"/>
        <c:scaling>
          <c:orientation val="minMax"/>
        </c:scaling>
        <c:axPos val="l"/>
        <c:majorGridlines/>
        <c:numFmt formatCode="#,##0.0____" sourceLinked="1"/>
        <c:majorTickMark val="none"/>
        <c:tickLblPos val="nextTo"/>
        <c:crossAx val="51408896"/>
        <c:crosses val="autoZero"/>
        <c:crossBetween val="between"/>
      </c:valAx>
    </c:plotArea>
    <c:legend>
      <c:legendPos val="b"/>
      <c:layout/>
    </c:legend>
    <c:plotVisOnly val="1"/>
    <c:dispBlanksAs val="gap"/>
  </c:chart>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style val="26"/>
  <c:chart>
    <c:title>
      <c:tx>
        <c:rich>
          <a:bodyPr/>
          <a:lstStyle/>
          <a:p>
            <a:pPr>
              <a:defRPr/>
            </a:pPr>
            <a:r>
              <a:rPr lang="es-ES"/>
              <a:t>CEN-CINAI: Indicadores</a:t>
            </a:r>
            <a:r>
              <a:rPr lang="es-ES" baseline="0"/>
              <a:t> de Expansión 2016</a:t>
            </a:r>
            <a:endParaRPr lang="es-ES"/>
          </a:p>
        </c:rich>
      </c:tx>
      <c:layout/>
    </c:title>
    <c:plotArea>
      <c:layout/>
      <c:barChart>
        <c:barDir val="col"/>
        <c:grouping val="clustered"/>
        <c:ser>
          <c:idx val="0"/>
          <c:order val="0"/>
          <c:tx>
            <c:strRef>
              <c:f>Anual!$A$61</c:f>
              <c:strCache>
                <c:ptCount val="1"/>
                <c:pt idx="0">
                  <c:v>Índice de crecimiento beneficiarios (ICB) </c:v>
                </c:pt>
              </c:strCache>
            </c:strRef>
          </c:tx>
          <c:cat>
            <c:strRef>
              <c:f>Anual!$B$4</c:f>
              <c:strCache>
                <c:ptCount val="1"/>
                <c:pt idx="0">
                  <c:v>Total</c:v>
                </c:pt>
              </c:strCache>
            </c:strRef>
          </c:cat>
          <c:val>
            <c:numRef>
              <c:f>Anual!$B$61</c:f>
              <c:numCache>
                <c:formatCode>#,##0.0____</c:formatCode>
                <c:ptCount val="1"/>
                <c:pt idx="0">
                  <c:v>-1.0905371541569231</c:v>
                </c:pt>
              </c:numCache>
            </c:numRef>
          </c:val>
        </c:ser>
        <c:ser>
          <c:idx val="1"/>
          <c:order val="1"/>
          <c:tx>
            <c:strRef>
              <c:f>Anual!$A$62</c:f>
              <c:strCache>
                <c:ptCount val="1"/>
                <c:pt idx="0">
                  <c:v>Índice de crecimiento del gasto real (ICGR) </c:v>
                </c:pt>
              </c:strCache>
            </c:strRef>
          </c:tx>
          <c:cat>
            <c:strRef>
              <c:f>Anual!$B$4</c:f>
              <c:strCache>
                <c:ptCount val="1"/>
                <c:pt idx="0">
                  <c:v>Total</c:v>
                </c:pt>
              </c:strCache>
            </c:strRef>
          </c:cat>
          <c:val>
            <c:numRef>
              <c:f>Anual!$B$62</c:f>
              <c:numCache>
                <c:formatCode>#,##0.0____</c:formatCode>
                <c:ptCount val="1"/>
                <c:pt idx="0">
                  <c:v>14.77116241936438</c:v>
                </c:pt>
              </c:numCache>
            </c:numRef>
          </c:val>
        </c:ser>
        <c:ser>
          <c:idx val="2"/>
          <c:order val="2"/>
          <c:tx>
            <c:strRef>
              <c:f>Anual!$A$63</c:f>
              <c:strCache>
                <c:ptCount val="1"/>
                <c:pt idx="0">
                  <c:v>Índice de crecimiento del gasto real por beneficiario (ICGRB) </c:v>
                </c:pt>
              </c:strCache>
            </c:strRef>
          </c:tx>
          <c:cat>
            <c:strRef>
              <c:f>Anual!$B$4</c:f>
              <c:strCache>
                <c:ptCount val="1"/>
                <c:pt idx="0">
                  <c:v>Total</c:v>
                </c:pt>
              </c:strCache>
            </c:strRef>
          </c:cat>
          <c:val>
            <c:numRef>
              <c:f>Anual!$B$63</c:f>
              <c:numCache>
                <c:formatCode>#,##0.0____</c:formatCode>
                <c:ptCount val="1"/>
                <c:pt idx="0">
                  <c:v>16.036584485594464</c:v>
                </c:pt>
              </c:numCache>
            </c:numRef>
          </c:val>
        </c:ser>
        <c:gapWidth val="75"/>
        <c:overlap val="-25"/>
        <c:axId val="51441664"/>
        <c:axId val="51443200"/>
      </c:barChart>
      <c:catAx>
        <c:axId val="51441664"/>
        <c:scaling>
          <c:orientation val="minMax"/>
        </c:scaling>
        <c:delete val="1"/>
        <c:axPos val="b"/>
        <c:numFmt formatCode="General" sourceLinked="0"/>
        <c:majorTickMark val="none"/>
        <c:tickLblPos val="none"/>
        <c:crossAx val="51443200"/>
        <c:crosses val="autoZero"/>
        <c:auto val="1"/>
        <c:lblAlgn val="ctr"/>
        <c:lblOffset val="100"/>
      </c:catAx>
      <c:valAx>
        <c:axId val="51443200"/>
        <c:scaling>
          <c:orientation val="minMax"/>
        </c:scaling>
        <c:axPos val="l"/>
        <c:majorGridlines/>
        <c:numFmt formatCode="#,##0.0____" sourceLinked="1"/>
        <c:majorTickMark val="none"/>
        <c:tickLblPos val="nextTo"/>
        <c:crossAx val="51441664"/>
        <c:crosses val="autoZero"/>
        <c:crossBetween val="between"/>
      </c:valAx>
    </c:plotArea>
    <c:legend>
      <c:legendPos val="b"/>
      <c:layout/>
    </c:legend>
    <c:plotVisOnly val="1"/>
    <c:dispBlanksAs val="gap"/>
  </c:chart>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style val="26"/>
  <c:chart>
    <c:title>
      <c:tx>
        <c:rich>
          <a:bodyPr/>
          <a:lstStyle/>
          <a:p>
            <a:pPr>
              <a:defRPr/>
            </a:pPr>
            <a:r>
              <a:rPr lang="es-ES"/>
              <a:t>CEN-CINAI: Indicadores de gasto medio 2016</a:t>
            </a:r>
          </a:p>
        </c:rich>
      </c:tx>
      <c:layout/>
    </c:title>
    <c:plotArea>
      <c:layout/>
      <c:barChart>
        <c:barDir val="col"/>
        <c:grouping val="clustered"/>
        <c:ser>
          <c:idx val="0"/>
          <c:order val="0"/>
          <c:tx>
            <c:strRef>
              <c:f>Anual!$A$69</c:f>
              <c:strCache>
                <c:ptCount val="1"/>
                <c:pt idx="0">
                  <c:v>Gasto programado acumulado por beneficiario (GPB) </c:v>
                </c:pt>
              </c:strCache>
            </c:strRef>
          </c:tx>
          <c:cat>
            <c:strRef>
              <c:f>(Anual!$B$4,Anual!$C$5,Anual!$F$5,Anual!$K$5,Anual!$L$5)</c:f>
              <c:strCache>
                <c:ptCount val="5"/>
                <c:pt idx="0">
                  <c:v>Total</c:v>
                </c:pt>
                <c:pt idx="1">
                  <c:v>Total Comidas</c:v>
                </c:pt>
                <c:pt idx="2">
                  <c:v>Total Leche</c:v>
                </c:pt>
                <c:pt idx="3">
                  <c:v>DAF</c:v>
                </c:pt>
                <c:pt idx="4">
                  <c:v>Salud Oral</c:v>
                </c:pt>
              </c:strCache>
            </c:strRef>
          </c:cat>
          <c:val>
            <c:numRef>
              <c:f>(Anual!$B$69:$C$69,Anual!$F$69,Anual!$K$69:$L$69)</c:f>
              <c:numCache>
                <c:formatCode>#,##0____</c:formatCode>
                <c:ptCount val="5"/>
                <c:pt idx="0">
                  <c:v>179288.99554926128</c:v>
                </c:pt>
                <c:pt idx="1">
                  <c:v>269317.49904030713</c:v>
                </c:pt>
                <c:pt idx="2">
                  <c:v>59119.464069244059</c:v>
                </c:pt>
                <c:pt idx="3">
                  <c:v>340132.81326660782</c:v>
                </c:pt>
                <c:pt idx="4">
                  <c:v>3920.5</c:v>
                </c:pt>
              </c:numCache>
            </c:numRef>
          </c:val>
        </c:ser>
        <c:ser>
          <c:idx val="1"/>
          <c:order val="1"/>
          <c:tx>
            <c:strRef>
              <c:f>Anual!$A$70</c:f>
              <c:strCache>
                <c:ptCount val="1"/>
                <c:pt idx="0">
                  <c:v>Gasto efectivo acumulado por beneficiario (GEB) </c:v>
                </c:pt>
              </c:strCache>
            </c:strRef>
          </c:tx>
          <c:cat>
            <c:strRef>
              <c:f>(Anual!$B$4,Anual!$C$5,Anual!$F$5,Anual!$K$5,Anual!$L$5)</c:f>
              <c:strCache>
                <c:ptCount val="5"/>
                <c:pt idx="0">
                  <c:v>Total</c:v>
                </c:pt>
                <c:pt idx="1">
                  <c:v>Total Comidas</c:v>
                </c:pt>
                <c:pt idx="2">
                  <c:v>Total Leche</c:v>
                </c:pt>
                <c:pt idx="3">
                  <c:v>DAF</c:v>
                </c:pt>
                <c:pt idx="4">
                  <c:v>Salud Oral</c:v>
                </c:pt>
              </c:strCache>
            </c:strRef>
          </c:cat>
          <c:val>
            <c:numRef>
              <c:f>(Anual!$B$70:$C$70,Anual!$F$70,Anual!$K$70:$L$70)</c:f>
              <c:numCache>
                <c:formatCode>#,##0.0____</c:formatCode>
                <c:ptCount val="5"/>
                <c:pt idx="0">
                  <c:v>151298.28620395827</c:v>
                </c:pt>
                <c:pt idx="1">
                  <c:v>299748.80941611185</c:v>
                </c:pt>
                <c:pt idx="2">
                  <c:v>56218.039669031947</c:v>
                </c:pt>
                <c:pt idx="3" formatCode="#,##0____">
                  <c:v>233290.5430238343</c:v>
                </c:pt>
                <c:pt idx="4" formatCode="#,##0____">
                  <c:v>488.86392914653783</c:v>
                </c:pt>
              </c:numCache>
            </c:numRef>
          </c:val>
        </c:ser>
        <c:gapWidth val="75"/>
        <c:overlap val="-25"/>
        <c:axId val="51468928"/>
        <c:axId val="51495296"/>
      </c:barChart>
      <c:catAx>
        <c:axId val="51468928"/>
        <c:scaling>
          <c:orientation val="minMax"/>
        </c:scaling>
        <c:axPos val="b"/>
        <c:numFmt formatCode="General" sourceLinked="0"/>
        <c:majorTickMark val="none"/>
        <c:tickLblPos val="nextTo"/>
        <c:crossAx val="51495296"/>
        <c:crosses val="autoZero"/>
        <c:auto val="1"/>
        <c:lblAlgn val="ctr"/>
        <c:lblOffset val="100"/>
      </c:catAx>
      <c:valAx>
        <c:axId val="51495296"/>
        <c:scaling>
          <c:orientation val="minMax"/>
        </c:scaling>
        <c:axPos val="l"/>
        <c:majorGridlines/>
        <c:numFmt formatCode="#,##0____" sourceLinked="1"/>
        <c:majorTickMark val="none"/>
        <c:tickLblPos val="nextTo"/>
        <c:crossAx val="51468928"/>
        <c:crosses val="autoZero"/>
        <c:crossBetween val="between"/>
      </c:valAx>
    </c:plotArea>
    <c:legend>
      <c:legendPos val="b"/>
      <c:layout/>
    </c:legend>
    <c:plotVisOnly val="1"/>
    <c:dispBlanksAs val="gap"/>
  </c:chart>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style val="26"/>
  <c:chart>
    <c:title>
      <c:tx>
        <c:rich>
          <a:bodyPr/>
          <a:lstStyle/>
          <a:p>
            <a:pPr>
              <a:defRPr/>
            </a:pPr>
            <a:r>
              <a:rPr lang="en-US"/>
              <a:t>CEN-CINAI:</a:t>
            </a:r>
            <a:r>
              <a:rPr lang="en-US" baseline="0"/>
              <a:t> </a:t>
            </a:r>
            <a:r>
              <a:rPr lang="en-US"/>
              <a:t>Índice de eficiencia (IE) 2016 </a:t>
            </a:r>
          </a:p>
        </c:rich>
      </c:tx>
      <c:layout/>
    </c:title>
    <c:plotArea>
      <c:layout/>
      <c:barChart>
        <c:barDir val="col"/>
        <c:grouping val="clustered"/>
        <c:ser>
          <c:idx val="0"/>
          <c:order val="0"/>
          <c:tx>
            <c:strRef>
              <c:f>Anual!$A$68</c:f>
              <c:strCache>
                <c:ptCount val="1"/>
                <c:pt idx="0">
                  <c:v>Índice de eficiencia (IE) </c:v>
                </c:pt>
              </c:strCache>
            </c:strRef>
          </c:tx>
          <c:cat>
            <c:strRef>
              <c:f>(Anual!$B$4,Anual!$C$5,Anual!$F$5,Anual!$K$5)</c:f>
              <c:strCache>
                <c:ptCount val="4"/>
                <c:pt idx="0">
                  <c:v>Total</c:v>
                </c:pt>
                <c:pt idx="1">
                  <c:v>Total Comidas</c:v>
                </c:pt>
                <c:pt idx="2">
                  <c:v>Total Leche</c:v>
                </c:pt>
                <c:pt idx="3">
                  <c:v>DAF</c:v>
                </c:pt>
              </c:strCache>
            </c:strRef>
          </c:cat>
          <c:val>
            <c:numRef>
              <c:f>(Anual!$B$68:$C$68,Anual!$F$68,Anual!$K$68)</c:f>
              <c:numCache>
                <c:formatCode>#,##0.0____</c:formatCode>
                <c:ptCount val="4"/>
                <c:pt idx="0">
                  <c:v>67.951882668829484</c:v>
                </c:pt>
                <c:pt idx="1">
                  <c:v>74.581770844939427</c:v>
                </c:pt>
                <c:pt idx="2">
                  <c:v>82.686808255794091</c:v>
                </c:pt>
                <c:pt idx="3">
                  <c:v>52.266786052540162</c:v>
                </c:pt>
              </c:numCache>
            </c:numRef>
          </c:val>
        </c:ser>
        <c:gapWidth val="75"/>
        <c:overlap val="-25"/>
        <c:axId val="52113792"/>
        <c:axId val="52115328"/>
      </c:barChart>
      <c:catAx>
        <c:axId val="52113792"/>
        <c:scaling>
          <c:orientation val="minMax"/>
        </c:scaling>
        <c:axPos val="b"/>
        <c:numFmt formatCode="General" sourceLinked="0"/>
        <c:majorTickMark val="none"/>
        <c:tickLblPos val="nextTo"/>
        <c:crossAx val="52115328"/>
        <c:crosses val="autoZero"/>
        <c:auto val="1"/>
        <c:lblAlgn val="ctr"/>
        <c:lblOffset val="100"/>
      </c:catAx>
      <c:valAx>
        <c:axId val="52115328"/>
        <c:scaling>
          <c:orientation val="minMax"/>
        </c:scaling>
        <c:axPos val="l"/>
        <c:majorGridlines/>
        <c:numFmt formatCode="#,##0.0____" sourceLinked="1"/>
        <c:majorTickMark val="none"/>
        <c:tickLblPos val="nextTo"/>
        <c:crossAx val="52113792"/>
        <c:crosses val="autoZero"/>
        <c:crossBetween val="between"/>
      </c:valAx>
    </c:plotArea>
    <c:legend>
      <c:legendPos val="b"/>
      <c:layout/>
    </c:legend>
    <c:plotVisOnly val="1"/>
    <c:dispBlanksAs val="gap"/>
  </c:chart>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style val="26"/>
  <c:chart>
    <c:title>
      <c:tx>
        <c:rich>
          <a:bodyPr/>
          <a:lstStyle/>
          <a:p>
            <a:pPr>
              <a:defRPr/>
            </a:pPr>
            <a:r>
              <a:rPr lang="es-ES"/>
              <a:t>CEN-CINAI: Indicador de giro de recursos 2016</a:t>
            </a:r>
          </a:p>
        </c:rich>
      </c:tx>
    </c:title>
    <c:plotArea>
      <c:layout/>
      <c:barChart>
        <c:barDir val="col"/>
        <c:grouping val="clustered"/>
        <c:ser>
          <c:idx val="0"/>
          <c:order val="0"/>
          <c:dPt>
            <c:idx val="1"/>
            <c:spPr>
              <a:solidFill>
                <a:srgbClr val="92D050"/>
              </a:solidFill>
            </c:spPr>
          </c:dPt>
          <c:cat>
            <c:strRef>
              <c:f>Anual!$A$73:$A$74</c:f>
              <c:strCache>
                <c:ptCount val="2"/>
                <c:pt idx="0">
                  <c:v>Índice de giro efectivo (IGE)</c:v>
                </c:pt>
                <c:pt idx="1">
                  <c:v>Índice de uso de recursos (IUR) </c:v>
                </c:pt>
              </c:strCache>
            </c:strRef>
          </c:cat>
          <c:val>
            <c:numRef>
              <c:f>Anual!$B$73:$B$74</c:f>
              <c:numCache>
                <c:formatCode>#,##0.0____</c:formatCode>
                <c:ptCount val="2"/>
                <c:pt idx="0">
                  <c:v>80.922002020609114</c:v>
                </c:pt>
                <c:pt idx="1">
                  <c:v>91.081959085617086</c:v>
                </c:pt>
              </c:numCache>
            </c:numRef>
          </c:val>
        </c:ser>
        <c:gapWidth val="75"/>
        <c:overlap val="-25"/>
        <c:axId val="52148480"/>
        <c:axId val="52150272"/>
      </c:barChart>
      <c:catAx>
        <c:axId val="52148480"/>
        <c:scaling>
          <c:orientation val="minMax"/>
        </c:scaling>
        <c:axPos val="b"/>
        <c:numFmt formatCode="General" sourceLinked="0"/>
        <c:majorTickMark val="none"/>
        <c:tickLblPos val="nextTo"/>
        <c:crossAx val="52150272"/>
        <c:crosses val="autoZero"/>
        <c:auto val="1"/>
        <c:lblAlgn val="ctr"/>
        <c:lblOffset val="100"/>
      </c:catAx>
      <c:valAx>
        <c:axId val="52150272"/>
        <c:scaling>
          <c:orientation val="minMax"/>
        </c:scaling>
        <c:axPos val="l"/>
        <c:majorGridlines/>
        <c:numFmt formatCode="#,##0.0____" sourceLinked="1"/>
        <c:majorTickMark val="none"/>
        <c:tickLblPos val="nextTo"/>
        <c:crossAx val="52148480"/>
        <c:crosses val="autoZero"/>
        <c:crossBetween val="between"/>
      </c:valAx>
    </c:plotArea>
    <c:plotVisOnly val="1"/>
    <c:dispBlanksAs val="gap"/>
  </c:chart>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16</xdr:col>
      <xdr:colOff>761999</xdr:colOff>
      <xdr:row>36</xdr:row>
      <xdr:rowOff>158750</xdr:rowOff>
    </xdr:from>
    <xdr:to>
      <xdr:col>24</xdr:col>
      <xdr:colOff>650874</xdr:colOff>
      <xdr:row>54</xdr:row>
      <xdr:rowOff>47625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15874</xdr:colOff>
      <xdr:row>56</xdr:row>
      <xdr:rowOff>15875</xdr:rowOff>
    </xdr:from>
    <xdr:to>
      <xdr:col>25</xdr:col>
      <xdr:colOff>349250</xdr:colOff>
      <xdr:row>74</xdr:row>
      <xdr:rowOff>63500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63500</xdr:colOff>
      <xdr:row>76</xdr:row>
      <xdr:rowOff>15875</xdr:rowOff>
    </xdr:from>
    <xdr:to>
      <xdr:col>26</xdr:col>
      <xdr:colOff>31750</xdr:colOff>
      <xdr:row>92</xdr:row>
      <xdr:rowOff>158750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428625</xdr:colOff>
      <xdr:row>96</xdr:row>
      <xdr:rowOff>95250</xdr:rowOff>
    </xdr:from>
    <xdr:to>
      <xdr:col>26</xdr:col>
      <xdr:colOff>1</xdr:colOff>
      <xdr:row>118</xdr:row>
      <xdr:rowOff>63500</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380999</xdr:colOff>
      <xdr:row>106</xdr:row>
      <xdr:rowOff>63501</xdr:rowOff>
    </xdr:from>
    <xdr:to>
      <xdr:col>17</xdr:col>
      <xdr:colOff>127000</xdr:colOff>
      <xdr:row>129</xdr:row>
      <xdr:rowOff>158751</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698500</xdr:colOff>
      <xdr:row>86</xdr:row>
      <xdr:rowOff>95250</xdr:rowOff>
    </xdr:from>
    <xdr:to>
      <xdr:col>7</xdr:col>
      <xdr:colOff>730250</xdr:colOff>
      <xdr:row>106</xdr:row>
      <xdr:rowOff>15875</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539749</xdr:colOff>
      <xdr:row>80</xdr:row>
      <xdr:rowOff>79376</xdr:rowOff>
    </xdr:from>
    <xdr:to>
      <xdr:col>13</xdr:col>
      <xdr:colOff>1174750</xdr:colOff>
      <xdr:row>100</xdr:row>
      <xdr:rowOff>15876</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904874</xdr:colOff>
      <xdr:row>112</xdr:row>
      <xdr:rowOff>15876</xdr:rowOff>
    </xdr:from>
    <xdr:to>
      <xdr:col>8</xdr:col>
      <xdr:colOff>349250</xdr:colOff>
      <xdr:row>130</xdr:row>
      <xdr:rowOff>174626</xdr:rowOff>
    </xdr:to>
    <xdr:graphicFrame macro="">
      <xdr:nvGraphicFramePr>
        <xdr:cNvPr id="10" name="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304800</xdr:colOff>
      <xdr:row>42</xdr:row>
      <xdr:rowOff>180975</xdr:rowOff>
    </xdr:to>
    <xdr:sp macro="" textlink="">
      <xdr:nvSpPr>
        <xdr:cNvPr id="2" name="1 CuadroTexto"/>
        <xdr:cNvSpPr txBox="1"/>
      </xdr:nvSpPr>
      <xdr:spPr>
        <a:xfrm>
          <a:off x="0" y="0"/>
          <a:ext cx="7924800" cy="8181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100" u="sng">
              <a:solidFill>
                <a:sysClr val="windowText" lastClr="000000"/>
              </a:solidFill>
            </a:rPr>
            <a:t>Observaciones</a:t>
          </a:r>
        </a:p>
        <a:p>
          <a:endParaRPr lang="es-CR" sz="1100">
            <a:solidFill>
              <a:sysClr val="windowText" lastClr="000000"/>
            </a:solidFill>
          </a:endParaRPr>
        </a:p>
        <a:p>
          <a:pPr marL="0" marR="0" indent="0" defTabSz="914400" eaLnBrk="1" fontAlgn="auto" latinLnBrk="0" hangingPunct="1">
            <a:lnSpc>
              <a:spcPct val="200000"/>
            </a:lnSpc>
            <a:spcBef>
              <a:spcPts val="0"/>
            </a:spcBef>
            <a:spcAft>
              <a:spcPts val="1000"/>
            </a:spcAft>
            <a:buClrTx/>
            <a:buSzTx/>
            <a:buFontTx/>
            <a:buNone/>
            <a:tabLst/>
            <a:defRPr/>
          </a:pPr>
          <a:r>
            <a:rPr lang="es-CR" sz="1100">
              <a:solidFill>
                <a:sysClr val="windowText" lastClr="000000"/>
              </a:solidFill>
              <a:effectLst/>
              <a:latin typeface="+mn-lt"/>
              <a:ea typeface="+mn-ea"/>
              <a:cs typeface="+mn-cs"/>
            </a:rPr>
            <a:t>La información es proporcionada por las unidades ejecutoras de cada programa. </a:t>
          </a:r>
        </a:p>
        <a:p>
          <a:pPr marL="0" marR="0" indent="0" defTabSz="914400" eaLnBrk="1" fontAlgn="auto" latinLnBrk="0" hangingPunct="1">
            <a:lnSpc>
              <a:spcPct val="200000"/>
            </a:lnSpc>
            <a:spcBef>
              <a:spcPts val="0"/>
            </a:spcBef>
            <a:spcAft>
              <a:spcPts val="1000"/>
            </a:spcAft>
            <a:buClrTx/>
            <a:buSzTx/>
            <a:buFontTx/>
            <a:buNone/>
            <a:tabLst/>
            <a:defRPr/>
          </a:pPr>
          <a:r>
            <a:rPr lang="es-CR" sz="1100">
              <a:solidFill>
                <a:sysClr val="windowText" lastClr="000000"/>
              </a:solidFill>
              <a:effectLst/>
              <a:latin typeface="+mn-lt"/>
              <a:ea typeface="Calibri"/>
              <a:cs typeface="Times New Roman"/>
            </a:rPr>
            <a:t>Se deben tomar en cuenta las particularidades de cada programa .</a:t>
          </a:r>
        </a:p>
        <a:p>
          <a:pPr>
            <a:lnSpc>
              <a:spcPct val="200000"/>
            </a:lnSpc>
            <a:spcAft>
              <a:spcPts val="1000"/>
            </a:spcAft>
          </a:pPr>
          <a:r>
            <a:rPr lang="es-CR" sz="1100">
              <a:solidFill>
                <a:sysClr val="windowText" lastClr="000000"/>
              </a:solidFill>
              <a:effectLst/>
              <a:latin typeface="+mn-lt"/>
              <a:ea typeface="Calibri"/>
              <a:cs typeface="Times New Roman"/>
            </a:rPr>
            <a:t>En el caso particular de</a:t>
          </a:r>
          <a:r>
            <a:rPr lang="es-CR" sz="1100" baseline="0">
              <a:solidFill>
                <a:sysClr val="windowText" lastClr="000000"/>
              </a:solidFill>
              <a:effectLst/>
              <a:latin typeface="+mn-lt"/>
              <a:ea typeface="Calibri"/>
              <a:cs typeface="Times New Roman"/>
            </a:rPr>
            <a:t> CEN-CINAI</a:t>
          </a:r>
          <a:r>
            <a:rPr lang="es-CR" sz="1100">
              <a:solidFill>
                <a:sysClr val="windowText" lastClr="000000"/>
              </a:solidFill>
              <a:effectLst/>
              <a:latin typeface="+mn-lt"/>
              <a:ea typeface="Calibri"/>
              <a:cs typeface="Times New Roman"/>
            </a:rPr>
            <a:t>:</a:t>
          </a:r>
        </a:p>
        <a:p>
          <a:pPr>
            <a:lnSpc>
              <a:spcPct val="200000"/>
            </a:lnSpc>
            <a:spcAft>
              <a:spcPts val="1000"/>
            </a:spcAft>
          </a:pPr>
          <a:r>
            <a:rPr lang="es-CR" sz="1100">
              <a:solidFill>
                <a:sysClr val="windowText" lastClr="000000"/>
              </a:solidFill>
              <a:effectLst/>
              <a:latin typeface="+mn-lt"/>
              <a:ea typeface="Calibri"/>
              <a:cs typeface="Times New Roman"/>
            </a:rPr>
            <a:t>Los</a:t>
          </a:r>
          <a:r>
            <a:rPr lang="es-CR" sz="1100" baseline="0">
              <a:solidFill>
                <a:sysClr val="windowText" lastClr="000000"/>
              </a:solidFill>
              <a:effectLst/>
              <a:latin typeface="+mn-lt"/>
              <a:ea typeface="Calibri"/>
              <a:cs typeface="Times New Roman"/>
            </a:rPr>
            <a:t> giros de dinero por parte de Desaf no se hacen siempre con la programación preestablecida (en el caso de leche) sino que se toman en cuenta las existencias en inventario para sólo girar lo necesario. Siempre cubriendo el total de los beneficiarios, utilizando tanto las existencias como las nuevas compras.</a:t>
          </a:r>
        </a:p>
        <a:p>
          <a:pPr>
            <a:lnSpc>
              <a:spcPct val="200000"/>
            </a:lnSpc>
            <a:spcAft>
              <a:spcPts val="1000"/>
            </a:spcAft>
          </a:pPr>
          <a:r>
            <a:rPr lang="es-CR" sz="1100" baseline="0">
              <a:solidFill>
                <a:sysClr val="windowText" lastClr="000000"/>
              </a:solidFill>
              <a:effectLst/>
              <a:latin typeface="+mn-lt"/>
              <a:ea typeface="Calibri"/>
              <a:cs typeface="Times New Roman"/>
            </a:rPr>
            <a:t>Los giros de dinero también están sujetos a los cambios en precios de  mercado de la leche, por lo que el monto cobrado por factura puede diferir del presupuestado. Este cambio en precios puede provocar variaciones en el costo promedio por beneficiario entre períodos.</a:t>
          </a:r>
        </a:p>
        <a:p>
          <a:pPr>
            <a:lnSpc>
              <a:spcPct val="200000"/>
            </a:lnSpc>
            <a:spcAft>
              <a:spcPts val="1000"/>
            </a:spcAft>
          </a:pPr>
          <a:r>
            <a:rPr lang="es-CR" sz="1100" baseline="0">
              <a:solidFill>
                <a:sysClr val="windowText" lastClr="000000"/>
              </a:solidFill>
              <a:effectLst/>
              <a:latin typeface="+mn-lt"/>
              <a:ea typeface="Calibri"/>
              <a:cs typeface="Times New Roman"/>
            </a:rPr>
            <a:t>En enero se pueden estar utilizando saldos de leche del año anterior, por lo que puede haber cobertura sin gasto de dinero del año en ejecución.</a:t>
          </a:r>
        </a:p>
        <a:p>
          <a:pPr>
            <a:lnSpc>
              <a:spcPct val="200000"/>
            </a:lnSpc>
            <a:spcAft>
              <a:spcPts val="1000"/>
            </a:spcAft>
          </a:pPr>
          <a:r>
            <a:rPr lang="es-CR" sz="1100" baseline="0">
              <a:solidFill>
                <a:sysClr val="windowText" lastClr="000000"/>
              </a:solidFill>
              <a:effectLst/>
              <a:latin typeface="+mn-lt"/>
              <a:ea typeface="Calibri"/>
              <a:cs typeface="Times New Roman"/>
            </a:rPr>
            <a:t>Los mismos beneficiarios pueden recibir varios productos (por ejemplo leche y comida) y las mismas personas pueden ser atendidas durante todo el año.</a:t>
          </a:r>
        </a:p>
        <a:p>
          <a:pPr>
            <a:lnSpc>
              <a:spcPct val="200000"/>
            </a:lnSpc>
            <a:spcAft>
              <a:spcPts val="1000"/>
            </a:spcAft>
          </a:pPr>
          <a:endParaRPr lang="es-CR" sz="1100" baseline="0">
            <a:solidFill>
              <a:sysClr val="windowText" lastClr="000000"/>
            </a:solidFill>
            <a:effectLst/>
            <a:latin typeface="+mn-lt"/>
            <a:ea typeface="Calibri"/>
            <a:cs typeface="Times New Roman"/>
          </a:endParaRPr>
        </a:p>
        <a:p>
          <a:pPr>
            <a:lnSpc>
              <a:spcPct val="200000"/>
            </a:lnSpc>
            <a:spcAft>
              <a:spcPts val="1000"/>
            </a:spcAft>
          </a:pPr>
          <a:r>
            <a:rPr lang="es-CR" sz="1100">
              <a:solidFill>
                <a:sysClr val="windowText" lastClr="000000"/>
              </a:solidFill>
              <a:effectLst/>
              <a:latin typeface="+mn-lt"/>
              <a:ea typeface="Calibri"/>
              <a:cs typeface="Times New Roman"/>
            </a:rPr>
            <a:t>Se recomienda observar la fórmula utilizada en Excel cuando existan dudas sobre algún resultado obtenido.</a:t>
          </a:r>
        </a:p>
        <a:p>
          <a:pPr>
            <a:lnSpc>
              <a:spcPct val="200000"/>
            </a:lnSpc>
            <a:spcAft>
              <a:spcPts val="1000"/>
            </a:spcAft>
          </a:pPr>
          <a:endParaRPr lang="es-CR" sz="1100">
            <a:solidFill>
              <a:srgbClr val="1F497D"/>
            </a:solidFill>
            <a:effectLst/>
            <a:latin typeface="+mn-lt"/>
            <a:ea typeface="Calibri"/>
            <a:cs typeface="Times New Roman"/>
          </a:endParaRPr>
        </a:p>
        <a:p>
          <a:pPr>
            <a:lnSpc>
              <a:spcPct val="200000"/>
            </a:lnSpc>
            <a:spcAft>
              <a:spcPts val="1000"/>
            </a:spcAft>
          </a:pPr>
          <a:endParaRPr lang="es-CR" sz="1100">
            <a:solidFill>
              <a:srgbClr val="1F497D"/>
            </a:solidFill>
            <a:effectLst/>
            <a:latin typeface="+mn-lt"/>
            <a:ea typeface="Calibri"/>
            <a:cs typeface="Times New Roman"/>
          </a:endParaRPr>
        </a:p>
        <a:p>
          <a:endParaRPr lang="es-CR" sz="1100"/>
        </a:p>
        <a:p>
          <a:endParaRPr lang="es-CR" sz="1100"/>
        </a:p>
        <a:p>
          <a:endParaRPr lang="es-CR" sz="1100"/>
        </a:p>
        <a:p>
          <a:endParaRPr lang="es-CR"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AE109"/>
  <sheetViews>
    <sheetView zoomScale="69" zoomScaleNormal="69" workbookViewId="0">
      <pane xSplit="1" ySplit="6" topLeftCell="B7" activePane="bottomRight" state="frozen"/>
      <selection pane="topRight" activeCell="B1" sqref="B1"/>
      <selection pane="bottomLeft" activeCell="A7" sqref="A7"/>
      <selection pane="bottomRight" activeCell="L14" sqref="L14"/>
    </sheetView>
  </sheetViews>
  <sheetFormatPr baseColWidth="10" defaultColWidth="11.42578125" defaultRowHeight="15"/>
  <cols>
    <col min="1" max="1" width="50.85546875" customWidth="1"/>
    <col min="2" max="2" width="26.7109375" customWidth="1"/>
    <col min="3" max="3" width="16" customWidth="1"/>
    <col min="4" max="6" width="15.5703125" customWidth="1"/>
    <col min="7" max="7" width="16.140625" customWidth="1"/>
    <col min="8" max="10" width="14.5703125" customWidth="1"/>
    <col min="11" max="11" width="15.42578125" customWidth="1"/>
    <col min="12" max="12" width="16.42578125" customWidth="1"/>
    <col min="13" max="13" width="23.7109375" customWidth="1"/>
    <col min="14" max="14" width="20.85546875" customWidth="1"/>
    <col min="15" max="15" width="15.28515625" hidden="1" customWidth="1"/>
    <col min="16" max="16" width="23.7109375" hidden="1" customWidth="1"/>
  </cols>
  <sheetData>
    <row r="1" spans="1:16">
      <c r="I1" s="38"/>
      <c r="J1" s="38"/>
    </row>
    <row r="2" spans="1:16" ht="15.75">
      <c r="A2" s="102" t="s">
        <v>89</v>
      </c>
      <c r="B2" s="102"/>
      <c r="C2" s="102"/>
      <c r="D2" s="102"/>
      <c r="E2" s="102"/>
      <c r="F2" s="102"/>
      <c r="G2" s="102"/>
      <c r="H2" s="102"/>
      <c r="I2" s="102"/>
      <c r="J2" s="102"/>
      <c r="K2" s="102"/>
    </row>
    <row r="4" spans="1:16">
      <c r="A4" s="100" t="s">
        <v>0</v>
      </c>
      <c r="B4" s="56" t="s">
        <v>1</v>
      </c>
      <c r="C4" s="25"/>
      <c r="D4" s="105" t="s">
        <v>2</v>
      </c>
      <c r="E4" s="105"/>
      <c r="F4" s="105"/>
      <c r="G4" s="105"/>
      <c r="H4" s="105"/>
      <c r="I4" s="105"/>
      <c r="J4" s="105"/>
      <c r="K4" s="105"/>
      <c r="L4" s="105"/>
      <c r="M4" s="105"/>
      <c r="N4" s="105"/>
    </row>
    <row r="5" spans="1:16" ht="15.75" thickBot="1">
      <c r="A5" s="101"/>
      <c r="B5" s="57" t="s">
        <v>3</v>
      </c>
      <c r="C5" s="57" t="s">
        <v>55</v>
      </c>
      <c r="D5" s="103" t="s">
        <v>4</v>
      </c>
      <c r="E5" s="103"/>
      <c r="F5" s="57" t="s">
        <v>56</v>
      </c>
      <c r="G5" s="104" t="s">
        <v>51</v>
      </c>
      <c r="H5" s="104"/>
      <c r="I5" s="104"/>
      <c r="J5" s="104"/>
      <c r="K5" s="1" t="s">
        <v>5</v>
      </c>
      <c r="L5" s="20" t="s">
        <v>100</v>
      </c>
      <c r="M5" s="65" t="s">
        <v>61</v>
      </c>
      <c r="N5" s="65" t="s">
        <v>138</v>
      </c>
      <c r="O5" s="20" t="s">
        <v>62</v>
      </c>
      <c r="P5" s="20" t="s">
        <v>63</v>
      </c>
    </row>
    <row r="6" spans="1:16" ht="15.75" thickTop="1">
      <c r="B6" s="36" t="s">
        <v>1</v>
      </c>
      <c r="C6" s="36" t="s">
        <v>58</v>
      </c>
      <c r="D6" s="36" t="s">
        <v>48</v>
      </c>
      <c r="E6" s="36" t="s">
        <v>49</v>
      </c>
      <c r="F6" s="36" t="s">
        <v>59</v>
      </c>
      <c r="G6" s="36">
        <v>1600</v>
      </c>
      <c r="H6" s="36">
        <v>640</v>
      </c>
      <c r="I6" s="47">
        <v>320</v>
      </c>
      <c r="J6" s="47">
        <v>800</v>
      </c>
      <c r="K6" s="36"/>
      <c r="O6" s="33" t="s">
        <v>62</v>
      </c>
      <c r="P6" s="33" t="s">
        <v>63</v>
      </c>
    </row>
    <row r="7" spans="1:16">
      <c r="A7" s="2" t="s">
        <v>6</v>
      </c>
      <c r="I7" s="32"/>
      <c r="J7" s="32"/>
    </row>
    <row r="8" spans="1:16">
      <c r="I8" s="32"/>
      <c r="J8" s="32"/>
    </row>
    <row r="9" spans="1:16">
      <c r="A9" t="s">
        <v>7</v>
      </c>
      <c r="I9" s="32"/>
      <c r="J9" s="32"/>
    </row>
    <row r="10" spans="1:16">
      <c r="A10" s="3" t="s">
        <v>65</v>
      </c>
      <c r="B10" s="4">
        <f>+D10+G10</f>
        <v>111853</v>
      </c>
      <c r="C10" s="4">
        <f>D10+E10</f>
        <v>22239.333333333336</v>
      </c>
      <c r="D10" s="4">
        <v>19401.666666666668</v>
      </c>
      <c r="E10" s="4">
        <v>2837.6666666666665</v>
      </c>
      <c r="F10" s="66">
        <f>SUM(G10:I10)</f>
        <v>110398.33333333333</v>
      </c>
      <c r="G10" s="66">
        <v>92451.333333333328</v>
      </c>
      <c r="H10" s="66">
        <v>2851.6666666666665</v>
      </c>
      <c r="I10" s="66">
        <v>15095.333333333334</v>
      </c>
      <c r="J10" s="75">
        <v>22643</v>
      </c>
      <c r="K10" s="4">
        <v>5659.666666666667</v>
      </c>
      <c r="L10" s="5">
        <v>0</v>
      </c>
      <c r="M10" s="75">
        <v>0</v>
      </c>
      <c r="N10" s="5">
        <v>17792.333333333332</v>
      </c>
      <c r="O10" s="5">
        <v>0</v>
      </c>
      <c r="P10" s="5">
        <v>0</v>
      </c>
    </row>
    <row r="11" spans="1:16" hidden="1">
      <c r="A11" s="26"/>
      <c r="B11" s="4">
        <f t="shared" ref="B11:B16" si="0">+D11+G11</f>
        <v>0</v>
      </c>
      <c r="C11" s="4">
        <f t="shared" ref="C11:C16" si="1">D11+E11</f>
        <v>0</v>
      </c>
      <c r="D11" s="4"/>
      <c r="E11" s="4"/>
      <c r="F11" s="4">
        <f>SUM(G11:I11)</f>
        <v>0</v>
      </c>
      <c r="G11" s="4"/>
      <c r="H11" s="4"/>
      <c r="I11" s="4"/>
      <c r="J11" s="5"/>
      <c r="K11" s="4"/>
      <c r="L11" s="5"/>
      <c r="M11" s="75">
        <v>0</v>
      </c>
      <c r="N11" s="5">
        <v>0</v>
      </c>
      <c r="O11" s="5">
        <v>0</v>
      </c>
      <c r="P11" s="5">
        <v>0</v>
      </c>
    </row>
    <row r="12" spans="1:16">
      <c r="A12" s="3" t="s">
        <v>90</v>
      </c>
      <c r="B12" s="4">
        <f t="shared" si="0"/>
        <v>126023</v>
      </c>
      <c r="C12" s="4">
        <f t="shared" si="1"/>
        <v>43039</v>
      </c>
      <c r="D12" s="5">
        <v>32255</v>
      </c>
      <c r="E12" s="4">
        <v>10784</v>
      </c>
      <c r="F12" s="4">
        <f>SUM(G12:I12)</f>
        <v>111179</v>
      </c>
      <c r="G12" s="4">
        <v>93768</v>
      </c>
      <c r="H12" s="4">
        <v>2796</v>
      </c>
      <c r="I12" s="5">
        <v>14615</v>
      </c>
      <c r="J12" s="5">
        <v>21140</v>
      </c>
      <c r="K12" s="4">
        <v>8862</v>
      </c>
      <c r="L12" s="5">
        <v>0</v>
      </c>
      <c r="M12" s="75">
        <v>0</v>
      </c>
      <c r="N12" s="5">
        <v>0</v>
      </c>
      <c r="O12" s="5">
        <v>0</v>
      </c>
      <c r="P12" s="5">
        <v>0</v>
      </c>
    </row>
    <row r="13" spans="1:16" hidden="1">
      <c r="A13" s="26"/>
      <c r="B13" s="4">
        <f t="shared" si="0"/>
        <v>0</v>
      </c>
      <c r="C13" s="4">
        <f t="shared" si="1"/>
        <v>0</v>
      </c>
      <c r="D13" s="5"/>
      <c r="E13" s="4"/>
      <c r="F13" s="4">
        <f t="shared" ref="F13:F16" si="2">SUM(G13:I13)</f>
        <v>0</v>
      </c>
      <c r="G13" s="4"/>
      <c r="H13" s="4"/>
      <c r="I13" s="5"/>
      <c r="J13" s="5"/>
      <c r="K13" s="4"/>
      <c r="L13" s="5"/>
      <c r="M13" s="75">
        <v>0</v>
      </c>
      <c r="N13" s="5">
        <v>0</v>
      </c>
      <c r="O13" s="5">
        <v>0</v>
      </c>
      <c r="P13" s="5">
        <v>0</v>
      </c>
    </row>
    <row r="14" spans="1:16">
      <c r="A14" s="3" t="s">
        <v>91</v>
      </c>
      <c r="B14" s="4">
        <f t="shared" si="0"/>
        <v>109571</v>
      </c>
      <c r="C14" s="4">
        <f t="shared" si="1"/>
        <v>21729</v>
      </c>
      <c r="D14" s="5">
        <v>18331</v>
      </c>
      <c r="E14" s="4">
        <v>3398</v>
      </c>
      <c r="F14" s="4">
        <f t="shared" si="2"/>
        <v>108651.33333333333</v>
      </c>
      <c r="G14" s="4">
        <v>91240</v>
      </c>
      <c r="H14" s="4">
        <v>2796</v>
      </c>
      <c r="I14" s="5">
        <v>14615.333333333334</v>
      </c>
      <c r="J14" s="5">
        <v>21140</v>
      </c>
      <c r="K14" s="4">
        <v>4213.333333333333</v>
      </c>
      <c r="L14" s="5">
        <v>15784</v>
      </c>
      <c r="M14" s="75">
        <v>0</v>
      </c>
      <c r="N14" s="5">
        <v>0</v>
      </c>
      <c r="O14" s="5">
        <v>0</v>
      </c>
      <c r="P14" s="5">
        <v>0</v>
      </c>
    </row>
    <row r="15" spans="1:16" hidden="1">
      <c r="A15" s="26"/>
      <c r="B15" s="4">
        <f t="shared" si="0"/>
        <v>0</v>
      </c>
      <c r="C15" s="4">
        <f t="shared" si="1"/>
        <v>0</v>
      </c>
      <c r="D15" s="4"/>
      <c r="E15" s="4"/>
      <c r="F15" s="4">
        <f t="shared" si="2"/>
        <v>0</v>
      </c>
      <c r="G15" s="4"/>
      <c r="H15" s="4"/>
      <c r="I15" s="5"/>
      <c r="J15" s="5"/>
      <c r="K15" s="4"/>
      <c r="L15" s="5"/>
      <c r="M15" s="75">
        <v>0</v>
      </c>
      <c r="N15" s="5">
        <v>0</v>
      </c>
      <c r="O15" s="5">
        <v>0</v>
      </c>
      <c r="P15" s="5">
        <v>0</v>
      </c>
    </row>
    <row r="16" spans="1:16">
      <c r="A16" s="3" t="s">
        <v>92</v>
      </c>
      <c r="B16" s="4">
        <f t="shared" si="0"/>
        <v>138397</v>
      </c>
      <c r="C16" s="4">
        <f t="shared" si="1"/>
        <v>49495</v>
      </c>
      <c r="D16" s="4">
        <v>37093</v>
      </c>
      <c r="E16" s="4">
        <v>12402</v>
      </c>
      <c r="F16" s="4">
        <f t="shared" si="2"/>
        <v>134076.58333333334</v>
      </c>
      <c r="G16" s="4">
        <v>101304</v>
      </c>
      <c r="H16" s="4">
        <v>10698.75</v>
      </c>
      <c r="I16" s="5">
        <v>22073.833333333332</v>
      </c>
      <c r="J16" s="5">
        <v>31742.666666666668</v>
      </c>
      <c r="K16" s="4">
        <v>10191</v>
      </c>
      <c r="L16" s="5">
        <v>20000</v>
      </c>
      <c r="M16" s="75">
        <v>0</v>
      </c>
      <c r="N16" s="5">
        <v>0</v>
      </c>
      <c r="O16" s="5">
        <v>0</v>
      </c>
      <c r="P16" s="4"/>
    </row>
    <row r="17" spans="1:17">
      <c r="I17" s="5"/>
      <c r="J17" s="5"/>
      <c r="Q17" s="78"/>
    </row>
    <row r="18" spans="1:17">
      <c r="A18" s="6" t="s">
        <v>8</v>
      </c>
      <c r="I18" s="5"/>
      <c r="J18" s="5"/>
      <c r="M18" s="41"/>
    </row>
    <row r="19" spans="1:17">
      <c r="A19" s="3" t="s">
        <v>65</v>
      </c>
      <c r="B19" s="4">
        <f>C19+F19+K19+L19+M19+N19</f>
        <v>1265603566</v>
      </c>
      <c r="C19" s="40">
        <f>D19</f>
        <v>1183770267</v>
      </c>
      <c r="D19" s="106">
        <v>1183770267</v>
      </c>
      <c r="E19" s="106"/>
      <c r="F19" s="40">
        <f>G19</f>
        <v>0</v>
      </c>
      <c r="G19" s="106">
        <v>0</v>
      </c>
      <c r="H19" s="106"/>
      <c r="I19" s="106"/>
      <c r="J19" s="106"/>
      <c r="K19" s="4">
        <v>0</v>
      </c>
      <c r="L19" s="4">
        <v>0</v>
      </c>
      <c r="M19" s="66">
        <v>0</v>
      </c>
      <c r="N19" s="5">
        <v>81833299</v>
      </c>
      <c r="O19" s="5">
        <v>0</v>
      </c>
      <c r="P19" s="5">
        <v>0</v>
      </c>
    </row>
    <row r="20" spans="1:17">
      <c r="A20" s="61" t="s">
        <v>90</v>
      </c>
      <c r="B20" s="4">
        <f>C20+F20+K20+L20+M20+N20</f>
        <v>5543665728.75</v>
      </c>
      <c r="C20" s="4">
        <f>+D20+E20</f>
        <v>3081834353.75</v>
      </c>
      <c r="D20" s="40">
        <v>3052970478.75</v>
      </c>
      <c r="E20" s="40">
        <v>28863875</v>
      </c>
      <c r="F20" s="40">
        <f>G20</f>
        <v>1723158875</v>
      </c>
      <c r="G20" s="106">
        <v>1723158875</v>
      </c>
      <c r="H20" s="106"/>
      <c r="I20" s="106"/>
      <c r="J20" s="106"/>
      <c r="K20" s="4">
        <v>738672500</v>
      </c>
      <c r="L20" s="5">
        <v>0</v>
      </c>
      <c r="M20" s="66">
        <v>0</v>
      </c>
      <c r="N20" s="5">
        <v>0</v>
      </c>
      <c r="O20" s="5">
        <v>0</v>
      </c>
      <c r="P20" s="5">
        <v>0</v>
      </c>
    </row>
    <row r="21" spans="1:17">
      <c r="A21" s="3" t="s">
        <v>91</v>
      </c>
      <c r="B21" s="4">
        <f>C21+F21+K21+L21+M21+N21</f>
        <v>1973065939</v>
      </c>
      <c r="C21" s="40">
        <f>D21+E21</f>
        <v>1071146663</v>
      </c>
      <c r="D21" s="106">
        <v>1071146663</v>
      </c>
      <c r="E21" s="106"/>
      <c r="F21" s="40">
        <f>G21</f>
        <v>900816060</v>
      </c>
      <c r="G21" s="106">
        <v>900816060</v>
      </c>
      <c r="H21" s="106"/>
      <c r="I21" s="106"/>
      <c r="J21" s="106"/>
      <c r="K21" s="40"/>
      <c r="L21" s="4"/>
      <c r="M21" s="66">
        <v>1103216</v>
      </c>
      <c r="N21" s="5">
        <v>0</v>
      </c>
      <c r="O21" s="5">
        <v>0</v>
      </c>
      <c r="P21" s="5">
        <v>0</v>
      </c>
    </row>
    <row r="22" spans="1:17">
      <c r="A22" s="3" t="s">
        <v>92</v>
      </c>
      <c r="B22" s="4">
        <f>C22+F22+K22+L22+M22</f>
        <v>24813103939</v>
      </c>
      <c r="C22" s="4">
        <f>+D22+E22</f>
        <v>13329869615</v>
      </c>
      <c r="D22" s="40">
        <v>13198884915</v>
      </c>
      <c r="E22" s="40">
        <v>130984700</v>
      </c>
      <c r="F22" s="40">
        <f>G22</f>
        <v>7926530824</v>
      </c>
      <c r="G22" s="106">
        <v>7926530824</v>
      </c>
      <c r="H22" s="106"/>
      <c r="I22" s="106"/>
      <c r="J22" s="106"/>
      <c r="K22" s="4">
        <v>3466293500</v>
      </c>
      <c r="L22" s="5">
        <v>78410000</v>
      </c>
      <c r="M22" s="66">
        <v>12000000</v>
      </c>
      <c r="N22" s="73">
        <v>0</v>
      </c>
      <c r="O22" s="73"/>
      <c r="P22" s="73"/>
    </row>
    <row r="23" spans="1:17">
      <c r="A23" s="3" t="s">
        <v>93</v>
      </c>
      <c r="B23" s="66">
        <f>C23+F23+K23+L23+M23+N23</f>
        <v>1973065939</v>
      </c>
      <c r="C23" s="4">
        <f>C21</f>
        <v>1071146663</v>
      </c>
      <c r="D23" s="40"/>
      <c r="E23" s="40"/>
      <c r="F23" s="40">
        <f>F21</f>
        <v>900816060</v>
      </c>
      <c r="G23" s="40"/>
      <c r="H23" s="40"/>
      <c r="I23" s="40"/>
      <c r="J23" s="40"/>
      <c r="K23" s="4">
        <f>K21</f>
        <v>0</v>
      </c>
      <c r="L23" s="4">
        <f>L21</f>
        <v>0</v>
      </c>
      <c r="M23" s="66">
        <f>M21</f>
        <v>1103216</v>
      </c>
      <c r="N23" s="66">
        <f t="shared" ref="N23:P23" si="3">N21</f>
        <v>0</v>
      </c>
      <c r="O23" s="66">
        <f t="shared" si="3"/>
        <v>0</v>
      </c>
      <c r="P23" s="66">
        <f t="shared" si="3"/>
        <v>0</v>
      </c>
    </row>
    <row r="24" spans="1:17">
      <c r="B24" s="4"/>
      <c r="C24" s="4"/>
      <c r="D24" s="4"/>
      <c r="E24" s="4"/>
      <c r="F24" s="4"/>
      <c r="G24" s="4"/>
      <c r="H24" s="4"/>
      <c r="I24" s="5"/>
      <c r="J24" s="5"/>
      <c r="K24" s="4"/>
    </row>
    <row r="25" spans="1:17">
      <c r="A25" s="7" t="s">
        <v>9</v>
      </c>
      <c r="B25" s="8"/>
      <c r="C25" s="8"/>
      <c r="D25" s="8"/>
      <c r="E25" s="8"/>
      <c r="F25" s="8"/>
      <c r="G25" s="8"/>
      <c r="H25" s="8"/>
      <c r="I25" s="8"/>
      <c r="J25" s="8"/>
      <c r="K25" s="8"/>
      <c r="L25" s="8"/>
    </row>
    <row r="26" spans="1:17">
      <c r="A26" s="9" t="s">
        <v>90</v>
      </c>
      <c r="B26" s="8">
        <f>B20</f>
        <v>5543665728.75</v>
      </c>
      <c r="C26" s="8"/>
      <c r="D26" s="8"/>
      <c r="E26" s="8"/>
      <c r="F26" s="8"/>
      <c r="G26" s="8"/>
      <c r="H26" s="8"/>
      <c r="I26" s="8"/>
      <c r="J26" s="8"/>
      <c r="K26" s="8"/>
      <c r="L26" s="8"/>
    </row>
    <row r="27" spans="1:17">
      <c r="A27" s="9" t="s">
        <v>91</v>
      </c>
      <c r="B27" s="8">
        <v>4210571973.25</v>
      </c>
      <c r="C27" s="8"/>
      <c r="D27" s="53"/>
      <c r="E27" s="8"/>
      <c r="F27" s="8"/>
      <c r="G27" s="8"/>
      <c r="H27" s="8"/>
      <c r="I27" s="8"/>
      <c r="J27" s="8"/>
      <c r="K27" s="8"/>
      <c r="L27" s="8"/>
    </row>
    <row r="28" spans="1:17">
      <c r="I28" s="32"/>
      <c r="J28" s="32"/>
    </row>
    <row r="29" spans="1:17">
      <c r="A29" t="s">
        <v>10</v>
      </c>
      <c r="I29" s="32"/>
      <c r="J29" s="32"/>
    </row>
    <row r="30" spans="1:17">
      <c r="A30" s="10" t="s">
        <v>66</v>
      </c>
      <c r="B30" s="11">
        <v>1</v>
      </c>
      <c r="C30" s="11">
        <v>1</v>
      </c>
      <c r="D30" s="11">
        <v>1</v>
      </c>
      <c r="E30" s="11">
        <v>1</v>
      </c>
      <c r="F30" s="11">
        <v>1</v>
      </c>
      <c r="G30" s="11">
        <v>1</v>
      </c>
      <c r="H30" s="11">
        <v>1</v>
      </c>
      <c r="I30" s="11">
        <v>1</v>
      </c>
      <c r="J30" s="11">
        <v>1</v>
      </c>
      <c r="K30" s="11">
        <v>1</v>
      </c>
      <c r="L30" s="11">
        <v>1</v>
      </c>
      <c r="M30" s="11">
        <v>1</v>
      </c>
      <c r="N30" s="11">
        <v>1</v>
      </c>
      <c r="O30" s="11"/>
      <c r="P30" s="11"/>
    </row>
    <row r="31" spans="1:17">
      <c r="A31" s="10" t="s">
        <v>94</v>
      </c>
      <c r="B31" s="11">
        <v>0.99</v>
      </c>
      <c r="C31" s="11">
        <v>0.99</v>
      </c>
      <c r="D31" s="11">
        <v>0.99</v>
      </c>
      <c r="E31" s="11">
        <v>0.99</v>
      </c>
      <c r="F31" s="11">
        <v>0.99</v>
      </c>
      <c r="G31" s="11">
        <v>0.99</v>
      </c>
      <c r="H31" s="11">
        <v>0.99</v>
      </c>
      <c r="I31" s="11">
        <v>0.99</v>
      </c>
      <c r="J31" s="11">
        <v>0.99</v>
      </c>
      <c r="K31" s="11">
        <v>0.99</v>
      </c>
      <c r="L31" s="11">
        <v>0.99</v>
      </c>
      <c r="M31" s="11">
        <v>0.99</v>
      </c>
      <c r="N31" s="11">
        <v>0.99</v>
      </c>
      <c r="O31" s="11"/>
      <c r="P31" s="11"/>
    </row>
    <row r="32" spans="1:17">
      <c r="A32" s="3" t="s">
        <v>11</v>
      </c>
      <c r="B32" s="4">
        <v>126597</v>
      </c>
      <c r="C32" s="4">
        <v>126597</v>
      </c>
      <c r="D32" s="4">
        <v>126597</v>
      </c>
      <c r="E32" s="4">
        <v>126597</v>
      </c>
      <c r="F32" s="4">
        <v>126597</v>
      </c>
      <c r="G32" s="4">
        <v>126597</v>
      </c>
      <c r="H32" s="4">
        <v>126597</v>
      </c>
      <c r="I32" s="4">
        <v>126597</v>
      </c>
      <c r="J32" s="4">
        <v>126597</v>
      </c>
      <c r="K32" s="4">
        <v>126597</v>
      </c>
      <c r="L32" s="4">
        <v>126597</v>
      </c>
      <c r="M32" s="4">
        <v>126597</v>
      </c>
      <c r="N32" s="4">
        <v>126597</v>
      </c>
      <c r="O32" s="4"/>
      <c r="P32" s="4"/>
    </row>
    <row r="33" spans="1:16">
      <c r="E33" s="33"/>
      <c r="F33" s="33"/>
      <c r="I33" s="32"/>
      <c r="J33" s="32"/>
    </row>
    <row r="34" spans="1:16">
      <c r="A34" s="12" t="s">
        <v>12</v>
      </c>
      <c r="B34" s="13"/>
      <c r="C34" s="13"/>
      <c r="D34" s="51"/>
      <c r="E34" s="51"/>
      <c r="F34" s="51"/>
      <c r="G34" s="99"/>
      <c r="H34" s="99"/>
      <c r="I34" s="99"/>
      <c r="J34" s="99"/>
      <c r="K34" s="13"/>
      <c r="L34" s="13"/>
      <c r="M34" s="13"/>
      <c r="N34" s="13"/>
    </row>
    <row r="35" spans="1:16">
      <c r="A35" s="13" t="s">
        <v>67</v>
      </c>
      <c r="B35" s="14">
        <f>B19/B30</f>
        <v>1265603566</v>
      </c>
      <c r="C35" s="50">
        <f>C19/C30</f>
        <v>1183770267</v>
      </c>
      <c r="D35" s="50"/>
      <c r="E35" s="50"/>
      <c r="F35" s="50">
        <f>F19/F30</f>
        <v>0</v>
      </c>
      <c r="G35" s="50"/>
      <c r="H35" s="50"/>
      <c r="I35" s="50"/>
      <c r="J35" s="50"/>
      <c r="K35" s="14">
        <f t="shared" ref="K35" si="4">K19/K30</f>
        <v>0</v>
      </c>
      <c r="L35" s="14">
        <f t="shared" ref="L35:P35" si="5">L19/L30</f>
        <v>0</v>
      </c>
      <c r="M35" s="14">
        <f t="shared" si="5"/>
        <v>0</v>
      </c>
      <c r="N35" s="14">
        <f t="shared" si="5"/>
        <v>81833299</v>
      </c>
      <c r="O35" s="14" t="e">
        <f t="shared" si="5"/>
        <v>#DIV/0!</v>
      </c>
      <c r="P35" s="14" t="e">
        <f t="shared" si="5"/>
        <v>#DIV/0!</v>
      </c>
    </row>
    <row r="36" spans="1:16">
      <c r="A36" s="13" t="s">
        <v>95</v>
      </c>
      <c r="B36" s="14">
        <f>B21/B31</f>
        <v>1992995897.9797981</v>
      </c>
      <c r="C36" s="50">
        <f>C21/C31</f>
        <v>1081966326.2626262</v>
      </c>
      <c r="D36" s="50"/>
      <c r="E36" s="50"/>
      <c r="F36" s="50">
        <f>F21/F31</f>
        <v>909915212.12121212</v>
      </c>
      <c r="G36" s="50"/>
      <c r="H36" s="50"/>
      <c r="I36" s="50"/>
      <c r="J36" s="50"/>
      <c r="K36" s="14">
        <f>K21/K31</f>
        <v>0</v>
      </c>
      <c r="L36" s="14">
        <f>L21/L31</f>
        <v>0</v>
      </c>
      <c r="M36" s="14">
        <f t="shared" ref="M36:P36" si="6">M21/M31</f>
        <v>1114359.5959595959</v>
      </c>
      <c r="N36" s="14">
        <f t="shared" si="6"/>
        <v>0</v>
      </c>
      <c r="O36" s="14" t="e">
        <f t="shared" si="6"/>
        <v>#DIV/0!</v>
      </c>
      <c r="P36" s="14" t="e">
        <f t="shared" si="6"/>
        <v>#DIV/0!</v>
      </c>
    </row>
    <row r="37" spans="1:16">
      <c r="A37" s="13" t="s">
        <v>68</v>
      </c>
      <c r="B37" s="14">
        <f>B35/B10</f>
        <v>11314.882622728044</v>
      </c>
      <c r="C37" s="50">
        <f>C35/C10</f>
        <v>53228.675934530409</v>
      </c>
      <c r="D37" s="50"/>
      <c r="E37" s="50"/>
      <c r="F37" s="50">
        <f>F35/F10</f>
        <v>0</v>
      </c>
      <c r="G37" s="50"/>
      <c r="H37" s="50"/>
      <c r="I37" s="50"/>
      <c r="J37" s="50"/>
      <c r="K37" s="14">
        <f>K35/K10</f>
        <v>0</v>
      </c>
      <c r="L37" s="14" t="e">
        <f>L35/L10</f>
        <v>#DIV/0!</v>
      </c>
      <c r="M37" s="14" t="e">
        <f t="shared" ref="M37:P37" si="7">M35/M10</f>
        <v>#DIV/0!</v>
      </c>
      <c r="N37" s="14">
        <f t="shared" si="7"/>
        <v>4599.3573449238438</v>
      </c>
      <c r="O37" s="14" t="e">
        <f t="shared" si="7"/>
        <v>#DIV/0!</v>
      </c>
      <c r="P37" s="14" t="e">
        <f t="shared" si="7"/>
        <v>#DIV/0!</v>
      </c>
    </row>
    <row r="38" spans="1:16">
      <c r="A38" s="13" t="s">
        <v>96</v>
      </c>
      <c r="B38" s="14">
        <f>B36/B14</f>
        <v>18189.08194668113</v>
      </c>
      <c r="C38" s="50">
        <f>C36/C14</f>
        <v>49793.654851241481</v>
      </c>
      <c r="D38" s="50"/>
      <c r="E38" s="50"/>
      <c r="F38" s="50">
        <f>F36/F14</f>
        <v>8374.634569183494</v>
      </c>
      <c r="G38" s="50"/>
      <c r="H38" s="50"/>
      <c r="I38" s="50"/>
      <c r="J38" s="50"/>
      <c r="K38" s="34">
        <f>K36/K14</f>
        <v>0</v>
      </c>
      <c r="L38" s="34">
        <f>L36/L14</f>
        <v>0</v>
      </c>
      <c r="M38" s="34" t="e">
        <f t="shared" ref="M38:P38" si="8">M36/M14</f>
        <v>#DIV/0!</v>
      </c>
      <c r="N38" s="34" t="e">
        <f t="shared" si="8"/>
        <v>#DIV/0!</v>
      </c>
      <c r="O38" s="34" t="e">
        <f t="shared" si="8"/>
        <v>#DIV/0!</v>
      </c>
      <c r="P38" s="34" t="e">
        <f t="shared" si="8"/>
        <v>#DIV/0!</v>
      </c>
    </row>
    <row r="39" spans="1:16">
      <c r="I39" s="32"/>
      <c r="J39" s="32"/>
    </row>
    <row r="40" spans="1:16">
      <c r="A40" s="2" t="s">
        <v>13</v>
      </c>
      <c r="I40" s="32"/>
      <c r="J40" s="32"/>
    </row>
    <row r="41" spans="1:16">
      <c r="I41" s="32"/>
      <c r="J41" s="32"/>
    </row>
    <row r="42" spans="1:16">
      <c r="A42" t="s">
        <v>14</v>
      </c>
      <c r="I42" s="32"/>
      <c r="J42" s="32"/>
    </row>
    <row r="43" spans="1:16">
      <c r="A43" t="s">
        <v>15</v>
      </c>
      <c r="B43" s="17">
        <f>(B12/B32)*100</f>
        <v>99.546592731265349</v>
      </c>
      <c r="C43" s="17">
        <f t="shared" ref="C43:N43" si="9">(C12/C32)*100</f>
        <v>33.996856165627939</v>
      </c>
      <c r="D43" s="17">
        <f t="shared" si="9"/>
        <v>25.478486851979117</v>
      </c>
      <c r="E43" s="17">
        <f t="shared" si="9"/>
        <v>8.5183693136488223</v>
      </c>
      <c r="F43" s="17">
        <f t="shared" si="9"/>
        <v>87.821196394859285</v>
      </c>
      <c r="G43" s="17">
        <f t="shared" si="9"/>
        <v>74.068105879286236</v>
      </c>
      <c r="H43" s="17">
        <f t="shared" si="9"/>
        <v>2.2085831417806108</v>
      </c>
      <c r="I43" s="17">
        <f t="shared" si="9"/>
        <v>11.544507373792428</v>
      </c>
      <c r="J43" s="17">
        <f t="shared" si="9"/>
        <v>16.698657946080871</v>
      </c>
      <c r="K43" s="17">
        <f t="shared" si="9"/>
        <v>7.0001658807080727</v>
      </c>
      <c r="L43" s="17">
        <f t="shared" si="9"/>
        <v>0</v>
      </c>
      <c r="M43" s="17">
        <f t="shared" si="9"/>
        <v>0</v>
      </c>
      <c r="N43" s="17">
        <f t="shared" si="9"/>
        <v>0</v>
      </c>
    </row>
    <row r="44" spans="1:16">
      <c r="A44" t="s">
        <v>16</v>
      </c>
      <c r="B44" s="17">
        <f>(B14/B32)*100</f>
        <v>86.551024115895331</v>
      </c>
      <c r="C44" s="17">
        <f t="shared" ref="C44:N44" si="10">(C14/C32)*100</f>
        <v>17.163913836820775</v>
      </c>
      <c r="D44" s="17">
        <f t="shared" si="10"/>
        <v>14.479805998562368</v>
      </c>
      <c r="E44" s="17">
        <f t="shared" si="10"/>
        <v>2.6841078382584103</v>
      </c>
      <c r="F44" s="17">
        <f t="shared" si="10"/>
        <v>85.824571935617229</v>
      </c>
      <c r="G44" s="17">
        <f t="shared" si="10"/>
        <v>72.071218117332961</v>
      </c>
      <c r="H44" s="17">
        <f t="shared" si="10"/>
        <v>2.2085831417806108</v>
      </c>
      <c r="I44" s="17">
        <f t="shared" si="10"/>
        <v>11.544770676503656</v>
      </c>
      <c r="J44" s="17">
        <f t="shared" si="10"/>
        <v>16.698657946080871</v>
      </c>
      <c r="K44" s="17">
        <f t="shared" si="10"/>
        <v>3.3281462699221414</v>
      </c>
      <c r="L44" s="17">
        <f t="shared" si="10"/>
        <v>12.467909982069084</v>
      </c>
      <c r="M44" s="17">
        <f t="shared" si="10"/>
        <v>0</v>
      </c>
      <c r="N44" s="17">
        <f t="shared" si="10"/>
        <v>0</v>
      </c>
    </row>
    <row r="45" spans="1:16">
      <c r="I45" s="32"/>
      <c r="J45" s="32"/>
    </row>
    <row r="46" spans="1:16">
      <c r="A46" t="s">
        <v>17</v>
      </c>
      <c r="I46" s="32"/>
      <c r="J46" s="32"/>
    </row>
    <row r="47" spans="1:16">
      <c r="A47" t="s">
        <v>18</v>
      </c>
      <c r="B47" s="15">
        <f>B14/B12*100</f>
        <v>86.945240154574961</v>
      </c>
      <c r="C47" s="15">
        <f t="shared" ref="C47:N47" si="11">C14/C12*100</f>
        <v>50.486767815237343</v>
      </c>
      <c r="D47" s="15">
        <f t="shared" si="11"/>
        <v>56.831498992404285</v>
      </c>
      <c r="E47" s="15">
        <f t="shared" si="11"/>
        <v>31.509643916913948</v>
      </c>
      <c r="F47" s="15">
        <f t="shared" si="11"/>
        <v>97.726489115150642</v>
      </c>
      <c r="G47" s="15">
        <f t="shared" si="11"/>
        <v>97.303984301680742</v>
      </c>
      <c r="H47" s="15">
        <f t="shared" si="11"/>
        <v>100</v>
      </c>
      <c r="I47" s="15">
        <f t="shared" si="11"/>
        <v>100.00228076177444</v>
      </c>
      <c r="J47" s="15">
        <f t="shared" si="11"/>
        <v>100</v>
      </c>
      <c r="K47" s="15">
        <f t="shared" si="11"/>
        <v>47.543820055668398</v>
      </c>
      <c r="L47" s="15" t="e">
        <f t="shared" si="11"/>
        <v>#DIV/0!</v>
      </c>
      <c r="M47" s="15" t="e">
        <f t="shared" si="11"/>
        <v>#DIV/0!</v>
      </c>
      <c r="N47" s="15" t="e">
        <f t="shared" si="11"/>
        <v>#DIV/0!</v>
      </c>
      <c r="O47" s="74"/>
    </row>
    <row r="48" spans="1:16">
      <c r="A48" t="s">
        <v>19</v>
      </c>
      <c r="B48" s="15">
        <f>B21/B20*100</f>
        <v>35.591358417725019</v>
      </c>
      <c r="C48" s="15">
        <f>C21/C20*100</f>
        <v>34.756788978506272</v>
      </c>
      <c r="D48" s="15"/>
      <c r="E48" s="15"/>
      <c r="F48" s="58">
        <f>F21/F20*100</f>
        <v>52.277017114861209</v>
      </c>
      <c r="G48" s="58"/>
      <c r="H48" s="58"/>
      <c r="I48" s="58"/>
      <c r="J48" s="58"/>
      <c r="K48" s="15">
        <f>K21/K20*100</f>
        <v>0</v>
      </c>
      <c r="L48" s="15" t="e">
        <f>L21/L20*100</f>
        <v>#DIV/0!</v>
      </c>
      <c r="M48" s="15" t="e">
        <f t="shared" ref="M48:N48" si="12">M21/M20*100</f>
        <v>#DIV/0!</v>
      </c>
      <c r="N48" s="15" t="e">
        <f t="shared" si="12"/>
        <v>#DIV/0!</v>
      </c>
    </row>
    <row r="49" spans="1:14">
      <c r="A49" s="13" t="s">
        <v>20</v>
      </c>
      <c r="B49" s="16">
        <f>AVERAGE(B47:B48)</f>
        <v>61.26829928614999</v>
      </c>
      <c r="C49" s="16">
        <f t="shared" ref="C49:K49" si="13">AVERAGE(C47:C48)</f>
        <v>42.621778396871804</v>
      </c>
      <c r="D49" s="16"/>
      <c r="E49" s="16"/>
      <c r="F49" s="59">
        <f>AVERAGE(F47:F48)</f>
        <v>75.001753115005926</v>
      </c>
      <c r="G49" s="59"/>
      <c r="H49" s="59"/>
      <c r="I49" s="59"/>
      <c r="J49" s="59"/>
      <c r="K49" s="16">
        <f t="shared" si="13"/>
        <v>23.771910027834199</v>
      </c>
      <c r="L49" s="16" t="e">
        <f t="shared" ref="L49:N49" si="14">AVERAGE(L47:L48)</f>
        <v>#DIV/0!</v>
      </c>
      <c r="M49" s="16" t="e">
        <f t="shared" si="14"/>
        <v>#DIV/0!</v>
      </c>
      <c r="N49" s="16" t="e">
        <f t="shared" si="14"/>
        <v>#DIV/0!</v>
      </c>
    </row>
    <row r="50" spans="1:14">
      <c r="B50" s="15"/>
      <c r="C50" s="15"/>
      <c r="D50" s="15"/>
      <c r="E50" s="15"/>
      <c r="F50" s="15"/>
      <c r="G50" s="15"/>
      <c r="H50" s="15"/>
      <c r="I50" s="15"/>
      <c r="J50" s="15"/>
      <c r="K50" s="15"/>
      <c r="L50" s="15"/>
    </row>
    <row r="51" spans="1:14">
      <c r="A51" t="s">
        <v>21</v>
      </c>
    </row>
    <row r="52" spans="1:14">
      <c r="A52" t="s">
        <v>22</v>
      </c>
      <c r="B52" s="15">
        <f>((B14/B16)*100)</f>
        <v>79.171513833392339</v>
      </c>
      <c r="C52" s="15">
        <f t="shared" ref="C52:N52" si="15">((C14/C16)*100)</f>
        <v>43.901404182240633</v>
      </c>
      <c r="D52" s="15">
        <f t="shared" si="15"/>
        <v>49.41902784892028</v>
      </c>
      <c r="E52" s="15">
        <f t="shared" si="15"/>
        <v>27.398806644089664</v>
      </c>
      <c r="F52" s="15">
        <f t="shared" si="15"/>
        <v>81.036770651598985</v>
      </c>
      <c r="G52" s="15">
        <f t="shared" si="15"/>
        <v>90.065545289425884</v>
      </c>
      <c r="H52" s="15">
        <f t="shared" si="15"/>
        <v>26.133894146512443</v>
      </c>
      <c r="I52" s="15">
        <f t="shared" si="15"/>
        <v>66.211124785756908</v>
      </c>
      <c r="J52" s="15">
        <f t="shared" si="15"/>
        <v>66.598059394295788</v>
      </c>
      <c r="K52" s="15">
        <f t="shared" si="15"/>
        <v>41.343669250645995</v>
      </c>
      <c r="L52" s="15">
        <f t="shared" si="15"/>
        <v>78.92</v>
      </c>
      <c r="M52" s="15" t="e">
        <f t="shared" si="15"/>
        <v>#DIV/0!</v>
      </c>
      <c r="N52" s="15" t="e">
        <f t="shared" si="15"/>
        <v>#DIV/0!</v>
      </c>
    </row>
    <row r="53" spans="1:14">
      <c r="A53" t="s">
        <v>23</v>
      </c>
      <c r="B53" s="15">
        <f>B21/B22*100</f>
        <v>7.9517094832252457</v>
      </c>
      <c r="C53" s="15">
        <f>C21/C22*100</f>
        <v>8.0356874743519402</v>
      </c>
      <c r="D53" s="15"/>
      <c r="E53" s="15"/>
      <c r="F53" s="15">
        <f>F21/F22*100</f>
        <v>11.364568939447047</v>
      </c>
      <c r="G53" s="15"/>
      <c r="H53" s="15"/>
      <c r="I53" s="15"/>
      <c r="J53" s="15"/>
      <c r="K53" s="15">
        <f t="shared" ref="K53" si="16">K21/K22*100</f>
        <v>0</v>
      </c>
      <c r="L53" s="15">
        <f>L21/L22*100</f>
        <v>0</v>
      </c>
      <c r="M53" s="15">
        <f t="shared" ref="M53:N53" si="17">M21/M22*100</f>
        <v>9.1934666666666658</v>
      </c>
      <c r="N53" s="15" t="e">
        <f t="shared" si="17"/>
        <v>#DIV/0!</v>
      </c>
    </row>
    <row r="54" spans="1:14">
      <c r="A54" t="s">
        <v>24</v>
      </c>
      <c r="B54" s="15">
        <f>(B52+B53)/2</f>
        <v>43.561611658308792</v>
      </c>
      <c r="C54" s="15">
        <f t="shared" ref="C54:K54" si="18">(C52+C53)/2</f>
        <v>25.968545828296286</v>
      </c>
      <c r="D54" s="15"/>
      <c r="E54" s="15"/>
      <c r="F54" s="15">
        <f t="shared" ref="F54" si="19">(F52+F53)/2</f>
        <v>46.200669795523012</v>
      </c>
      <c r="G54" s="15"/>
      <c r="H54" s="15"/>
      <c r="I54" s="15"/>
      <c r="J54" s="15"/>
      <c r="K54" s="15">
        <f t="shared" si="18"/>
        <v>20.671834625322997</v>
      </c>
      <c r="L54" s="15">
        <f>(L52+L53)/2</f>
        <v>39.46</v>
      </c>
      <c r="M54" s="15" t="e">
        <f t="shared" ref="M54:N54" si="20">(M52+M53)/2</f>
        <v>#DIV/0!</v>
      </c>
      <c r="N54" s="15" t="e">
        <f t="shared" si="20"/>
        <v>#DIV/0!</v>
      </c>
    </row>
    <row r="55" spans="1:14">
      <c r="B55" s="15"/>
      <c r="C55" s="15"/>
      <c r="D55" s="15"/>
      <c r="E55" s="15"/>
      <c r="F55" s="15"/>
      <c r="G55" s="15"/>
      <c r="H55" s="15"/>
      <c r="I55" s="15"/>
      <c r="J55" s="15"/>
      <c r="K55" s="15"/>
      <c r="L55" s="15"/>
    </row>
    <row r="56" spans="1:14">
      <c r="A56" t="s">
        <v>40</v>
      </c>
    </row>
    <row r="57" spans="1:14">
      <c r="A57" t="s">
        <v>25</v>
      </c>
      <c r="B57" s="15">
        <f>B23/B21*100</f>
        <v>100</v>
      </c>
      <c r="C57" s="15"/>
      <c r="D57" s="15"/>
      <c r="E57" s="15"/>
      <c r="F57" s="15"/>
      <c r="G57" s="15"/>
      <c r="H57" s="15"/>
      <c r="I57" s="15"/>
      <c r="J57" s="15"/>
      <c r="K57" s="15"/>
      <c r="L57" s="15"/>
    </row>
    <row r="59" spans="1:14">
      <c r="A59" t="s">
        <v>26</v>
      </c>
    </row>
    <row r="60" spans="1:14">
      <c r="A60" t="s">
        <v>27</v>
      </c>
      <c r="B60" s="15">
        <f>((B14/B10)-1)*100</f>
        <v>-2.0401777332749282</v>
      </c>
      <c r="C60" s="15">
        <f t="shared" ref="C60:N60" si="21">((C14/C10)-1)*100</f>
        <v>-2.2947330555472378</v>
      </c>
      <c r="D60" s="15">
        <f t="shared" si="21"/>
        <v>-5.518426252040209</v>
      </c>
      <c r="E60" s="15">
        <f t="shared" si="21"/>
        <v>19.746270409961241</v>
      </c>
      <c r="F60" s="15">
        <f t="shared" si="21"/>
        <v>-1.5824514258971356</v>
      </c>
      <c r="G60" s="15">
        <f t="shared" si="21"/>
        <v>-1.3102389004665427</v>
      </c>
      <c r="H60" s="15">
        <f t="shared" si="21"/>
        <v>-1.9520748100525953</v>
      </c>
      <c r="I60" s="15">
        <f t="shared" si="21"/>
        <v>-3.1797906637813012</v>
      </c>
      <c r="J60" s="15">
        <f t="shared" si="21"/>
        <v>-6.6378130106434678</v>
      </c>
      <c r="K60" s="15">
        <f t="shared" si="21"/>
        <v>-25.555097473349441</v>
      </c>
      <c r="L60" s="15" t="e">
        <f t="shared" si="21"/>
        <v>#DIV/0!</v>
      </c>
      <c r="M60" s="15" t="e">
        <f t="shared" si="21"/>
        <v>#DIV/0!</v>
      </c>
      <c r="N60" s="15">
        <f t="shared" si="21"/>
        <v>-100</v>
      </c>
    </row>
    <row r="61" spans="1:14">
      <c r="A61" t="s">
        <v>28</v>
      </c>
      <c r="B61" s="15">
        <f>((B36/B35)-1)*100</f>
        <v>57.473947729047261</v>
      </c>
      <c r="C61" s="15">
        <f t="shared" ref="C61:N61" si="22">((C36/C35)-1)*100</f>
        <v>-8.5999744693176829</v>
      </c>
      <c r="D61" s="15"/>
      <c r="E61" s="15"/>
      <c r="F61" s="15" t="e">
        <f t="shared" si="22"/>
        <v>#DIV/0!</v>
      </c>
      <c r="G61" s="15"/>
      <c r="H61" s="15"/>
      <c r="I61" s="15"/>
      <c r="J61" s="15"/>
      <c r="K61" s="15" t="e">
        <f t="shared" si="22"/>
        <v>#DIV/0!</v>
      </c>
      <c r="L61" s="15" t="e">
        <f t="shared" si="22"/>
        <v>#DIV/0!</v>
      </c>
      <c r="M61" s="15" t="e">
        <f t="shared" si="22"/>
        <v>#DIV/0!</v>
      </c>
      <c r="N61" s="15">
        <f t="shared" si="22"/>
        <v>-100</v>
      </c>
    </row>
    <row r="62" spans="1:14">
      <c r="A62" s="13" t="s">
        <v>29</v>
      </c>
      <c r="B62" s="16">
        <f>((B38/B37)-1)*100</f>
        <v>60.753607025007739</v>
      </c>
      <c r="C62" s="16">
        <f t="shared" ref="C62:N62" si="23">((C38/C37)-1)*100</f>
        <v>-6.4533280660858399</v>
      </c>
      <c r="D62" s="16"/>
      <c r="E62" s="16"/>
      <c r="F62" s="16" t="e">
        <f t="shared" si="23"/>
        <v>#DIV/0!</v>
      </c>
      <c r="G62" s="16"/>
      <c r="H62" s="16"/>
      <c r="I62" s="16"/>
      <c r="J62" s="16"/>
      <c r="K62" s="16" t="e">
        <f t="shared" si="23"/>
        <v>#DIV/0!</v>
      </c>
      <c r="L62" s="16" t="e">
        <f t="shared" si="23"/>
        <v>#DIV/0!</v>
      </c>
      <c r="M62" s="16" t="e">
        <f t="shared" si="23"/>
        <v>#DIV/0!</v>
      </c>
      <c r="N62" s="16" t="e">
        <f t="shared" si="23"/>
        <v>#DIV/0!</v>
      </c>
    </row>
    <row r="63" spans="1:14">
      <c r="B63" s="17"/>
      <c r="C63" s="17"/>
      <c r="D63" s="17"/>
      <c r="E63" s="17"/>
      <c r="F63" s="17"/>
      <c r="G63" s="17"/>
      <c r="H63" s="17"/>
      <c r="I63" s="17"/>
      <c r="J63" s="17"/>
      <c r="K63" s="17"/>
      <c r="L63" s="17"/>
    </row>
    <row r="64" spans="1:14">
      <c r="A64" t="s">
        <v>30</v>
      </c>
    </row>
    <row r="65" spans="1:16">
      <c r="A65" t="s">
        <v>44</v>
      </c>
      <c r="B65" s="4">
        <f>B20/(B12*3)</f>
        <v>14663.105752521366</v>
      </c>
      <c r="C65" s="4">
        <f>C20/(C12*3)</f>
        <v>23868.540577538202</v>
      </c>
      <c r="D65" s="4"/>
      <c r="E65" s="4"/>
      <c r="F65" s="4">
        <f t="shared" ref="F65" si="24">F20/(F12*3)</f>
        <v>5166.3200034778747</v>
      </c>
      <c r="G65" s="4"/>
      <c r="H65" s="40"/>
      <c r="I65" s="40"/>
      <c r="J65" s="40"/>
      <c r="K65" s="4">
        <f>K20/(K12*3)</f>
        <v>27784.266155119236</v>
      </c>
      <c r="L65" s="4" t="e">
        <f>L20/(L12*3)</f>
        <v>#DIV/0!</v>
      </c>
      <c r="M65" s="4" t="e">
        <f t="shared" ref="M65:N65" si="25">M20/(M12*3)</f>
        <v>#DIV/0!</v>
      </c>
      <c r="N65" s="4" t="e">
        <f t="shared" si="25"/>
        <v>#DIV/0!</v>
      </c>
    </row>
    <row r="66" spans="1:16">
      <c r="A66" t="s">
        <v>45</v>
      </c>
      <c r="B66" s="4">
        <f>B21/(B14*3)</f>
        <v>6002.3970424047729</v>
      </c>
      <c r="C66" s="4">
        <f>C21/(C14*3)</f>
        <v>16431.906100909691</v>
      </c>
      <c r="D66" s="4"/>
      <c r="E66" s="44"/>
      <c r="F66" s="4">
        <f>F21/(F14*3)</f>
        <v>2763.6294078305527</v>
      </c>
      <c r="G66" s="40"/>
      <c r="H66" s="40"/>
      <c r="I66" s="40"/>
      <c r="J66" s="40"/>
      <c r="K66" s="4">
        <f>K21/(K14*3)</f>
        <v>0</v>
      </c>
      <c r="L66" s="4">
        <f>L21/(L14*3)</f>
        <v>0</v>
      </c>
      <c r="M66" s="4" t="e">
        <f t="shared" ref="M66:N66" si="26">M21/(M14*3)</f>
        <v>#DIV/0!</v>
      </c>
      <c r="N66" s="4" t="e">
        <f t="shared" si="26"/>
        <v>#DIV/0!</v>
      </c>
    </row>
    <row r="67" spans="1:16">
      <c r="A67" s="13" t="s">
        <v>33</v>
      </c>
      <c r="B67" s="16">
        <f>(B66/B65)*B49</f>
        <v>25.080406882090465</v>
      </c>
      <c r="C67" s="16">
        <f t="shared" ref="C67:P67" si="27">(C66/C65)*C49</f>
        <v>29.342265740799363</v>
      </c>
      <c r="D67" s="16"/>
      <c r="E67" s="16"/>
      <c r="F67" s="16">
        <f>(F66/F65)*F49</f>
        <v>40.120830766956352</v>
      </c>
      <c r="G67" s="16"/>
      <c r="H67" s="16"/>
      <c r="I67" s="16"/>
      <c r="J67" s="16"/>
      <c r="K67" s="16">
        <f t="shared" si="27"/>
        <v>0</v>
      </c>
      <c r="L67" s="16" t="e">
        <f t="shared" si="27"/>
        <v>#DIV/0!</v>
      </c>
      <c r="M67" s="16" t="e">
        <f t="shared" si="27"/>
        <v>#DIV/0!</v>
      </c>
      <c r="N67" s="16" t="e">
        <f t="shared" si="27"/>
        <v>#DIV/0!</v>
      </c>
      <c r="O67" s="16" t="e">
        <f t="shared" si="27"/>
        <v>#DIV/0!</v>
      </c>
      <c r="P67" s="16" t="e">
        <f t="shared" si="27"/>
        <v>#DIV/0!</v>
      </c>
    </row>
    <row r="68" spans="1:16">
      <c r="A68" s="17" t="s">
        <v>39</v>
      </c>
      <c r="B68" s="30">
        <f>B20/B12</f>
        <v>43989.317257564093</v>
      </c>
      <c r="C68" s="30">
        <f>C20/C12</f>
        <v>71605.6217326146</v>
      </c>
      <c r="D68" s="30"/>
      <c r="E68" s="30"/>
      <c r="F68" s="30">
        <f t="shared" ref="F68" si="28">F20/F12</f>
        <v>15498.960010433626</v>
      </c>
      <c r="G68" s="60"/>
      <c r="H68" s="60"/>
      <c r="I68" s="60"/>
      <c r="J68" s="60"/>
      <c r="K68" s="30">
        <f t="shared" ref="K68:N68" si="29">K20/K12</f>
        <v>83352.7984653577</v>
      </c>
      <c r="L68" s="30" t="e">
        <f t="shared" si="29"/>
        <v>#DIV/0!</v>
      </c>
      <c r="M68" s="30" t="e">
        <f t="shared" si="29"/>
        <v>#DIV/0!</v>
      </c>
      <c r="N68" s="30" t="e">
        <f t="shared" si="29"/>
        <v>#DIV/0!</v>
      </c>
    </row>
    <row r="69" spans="1:16">
      <c r="A69" s="17" t="s">
        <v>38</v>
      </c>
      <c r="B69" s="17">
        <f>B21/B14</f>
        <v>18007.191127214319</v>
      </c>
      <c r="C69" s="17">
        <f>C21/C14</f>
        <v>49295.718302729074</v>
      </c>
      <c r="D69" s="17"/>
      <c r="E69" s="17"/>
      <c r="F69" s="17">
        <f t="shared" ref="F69" si="30">F21/F14</f>
        <v>8290.8882234916582</v>
      </c>
      <c r="G69" s="60"/>
      <c r="H69" s="60"/>
      <c r="I69" s="60"/>
      <c r="J69" s="60"/>
      <c r="K69" s="30">
        <f>K21/K14</f>
        <v>0</v>
      </c>
      <c r="L69" s="30">
        <f>L21/L14</f>
        <v>0</v>
      </c>
      <c r="M69" s="30" t="e">
        <f t="shared" ref="M69:N69" si="31">M21/M14</f>
        <v>#DIV/0!</v>
      </c>
      <c r="N69" s="30" t="e">
        <f t="shared" si="31"/>
        <v>#DIV/0!</v>
      </c>
    </row>
    <row r="70" spans="1:16">
      <c r="B70" s="15"/>
      <c r="C70" s="15"/>
      <c r="D70" s="15"/>
      <c r="E70" s="15"/>
      <c r="F70" s="15"/>
      <c r="G70" s="15"/>
      <c r="H70" s="15"/>
      <c r="I70" s="17"/>
      <c r="J70" s="17"/>
      <c r="K70" s="15"/>
      <c r="L70" s="15"/>
    </row>
    <row r="71" spans="1:16">
      <c r="A71" t="s">
        <v>34</v>
      </c>
      <c r="B71" s="15"/>
      <c r="C71" s="15"/>
      <c r="D71" s="15"/>
      <c r="E71" s="15"/>
      <c r="F71" s="15"/>
      <c r="G71" s="15"/>
      <c r="H71" s="15"/>
      <c r="I71" s="17"/>
      <c r="J71" s="17"/>
      <c r="K71" s="15"/>
      <c r="L71" s="15"/>
    </row>
    <row r="72" spans="1:16">
      <c r="A72" s="18" t="s">
        <v>35</v>
      </c>
      <c r="B72" s="19">
        <f>(B27/B26)*100</f>
        <v>75.952847434749842</v>
      </c>
      <c r="C72" s="19"/>
      <c r="D72" s="19"/>
      <c r="E72" s="19"/>
      <c r="F72" s="19"/>
      <c r="G72" s="19"/>
      <c r="H72" s="19"/>
      <c r="I72" s="19"/>
      <c r="J72" s="19"/>
      <c r="K72" s="19"/>
      <c r="L72" s="19"/>
    </row>
    <row r="73" spans="1:16">
      <c r="A73" s="18" t="s">
        <v>36</v>
      </c>
      <c r="B73" s="19">
        <f>(B21/B27)*100</f>
        <v>46.859807920040289</v>
      </c>
      <c r="C73" s="19"/>
      <c r="D73" s="19"/>
      <c r="E73" s="19"/>
      <c r="F73" s="19"/>
      <c r="G73" s="19"/>
      <c r="H73" s="19"/>
      <c r="I73" s="19"/>
      <c r="J73" s="19"/>
      <c r="K73" s="19"/>
      <c r="L73" s="19"/>
    </row>
    <row r="74" spans="1:16" ht="15.75" thickBot="1">
      <c r="A74" s="20"/>
      <c r="B74" s="20"/>
      <c r="C74" s="20"/>
      <c r="D74" s="20"/>
      <c r="E74" s="20"/>
      <c r="F74" s="20"/>
      <c r="G74" s="20"/>
      <c r="H74" s="20"/>
      <c r="I74" s="49"/>
      <c r="J74" s="49"/>
      <c r="K74" s="20"/>
      <c r="L74" s="20"/>
      <c r="M74" s="20"/>
      <c r="N74" s="20"/>
    </row>
    <row r="75" spans="1:16" ht="15.75" thickTop="1">
      <c r="A75" s="33" t="s">
        <v>97</v>
      </c>
    </row>
    <row r="76" spans="1:16">
      <c r="A76" t="s">
        <v>98</v>
      </c>
    </row>
    <row r="77" spans="1:16">
      <c r="A77" t="s">
        <v>99</v>
      </c>
    </row>
    <row r="78" spans="1:16">
      <c r="A78" t="s">
        <v>54</v>
      </c>
    </row>
    <row r="80" spans="1:16">
      <c r="A80" t="s">
        <v>43</v>
      </c>
    </row>
    <row r="81" spans="1:10">
      <c r="A81" t="s">
        <v>52</v>
      </c>
      <c r="B81" s="21"/>
      <c r="C81" s="21"/>
      <c r="D81" s="21"/>
      <c r="E81" s="21"/>
      <c r="F81" s="21"/>
      <c r="G81" s="21"/>
      <c r="H81" s="21"/>
      <c r="I81" s="21"/>
      <c r="J81" s="21"/>
    </row>
    <row r="82" spans="1:10">
      <c r="A82" t="s">
        <v>60</v>
      </c>
    </row>
    <row r="83" spans="1:10">
      <c r="A83" t="s">
        <v>50</v>
      </c>
    </row>
    <row r="84" spans="1:10">
      <c r="A84" t="s">
        <v>53</v>
      </c>
    </row>
    <row r="86" spans="1:10">
      <c r="A86" s="95" t="s">
        <v>139</v>
      </c>
    </row>
    <row r="87" spans="1:10">
      <c r="A87" s="42"/>
    </row>
    <row r="108" spans="27:31">
      <c r="AA108" s="18"/>
      <c r="AB108" s="62"/>
      <c r="AC108" s="62"/>
      <c r="AD108" s="62"/>
      <c r="AE108" s="62"/>
    </row>
    <row r="109" spans="27:31">
      <c r="AA109" s="18"/>
      <c r="AB109" s="62"/>
      <c r="AC109" s="62"/>
      <c r="AD109" s="62"/>
      <c r="AE109" s="62"/>
    </row>
  </sheetData>
  <mergeCells count="12">
    <mergeCell ref="G34:J34"/>
    <mergeCell ref="A4:A5"/>
    <mergeCell ref="A2:K2"/>
    <mergeCell ref="D5:E5"/>
    <mergeCell ref="G5:J5"/>
    <mergeCell ref="D4:N4"/>
    <mergeCell ref="G19:J19"/>
    <mergeCell ref="D19:E19"/>
    <mergeCell ref="G20:J20"/>
    <mergeCell ref="G22:J22"/>
    <mergeCell ref="G21:J21"/>
    <mergeCell ref="D21:E2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
  <sheetViews>
    <sheetView workbookViewId="0">
      <selection activeCell="I38" sqref="I38"/>
    </sheetView>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election activeCell="B36" sqref="B36"/>
    </sheetView>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Q87"/>
  <sheetViews>
    <sheetView zoomScale="60" zoomScaleNormal="60" workbookViewId="0">
      <pane xSplit="1" topLeftCell="C1" activePane="topRight" state="frozen"/>
      <selection activeCell="E28" sqref="E28"/>
      <selection pane="topRight" activeCell="A14" sqref="A14:XFD14"/>
    </sheetView>
  </sheetViews>
  <sheetFormatPr baseColWidth="10" defaultColWidth="11.42578125" defaultRowHeight="15"/>
  <cols>
    <col min="1" max="1" width="50.85546875" customWidth="1"/>
    <col min="2" max="3" width="26.85546875" customWidth="1"/>
    <col min="4" max="6" width="16.5703125" customWidth="1"/>
    <col min="7" max="7" width="16.140625" customWidth="1"/>
    <col min="8" max="10" width="17.42578125" customWidth="1"/>
    <col min="11" max="11" width="15.42578125" customWidth="1"/>
    <col min="12" max="12" width="16.42578125" customWidth="1"/>
    <col min="13" max="13" width="23.5703125" customWidth="1"/>
    <col min="14" max="14" width="22.7109375" customWidth="1"/>
    <col min="15" max="15" width="18.28515625" hidden="1" customWidth="1"/>
    <col min="16" max="16" width="23.5703125" hidden="1" customWidth="1"/>
  </cols>
  <sheetData>
    <row r="2" spans="1:17" ht="15.75">
      <c r="A2" s="102" t="s">
        <v>101</v>
      </c>
      <c r="B2" s="102"/>
      <c r="C2" s="102"/>
      <c r="D2" s="102"/>
      <c r="E2" s="102"/>
      <c r="F2" s="102"/>
      <c r="G2" s="102"/>
      <c r="H2" s="102"/>
      <c r="I2" s="102"/>
      <c r="J2" s="102"/>
      <c r="K2" s="102"/>
    </row>
    <row r="4" spans="1:17">
      <c r="A4" s="100" t="s">
        <v>0</v>
      </c>
      <c r="B4" s="25" t="s">
        <v>1</v>
      </c>
      <c r="C4" s="107" t="s">
        <v>2</v>
      </c>
      <c r="D4" s="107"/>
      <c r="E4" s="107"/>
      <c r="F4" s="107"/>
      <c r="G4" s="107"/>
      <c r="H4" s="107"/>
      <c r="I4" s="107"/>
      <c r="J4" s="107"/>
      <c r="K4" s="107"/>
      <c r="L4" s="107"/>
      <c r="M4" s="107"/>
      <c r="N4" s="107"/>
      <c r="O4" s="83"/>
      <c r="P4" s="83"/>
      <c r="Q4" s="84"/>
    </row>
    <row r="5" spans="1:17" ht="15.75" thickBot="1">
      <c r="A5" s="101"/>
      <c r="B5" s="1" t="s">
        <v>3</v>
      </c>
      <c r="C5" s="57" t="s">
        <v>55</v>
      </c>
      <c r="D5" s="103" t="s">
        <v>4</v>
      </c>
      <c r="E5" s="103"/>
      <c r="F5" s="57" t="s">
        <v>56</v>
      </c>
      <c r="G5" s="103" t="s">
        <v>51</v>
      </c>
      <c r="H5" s="103"/>
      <c r="I5" s="48"/>
      <c r="J5" s="48"/>
      <c r="K5" s="1" t="s">
        <v>5</v>
      </c>
      <c r="L5" s="20" t="s">
        <v>100</v>
      </c>
      <c r="M5" s="20" t="s">
        <v>61</v>
      </c>
      <c r="N5" s="20" t="s">
        <v>138</v>
      </c>
      <c r="O5" s="20" t="s">
        <v>62</v>
      </c>
      <c r="P5" s="20" t="s">
        <v>63</v>
      </c>
      <c r="Q5" s="67"/>
    </row>
    <row r="6" spans="1:17" ht="15.75" thickTop="1">
      <c r="B6" s="36" t="s">
        <v>1</v>
      </c>
      <c r="D6" s="36" t="s">
        <v>48</v>
      </c>
      <c r="E6" s="36" t="s">
        <v>49</v>
      </c>
      <c r="F6" s="36"/>
      <c r="G6" s="36">
        <v>1600</v>
      </c>
      <c r="H6" s="36">
        <v>640</v>
      </c>
      <c r="I6" s="47">
        <v>320</v>
      </c>
      <c r="J6" s="47">
        <v>800</v>
      </c>
      <c r="K6" s="36"/>
      <c r="M6" s="67"/>
      <c r="N6" s="67"/>
      <c r="O6" s="33" t="s">
        <v>62</v>
      </c>
      <c r="P6" s="33" t="s">
        <v>63</v>
      </c>
      <c r="Q6" s="33"/>
    </row>
    <row r="7" spans="1:17">
      <c r="A7" s="2" t="s">
        <v>6</v>
      </c>
      <c r="I7" s="32"/>
      <c r="J7" s="32"/>
    </row>
    <row r="8" spans="1:17">
      <c r="I8" s="32"/>
      <c r="J8" s="32"/>
    </row>
    <row r="9" spans="1:17">
      <c r="A9" t="s">
        <v>7</v>
      </c>
      <c r="I9" s="32"/>
      <c r="J9" s="32"/>
      <c r="O9" s="74"/>
    </row>
    <row r="10" spans="1:17">
      <c r="A10" s="3" t="s">
        <v>69</v>
      </c>
      <c r="B10" s="24">
        <f>+D10+G10</f>
        <v>124711.33333333334</v>
      </c>
      <c r="C10" s="24">
        <f>+D10+E10</f>
        <v>32660.333333333336</v>
      </c>
      <c r="D10" s="37">
        <v>26185.666666666668</v>
      </c>
      <c r="E10" s="24">
        <v>6474.666666666667</v>
      </c>
      <c r="F10" s="52">
        <f>SUM(G10:I10)</f>
        <v>123252.33333333333</v>
      </c>
      <c r="G10" s="24">
        <v>98525.666666666672</v>
      </c>
      <c r="H10" s="79">
        <v>4104.333333333333</v>
      </c>
      <c r="I10" s="79">
        <v>20622.333333333332</v>
      </c>
      <c r="J10" s="37">
        <v>26219.333333333332</v>
      </c>
      <c r="K10" s="24">
        <v>10156</v>
      </c>
      <c r="L10" s="24">
        <v>0</v>
      </c>
      <c r="M10" s="80">
        <v>0</v>
      </c>
      <c r="N10" s="24">
        <v>20020</v>
      </c>
      <c r="O10" s="5">
        <v>0</v>
      </c>
      <c r="P10">
        <v>0</v>
      </c>
    </row>
    <row r="11" spans="1:17" hidden="1">
      <c r="A11" s="27" t="s">
        <v>37</v>
      </c>
      <c r="B11" s="24">
        <f t="shared" ref="B11:B15" si="0">+D11+G11</f>
        <v>0</v>
      </c>
      <c r="C11" s="24">
        <f t="shared" ref="C11:C16" si="1">+D11+E11</f>
        <v>0</v>
      </c>
      <c r="D11" s="24"/>
      <c r="E11" s="24"/>
      <c r="F11" s="24">
        <f>SUM(G11:I11)</f>
        <v>0</v>
      </c>
      <c r="G11" s="24"/>
      <c r="H11" s="79"/>
      <c r="I11" s="79"/>
      <c r="J11" s="37"/>
      <c r="K11" s="24"/>
      <c r="L11" s="24"/>
      <c r="M11" s="80">
        <v>0</v>
      </c>
      <c r="N11" s="68">
        <v>0</v>
      </c>
      <c r="O11" s="5">
        <v>0</v>
      </c>
      <c r="P11">
        <v>0</v>
      </c>
    </row>
    <row r="12" spans="1:17">
      <c r="A12" s="3" t="s">
        <v>102</v>
      </c>
      <c r="B12" s="24">
        <f t="shared" si="0"/>
        <v>142522</v>
      </c>
      <c r="C12" s="24">
        <f t="shared" si="1"/>
        <v>51647</v>
      </c>
      <c r="D12" s="35">
        <v>38706</v>
      </c>
      <c r="E12" s="24">
        <v>12941</v>
      </c>
      <c r="F12" s="24">
        <f>SUM(G12:I12)</f>
        <v>141709</v>
      </c>
      <c r="G12" s="24">
        <v>103816</v>
      </c>
      <c r="H12" s="24">
        <v>13333</v>
      </c>
      <c r="I12" s="46">
        <v>24560</v>
      </c>
      <c r="J12" s="46">
        <v>35277</v>
      </c>
      <c r="K12" s="4">
        <v>10634</v>
      </c>
      <c r="L12" s="29">
        <v>20000</v>
      </c>
      <c r="M12" s="81">
        <v>0</v>
      </c>
      <c r="N12" s="69">
        <v>0</v>
      </c>
      <c r="O12" s="5">
        <v>0</v>
      </c>
      <c r="P12">
        <v>0</v>
      </c>
    </row>
    <row r="13" spans="1:17" hidden="1">
      <c r="A13" s="27" t="s">
        <v>37</v>
      </c>
      <c r="B13" s="24">
        <f t="shared" si="0"/>
        <v>0</v>
      </c>
      <c r="C13" s="24">
        <f t="shared" si="1"/>
        <v>0</v>
      </c>
      <c r="D13" s="35"/>
      <c r="E13" s="24"/>
      <c r="F13" s="24">
        <f t="shared" ref="F13:F16" si="2">SUM(G13:I13)</f>
        <v>0</v>
      </c>
      <c r="G13" s="24"/>
      <c r="H13" s="24"/>
      <c r="I13" s="46"/>
      <c r="J13" s="46"/>
      <c r="K13" s="4"/>
      <c r="L13" s="29"/>
      <c r="M13" s="81">
        <v>0</v>
      </c>
      <c r="N13" s="69">
        <v>0</v>
      </c>
      <c r="O13" s="5">
        <v>0</v>
      </c>
      <c r="P13">
        <v>0</v>
      </c>
    </row>
    <row r="14" spans="1:17">
      <c r="A14" s="3" t="s">
        <v>103</v>
      </c>
      <c r="B14" s="24">
        <f t="shared" si="0"/>
        <v>124115.66666666667</v>
      </c>
      <c r="C14" s="24">
        <f t="shared" si="1"/>
        <v>34394.333333333336</v>
      </c>
      <c r="D14" s="37">
        <v>25258.666666666668</v>
      </c>
      <c r="E14" s="24">
        <v>9135.6666666666661</v>
      </c>
      <c r="F14" s="24">
        <f t="shared" si="2"/>
        <v>122830</v>
      </c>
      <c r="G14" s="24">
        <v>98857</v>
      </c>
      <c r="H14" s="24">
        <v>4146</v>
      </c>
      <c r="I14" s="37">
        <v>19827</v>
      </c>
      <c r="J14" s="37">
        <v>25071</v>
      </c>
      <c r="K14" s="24">
        <v>11740</v>
      </c>
      <c r="L14" s="24">
        <v>16937</v>
      </c>
      <c r="M14" s="81">
        <v>0</v>
      </c>
      <c r="N14" s="69">
        <v>0</v>
      </c>
      <c r="O14" s="5">
        <v>0</v>
      </c>
      <c r="P14" s="72">
        <v>0</v>
      </c>
    </row>
    <row r="15" spans="1:17" hidden="1">
      <c r="A15" s="27" t="s">
        <v>37</v>
      </c>
      <c r="B15" s="24">
        <f t="shared" si="0"/>
        <v>0</v>
      </c>
      <c r="C15" s="24">
        <f t="shared" si="1"/>
        <v>0</v>
      </c>
      <c r="D15" s="37"/>
      <c r="E15" s="24"/>
      <c r="F15" s="24">
        <f t="shared" si="2"/>
        <v>0</v>
      </c>
      <c r="G15" s="24"/>
      <c r="H15" s="24"/>
      <c r="I15" s="37"/>
      <c r="J15" s="37"/>
      <c r="K15" s="24"/>
      <c r="L15" s="24"/>
      <c r="M15" s="81">
        <v>0</v>
      </c>
      <c r="N15" s="69">
        <v>0</v>
      </c>
      <c r="O15" s="5">
        <v>0</v>
      </c>
      <c r="P15">
        <v>0</v>
      </c>
    </row>
    <row r="16" spans="1:17">
      <c r="A16" s="3" t="s">
        <v>92</v>
      </c>
      <c r="B16" s="24">
        <f>+D16+G16</f>
        <v>138397</v>
      </c>
      <c r="C16" s="24">
        <f t="shared" si="1"/>
        <v>49495</v>
      </c>
      <c r="D16" s="4">
        <v>37093</v>
      </c>
      <c r="E16" s="4">
        <v>12402</v>
      </c>
      <c r="F16" s="24">
        <f t="shared" si="2"/>
        <v>134076.58333333334</v>
      </c>
      <c r="G16" s="4">
        <v>101304</v>
      </c>
      <c r="H16" s="4">
        <v>10698.75</v>
      </c>
      <c r="I16" s="5">
        <v>22073.833333333332</v>
      </c>
      <c r="J16" s="5">
        <v>31742.666666666668</v>
      </c>
      <c r="K16" s="4">
        <v>10191</v>
      </c>
      <c r="L16" s="5">
        <v>20000</v>
      </c>
      <c r="M16" s="81">
        <v>0</v>
      </c>
      <c r="N16" s="69">
        <v>0</v>
      </c>
      <c r="O16" s="5">
        <v>0</v>
      </c>
    </row>
    <row r="17" spans="1:16">
      <c r="B17" s="22"/>
      <c r="C17" s="22"/>
      <c r="D17" s="22"/>
      <c r="E17" s="22"/>
      <c r="F17" s="22"/>
      <c r="G17" s="22"/>
      <c r="H17" s="22"/>
      <c r="I17" s="46"/>
      <c r="J17" s="46"/>
      <c r="K17" s="22"/>
    </row>
    <row r="18" spans="1:16">
      <c r="A18" s="6" t="s">
        <v>8</v>
      </c>
      <c r="B18" s="24"/>
      <c r="C18" s="24"/>
      <c r="D18" s="22"/>
      <c r="G18" s="22"/>
      <c r="H18" s="22"/>
      <c r="I18" s="37"/>
      <c r="J18" s="37"/>
      <c r="K18" s="22"/>
    </row>
    <row r="19" spans="1:16">
      <c r="A19" s="3" t="s">
        <v>69</v>
      </c>
      <c r="B19" s="24">
        <f>C19+F19+K19+L19+M19+N19</f>
        <v>3648062981.48</v>
      </c>
      <c r="C19" s="40">
        <f>D19</f>
        <v>1050981740</v>
      </c>
      <c r="D19" s="106">
        <v>1050981740</v>
      </c>
      <c r="E19" s="106"/>
      <c r="F19" s="40">
        <f>G19</f>
        <v>2097891120</v>
      </c>
      <c r="G19" s="106">
        <v>2097891120</v>
      </c>
      <c r="H19" s="106"/>
      <c r="I19" s="106"/>
      <c r="J19" s="106"/>
      <c r="K19" s="24">
        <v>274129467.48000002</v>
      </c>
      <c r="L19" s="4">
        <v>970170</v>
      </c>
      <c r="M19" s="70">
        <v>0</v>
      </c>
      <c r="N19" s="4">
        <v>224090484</v>
      </c>
      <c r="O19" s="72">
        <v>0</v>
      </c>
      <c r="P19" s="72">
        <v>0</v>
      </c>
    </row>
    <row r="20" spans="1:16">
      <c r="A20" s="61" t="s">
        <v>102</v>
      </c>
      <c r="B20" s="24">
        <f>C20+F20+K20+L20+M20+N20</f>
        <v>6452419403.5100002</v>
      </c>
      <c r="C20" s="40">
        <f>+D20+E20</f>
        <v>3416011753.75</v>
      </c>
      <c r="D20" s="40">
        <v>3381971478.75</v>
      </c>
      <c r="E20" s="40">
        <v>34040275</v>
      </c>
      <c r="F20" s="40">
        <f>G20</f>
        <v>2067790649.7600002</v>
      </c>
      <c r="G20" s="106">
        <v>2067790649.7600002</v>
      </c>
      <c r="H20" s="106"/>
      <c r="I20" s="106"/>
      <c r="J20" s="106"/>
      <c r="K20" s="24">
        <v>909207000</v>
      </c>
      <c r="L20" s="5">
        <v>59410000</v>
      </c>
      <c r="M20" s="71">
        <v>0</v>
      </c>
      <c r="N20" s="73">
        <v>0</v>
      </c>
      <c r="O20" s="72">
        <v>0</v>
      </c>
      <c r="P20" s="72">
        <v>0</v>
      </c>
    </row>
    <row r="21" spans="1:16">
      <c r="A21" s="3" t="s">
        <v>103</v>
      </c>
      <c r="B21" s="52">
        <f t="shared" ref="B21" si="3">C21+F21+K21+L21+M21+N21</f>
        <v>3909411584</v>
      </c>
      <c r="C21" s="40">
        <f>D21</f>
        <v>2516314964</v>
      </c>
      <c r="D21" s="106">
        <v>2516314964</v>
      </c>
      <c r="E21" s="106"/>
      <c r="F21" s="40">
        <f>G21</f>
        <v>1393096620</v>
      </c>
      <c r="G21" s="106">
        <v>1393096620</v>
      </c>
      <c r="H21" s="106"/>
      <c r="I21" s="106"/>
      <c r="J21" s="106"/>
      <c r="K21" s="24">
        <v>0</v>
      </c>
      <c r="L21" s="4">
        <v>0</v>
      </c>
      <c r="M21" s="72">
        <v>0</v>
      </c>
      <c r="N21" s="69">
        <v>0</v>
      </c>
      <c r="O21" s="72">
        <v>0</v>
      </c>
      <c r="P21" s="72">
        <v>0</v>
      </c>
    </row>
    <row r="22" spans="1:16">
      <c r="A22" s="3" t="s">
        <v>92</v>
      </c>
      <c r="B22" s="24">
        <f>C22+F22+K22+L22+M22+N22</f>
        <v>24813103939.080002</v>
      </c>
      <c r="C22" s="24">
        <f>+D22+E22</f>
        <v>13329869615</v>
      </c>
      <c r="D22" s="40">
        <v>13198884915</v>
      </c>
      <c r="E22" s="40">
        <v>130984699.99999999</v>
      </c>
      <c r="F22" s="40">
        <f>G22</f>
        <v>7926530824.0800009</v>
      </c>
      <c r="G22" s="106">
        <v>7926530824.0800009</v>
      </c>
      <c r="H22" s="106"/>
      <c r="I22" s="106"/>
      <c r="J22" s="106"/>
      <c r="K22" s="4">
        <v>3466293500</v>
      </c>
      <c r="L22" s="5">
        <v>78410000</v>
      </c>
      <c r="M22" s="5">
        <v>12000000</v>
      </c>
      <c r="N22" s="73">
        <v>0</v>
      </c>
      <c r="O22" s="73"/>
      <c r="P22" s="73"/>
    </row>
    <row r="23" spans="1:16">
      <c r="A23" s="3" t="s">
        <v>104</v>
      </c>
      <c r="B23" s="52">
        <f>C23+F23+K23+L23+M23+N23</f>
        <v>3909411584</v>
      </c>
      <c r="C23" s="4">
        <f>C21</f>
        <v>2516314964</v>
      </c>
      <c r="D23" s="40"/>
      <c r="E23" s="40"/>
      <c r="F23" s="40">
        <f>F21</f>
        <v>1393096620</v>
      </c>
      <c r="G23" s="40"/>
      <c r="H23" s="40"/>
      <c r="I23" s="40"/>
      <c r="J23" s="40"/>
      <c r="K23" s="4">
        <f>K21</f>
        <v>0</v>
      </c>
      <c r="L23" s="4">
        <f>L21</f>
        <v>0</v>
      </c>
      <c r="M23" s="4">
        <f t="shared" ref="M23:P23" si="4">M21</f>
        <v>0</v>
      </c>
      <c r="N23" s="4">
        <f t="shared" si="4"/>
        <v>0</v>
      </c>
      <c r="O23" s="4">
        <f t="shared" si="4"/>
        <v>0</v>
      </c>
      <c r="P23" s="4">
        <f t="shared" si="4"/>
        <v>0</v>
      </c>
    </row>
    <row r="24" spans="1:16">
      <c r="B24" s="22"/>
      <c r="C24" s="22"/>
      <c r="D24" s="22"/>
      <c r="E24" s="22"/>
      <c r="F24" s="22"/>
      <c r="G24" s="22"/>
      <c r="H24" s="22"/>
      <c r="I24" s="45"/>
      <c r="J24" s="45"/>
      <c r="K24" s="22"/>
      <c r="O24" s="74"/>
    </row>
    <row r="25" spans="1:16">
      <c r="A25" s="7" t="s">
        <v>9</v>
      </c>
      <c r="B25" s="23"/>
      <c r="C25" s="23"/>
      <c r="D25" s="23"/>
      <c r="E25" s="23"/>
      <c r="F25" s="23"/>
      <c r="G25" s="23"/>
      <c r="H25" s="23"/>
      <c r="I25" s="23"/>
      <c r="J25" s="23"/>
      <c r="K25" s="23"/>
      <c r="L25" s="23"/>
    </row>
    <row r="26" spans="1:16">
      <c r="A26" s="9" t="s">
        <v>102</v>
      </c>
      <c r="B26" s="35">
        <f>B20</f>
        <v>6452419403.5100002</v>
      </c>
      <c r="C26" s="35"/>
      <c r="D26" s="23"/>
      <c r="E26" s="23"/>
      <c r="F26" s="23"/>
      <c r="G26" s="23"/>
      <c r="H26" s="23"/>
      <c r="I26" s="23"/>
      <c r="J26" s="23"/>
      <c r="K26" s="23"/>
      <c r="L26" s="23"/>
    </row>
    <row r="27" spans="1:16">
      <c r="A27" s="9" t="s">
        <v>103</v>
      </c>
      <c r="B27" s="35">
        <v>3617432410.21</v>
      </c>
      <c r="C27" s="35"/>
      <c r="D27" s="23"/>
      <c r="E27" s="23"/>
      <c r="F27" s="23"/>
      <c r="G27" s="23"/>
      <c r="H27" s="23"/>
      <c r="I27" s="23"/>
      <c r="J27" s="23"/>
      <c r="K27" s="23"/>
      <c r="L27" s="23"/>
    </row>
    <row r="28" spans="1:16">
      <c r="I28" s="32"/>
      <c r="J28" s="32"/>
    </row>
    <row r="29" spans="1:16">
      <c r="A29" t="s">
        <v>10</v>
      </c>
      <c r="I29" s="32"/>
      <c r="J29" s="32"/>
    </row>
    <row r="30" spans="1:16" ht="14.25" customHeight="1">
      <c r="A30" s="10" t="s">
        <v>70</v>
      </c>
      <c r="B30" s="11">
        <v>1</v>
      </c>
      <c r="C30" s="11">
        <v>1</v>
      </c>
      <c r="D30" s="11">
        <v>1</v>
      </c>
      <c r="E30" s="11">
        <v>1</v>
      </c>
      <c r="F30" s="11">
        <v>1</v>
      </c>
      <c r="G30" s="11">
        <v>1</v>
      </c>
      <c r="H30" s="11">
        <v>1</v>
      </c>
      <c r="I30" s="11">
        <v>1</v>
      </c>
      <c r="J30" s="11">
        <v>1</v>
      </c>
      <c r="K30" s="11">
        <v>1</v>
      </c>
      <c r="L30" s="11">
        <v>1</v>
      </c>
      <c r="M30" s="11">
        <v>1</v>
      </c>
      <c r="N30" s="11">
        <v>1</v>
      </c>
      <c r="O30" s="11"/>
      <c r="P30" s="11"/>
    </row>
    <row r="31" spans="1:16">
      <c r="A31" s="10" t="s">
        <v>105</v>
      </c>
      <c r="B31" s="11">
        <v>0.99</v>
      </c>
      <c r="C31" s="11">
        <v>0.99</v>
      </c>
      <c r="D31" s="11">
        <v>0.99</v>
      </c>
      <c r="E31" s="11">
        <v>0.99</v>
      </c>
      <c r="F31" s="11">
        <v>0.99</v>
      </c>
      <c r="G31" s="11">
        <v>0.99</v>
      </c>
      <c r="H31" s="11">
        <v>0.99</v>
      </c>
      <c r="I31" s="11">
        <v>0.99</v>
      </c>
      <c r="J31" s="11">
        <v>0.99</v>
      </c>
      <c r="K31" s="11">
        <v>0.99</v>
      </c>
      <c r="L31" s="11">
        <v>0.99</v>
      </c>
      <c r="M31" s="11">
        <v>0.99</v>
      </c>
      <c r="N31" s="11">
        <v>0.99</v>
      </c>
      <c r="O31" s="11"/>
      <c r="P31" s="11"/>
    </row>
    <row r="32" spans="1:16">
      <c r="A32" s="3" t="s">
        <v>11</v>
      </c>
      <c r="B32" s="4">
        <v>126597</v>
      </c>
      <c r="C32" s="4">
        <v>126597</v>
      </c>
      <c r="D32" s="4">
        <v>126597</v>
      </c>
      <c r="E32" s="4">
        <v>126597</v>
      </c>
      <c r="F32" s="4">
        <v>126597</v>
      </c>
      <c r="G32" s="4">
        <v>126597</v>
      </c>
      <c r="H32" s="4">
        <v>126597</v>
      </c>
      <c r="I32" s="4">
        <v>126597</v>
      </c>
      <c r="J32" s="4">
        <v>126597</v>
      </c>
      <c r="K32" s="4">
        <v>126597</v>
      </c>
      <c r="L32" s="4">
        <v>126597</v>
      </c>
      <c r="M32" s="4">
        <v>126597</v>
      </c>
      <c r="N32" s="4">
        <v>126597</v>
      </c>
      <c r="O32" s="4"/>
      <c r="P32" s="4"/>
    </row>
    <row r="33" spans="1:16">
      <c r="I33" s="32"/>
      <c r="J33" s="32"/>
    </row>
    <row r="34" spans="1:16">
      <c r="A34" s="12" t="s">
        <v>12</v>
      </c>
      <c r="B34" s="13"/>
      <c r="C34" s="13"/>
      <c r="D34" s="51"/>
      <c r="E34" s="51"/>
      <c r="F34" s="51"/>
      <c r="G34" s="99"/>
      <c r="H34" s="99"/>
      <c r="I34" s="99"/>
      <c r="J34" s="99"/>
      <c r="K34" s="13"/>
      <c r="L34" s="13"/>
      <c r="M34" s="13"/>
      <c r="N34" s="13"/>
    </row>
    <row r="35" spans="1:16">
      <c r="A35" s="13" t="s">
        <v>71</v>
      </c>
      <c r="B35" s="14">
        <f>B19/B30</f>
        <v>3648062981.48</v>
      </c>
      <c r="C35" s="50">
        <f>C19/C30</f>
        <v>1050981740</v>
      </c>
      <c r="D35" s="50"/>
      <c r="E35" s="50"/>
      <c r="F35" s="50">
        <f>F19/F30</f>
        <v>2097891120</v>
      </c>
      <c r="G35" s="50"/>
      <c r="H35" s="50"/>
      <c r="I35" s="50"/>
      <c r="J35" s="50"/>
      <c r="K35" s="14">
        <f t="shared" ref="K35:P35" si="5">K19/K30</f>
        <v>274129467.48000002</v>
      </c>
      <c r="L35" s="14">
        <f t="shared" si="5"/>
        <v>970170</v>
      </c>
      <c r="M35" s="14">
        <f t="shared" si="5"/>
        <v>0</v>
      </c>
      <c r="N35" s="14">
        <f t="shared" si="5"/>
        <v>224090484</v>
      </c>
      <c r="O35" s="14" t="e">
        <f t="shared" si="5"/>
        <v>#DIV/0!</v>
      </c>
      <c r="P35" s="14" t="e">
        <f t="shared" si="5"/>
        <v>#DIV/0!</v>
      </c>
    </row>
    <row r="36" spans="1:16">
      <c r="A36" s="13" t="s">
        <v>106</v>
      </c>
      <c r="B36" s="14">
        <f>B21/B31</f>
        <v>3948900589.8989902</v>
      </c>
      <c r="C36" s="50">
        <f>C21/C31</f>
        <v>2541732286.8686867</v>
      </c>
      <c r="D36" s="50"/>
      <c r="E36" s="50"/>
      <c r="F36" s="50">
        <f>F21/F31</f>
        <v>1407168303.030303</v>
      </c>
      <c r="G36" s="50"/>
      <c r="H36" s="50"/>
      <c r="I36" s="50"/>
      <c r="J36" s="50"/>
      <c r="K36" s="14">
        <f>K21/K31</f>
        <v>0</v>
      </c>
      <c r="L36" s="14">
        <f>L21/L31</f>
        <v>0</v>
      </c>
      <c r="M36" s="14">
        <f t="shared" ref="M36:P36" si="6">M21/M31</f>
        <v>0</v>
      </c>
      <c r="N36" s="14">
        <f t="shared" si="6"/>
        <v>0</v>
      </c>
      <c r="O36" s="14" t="e">
        <f t="shared" si="6"/>
        <v>#DIV/0!</v>
      </c>
      <c r="P36" s="14" t="e">
        <f t="shared" si="6"/>
        <v>#DIV/0!</v>
      </c>
    </row>
    <row r="37" spans="1:16">
      <c r="A37" s="13" t="s">
        <v>72</v>
      </c>
      <c r="B37" s="14">
        <f>B35/B10</f>
        <v>29252.056601217744</v>
      </c>
      <c r="C37" s="50">
        <f>C35/C10</f>
        <v>32179.149222808501</v>
      </c>
      <c r="D37" s="50"/>
      <c r="E37" s="50"/>
      <c r="F37" s="50">
        <f>F35/F10</f>
        <v>17021.106726850339</v>
      </c>
      <c r="G37" s="50"/>
      <c r="H37" s="50"/>
      <c r="I37" s="50"/>
      <c r="J37" s="50"/>
      <c r="K37" s="14">
        <f>K35/K10</f>
        <v>26991.873521071291</v>
      </c>
      <c r="L37" s="14" t="e">
        <f>L35/L10</f>
        <v>#DIV/0!</v>
      </c>
      <c r="M37" s="14" t="e">
        <f t="shared" ref="M37:P37" si="7">M35/M10</f>
        <v>#DIV/0!</v>
      </c>
      <c r="N37" s="14">
        <f t="shared" si="7"/>
        <v>11193.330869130868</v>
      </c>
      <c r="O37" s="14" t="e">
        <f t="shared" si="7"/>
        <v>#DIV/0!</v>
      </c>
      <c r="P37" s="14" t="e">
        <f t="shared" si="7"/>
        <v>#DIV/0!</v>
      </c>
    </row>
    <row r="38" spans="1:16">
      <c r="A38" s="13" t="s">
        <v>107</v>
      </c>
      <c r="B38" s="14">
        <f>B36/B14</f>
        <v>31816.294396616515</v>
      </c>
      <c r="C38" s="50">
        <f>C36/C14</f>
        <v>73899.739885504969</v>
      </c>
      <c r="D38" s="50"/>
      <c r="E38" s="50"/>
      <c r="F38" s="50">
        <f>F36/F14</f>
        <v>11456.226516570081</v>
      </c>
      <c r="G38" s="50"/>
      <c r="H38" s="50"/>
      <c r="I38" s="50"/>
      <c r="J38" s="50"/>
      <c r="K38" s="34">
        <f>K36/K14</f>
        <v>0</v>
      </c>
      <c r="L38" s="34">
        <f>L36/L14</f>
        <v>0</v>
      </c>
      <c r="M38" s="34" t="e">
        <f t="shared" ref="M38:P38" si="8">M36/M14</f>
        <v>#DIV/0!</v>
      </c>
      <c r="N38" s="34" t="e">
        <f t="shared" si="8"/>
        <v>#DIV/0!</v>
      </c>
      <c r="O38" s="34" t="e">
        <f t="shared" si="8"/>
        <v>#DIV/0!</v>
      </c>
      <c r="P38" s="34" t="e">
        <f t="shared" si="8"/>
        <v>#DIV/0!</v>
      </c>
    </row>
    <row r="39" spans="1:16">
      <c r="I39" s="32"/>
      <c r="J39" s="32"/>
    </row>
    <row r="40" spans="1:16">
      <c r="A40" s="2" t="s">
        <v>13</v>
      </c>
      <c r="I40" s="32"/>
      <c r="J40" s="32"/>
    </row>
    <row r="41" spans="1:16">
      <c r="I41" s="32"/>
      <c r="J41" s="32"/>
    </row>
    <row r="42" spans="1:16">
      <c r="A42" t="s">
        <v>14</v>
      </c>
      <c r="I42" s="32"/>
      <c r="J42" s="32"/>
    </row>
    <row r="43" spans="1:16">
      <c r="A43" t="s">
        <v>15</v>
      </c>
      <c r="B43" s="17">
        <f>(B12/B32)*100</f>
        <v>112.57928702891853</v>
      </c>
      <c r="C43" s="17">
        <f t="shared" ref="C43:N43" si="9">(C12/C32)*100</f>
        <v>40.796385380380265</v>
      </c>
      <c r="D43" s="17">
        <f t="shared" si="9"/>
        <v>30.574184222374939</v>
      </c>
      <c r="E43" s="17">
        <f t="shared" si="9"/>
        <v>10.222201158005324</v>
      </c>
      <c r="F43" s="17">
        <f t="shared" si="9"/>
        <v>111.93709171623341</v>
      </c>
      <c r="G43" s="17">
        <f t="shared" si="9"/>
        <v>82.00510280654359</v>
      </c>
      <c r="H43" s="17">
        <f t="shared" si="9"/>
        <v>10.531845146409474</v>
      </c>
      <c r="I43" s="17">
        <f t="shared" si="9"/>
        <v>19.40014376328033</v>
      </c>
      <c r="J43" s="17">
        <f t="shared" si="9"/>
        <v>27.865589231972322</v>
      </c>
      <c r="K43" s="17">
        <f t="shared" si="9"/>
        <v>8.3998830935962143</v>
      </c>
      <c r="L43" s="17">
        <f t="shared" si="9"/>
        <v>15.798162673681052</v>
      </c>
      <c r="M43" s="17">
        <f t="shared" si="9"/>
        <v>0</v>
      </c>
      <c r="N43" s="17">
        <f t="shared" si="9"/>
        <v>0</v>
      </c>
    </row>
    <row r="44" spans="1:16">
      <c r="A44" t="s">
        <v>16</v>
      </c>
      <c r="B44" s="17">
        <f>(B14/B32)*100</f>
        <v>98.03997461761864</v>
      </c>
      <c r="C44" s="17">
        <f t="shared" ref="C44:N44" si="10">(C14/C32)*100</f>
        <v>27.168363652640533</v>
      </c>
      <c r="D44" s="17">
        <f t="shared" si="10"/>
        <v>19.952026246014256</v>
      </c>
      <c r="E44" s="17">
        <f t="shared" si="10"/>
        <v>7.216337406626276</v>
      </c>
      <c r="F44" s="17">
        <f t="shared" si="10"/>
        <v>97.024416060412179</v>
      </c>
      <c r="G44" s="17">
        <f t="shared" si="10"/>
        <v>78.087948371604384</v>
      </c>
      <c r="H44" s="17">
        <f t="shared" si="10"/>
        <v>3.2749591222540819</v>
      </c>
      <c r="I44" s="17">
        <f t="shared" si="10"/>
        <v>15.661508566553708</v>
      </c>
      <c r="J44" s="17">
        <f t="shared" si="10"/>
        <v>19.803786819592879</v>
      </c>
      <c r="K44" s="17">
        <f t="shared" si="10"/>
        <v>9.2735214894507774</v>
      </c>
      <c r="L44" s="17">
        <f t="shared" si="10"/>
        <v>13.378674060206796</v>
      </c>
      <c r="M44" s="17">
        <f t="shared" si="10"/>
        <v>0</v>
      </c>
      <c r="N44" s="17">
        <f t="shared" si="10"/>
        <v>0</v>
      </c>
    </row>
    <row r="45" spans="1:16">
      <c r="I45" s="32"/>
      <c r="J45" s="32"/>
    </row>
    <row r="46" spans="1:16">
      <c r="A46" t="s">
        <v>17</v>
      </c>
      <c r="I46" s="32"/>
      <c r="J46" s="32"/>
    </row>
    <row r="47" spans="1:16">
      <c r="A47" t="s">
        <v>18</v>
      </c>
      <c r="B47" s="15">
        <f>B14/B12*100</f>
        <v>87.085268707053416</v>
      </c>
      <c r="C47" s="15">
        <f t="shared" ref="C47:N47" si="11">C14/C12*100</f>
        <v>66.595026493955771</v>
      </c>
      <c r="D47" s="15">
        <f t="shared" si="11"/>
        <v>65.257755042284572</v>
      </c>
      <c r="E47" s="15">
        <f t="shared" si="11"/>
        <v>70.594750534476987</v>
      </c>
      <c r="F47" s="15">
        <f t="shared" si="11"/>
        <v>86.677628097015713</v>
      </c>
      <c r="G47" s="15">
        <f t="shared" si="11"/>
        <v>95.223279648609079</v>
      </c>
      <c r="H47" s="15">
        <f t="shared" si="11"/>
        <v>31.095777394434858</v>
      </c>
      <c r="I47" s="15">
        <f t="shared" si="11"/>
        <v>80.728827361563518</v>
      </c>
      <c r="J47" s="15">
        <f t="shared" si="11"/>
        <v>71.068968449698104</v>
      </c>
      <c r="K47" s="15">
        <f t="shared" si="11"/>
        <v>110.40060184314464</v>
      </c>
      <c r="L47" s="15">
        <f t="shared" si="11"/>
        <v>84.685000000000002</v>
      </c>
      <c r="M47" s="15" t="e">
        <f t="shared" si="11"/>
        <v>#DIV/0!</v>
      </c>
      <c r="N47" s="15" t="e">
        <f t="shared" si="11"/>
        <v>#DIV/0!</v>
      </c>
    </row>
    <row r="48" spans="1:16">
      <c r="A48" t="s">
        <v>19</v>
      </c>
      <c r="B48" s="15">
        <f>B21/B20*100</f>
        <v>60.588305556724201</v>
      </c>
      <c r="C48" s="15">
        <f>C21/C20*100</f>
        <v>73.662362585189044</v>
      </c>
      <c r="D48" s="15"/>
      <c r="E48" s="15"/>
      <c r="F48" s="58">
        <f>F21/F20*100</f>
        <v>67.371260246374106</v>
      </c>
      <c r="G48" s="58"/>
      <c r="H48" s="58"/>
      <c r="I48" s="58"/>
      <c r="J48" s="58"/>
      <c r="K48" s="15">
        <f>K21/K20*100</f>
        <v>0</v>
      </c>
      <c r="L48" s="15">
        <f>L21/L20*100</f>
        <v>0</v>
      </c>
      <c r="M48" s="15" t="e">
        <f t="shared" ref="M48:N48" si="12">M21/M20*100</f>
        <v>#DIV/0!</v>
      </c>
      <c r="N48" s="15" t="e">
        <f t="shared" si="12"/>
        <v>#DIV/0!</v>
      </c>
    </row>
    <row r="49" spans="1:14">
      <c r="A49" s="13" t="s">
        <v>20</v>
      </c>
      <c r="B49" s="16">
        <f>AVERAGE(B47:B48)</f>
        <v>73.836787131888812</v>
      </c>
      <c r="C49" s="16">
        <f t="shared" ref="C49:N49" si="13">AVERAGE(C47:C48)</f>
        <v>70.128694539572408</v>
      </c>
      <c r="D49" s="16"/>
      <c r="E49" s="16"/>
      <c r="F49" s="59">
        <f>AVERAGE(F47:F48)</f>
        <v>77.02444417169491</v>
      </c>
      <c r="G49" s="59"/>
      <c r="H49" s="59"/>
      <c r="I49" s="59"/>
      <c r="J49" s="59"/>
      <c r="K49" s="16">
        <f t="shared" si="13"/>
        <v>55.200300921572321</v>
      </c>
      <c r="L49" s="16">
        <f t="shared" si="13"/>
        <v>42.342500000000001</v>
      </c>
      <c r="M49" s="16" t="e">
        <f t="shared" si="13"/>
        <v>#DIV/0!</v>
      </c>
      <c r="N49" s="16" t="e">
        <f t="shared" si="13"/>
        <v>#DIV/0!</v>
      </c>
    </row>
    <row r="50" spans="1:14">
      <c r="B50" s="15"/>
      <c r="C50" s="15"/>
      <c r="D50" s="15"/>
      <c r="E50" s="15"/>
      <c r="F50" s="15"/>
      <c r="G50" s="15"/>
      <c r="H50" s="15"/>
      <c r="I50" s="15"/>
      <c r="J50" s="15"/>
      <c r="K50" s="15"/>
      <c r="L50" s="15"/>
    </row>
    <row r="51" spans="1:14">
      <c r="A51" t="s">
        <v>21</v>
      </c>
    </row>
    <row r="52" spans="1:14">
      <c r="A52" t="s">
        <v>22</v>
      </c>
      <c r="B52" s="15">
        <f>((B14/B16)*100)</f>
        <v>89.680893853672174</v>
      </c>
      <c r="C52" s="15">
        <f t="shared" ref="C52:N52" si="14">((C14/C16)*100)</f>
        <v>69.490520928039885</v>
      </c>
      <c r="D52" s="15">
        <f t="shared" si="14"/>
        <v>68.095507687883611</v>
      </c>
      <c r="E52" s="15">
        <f t="shared" si="14"/>
        <v>73.662850077944412</v>
      </c>
      <c r="F52" s="15">
        <f t="shared" si="14"/>
        <v>91.611821353343444</v>
      </c>
      <c r="G52" s="15">
        <f t="shared" si="14"/>
        <v>97.584498144199642</v>
      </c>
      <c r="H52" s="15">
        <f t="shared" si="14"/>
        <v>38.752190676480893</v>
      </c>
      <c r="I52" s="15">
        <f t="shared" si="14"/>
        <v>89.82128160793701</v>
      </c>
      <c r="J52" s="15">
        <f t="shared" si="14"/>
        <v>78.982022094342</v>
      </c>
      <c r="K52" s="15">
        <f t="shared" si="14"/>
        <v>115.19968599744873</v>
      </c>
      <c r="L52" s="15">
        <f t="shared" si="14"/>
        <v>84.685000000000002</v>
      </c>
      <c r="M52" s="15" t="e">
        <f t="shared" si="14"/>
        <v>#DIV/0!</v>
      </c>
      <c r="N52" s="15" t="e">
        <f t="shared" si="14"/>
        <v>#DIV/0!</v>
      </c>
    </row>
    <row r="53" spans="1:14">
      <c r="A53" t="s">
        <v>23</v>
      </c>
      <c r="B53" s="15">
        <f>B21/B22*100</f>
        <v>15.755431459112124</v>
      </c>
      <c r="C53" s="15">
        <f>C21/C22*100</f>
        <v>18.877266144962213</v>
      </c>
      <c r="D53" s="15"/>
      <c r="E53" s="15"/>
      <c r="F53" s="15">
        <f>F21/F22*100</f>
        <v>17.575111368619332</v>
      </c>
      <c r="G53" s="15"/>
      <c r="H53" s="15"/>
      <c r="I53" s="15"/>
      <c r="J53" s="15"/>
      <c r="K53" s="15">
        <f t="shared" ref="K53:N53" si="15">K21/K22*100</f>
        <v>0</v>
      </c>
      <c r="L53" s="15">
        <f t="shared" si="15"/>
        <v>0</v>
      </c>
      <c r="M53" s="15">
        <f t="shared" si="15"/>
        <v>0</v>
      </c>
      <c r="N53" s="15" t="e">
        <f t="shared" si="15"/>
        <v>#DIV/0!</v>
      </c>
    </row>
    <row r="54" spans="1:14">
      <c r="A54" t="s">
        <v>24</v>
      </c>
      <c r="B54" s="15">
        <f>(B52+B53)/2</f>
        <v>52.718162656392153</v>
      </c>
      <c r="C54" s="15">
        <f t="shared" ref="C54:N54" si="16">(C52+C53)/2</f>
        <v>44.183893536501046</v>
      </c>
      <c r="D54" s="15"/>
      <c r="E54" s="15"/>
      <c r="F54" s="15">
        <f t="shared" ref="F54" si="17">(F52+F53)/2</f>
        <v>54.593466360981388</v>
      </c>
      <c r="G54" s="15"/>
      <c r="H54" s="15"/>
      <c r="I54" s="15"/>
      <c r="J54" s="15"/>
      <c r="K54" s="15">
        <f t="shared" si="16"/>
        <v>57.599842998724363</v>
      </c>
      <c r="L54" s="15">
        <f t="shared" si="16"/>
        <v>42.342500000000001</v>
      </c>
      <c r="M54" s="15" t="e">
        <f t="shared" si="16"/>
        <v>#DIV/0!</v>
      </c>
      <c r="N54" s="15" t="e">
        <f t="shared" si="16"/>
        <v>#DIV/0!</v>
      </c>
    </row>
    <row r="55" spans="1:14">
      <c r="B55" s="15"/>
      <c r="C55" s="15"/>
      <c r="D55" s="15"/>
      <c r="E55" s="15"/>
      <c r="F55" s="15"/>
      <c r="G55" s="15"/>
      <c r="H55" s="15"/>
      <c r="I55" s="15"/>
      <c r="J55" s="15"/>
      <c r="K55" s="15"/>
      <c r="L55" s="15"/>
    </row>
    <row r="56" spans="1:14">
      <c r="A56" t="s">
        <v>40</v>
      </c>
    </row>
    <row r="57" spans="1:14">
      <c r="A57" t="s">
        <v>25</v>
      </c>
      <c r="B57" s="15">
        <f>B23/B21*100</f>
        <v>100</v>
      </c>
      <c r="C57" s="15"/>
      <c r="D57" s="15"/>
      <c r="E57" s="15"/>
      <c r="F57" s="15"/>
      <c r="G57" s="15"/>
      <c r="H57" s="15"/>
      <c r="I57" s="15"/>
      <c r="J57" s="15"/>
      <c r="K57" s="15"/>
      <c r="L57" s="15"/>
    </row>
    <row r="59" spans="1:14">
      <c r="A59" t="s">
        <v>26</v>
      </c>
    </row>
    <row r="60" spans="1:14">
      <c r="A60" t="s">
        <v>27</v>
      </c>
      <c r="B60" s="15">
        <f>((B14/B10)-1)*100</f>
        <v>-0.47763635488888845</v>
      </c>
      <c r="C60" s="15">
        <f t="shared" ref="C60:N60" si="18">((C14/C10)-1)*100</f>
        <v>5.3091925985650379</v>
      </c>
      <c r="D60" s="15">
        <f t="shared" si="18"/>
        <v>-3.5401046373970457</v>
      </c>
      <c r="E60" s="15">
        <f t="shared" si="18"/>
        <v>41.098640856672141</v>
      </c>
      <c r="F60" s="15">
        <f t="shared" si="18"/>
        <v>-0.34265747504441668</v>
      </c>
      <c r="G60" s="15">
        <f t="shared" si="18"/>
        <v>0.33629138938415792</v>
      </c>
      <c r="H60" s="15">
        <f t="shared" si="18"/>
        <v>1.0151872005197848</v>
      </c>
      <c r="I60" s="15">
        <f t="shared" si="18"/>
        <v>-3.8566602550632711</v>
      </c>
      <c r="J60" s="15">
        <f t="shared" si="18"/>
        <v>-4.379719799638937</v>
      </c>
      <c r="K60" s="15">
        <f t="shared" si="18"/>
        <v>15.596691610870428</v>
      </c>
      <c r="L60" s="15" t="e">
        <f t="shared" si="18"/>
        <v>#DIV/0!</v>
      </c>
      <c r="M60" s="15" t="e">
        <f t="shared" si="18"/>
        <v>#DIV/0!</v>
      </c>
      <c r="N60" s="15">
        <f t="shared" si="18"/>
        <v>-100</v>
      </c>
    </row>
    <row r="61" spans="1:14">
      <c r="A61" t="s">
        <v>28</v>
      </c>
      <c r="B61" s="15">
        <f>((B36/B35)-1)*100</f>
        <v>8.2465025945616119</v>
      </c>
      <c r="C61" s="15">
        <f t="shared" ref="C61:N61" si="19">((C36/C35)-1)*100</f>
        <v>141.8436201249973</v>
      </c>
      <c r="D61" s="15"/>
      <c r="E61" s="15"/>
      <c r="F61" s="15">
        <f t="shared" si="19"/>
        <v>-32.924626563541437</v>
      </c>
      <c r="G61" s="15"/>
      <c r="H61" s="15"/>
      <c r="I61" s="15"/>
      <c r="J61" s="15"/>
      <c r="K61" s="15">
        <f t="shared" si="19"/>
        <v>-100</v>
      </c>
      <c r="L61" s="15">
        <f t="shared" si="19"/>
        <v>-100</v>
      </c>
      <c r="M61" s="15" t="e">
        <f t="shared" si="19"/>
        <v>#DIV/0!</v>
      </c>
      <c r="N61" s="15">
        <f t="shared" si="19"/>
        <v>-100</v>
      </c>
    </row>
    <row r="62" spans="1:14">
      <c r="A62" s="13" t="s">
        <v>29</v>
      </c>
      <c r="B62" s="16">
        <f>((B38/B37)-1)*100</f>
        <v>8.7660085933650933</v>
      </c>
      <c r="C62" s="16">
        <f t="shared" ref="C62:N62" si="20">((C38/C37)-1)*100</f>
        <v>129.65100591635598</v>
      </c>
      <c r="D62" s="16"/>
      <c r="E62" s="16"/>
      <c r="F62" s="16">
        <f t="shared" si="20"/>
        <v>-32.693997514872578</v>
      </c>
      <c r="G62" s="16"/>
      <c r="H62" s="16"/>
      <c r="I62" s="16"/>
      <c r="J62" s="16"/>
      <c r="K62" s="16">
        <f t="shared" si="20"/>
        <v>-100</v>
      </c>
      <c r="L62" s="16" t="e">
        <f t="shared" si="20"/>
        <v>#DIV/0!</v>
      </c>
      <c r="M62" s="16" t="e">
        <f t="shared" si="20"/>
        <v>#DIV/0!</v>
      </c>
      <c r="N62" s="16" t="e">
        <f t="shared" si="20"/>
        <v>#DIV/0!</v>
      </c>
    </row>
    <row r="63" spans="1:14">
      <c r="B63" s="17"/>
      <c r="C63" s="17"/>
      <c r="D63" s="17"/>
      <c r="E63" s="17"/>
      <c r="F63" s="17"/>
      <c r="G63" s="17"/>
      <c r="H63" s="17"/>
      <c r="I63" s="17"/>
      <c r="J63" s="17"/>
      <c r="K63" s="17"/>
      <c r="L63" s="17"/>
    </row>
    <row r="64" spans="1:14">
      <c r="A64" t="s">
        <v>30</v>
      </c>
    </row>
    <row r="65" spans="1:14">
      <c r="A65" t="s">
        <v>46</v>
      </c>
      <c r="B65" s="4">
        <f>B20/(B12*3)</f>
        <v>15091.048875518634</v>
      </c>
      <c r="C65" s="4">
        <f>C20/(C12*3)</f>
        <v>22047.177659560737</v>
      </c>
      <c r="D65" s="4"/>
      <c r="E65" s="4"/>
      <c r="F65" s="4">
        <f t="shared" ref="F65" si="21">F20/(F12*3)</f>
        <v>4863.9363055275253</v>
      </c>
      <c r="G65" s="4"/>
      <c r="H65" s="40"/>
      <c r="I65" s="40"/>
      <c r="J65" s="40"/>
      <c r="K65" s="4">
        <f>K20/(K12*3)</f>
        <v>28500</v>
      </c>
      <c r="L65" s="4">
        <f>L20/(L12*3)</f>
        <v>990.16666666666663</v>
      </c>
      <c r="M65" s="4" t="e">
        <f t="shared" ref="M65:N65" si="22">M20/(M12*3)</f>
        <v>#DIV/0!</v>
      </c>
      <c r="N65" s="4" t="e">
        <f t="shared" si="22"/>
        <v>#DIV/0!</v>
      </c>
    </row>
    <row r="66" spans="1:14">
      <c r="A66" t="s">
        <v>47</v>
      </c>
      <c r="B66" s="4">
        <f>B21/(B14*3)</f>
        <v>10499.377150883451</v>
      </c>
      <c r="C66" s="4">
        <f>C21/(C14*3)</f>
        <v>24386.914162216643</v>
      </c>
      <c r="D66" s="4"/>
      <c r="E66" s="44"/>
      <c r="F66" s="4">
        <f>F21/(F14*3)</f>
        <v>3780.5547504681267</v>
      </c>
      <c r="G66" s="40"/>
      <c r="H66" s="40"/>
      <c r="I66" s="40"/>
      <c r="J66" s="40"/>
      <c r="K66" s="4">
        <f>K21/(K14*3)</f>
        <v>0</v>
      </c>
      <c r="L66" s="4">
        <f>L21/(L14*3)</f>
        <v>0</v>
      </c>
      <c r="M66" s="4" t="e">
        <f t="shared" ref="M66:N66" si="23">M21/(M14*3)</f>
        <v>#DIV/0!</v>
      </c>
      <c r="N66" s="4" t="e">
        <f t="shared" si="23"/>
        <v>#DIV/0!</v>
      </c>
    </row>
    <row r="67" spans="1:14">
      <c r="A67" s="13" t="s">
        <v>33</v>
      </c>
      <c r="B67" s="16">
        <f>(B66/B65)*B49</f>
        <v>51.370867731057956</v>
      </c>
      <c r="C67" s="16">
        <f t="shared" ref="C67:N67" si="24">(C66/C65)*C49</f>
        <v>77.571037910298102</v>
      </c>
      <c r="D67" s="16"/>
      <c r="E67" s="16"/>
      <c r="F67" s="16">
        <f t="shared" si="24"/>
        <v>59.868203451707458</v>
      </c>
      <c r="G67" s="16"/>
      <c r="H67" s="16"/>
      <c r="I67" s="16"/>
      <c r="J67" s="16"/>
      <c r="K67" s="16">
        <f t="shared" si="24"/>
        <v>0</v>
      </c>
      <c r="L67" s="16">
        <f t="shared" si="24"/>
        <v>0</v>
      </c>
      <c r="M67" s="16" t="e">
        <f t="shared" si="24"/>
        <v>#DIV/0!</v>
      </c>
      <c r="N67" s="16" t="e">
        <f t="shared" si="24"/>
        <v>#DIV/0!</v>
      </c>
    </row>
    <row r="68" spans="1:14">
      <c r="A68" t="s">
        <v>39</v>
      </c>
      <c r="B68" s="30">
        <f>B20/B12</f>
        <v>45273.146626555899</v>
      </c>
      <c r="C68" s="30">
        <f>C20/C12</f>
        <v>66141.532978682211</v>
      </c>
      <c r="D68" s="30"/>
      <c r="E68" s="30"/>
      <c r="F68" s="96">
        <f t="shared" ref="F68" si="25">F20/F12</f>
        <v>14591.808916582575</v>
      </c>
      <c r="G68" s="60"/>
      <c r="H68" s="60"/>
      <c r="I68" s="60"/>
      <c r="J68" s="60"/>
      <c r="K68" s="30">
        <f t="shared" ref="K68:N68" si="26">K20/K12</f>
        <v>85500</v>
      </c>
      <c r="L68" s="30">
        <f t="shared" si="26"/>
        <v>2970.5</v>
      </c>
      <c r="M68" s="30" t="e">
        <f t="shared" si="26"/>
        <v>#DIV/0!</v>
      </c>
      <c r="N68" s="30" t="e">
        <f t="shared" si="26"/>
        <v>#DIV/0!</v>
      </c>
    </row>
    <row r="69" spans="1:14">
      <c r="A69" t="s">
        <v>38</v>
      </c>
      <c r="B69" s="17">
        <f>B21/B14</f>
        <v>31498.131452650348</v>
      </c>
      <c r="C69" s="17">
        <f>C21/C14</f>
        <v>73160.74248664992</v>
      </c>
      <c r="D69" s="17"/>
      <c r="E69" s="17"/>
      <c r="F69" s="97">
        <f t="shared" ref="F69" si="27">F21/F14</f>
        <v>11341.66425140438</v>
      </c>
      <c r="G69" s="60"/>
      <c r="H69" s="60"/>
      <c r="I69" s="60"/>
      <c r="J69" s="60"/>
      <c r="K69" s="30">
        <f>K21/K14</f>
        <v>0</v>
      </c>
      <c r="L69" s="30">
        <f>L21/L14</f>
        <v>0</v>
      </c>
      <c r="M69" s="30" t="e">
        <f t="shared" ref="M69:N69" si="28">M21/M14</f>
        <v>#DIV/0!</v>
      </c>
      <c r="N69" s="30" t="e">
        <f t="shared" si="28"/>
        <v>#DIV/0!</v>
      </c>
    </row>
    <row r="70" spans="1:14">
      <c r="B70" s="15"/>
      <c r="C70" s="15"/>
      <c r="D70" s="15"/>
      <c r="E70" s="15"/>
      <c r="F70" s="15"/>
      <c r="G70" s="15"/>
      <c r="H70" s="15"/>
      <c r="I70" s="17"/>
      <c r="J70" s="17"/>
      <c r="K70" s="15"/>
      <c r="L70" s="15"/>
    </row>
    <row r="71" spans="1:14">
      <c r="A71" t="s">
        <v>34</v>
      </c>
      <c r="B71" s="15"/>
      <c r="C71" s="15"/>
      <c r="D71" s="15"/>
      <c r="E71" s="15"/>
      <c r="F71" s="15"/>
      <c r="G71" s="15"/>
      <c r="H71" s="15"/>
      <c r="I71" s="17"/>
      <c r="J71" s="17"/>
      <c r="K71" s="15"/>
      <c r="L71" s="15"/>
    </row>
    <row r="72" spans="1:14">
      <c r="A72" s="18" t="s">
        <v>35</v>
      </c>
      <c r="B72" s="19">
        <f>(B27/B26)*100</f>
        <v>56.063194036056949</v>
      </c>
      <c r="C72" s="19"/>
      <c r="D72" s="19"/>
      <c r="E72" s="19"/>
      <c r="F72" s="19"/>
      <c r="G72" s="19"/>
      <c r="H72" s="19"/>
      <c r="I72" s="19"/>
      <c r="J72" s="19"/>
      <c r="K72" s="19"/>
      <c r="L72" s="19"/>
    </row>
    <row r="73" spans="1:14">
      <c r="A73" s="18" t="s">
        <v>36</v>
      </c>
      <c r="B73" s="19">
        <f>(B21/B27)*100</f>
        <v>108.07144794097341</v>
      </c>
      <c r="C73" s="19"/>
      <c r="D73" s="19"/>
      <c r="E73" s="19"/>
      <c r="F73" s="19"/>
      <c r="G73" s="19"/>
      <c r="H73" s="19"/>
      <c r="I73" s="19"/>
      <c r="J73" s="19"/>
      <c r="K73" s="19"/>
      <c r="L73" s="19"/>
    </row>
    <row r="74" spans="1:14" ht="15.75" thickBot="1">
      <c r="A74" s="20"/>
      <c r="B74" s="20"/>
      <c r="C74" s="20"/>
      <c r="D74" s="20"/>
      <c r="E74" s="20"/>
      <c r="F74" s="20"/>
      <c r="G74" s="20"/>
      <c r="H74" s="20"/>
      <c r="I74" s="49"/>
      <c r="J74" s="49"/>
      <c r="K74" s="20"/>
      <c r="L74" s="20"/>
      <c r="M74" s="20"/>
      <c r="N74" s="20"/>
    </row>
    <row r="75" spans="1:14" ht="15.75" thickTop="1">
      <c r="A75" s="33" t="s">
        <v>97</v>
      </c>
    </row>
    <row r="76" spans="1:14">
      <c r="A76" t="s">
        <v>98</v>
      </c>
    </row>
    <row r="77" spans="1:14">
      <c r="A77" t="s">
        <v>99</v>
      </c>
    </row>
    <row r="78" spans="1:14">
      <c r="A78" t="s">
        <v>54</v>
      </c>
      <c r="B78" s="21"/>
      <c r="C78" s="21"/>
      <c r="D78" s="21"/>
      <c r="E78" s="21"/>
      <c r="F78" s="21"/>
      <c r="G78" s="21"/>
      <c r="H78" s="21"/>
      <c r="I78" s="21"/>
      <c r="J78" s="21"/>
    </row>
    <row r="80" spans="1:14">
      <c r="A80" t="s">
        <v>43</v>
      </c>
    </row>
    <row r="81" spans="1:1">
      <c r="A81" t="s">
        <v>52</v>
      </c>
    </row>
    <row r="82" spans="1:1">
      <c r="A82" t="s">
        <v>60</v>
      </c>
    </row>
    <row r="83" spans="1:1">
      <c r="A83" t="s">
        <v>50</v>
      </c>
    </row>
    <row r="84" spans="1:1">
      <c r="A84" t="s">
        <v>53</v>
      </c>
    </row>
    <row r="86" spans="1:1">
      <c r="A86" s="95" t="s">
        <v>139</v>
      </c>
    </row>
    <row r="87" spans="1:1">
      <c r="A87" s="42"/>
    </row>
  </sheetData>
  <mergeCells count="12">
    <mergeCell ref="G34:J34"/>
    <mergeCell ref="A2:K2"/>
    <mergeCell ref="A4:A5"/>
    <mergeCell ref="D5:E5"/>
    <mergeCell ref="G5:H5"/>
    <mergeCell ref="C4:N4"/>
    <mergeCell ref="G19:J19"/>
    <mergeCell ref="G20:J20"/>
    <mergeCell ref="G22:J22"/>
    <mergeCell ref="D19:E19"/>
    <mergeCell ref="D21:E21"/>
    <mergeCell ref="G21:J2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2:Q87"/>
  <sheetViews>
    <sheetView zoomScale="60" zoomScaleNormal="60" workbookViewId="0">
      <pane xSplit="1" topLeftCell="D1" activePane="topRight" state="frozen"/>
      <selection activeCell="E28" sqref="E28"/>
      <selection pane="topRight" activeCell="A14" sqref="A14:XFD14"/>
    </sheetView>
  </sheetViews>
  <sheetFormatPr baseColWidth="10" defaultColWidth="11.42578125" defaultRowHeight="15"/>
  <cols>
    <col min="1" max="1" width="50.85546875" customWidth="1"/>
    <col min="2" max="3" width="26.7109375" customWidth="1"/>
    <col min="4" max="6" width="16.5703125" customWidth="1"/>
    <col min="7" max="7" width="16.140625" customWidth="1"/>
    <col min="8" max="10" width="17.42578125" customWidth="1"/>
    <col min="11" max="11" width="17.28515625" customWidth="1"/>
    <col min="12" max="12" width="16.42578125" customWidth="1"/>
    <col min="13" max="13" width="18.7109375" customWidth="1"/>
    <col min="14" max="14" width="23.28515625" customWidth="1"/>
    <col min="15" max="15" width="14.85546875" hidden="1" customWidth="1"/>
    <col min="16" max="16" width="23.42578125" hidden="1" customWidth="1"/>
  </cols>
  <sheetData>
    <row r="2" spans="1:17" ht="15.75">
      <c r="A2" s="102" t="s">
        <v>108</v>
      </c>
      <c r="B2" s="102"/>
      <c r="C2" s="102"/>
      <c r="D2" s="102"/>
      <c r="E2" s="102"/>
      <c r="F2" s="102"/>
      <c r="G2" s="102"/>
      <c r="H2" s="102"/>
      <c r="I2" s="102"/>
      <c r="J2" s="102"/>
      <c r="K2" s="102"/>
    </row>
    <row r="4" spans="1:17">
      <c r="A4" s="100" t="s">
        <v>0</v>
      </c>
      <c r="B4" s="25" t="s">
        <v>1</v>
      </c>
      <c r="C4" s="25"/>
      <c r="D4" s="108" t="s">
        <v>2</v>
      </c>
      <c r="E4" s="108"/>
      <c r="F4" s="108"/>
      <c r="G4" s="108"/>
      <c r="H4" s="108"/>
      <c r="I4" s="108"/>
      <c r="J4" s="108"/>
      <c r="K4" s="108"/>
      <c r="L4" s="108"/>
      <c r="M4" s="108"/>
      <c r="N4" s="108"/>
      <c r="O4" s="84"/>
      <c r="P4" s="84"/>
    </row>
    <row r="5" spans="1:17" ht="15.75" thickBot="1">
      <c r="A5" s="101"/>
      <c r="B5" s="1" t="s">
        <v>3</v>
      </c>
      <c r="C5" s="57" t="s">
        <v>55</v>
      </c>
      <c r="D5" s="103" t="s">
        <v>4</v>
      </c>
      <c r="E5" s="103"/>
      <c r="F5" s="57" t="s">
        <v>56</v>
      </c>
      <c r="G5" s="103" t="s">
        <v>51</v>
      </c>
      <c r="H5" s="103"/>
      <c r="I5" s="103"/>
      <c r="J5" s="103"/>
      <c r="K5" s="1" t="s">
        <v>5</v>
      </c>
      <c r="L5" s="20" t="s">
        <v>100</v>
      </c>
      <c r="M5" s="20" t="s">
        <v>61</v>
      </c>
      <c r="N5" s="20" t="s">
        <v>138</v>
      </c>
      <c r="O5" s="20" t="s">
        <v>62</v>
      </c>
      <c r="P5" s="20" t="s">
        <v>63</v>
      </c>
      <c r="Q5" s="67"/>
    </row>
    <row r="6" spans="1:17" ht="15.75" thickTop="1">
      <c r="B6" s="36" t="s">
        <v>1</v>
      </c>
      <c r="D6" s="36" t="s">
        <v>48</v>
      </c>
      <c r="E6" s="36" t="s">
        <v>49</v>
      </c>
      <c r="F6" s="36"/>
      <c r="G6" s="36">
        <v>1600</v>
      </c>
      <c r="H6" s="36">
        <v>640</v>
      </c>
      <c r="I6" s="47">
        <v>320</v>
      </c>
      <c r="J6" s="47">
        <v>800</v>
      </c>
      <c r="K6" s="36"/>
      <c r="M6" s="36"/>
      <c r="N6" s="6"/>
      <c r="O6" s="33" t="s">
        <v>62</v>
      </c>
      <c r="P6" s="33" t="s">
        <v>63</v>
      </c>
    </row>
    <row r="7" spans="1:17">
      <c r="A7" s="2" t="s">
        <v>6</v>
      </c>
      <c r="I7" s="32"/>
      <c r="J7" s="32"/>
    </row>
    <row r="8" spans="1:17">
      <c r="I8" s="32"/>
      <c r="J8" s="32"/>
    </row>
    <row r="9" spans="1:17">
      <c r="A9" t="s">
        <v>7</v>
      </c>
      <c r="I9" s="32"/>
      <c r="J9" s="32"/>
      <c r="O9" s="74"/>
    </row>
    <row r="10" spans="1:17">
      <c r="A10" s="3" t="s">
        <v>73</v>
      </c>
      <c r="B10" s="24">
        <f>+D10+G10</f>
        <v>126097</v>
      </c>
      <c r="C10" s="24">
        <f>+D10+E10</f>
        <v>30998.666666666668</v>
      </c>
      <c r="D10" s="37">
        <v>24909.666666666668</v>
      </c>
      <c r="E10" s="37">
        <v>6089</v>
      </c>
      <c r="F10" s="82">
        <f>SUM(G10:I10)</f>
        <v>124601</v>
      </c>
      <c r="G10" s="37">
        <v>101187.33333333333</v>
      </c>
      <c r="H10" s="79">
        <v>3608.6666666666665</v>
      </c>
      <c r="I10" s="79">
        <v>19805</v>
      </c>
      <c r="J10" s="37">
        <v>26174</v>
      </c>
      <c r="K10" s="24">
        <v>5071</v>
      </c>
      <c r="L10" s="24">
        <v>0</v>
      </c>
      <c r="M10" s="80">
        <v>0</v>
      </c>
      <c r="N10" s="68">
        <v>2426</v>
      </c>
      <c r="O10" s="5">
        <v>0</v>
      </c>
      <c r="P10">
        <v>0</v>
      </c>
    </row>
    <row r="11" spans="1:17" hidden="1">
      <c r="A11" s="27" t="s">
        <v>37</v>
      </c>
      <c r="B11" s="24">
        <f t="shared" ref="B11:B16" si="0">+D11+G11</f>
        <v>102832.33333333334</v>
      </c>
      <c r="C11" s="24">
        <f t="shared" ref="C11:C16" si="1">+D11+E11</f>
        <v>24343.666666666668</v>
      </c>
      <c r="D11" s="37">
        <v>18254.666666666668</v>
      </c>
      <c r="E11" s="37">
        <v>6089</v>
      </c>
      <c r="F11" s="37">
        <f>SUM(G11:I11)</f>
        <v>107991.33333333334</v>
      </c>
      <c r="G11" s="37">
        <v>84577.666666666672</v>
      </c>
      <c r="H11" s="63">
        <v>3608.6666666666665</v>
      </c>
      <c r="I11" s="63">
        <v>19805</v>
      </c>
      <c r="J11" s="37">
        <v>26174</v>
      </c>
      <c r="K11" s="24">
        <v>5071</v>
      </c>
      <c r="L11" s="24"/>
      <c r="M11" s="80">
        <v>0</v>
      </c>
      <c r="N11" s="68">
        <v>2426</v>
      </c>
      <c r="O11" s="5">
        <v>0</v>
      </c>
      <c r="P11">
        <v>0</v>
      </c>
    </row>
    <row r="12" spans="1:17">
      <c r="A12" s="3" t="s">
        <v>109</v>
      </c>
      <c r="B12" s="24">
        <f t="shared" si="0"/>
        <v>142522</v>
      </c>
      <c r="C12" s="24">
        <f t="shared" si="1"/>
        <v>51647</v>
      </c>
      <c r="D12" s="35">
        <v>38706</v>
      </c>
      <c r="E12" s="24">
        <v>12941</v>
      </c>
      <c r="F12" s="24">
        <f>SUM(G12:I12)</f>
        <v>141709</v>
      </c>
      <c r="G12" s="24">
        <v>103816</v>
      </c>
      <c r="H12" s="24">
        <v>13333</v>
      </c>
      <c r="I12" s="37">
        <v>24560</v>
      </c>
      <c r="J12" s="37">
        <v>13333</v>
      </c>
      <c r="K12" s="4">
        <v>10634</v>
      </c>
      <c r="L12" s="29">
        <v>0</v>
      </c>
      <c r="M12" s="80">
        <v>0</v>
      </c>
      <c r="N12" s="68">
        <v>0</v>
      </c>
      <c r="O12" s="5">
        <v>0</v>
      </c>
      <c r="P12">
        <v>0</v>
      </c>
    </row>
    <row r="13" spans="1:17" hidden="1">
      <c r="A13" s="27" t="s">
        <v>37</v>
      </c>
      <c r="B13" s="24">
        <f t="shared" si="0"/>
        <v>0</v>
      </c>
      <c r="C13" s="24">
        <f t="shared" si="1"/>
        <v>0</v>
      </c>
      <c r="D13" s="35"/>
      <c r="E13" s="24"/>
      <c r="F13" s="24">
        <f t="shared" ref="F13:F16" si="2">SUM(G13:I13)</f>
        <v>0</v>
      </c>
      <c r="G13" s="24"/>
      <c r="H13" s="24"/>
      <c r="I13" s="37"/>
      <c r="J13" s="37"/>
      <c r="K13" s="4"/>
      <c r="L13" s="29"/>
      <c r="M13" s="80">
        <v>0</v>
      </c>
      <c r="N13" s="68">
        <v>0</v>
      </c>
      <c r="O13" s="5">
        <v>0</v>
      </c>
      <c r="P13">
        <v>0</v>
      </c>
    </row>
    <row r="14" spans="1:17">
      <c r="A14" s="3" t="s">
        <v>110</v>
      </c>
      <c r="B14" s="24">
        <f>+D14+G14</f>
        <v>124941</v>
      </c>
      <c r="C14" s="24">
        <f t="shared" si="1"/>
        <v>34853.666666666672</v>
      </c>
      <c r="D14" s="37">
        <v>24649.666666666668</v>
      </c>
      <c r="E14" s="37">
        <v>10204</v>
      </c>
      <c r="F14" s="24">
        <f t="shared" si="2"/>
        <v>123451</v>
      </c>
      <c r="G14" s="37">
        <v>100291.33333333333</v>
      </c>
      <c r="H14" s="37">
        <v>3808.6666666666665</v>
      </c>
      <c r="I14" s="37">
        <v>19351</v>
      </c>
      <c r="J14" s="37">
        <v>25130</v>
      </c>
      <c r="K14" s="24">
        <v>8994.6666666666661</v>
      </c>
      <c r="L14" s="24">
        <v>0</v>
      </c>
      <c r="M14" s="80">
        <v>0</v>
      </c>
      <c r="N14" s="68">
        <v>0</v>
      </c>
      <c r="O14" s="5">
        <v>0</v>
      </c>
      <c r="P14" s="72">
        <v>0</v>
      </c>
    </row>
    <row r="15" spans="1:17" hidden="1">
      <c r="A15" s="27" t="s">
        <v>37</v>
      </c>
      <c r="B15" s="24">
        <f t="shared" si="0"/>
        <v>0</v>
      </c>
      <c r="C15" s="24">
        <f t="shared" si="1"/>
        <v>0</v>
      </c>
      <c r="D15" s="37"/>
      <c r="E15" s="37"/>
      <c r="F15" s="24">
        <f t="shared" si="2"/>
        <v>0</v>
      </c>
      <c r="G15" s="37"/>
      <c r="H15" s="37"/>
      <c r="I15" s="37"/>
      <c r="J15" s="37"/>
      <c r="K15" s="24"/>
      <c r="L15" s="24"/>
      <c r="M15" s="80">
        <v>0</v>
      </c>
      <c r="N15" s="68">
        <v>0</v>
      </c>
      <c r="O15" s="5">
        <v>0</v>
      </c>
      <c r="P15">
        <v>0</v>
      </c>
    </row>
    <row r="16" spans="1:17">
      <c r="A16" s="3" t="s">
        <v>92</v>
      </c>
      <c r="B16" s="24">
        <f t="shared" si="0"/>
        <v>138397</v>
      </c>
      <c r="C16" s="24">
        <f t="shared" si="1"/>
        <v>49495</v>
      </c>
      <c r="D16" s="4">
        <v>37093</v>
      </c>
      <c r="E16" s="4">
        <v>12402</v>
      </c>
      <c r="F16" s="24">
        <f t="shared" si="2"/>
        <v>134076.58333333334</v>
      </c>
      <c r="G16" s="4">
        <v>101304</v>
      </c>
      <c r="H16" s="4">
        <v>10698.75</v>
      </c>
      <c r="I16" s="5">
        <v>22073.833333333332</v>
      </c>
      <c r="J16" s="5">
        <v>31742.666666666668</v>
      </c>
      <c r="K16" s="4">
        <v>10191</v>
      </c>
      <c r="L16" s="5">
        <v>20000</v>
      </c>
      <c r="M16" s="80">
        <v>0</v>
      </c>
      <c r="N16" s="68">
        <v>0</v>
      </c>
      <c r="O16" s="72">
        <v>0</v>
      </c>
    </row>
    <row r="17" spans="1:16">
      <c r="B17" s="22"/>
      <c r="C17" s="22"/>
      <c r="D17" s="22"/>
      <c r="E17" s="22"/>
      <c r="F17" s="22"/>
      <c r="G17" s="22"/>
      <c r="H17" s="22"/>
      <c r="I17" s="37"/>
      <c r="J17" s="37"/>
      <c r="K17" s="22"/>
    </row>
    <row r="18" spans="1:16">
      <c r="A18" s="6" t="s">
        <v>8</v>
      </c>
      <c r="B18" s="22"/>
      <c r="C18" s="22"/>
      <c r="D18" s="22"/>
      <c r="E18" s="22"/>
      <c r="F18" s="22"/>
      <c r="G18" s="22"/>
      <c r="H18" s="22"/>
      <c r="I18" s="37"/>
      <c r="J18" s="37"/>
      <c r="K18" s="22"/>
    </row>
    <row r="19" spans="1:16">
      <c r="A19" s="3" t="s">
        <v>73</v>
      </c>
      <c r="B19" s="22">
        <f>C19+F19+K19+L19+M19+N19</f>
        <v>5015449214.5599995</v>
      </c>
      <c r="C19" s="40">
        <v>1207011946</v>
      </c>
      <c r="D19" s="40"/>
      <c r="E19" s="40"/>
      <c r="F19" s="40">
        <v>2356221420</v>
      </c>
      <c r="G19" s="40"/>
      <c r="H19" s="40"/>
      <c r="I19" s="40"/>
      <c r="J19" s="40"/>
      <c r="K19" s="24">
        <v>1160540932.5599999</v>
      </c>
      <c r="L19" s="24">
        <v>7826980</v>
      </c>
      <c r="M19" s="24">
        <v>565300</v>
      </c>
      <c r="N19" s="24">
        <v>283282636</v>
      </c>
      <c r="O19" s="72">
        <v>0</v>
      </c>
      <c r="P19" s="72">
        <v>0</v>
      </c>
    </row>
    <row r="20" spans="1:16">
      <c r="A20" s="61" t="s">
        <v>109</v>
      </c>
      <c r="B20" s="22">
        <f t="shared" ref="B20:B22" si="3">C20+F20+K20+L20+M20+N20</f>
        <v>6424009403.5100002</v>
      </c>
      <c r="C20" s="22">
        <f>+D20+E20</f>
        <v>3416011753.75</v>
      </c>
      <c r="D20" s="40">
        <v>3381971478.75</v>
      </c>
      <c r="E20" s="40">
        <v>34040275</v>
      </c>
      <c r="F20" s="40">
        <f>G20</f>
        <v>2067790649.7600002</v>
      </c>
      <c r="G20" s="106">
        <v>2067790649.7600002</v>
      </c>
      <c r="H20" s="106"/>
      <c r="I20" s="106"/>
      <c r="J20" s="106"/>
      <c r="K20" s="4">
        <v>909207000</v>
      </c>
      <c r="L20" s="5">
        <v>19000000</v>
      </c>
      <c r="M20" s="63">
        <v>12000000</v>
      </c>
      <c r="N20" s="68">
        <v>0</v>
      </c>
      <c r="O20" s="72">
        <v>0</v>
      </c>
      <c r="P20" s="72">
        <v>0</v>
      </c>
    </row>
    <row r="21" spans="1:16">
      <c r="A21" s="3" t="s">
        <v>110</v>
      </c>
      <c r="B21" s="98">
        <f t="shared" si="3"/>
        <v>4210692926.8200002</v>
      </c>
      <c r="C21" s="40">
        <f>D21</f>
        <v>2283623299.8200002</v>
      </c>
      <c r="D21" s="106">
        <v>2283623299.8200002</v>
      </c>
      <c r="E21" s="106"/>
      <c r="F21" s="40">
        <f>G21</f>
        <v>1188206160</v>
      </c>
      <c r="G21" s="106">
        <v>1188206160</v>
      </c>
      <c r="H21" s="106"/>
      <c r="I21" s="106"/>
      <c r="J21" s="106"/>
      <c r="K21" s="24">
        <v>729755932</v>
      </c>
      <c r="L21" s="5">
        <v>9107535</v>
      </c>
      <c r="M21" s="5">
        <v>0</v>
      </c>
      <c r="N21" s="5">
        <v>0</v>
      </c>
      <c r="O21" s="72">
        <v>0</v>
      </c>
      <c r="P21" s="72">
        <v>0</v>
      </c>
    </row>
    <row r="22" spans="1:16">
      <c r="A22" s="3" t="s">
        <v>92</v>
      </c>
      <c r="B22" s="22">
        <f t="shared" si="3"/>
        <v>24813103939.080002</v>
      </c>
      <c r="C22" s="22">
        <f>+D22+E22</f>
        <v>13329869615</v>
      </c>
      <c r="D22" s="40">
        <v>13198884915</v>
      </c>
      <c r="E22" s="40">
        <v>130984699.99999999</v>
      </c>
      <c r="F22" s="40">
        <f>G22</f>
        <v>7926530824.0800009</v>
      </c>
      <c r="G22" s="106">
        <v>7926530824.0800009</v>
      </c>
      <c r="H22" s="106"/>
      <c r="I22" s="106"/>
      <c r="J22" s="106"/>
      <c r="K22" s="4">
        <v>3466293500</v>
      </c>
      <c r="L22" s="5">
        <v>78410000</v>
      </c>
      <c r="M22" s="63">
        <v>12000000</v>
      </c>
      <c r="N22" s="63">
        <v>0</v>
      </c>
      <c r="O22" s="73"/>
      <c r="P22" s="73"/>
    </row>
    <row r="23" spans="1:16">
      <c r="A23" s="3" t="s">
        <v>111</v>
      </c>
      <c r="B23" s="85">
        <f>C23+F23+K23+L23+N23+M23</f>
        <v>4210692926.8200002</v>
      </c>
      <c r="C23" s="4">
        <f>C21</f>
        <v>2283623299.8200002</v>
      </c>
      <c r="D23" s="40"/>
      <c r="E23" s="40"/>
      <c r="F23" s="40">
        <f>F21</f>
        <v>1188206160</v>
      </c>
      <c r="G23" s="40"/>
      <c r="H23" s="40"/>
      <c r="I23" s="40"/>
      <c r="J23" s="40"/>
      <c r="K23" s="4">
        <f>K21</f>
        <v>729755932</v>
      </c>
      <c r="L23" s="4">
        <f>L21</f>
        <v>9107535</v>
      </c>
      <c r="M23" s="4">
        <f t="shared" ref="M23:P23" si="4">M21</f>
        <v>0</v>
      </c>
      <c r="N23" s="4">
        <f t="shared" si="4"/>
        <v>0</v>
      </c>
      <c r="O23" s="4">
        <f t="shared" si="4"/>
        <v>0</v>
      </c>
      <c r="P23" s="4">
        <f t="shared" si="4"/>
        <v>0</v>
      </c>
    </row>
    <row r="24" spans="1:16">
      <c r="B24" s="22"/>
      <c r="C24" s="22"/>
      <c r="D24" s="22"/>
      <c r="E24" s="22"/>
      <c r="F24" s="22"/>
      <c r="G24" s="22"/>
      <c r="H24" s="22"/>
      <c r="I24" s="45"/>
      <c r="J24" s="45"/>
      <c r="K24" s="22"/>
      <c r="N24" s="22"/>
      <c r="O24" s="74"/>
    </row>
    <row r="25" spans="1:16">
      <c r="A25" s="7" t="s">
        <v>9</v>
      </c>
      <c r="B25" s="23"/>
      <c r="C25" s="23"/>
      <c r="D25" s="23"/>
      <c r="E25" s="23"/>
      <c r="F25" s="23"/>
      <c r="G25" s="23"/>
      <c r="H25" s="23"/>
      <c r="I25" s="23"/>
      <c r="J25" s="23"/>
      <c r="K25" s="23"/>
      <c r="L25" s="23"/>
    </row>
    <row r="26" spans="1:16">
      <c r="A26" s="9" t="s">
        <v>109</v>
      </c>
      <c r="B26" s="23">
        <f>B20</f>
        <v>6424009403.5100002</v>
      </c>
      <c r="C26" s="23"/>
      <c r="D26" s="23"/>
      <c r="E26" s="23"/>
      <c r="F26" s="23"/>
      <c r="G26" s="23"/>
      <c r="H26" s="23"/>
      <c r="I26" s="23"/>
      <c r="J26" s="23"/>
      <c r="K26" s="23"/>
      <c r="L26" s="23"/>
    </row>
    <row r="27" spans="1:16">
      <c r="A27" s="9" t="s">
        <v>110</v>
      </c>
      <c r="B27" s="23">
        <v>7675551790.0900002</v>
      </c>
      <c r="C27" s="23"/>
      <c r="D27" s="23"/>
      <c r="E27" s="23"/>
      <c r="F27" s="23"/>
      <c r="G27" s="23"/>
      <c r="H27" s="23"/>
      <c r="I27" s="23"/>
      <c r="J27" s="23"/>
      <c r="K27" s="23"/>
      <c r="L27" s="23"/>
    </row>
    <row r="28" spans="1:16">
      <c r="I28" s="32"/>
      <c r="J28" s="32"/>
    </row>
    <row r="29" spans="1:16">
      <c r="A29" t="s">
        <v>10</v>
      </c>
      <c r="I29" s="32"/>
      <c r="J29" s="32"/>
    </row>
    <row r="30" spans="1:16">
      <c r="A30" s="10" t="s">
        <v>74</v>
      </c>
      <c r="B30" s="11">
        <v>0.99</v>
      </c>
      <c r="C30" s="11">
        <v>0.99</v>
      </c>
      <c r="D30" s="11">
        <v>0.99</v>
      </c>
      <c r="E30" s="11">
        <v>0.99</v>
      </c>
      <c r="F30" s="11">
        <v>0.99</v>
      </c>
      <c r="G30" s="11">
        <v>0.99</v>
      </c>
      <c r="H30" s="11">
        <v>0.99</v>
      </c>
      <c r="I30" s="11">
        <v>0.99</v>
      </c>
      <c r="J30" s="11">
        <v>0.99</v>
      </c>
      <c r="K30" s="11">
        <v>0.99</v>
      </c>
      <c r="L30" s="11">
        <v>0.99</v>
      </c>
      <c r="M30" s="11">
        <v>0.99</v>
      </c>
      <c r="N30" s="11">
        <v>0.99</v>
      </c>
      <c r="O30" s="11"/>
      <c r="P30" s="11"/>
    </row>
    <row r="31" spans="1:16">
      <c r="A31" s="10" t="s">
        <v>112</v>
      </c>
      <c r="B31">
        <v>0.99</v>
      </c>
      <c r="C31">
        <v>0.99</v>
      </c>
      <c r="D31">
        <v>0.99</v>
      </c>
      <c r="E31">
        <v>0.99</v>
      </c>
      <c r="F31">
        <v>0.99</v>
      </c>
      <c r="G31">
        <v>0.99</v>
      </c>
      <c r="H31">
        <v>0.99</v>
      </c>
      <c r="I31">
        <v>0.99</v>
      </c>
      <c r="J31">
        <v>0.99</v>
      </c>
      <c r="K31">
        <v>0.99</v>
      </c>
      <c r="L31">
        <v>0.99</v>
      </c>
      <c r="M31">
        <v>0.99</v>
      </c>
      <c r="N31">
        <v>0.99</v>
      </c>
    </row>
    <row r="32" spans="1:16">
      <c r="A32" s="3" t="s">
        <v>11</v>
      </c>
      <c r="B32" s="4">
        <v>126597</v>
      </c>
      <c r="C32" s="4">
        <v>126597</v>
      </c>
      <c r="D32" s="4">
        <v>126597</v>
      </c>
      <c r="E32" s="4">
        <v>126597</v>
      </c>
      <c r="F32" s="4">
        <v>126597</v>
      </c>
      <c r="G32" s="4">
        <v>126597</v>
      </c>
      <c r="H32" s="4">
        <v>126597</v>
      </c>
      <c r="I32" s="4">
        <v>126597</v>
      </c>
      <c r="J32" s="4">
        <v>126597</v>
      </c>
      <c r="K32" s="4">
        <v>126597</v>
      </c>
      <c r="L32" s="4">
        <v>126597</v>
      </c>
      <c r="M32" s="4">
        <v>126597</v>
      </c>
      <c r="N32" s="4">
        <v>126597</v>
      </c>
      <c r="O32" s="4"/>
      <c r="P32" s="4"/>
    </row>
    <row r="33" spans="1:16">
      <c r="I33" s="32"/>
      <c r="J33" s="32"/>
    </row>
    <row r="34" spans="1:16">
      <c r="A34" s="12" t="s">
        <v>12</v>
      </c>
      <c r="B34" s="13"/>
      <c r="C34" s="13"/>
      <c r="D34" s="51"/>
      <c r="E34" s="51"/>
      <c r="F34" s="51"/>
      <c r="G34" s="99"/>
      <c r="H34" s="99"/>
      <c r="I34" s="99"/>
      <c r="J34" s="99"/>
      <c r="K34" s="13"/>
      <c r="L34" s="13"/>
      <c r="M34" s="13"/>
      <c r="N34" s="13"/>
    </row>
    <row r="35" spans="1:16">
      <c r="A35" s="13" t="s">
        <v>75</v>
      </c>
      <c r="B35" s="14">
        <f>B19/B30</f>
        <v>5066110317.7373734</v>
      </c>
      <c r="C35" s="50">
        <f>C19/C30</f>
        <v>1219203985.8585858</v>
      </c>
      <c r="D35" s="50"/>
      <c r="E35" s="50"/>
      <c r="F35" s="50">
        <f>F19/F30</f>
        <v>2380021636.3636365</v>
      </c>
      <c r="G35" s="50"/>
      <c r="H35" s="50"/>
      <c r="I35" s="50"/>
      <c r="J35" s="50"/>
      <c r="K35" s="14">
        <f>K19/K30</f>
        <v>1172263568.2424242</v>
      </c>
      <c r="L35" s="14">
        <f>L19/L30</f>
        <v>7906040.4040404037</v>
      </c>
      <c r="M35" s="14">
        <f t="shared" ref="M35:P35" si="5">M19/M30</f>
        <v>571010.10101010103</v>
      </c>
      <c r="N35" s="14">
        <f t="shared" si="5"/>
        <v>286144076.76767677</v>
      </c>
      <c r="O35" s="14" t="e">
        <f t="shared" si="5"/>
        <v>#DIV/0!</v>
      </c>
      <c r="P35" s="14" t="e">
        <f t="shared" si="5"/>
        <v>#DIV/0!</v>
      </c>
    </row>
    <row r="36" spans="1:16">
      <c r="A36" s="13" t="s">
        <v>113</v>
      </c>
      <c r="B36" s="14">
        <f>B21/B31</f>
        <v>4253225178.606061</v>
      </c>
      <c r="C36" s="50">
        <f>C21/C31</f>
        <v>2306690201.8383842</v>
      </c>
      <c r="D36" s="50"/>
      <c r="E36" s="50"/>
      <c r="F36" s="50">
        <f>F21/F31</f>
        <v>1200208242.4242425</v>
      </c>
      <c r="G36" s="50"/>
      <c r="H36" s="50"/>
      <c r="I36" s="50"/>
      <c r="J36" s="50"/>
      <c r="K36" s="14">
        <f>K21/K31</f>
        <v>737127204.04040408</v>
      </c>
      <c r="L36" s="14">
        <f>L21/L31</f>
        <v>9199530.3030303027</v>
      </c>
      <c r="M36" s="14">
        <f t="shared" ref="M36:P36" si="6">M21/M31</f>
        <v>0</v>
      </c>
      <c r="N36" s="14">
        <f t="shared" si="6"/>
        <v>0</v>
      </c>
      <c r="O36" s="14" t="e">
        <f t="shared" si="6"/>
        <v>#DIV/0!</v>
      </c>
      <c r="P36" s="14" t="e">
        <f t="shared" si="6"/>
        <v>#DIV/0!</v>
      </c>
    </row>
    <row r="37" spans="1:16">
      <c r="A37" s="13" t="s">
        <v>76</v>
      </c>
      <c r="B37" s="14">
        <f>B35/B10</f>
        <v>40176.295373699402</v>
      </c>
      <c r="C37" s="50">
        <f>C35/C10</f>
        <v>39330.852483717121</v>
      </c>
      <c r="D37" s="50"/>
      <c r="E37" s="50"/>
      <c r="F37" s="50">
        <f>F35/F10</f>
        <v>19101.143942373146</v>
      </c>
      <c r="G37" s="50"/>
      <c r="H37" s="50"/>
      <c r="I37" s="50"/>
      <c r="J37" s="50"/>
      <c r="K37" s="14">
        <f>K35/K10</f>
        <v>231170.09825328816</v>
      </c>
      <c r="L37" s="14" t="e">
        <f>L35/L10</f>
        <v>#DIV/0!</v>
      </c>
      <c r="M37" s="14" t="e">
        <f t="shared" ref="M37:P37" si="7">M35/M10</f>
        <v>#DIV/0!</v>
      </c>
      <c r="N37" s="14">
        <f t="shared" si="7"/>
        <v>117948.91870060873</v>
      </c>
      <c r="O37" s="14" t="e">
        <f t="shared" si="7"/>
        <v>#DIV/0!</v>
      </c>
      <c r="P37" s="14" t="e">
        <f t="shared" si="7"/>
        <v>#DIV/0!</v>
      </c>
    </row>
    <row r="38" spans="1:16">
      <c r="A38" s="13" t="s">
        <v>114</v>
      </c>
      <c r="B38" s="14">
        <f>B36/B14</f>
        <v>34041.869191106693</v>
      </c>
      <c r="C38" s="50">
        <f>C36/C14</f>
        <v>66182.138708649989</v>
      </c>
      <c r="D38" s="50"/>
      <c r="E38" s="50"/>
      <c r="F38" s="50">
        <f>F36/F14</f>
        <v>9722.1427321305018</v>
      </c>
      <c r="G38" s="50"/>
      <c r="H38" s="50"/>
      <c r="I38" s="50"/>
      <c r="J38" s="50"/>
      <c r="K38" s="34">
        <f>K36/K14</f>
        <v>81951.586574311164</v>
      </c>
      <c r="L38" s="34" t="e">
        <f>L36/L14</f>
        <v>#DIV/0!</v>
      </c>
      <c r="M38" s="34" t="e">
        <f t="shared" ref="M38:P38" si="8">M36/M14</f>
        <v>#DIV/0!</v>
      </c>
      <c r="N38" s="34" t="e">
        <f t="shared" si="8"/>
        <v>#DIV/0!</v>
      </c>
      <c r="O38" s="34" t="e">
        <f t="shared" si="8"/>
        <v>#DIV/0!</v>
      </c>
      <c r="P38" s="34" t="e">
        <f t="shared" si="8"/>
        <v>#DIV/0!</v>
      </c>
    </row>
    <row r="39" spans="1:16">
      <c r="I39" s="32"/>
      <c r="J39" s="32"/>
    </row>
    <row r="40" spans="1:16">
      <c r="A40" s="2" t="s">
        <v>13</v>
      </c>
      <c r="I40" s="32"/>
      <c r="J40" s="32"/>
    </row>
    <row r="41" spans="1:16">
      <c r="I41" s="32"/>
      <c r="J41" s="32"/>
    </row>
    <row r="42" spans="1:16">
      <c r="A42" t="s">
        <v>14</v>
      </c>
      <c r="I42" s="32"/>
      <c r="J42" s="32"/>
    </row>
    <row r="43" spans="1:16">
      <c r="A43" t="s">
        <v>15</v>
      </c>
      <c r="B43" s="17">
        <f>(B12/B32)*100</f>
        <v>112.57928702891853</v>
      </c>
      <c r="C43" s="17">
        <f t="shared" ref="C43:N43" si="9">(C12/C32)*100</f>
        <v>40.796385380380265</v>
      </c>
      <c r="D43" s="17">
        <f t="shared" si="9"/>
        <v>30.574184222374939</v>
      </c>
      <c r="E43" s="17">
        <f t="shared" si="9"/>
        <v>10.222201158005324</v>
      </c>
      <c r="F43" s="17">
        <f t="shared" si="9"/>
        <v>111.93709171623341</v>
      </c>
      <c r="G43" s="17">
        <f t="shared" si="9"/>
        <v>82.00510280654359</v>
      </c>
      <c r="H43" s="17">
        <f t="shared" si="9"/>
        <v>10.531845146409474</v>
      </c>
      <c r="I43" s="17">
        <f t="shared" si="9"/>
        <v>19.40014376328033</v>
      </c>
      <c r="J43" s="17">
        <f t="shared" si="9"/>
        <v>10.531845146409474</v>
      </c>
      <c r="K43" s="17">
        <f t="shared" si="9"/>
        <v>8.3998830935962143</v>
      </c>
      <c r="L43" s="17">
        <f t="shared" si="9"/>
        <v>0</v>
      </c>
      <c r="M43" s="17">
        <f t="shared" si="9"/>
        <v>0</v>
      </c>
      <c r="N43" s="17">
        <f t="shared" si="9"/>
        <v>0</v>
      </c>
    </row>
    <row r="44" spans="1:16">
      <c r="A44" t="s">
        <v>16</v>
      </c>
      <c r="B44" s="17">
        <f>(B14/B32)*100</f>
        <v>98.691912130619215</v>
      </c>
      <c r="C44" s="17">
        <f t="shared" ref="C44:N44" si="10">(C14/C32)*100</f>
        <v>27.531194788712742</v>
      </c>
      <c r="D44" s="17">
        <f t="shared" si="10"/>
        <v>19.470972192600669</v>
      </c>
      <c r="E44" s="17">
        <f t="shared" si="10"/>
        <v>8.060222596112073</v>
      </c>
      <c r="F44" s="17">
        <f t="shared" si="10"/>
        <v>97.514949011429977</v>
      </c>
      <c r="G44" s="17">
        <f t="shared" si="10"/>
        <v>79.220939938018546</v>
      </c>
      <c r="H44" s="17">
        <f t="shared" si="10"/>
        <v>3.0084967784913279</v>
      </c>
      <c r="I44" s="17">
        <f t="shared" si="10"/>
        <v>15.2855122949201</v>
      </c>
      <c r="J44" s="17">
        <f t="shared" si="10"/>
        <v>19.850391399480241</v>
      </c>
      <c r="K44" s="17">
        <f t="shared" si="10"/>
        <v>7.1049603597768236</v>
      </c>
      <c r="L44" s="17">
        <f t="shared" si="10"/>
        <v>0</v>
      </c>
      <c r="M44" s="17">
        <f t="shared" si="10"/>
        <v>0</v>
      </c>
      <c r="N44" s="17">
        <f t="shared" si="10"/>
        <v>0</v>
      </c>
    </row>
    <row r="45" spans="1:16">
      <c r="I45" s="32"/>
      <c r="J45" s="32"/>
    </row>
    <row r="46" spans="1:16">
      <c r="A46" t="s">
        <v>17</v>
      </c>
      <c r="I46" s="32"/>
      <c r="J46" s="32"/>
    </row>
    <row r="47" spans="1:16">
      <c r="A47" t="s">
        <v>18</v>
      </c>
      <c r="B47" s="15">
        <f>B14/B12*100</f>
        <v>87.66436058994401</v>
      </c>
      <c r="C47" s="15">
        <f t="shared" ref="C47:N47" si="11">C14/C12*100</f>
        <v>67.48439728670914</v>
      </c>
      <c r="D47" s="15">
        <f t="shared" si="11"/>
        <v>63.684355569334649</v>
      </c>
      <c r="E47" s="15">
        <f t="shared" si="11"/>
        <v>78.850166138629163</v>
      </c>
      <c r="F47" s="15">
        <f t="shared" si="11"/>
        <v>87.11585008715042</v>
      </c>
      <c r="G47" s="15">
        <f t="shared" si="11"/>
        <v>96.604890704066165</v>
      </c>
      <c r="H47" s="15">
        <f t="shared" si="11"/>
        <v>28.565714142853572</v>
      </c>
      <c r="I47" s="15">
        <f t="shared" si="11"/>
        <v>78.79071661237785</v>
      </c>
      <c r="J47" s="15">
        <f t="shared" si="11"/>
        <v>188.47971199279982</v>
      </c>
      <c r="K47" s="15">
        <f t="shared" si="11"/>
        <v>84.584038618268437</v>
      </c>
      <c r="L47" s="15" t="e">
        <f t="shared" si="11"/>
        <v>#DIV/0!</v>
      </c>
      <c r="M47" s="15" t="e">
        <f t="shared" si="11"/>
        <v>#DIV/0!</v>
      </c>
      <c r="N47" s="15" t="e">
        <f t="shared" si="11"/>
        <v>#DIV/0!</v>
      </c>
    </row>
    <row r="48" spans="1:16">
      <c r="A48" t="s">
        <v>19</v>
      </c>
      <c r="B48" s="15">
        <f>B21/B20*100</f>
        <v>65.546182490320277</v>
      </c>
      <c r="C48" s="15">
        <f>C21/C20*100</f>
        <v>66.850569156066399</v>
      </c>
      <c r="D48" s="15"/>
      <c r="E48" s="15"/>
      <c r="F48" s="58">
        <f>F21/F20*100</f>
        <v>57.462594684713849</v>
      </c>
      <c r="G48" s="58"/>
      <c r="H48" s="58"/>
      <c r="I48" s="58"/>
      <c r="J48" s="58"/>
      <c r="K48" s="15">
        <f>K21/K20*100</f>
        <v>80.262902947293639</v>
      </c>
      <c r="L48" s="15">
        <f>L21/L20*100</f>
        <v>47.934394736842108</v>
      </c>
      <c r="M48" s="15">
        <f t="shared" ref="M48:N48" si="12">M21/M20*100</f>
        <v>0</v>
      </c>
      <c r="N48" s="15" t="e">
        <f t="shared" si="12"/>
        <v>#DIV/0!</v>
      </c>
    </row>
    <row r="49" spans="1:14">
      <c r="A49" s="13" t="s">
        <v>20</v>
      </c>
      <c r="B49" s="16">
        <f>AVERAGE(B47:B48)</f>
        <v>76.605271540132151</v>
      </c>
      <c r="C49" s="16">
        <f t="shared" ref="C49:N49" si="13">AVERAGE(C47:C48)</f>
        <v>67.167483221387769</v>
      </c>
      <c r="D49" s="16"/>
      <c r="E49" s="16"/>
      <c r="F49" s="59">
        <f>AVERAGE(F47:F48)</f>
        <v>72.289222385932135</v>
      </c>
      <c r="G49" s="59"/>
      <c r="H49" s="59"/>
      <c r="I49" s="59"/>
      <c r="J49" s="59"/>
      <c r="K49" s="16">
        <f t="shared" si="13"/>
        <v>82.423470782781038</v>
      </c>
      <c r="L49" s="16" t="e">
        <f t="shared" si="13"/>
        <v>#DIV/0!</v>
      </c>
      <c r="M49" s="16" t="e">
        <f t="shared" si="13"/>
        <v>#DIV/0!</v>
      </c>
      <c r="N49" s="16" t="e">
        <f t="shared" si="13"/>
        <v>#DIV/0!</v>
      </c>
    </row>
    <row r="50" spans="1:14">
      <c r="B50" s="15"/>
      <c r="C50" s="15"/>
      <c r="D50" s="15"/>
      <c r="E50" s="15"/>
      <c r="F50" s="15"/>
      <c r="G50" s="15"/>
      <c r="H50" s="15"/>
      <c r="I50" s="15"/>
      <c r="J50" s="15"/>
      <c r="K50" s="15"/>
      <c r="L50" s="15"/>
    </row>
    <row r="51" spans="1:14">
      <c r="A51" t="s">
        <v>21</v>
      </c>
    </row>
    <row r="52" spans="1:14">
      <c r="A52" t="s">
        <v>22</v>
      </c>
      <c r="B52" s="15">
        <f>((B14/B16)*100)</f>
        <v>90.277245894058396</v>
      </c>
      <c r="C52" s="15">
        <f t="shared" ref="C52:N52" si="14">((C14/C16)*100)</f>
        <v>70.418560797386959</v>
      </c>
      <c r="D52" s="15">
        <f t="shared" si="14"/>
        <v>66.45368847671169</v>
      </c>
      <c r="E52" s="15">
        <f t="shared" si="14"/>
        <v>82.277052088372855</v>
      </c>
      <c r="F52" s="15">
        <f t="shared" si="14"/>
        <v>92.074989480514546</v>
      </c>
      <c r="G52" s="15">
        <f t="shared" si="14"/>
        <v>99.000368527731709</v>
      </c>
      <c r="H52" s="15">
        <f t="shared" si="14"/>
        <v>35.599174358375194</v>
      </c>
      <c r="I52" s="15">
        <f t="shared" si="14"/>
        <v>87.664882251232612</v>
      </c>
      <c r="J52" s="15">
        <f t="shared" si="14"/>
        <v>79.167891796530427</v>
      </c>
      <c r="K52" s="15">
        <f t="shared" si="14"/>
        <v>88.260883786347421</v>
      </c>
      <c r="L52" s="15">
        <f t="shared" si="14"/>
        <v>0</v>
      </c>
      <c r="M52" s="15" t="e">
        <f t="shared" si="14"/>
        <v>#DIV/0!</v>
      </c>
      <c r="N52" s="15" t="e">
        <f t="shared" si="14"/>
        <v>#DIV/0!</v>
      </c>
    </row>
    <row r="53" spans="1:14">
      <c r="A53" t="s">
        <v>23</v>
      </c>
      <c r="B53" s="15">
        <f>B21/B22*100</f>
        <v>16.969634017404275</v>
      </c>
      <c r="C53" s="15">
        <f>C21/C22*100</f>
        <v>17.131625182966953</v>
      </c>
      <c r="D53" s="15"/>
      <c r="E53" s="15"/>
      <c r="F53" s="15">
        <f>F21/F22*100</f>
        <v>14.990242091664484</v>
      </c>
      <c r="G53" s="15"/>
      <c r="H53" s="15"/>
      <c r="I53" s="15"/>
      <c r="J53" s="15"/>
      <c r="K53" s="15">
        <f t="shared" ref="K53:N53" si="15">K21/K22*100</f>
        <v>21.05291810979076</v>
      </c>
      <c r="L53" s="15">
        <f t="shared" si="15"/>
        <v>11.615272286698126</v>
      </c>
      <c r="M53" s="15">
        <f t="shared" si="15"/>
        <v>0</v>
      </c>
      <c r="N53" s="15" t="e">
        <f t="shared" si="15"/>
        <v>#DIV/0!</v>
      </c>
    </row>
    <row r="54" spans="1:14">
      <c r="A54" t="s">
        <v>24</v>
      </c>
      <c r="B54" s="15">
        <f>(B52+B53)/2</f>
        <v>53.623439955731335</v>
      </c>
      <c r="C54" s="15">
        <f t="shared" ref="C54:N54" si="16">(C52+C53)/2</f>
        <v>43.775092990176958</v>
      </c>
      <c r="D54" s="15"/>
      <c r="E54" s="15"/>
      <c r="F54" s="15">
        <f t="shared" ref="F54" si="17">(F52+F53)/2</f>
        <v>53.532615786089515</v>
      </c>
      <c r="G54" s="15"/>
      <c r="H54" s="15"/>
      <c r="I54" s="15"/>
      <c r="J54" s="15"/>
      <c r="K54" s="15">
        <f t="shared" si="16"/>
        <v>54.656900948069094</v>
      </c>
      <c r="L54" s="15">
        <f t="shared" si="16"/>
        <v>5.8076361433490629</v>
      </c>
      <c r="M54" s="15" t="e">
        <f t="shared" si="16"/>
        <v>#DIV/0!</v>
      </c>
      <c r="N54" s="15" t="e">
        <f t="shared" si="16"/>
        <v>#DIV/0!</v>
      </c>
    </row>
    <row r="55" spans="1:14">
      <c r="B55" s="15"/>
      <c r="C55" s="15"/>
      <c r="D55" s="15"/>
      <c r="E55" s="15"/>
      <c r="F55" s="15"/>
      <c r="G55" s="15"/>
      <c r="H55" s="15"/>
      <c r="I55" s="15"/>
      <c r="J55" s="15"/>
      <c r="K55" s="15"/>
      <c r="L55" s="15"/>
    </row>
    <row r="56" spans="1:14">
      <c r="A56" t="s">
        <v>40</v>
      </c>
    </row>
    <row r="57" spans="1:14">
      <c r="A57" t="s">
        <v>25</v>
      </c>
      <c r="B57" s="15">
        <f>B23/B21*100</f>
        <v>100</v>
      </c>
      <c r="C57" s="15"/>
      <c r="D57" s="15"/>
      <c r="E57" s="15"/>
      <c r="F57" s="15"/>
      <c r="G57" s="15"/>
      <c r="H57" s="15"/>
      <c r="I57" s="15"/>
      <c r="J57" s="15"/>
      <c r="K57" s="15"/>
      <c r="L57" s="15"/>
    </row>
    <row r="59" spans="1:14">
      <c r="A59" t="s">
        <v>26</v>
      </c>
    </row>
    <row r="60" spans="1:14">
      <c r="A60" t="s">
        <v>27</v>
      </c>
      <c r="B60" s="15">
        <f>((B14/B10)-1)*100</f>
        <v>-0.91675456196420591</v>
      </c>
      <c r="C60" s="15">
        <f t="shared" ref="C60:N60" si="18">((C14/C10)-1)*100</f>
        <v>12.436018753494782</v>
      </c>
      <c r="D60" s="15">
        <f t="shared" si="18"/>
        <v>-1.0437714943328569</v>
      </c>
      <c r="E60" s="15">
        <f t="shared" si="18"/>
        <v>67.58088356051897</v>
      </c>
      <c r="F60" s="15">
        <f t="shared" si="18"/>
        <v>-0.92294604377172185</v>
      </c>
      <c r="G60" s="15">
        <f t="shared" si="18"/>
        <v>-0.88548632569294128</v>
      </c>
      <c r="H60" s="15">
        <f t="shared" si="18"/>
        <v>5.5422131904673932</v>
      </c>
      <c r="I60" s="15">
        <f t="shared" si="18"/>
        <v>-2.2923504165614728</v>
      </c>
      <c r="J60" s="15">
        <f t="shared" si="18"/>
        <v>-3.9886910674715392</v>
      </c>
      <c r="K60" s="15">
        <f t="shared" si="18"/>
        <v>77.374613817130069</v>
      </c>
      <c r="L60" s="15" t="e">
        <f t="shared" si="18"/>
        <v>#DIV/0!</v>
      </c>
      <c r="M60" s="15" t="e">
        <f t="shared" si="18"/>
        <v>#DIV/0!</v>
      </c>
      <c r="N60" s="15">
        <f t="shared" si="18"/>
        <v>-100</v>
      </c>
    </row>
    <row r="61" spans="1:14">
      <c r="A61" t="s">
        <v>28</v>
      </c>
      <c r="B61" s="15">
        <f>((B36/B35)-1)*100</f>
        <v>-16.045547533484495</v>
      </c>
      <c r="C61" s="15">
        <f t="shared" ref="C61:N61" si="19">((C36/C35)-1)*100</f>
        <v>89.196412462018856</v>
      </c>
      <c r="D61" s="15"/>
      <c r="E61" s="15"/>
      <c r="F61" s="15">
        <f t="shared" si="19"/>
        <v>-49.571540691621422</v>
      </c>
      <c r="G61" s="15"/>
      <c r="H61" s="15"/>
      <c r="I61" s="15"/>
      <c r="J61" s="15"/>
      <c r="K61" s="15">
        <f t="shared" si="19"/>
        <v>-37.119328450548075</v>
      </c>
      <c r="L61" s="15">
        <f t="shared" si="19"/>
        <v>16.360780275406348</v>
      </c>
      <c r="M61" s="15">
        <f t="shared" si="19"/>
        <v>-100</v>
      </c>
      <c r="N61" s="15">
        <f t="shared" si="19"/>
        <v>-100</v>
      </c>
    </row>
    <row r="62" spans="1:14">
      <c r="A62" s="13" t="s">
        <v>29</v>
      </c>
      <c r="B62" s="16">
        <f>((B38/B37)-1)*100</f>
        <v>-15.2687701181341</v>
      </c>
      <c r="C62" s="16">
        <f t="shared" ref="C62:N62" si="20">((C38/C37)-1)*100</f>
        <v>68.270287901970178</v>
      </c>
      <c r="D62" s="16"/>
      <c r="E62" s="16"/>
      <c r="F62" s="16">
        <f t="shared" si="20"/>
        <v>-49.101777561273053</v>
      </c>
      <c r="G62" s="16"/>
      <c r="H62" s="16"/>
      <c r="I62" s="16"/>
      <c r="J62" s="16"/>
      <c r="K62" s="16">
        <f t="shared" si="20"/>
        <v>-64.549227087095602</v>
      </c>
      <c r="L62" s="16" t="e">
        <f t="shared" si="20"/>
        <v>#DIV/0!</v>
      </c>
      <c r="M62" s="16" t="e">
        <f t="shared" si="20"/>
        <v>#DIV/0!</v>
      </c>
      <c r="N62" s="16" t="e">
        <f t="shared" si="20"/>
        <v>#DIV/0!</v>
      </c>
    </row>
    <row r="63" spans="1:14">
      <c r="B63" s="17"/>
      <c r="C63" s="17"/>
      <c r="D63" s="17"/>
      <c r="E63" s="17"/>
      <c r="F63" s="17"/>
      <c r="G63" s="17"/>
      <c r="H63" s="17"/>
      <c r="I63" s="17"/>
      <c r="J63" s="17"/>
      <c r="K63" s="17"/>
      <c r="L63" s="17"/>
    </row>
    <row r="64" spans="1:14">
      <c r="A64" t="s">
        <v>30</v>
      </c>
    </row>
    <row r="65" spans="1:14">
      <c r="A65" t="s">
        <v>46</v>
      </c>
      <c r="B65" s="4">
        <f>B20/(B12*3)</f>
        <v>15024.60299347937</v>
      </c>
      <c r="C65" s="4">
        <f>C20/(C12*3)</f>
        <v>22047.177659560737</v>
      </c>
      <c r="D65" s="4"/>
      <c r="E65" s="4"/>
      <c r="F65" s="4">
        <f t="shared" ref="F65" si="21">F20/(F12*3)</f>
        <v>4863.9363055275253</v>
      </c>
      <c r="G65" s="4"/>
      <c r="H65" s="40"/>
      <c r="I65" s="40"/>
      <c r="J65" s="40"/>
      <c r="K65" s="4">
        <f>K20/(K12*3)</f>
        <v>28500</v>
      </c>
      <c r="L65" s="4" t="e">
        <f>L20/(L12*3)</f>
        <v>#DIV/0!</v>
      </c>
      <c r="M65" s="4" t="e">
        <f t="shared" ref="M65:N65" si="22">M20/(M12*3)</f>
        <v>#DIV/0!</v>
      </c>
      <c r="N65" s="4" t="e">
        <f t="shared" si="22"/>
        <v>#DIV/0!</v>
      </c>
    </row>
    <row r="66" spans="1:14">
      <c r="A66" t="s">
        <v>47</v>
      </c>
      <c r="B66" s="4">
        <f>B21/(B14*3)</f>
        <v>11233.816833065208</v>
      </c>
      <c r="C66" s="4">
        <f>C21/(C14*3)</f>
        <v>21840.105773854495</v>
      </c>
      <c r="D66" s="4"/>
      <c r="E66" s="44"/>
      <c r="F66" s="4">
        <f>F21/(F14*3)</f>
        <v>3208.3071016030653</v>
      </c>
      <c r="G66" s="40"/>
      <c r="H66" s="40"/>
      <c r="I66" s="40"/>
      <c r="J66" s="40"/>
      <c r="K66" s="4">
        <f>K21/(K14*3)</f>
        <v>27044.02356952268</v>
      </c>
      <c r="L66" s="4" t="e">
        <f>L21/(L14*3)</f>
        <v>#DIV/0!</v>
      </c>
      <c r="M66" s="4" t="e">
        <f t="shared" ref="M66:N66" si="23">M21/(M14*3)</f>
        <v>#DIV/0!</v>
      </c>
      <c r="N66" s="4" t="e">
        <f t="shared" si="23"/>
        <v>#DIV/0!</v>
      </c>
    </row>
    <row r="67" spans="1:14">
      <c r="A67" s="13" t="s">
        <v>33</v>
      </c>
      <c r="B67" s="16">
        <f>(B66/B65)*B49</f>
        <v>57.277359628241236</v>
      </c>
      <c r="C67" s="16">
        <f t="shared" ref="C67:N67" si="24">(C66/C65)*C49</f>
        <v>66.536631616544653</v>
      </c>
      <c r="D67" s="16"/>
      <c r="E67" s="16"/>
      <c r="F67" s="16">
        <f t="shared" si="24"/>
        <v>47.682784268079658</v>
      </c>
      <c r="G67" s="16"/>
      <c r="H67" s="16"/>
      <c r="I67" s="16"/>
      <c r="J67" s="16"/>
      <c r="K67" s="16">
        <f t="shared" si="24"/>
        <v>78.21271180811911</v>
      </c>
      <c r="L67" s="16" t="e">
        <f t="shared" si="24"/>
        <v>#DIV/0!</v>
      </c>
      <c r="M67" s="16" t="e">
        <f t="shared" si="24"/>
        <v>#DIV/0!</v>
      </c>
      <c r="N67" s="16" t="e">
        <f t="shared" si="24"/>
        <v>#DIV/0!</v>
      </c>
    </row>
    <row r="68" spans="1:14">
      <c r="A68" t="s">
        <v>39</v>
      </c>
      <c r="B68" s="30">
        <f>B20/B12</f>
        <v>45073.808980438109</v>
      </c>
      <c r="C68" s="30">
        <f>C20/C12</f>
        <v>66141.532978682211</v>
      </c>
      <c r="D68" s="30"/>
      <c r="E68" s="30"/>
      <c r="F68" s="30">
        <f t="shared" ref="F68" si="25">F20/F12</f>
        <v>14591.808916582575</v>
      </c>
      <c r="G68" s="60"/>
      <c r="H68" s="60"/>
      <c r="I68" s="60"/>
      <c r="J68" s="60"/>
      <c r="K68" s="30">
        <f t="shared" ref="K68:N68" si="26">K20/K12</f>
        <v>85500</v>
      </c>
      <c r="L68" s="30" t="e">
        <f t="shared" si="26"/>
        <v>#DIV/0!</v>
      </c>
      <c r="M68" s="30" t="e">
        <f t="shared" si="26"/>
        <v>#DIV/0!</v>
      </c>
      <c r="N68" s="30" t="e">
        <f t="shared" si="26"/>
        <v>#DIV/0!</v>
      </c>
    </row>
    <row r="69" spans="1:14">
      <c r="A69" t="s">
        <v>38</v>
      </c>
      <c r="B69" s="17">
        <f>B21/B14</f>
        <v>33701.45049919562</v>
      </c>
      <c r="C69" s="17">
        <f>C21/C14</f>
        <v>65520.317321563482</v>
      </c>
      <c r="D69" s="17"/>
      <c r="E69" s="17"/>
      <c r="F69" s="17">
        <f t="shared" ref="F69" si="27">F21/F14</f>
        <v>9624.9213048091951</v>
      </c>
      <c r="G69" s="60"/>
      <c r="H69" s="60"/>
      <c r="I69" s="60"/>
      <c r="J69" s="60"/>
      <c r="K69" s="30">
        <f>K21/K14</f>
        <v>81132.070708568048</v>
      </c>
      <c r="L69" s="30" t="e">
        <f>L21/L14</f>
        <v>#DIV/0!</v>
      </c>
      <c r="M69" s="30" t="e">
        <f t="shared" ref="M69:N69" si="28">M21/M14</f>
        <v>#DIV/0!</v>
      </c>
      <c r="N69" s="30" t="e">
        <f t="shared" si="28"/>
        <v>#DIV/0!</v>
      </c>
    </row>
    <row r="70" spans="1:14">
      <c r="B70" s="15"/>
      <c r="C70" s="15"/>
      <c r="D70" s="15"/>
      <c r="E70" s="15"/>
      <c r="F70" s="15"/>
      <c r="G70" s="15"/>
      <c r="H70" s="15"/>
      <c r="I70" s="17"/>
      <c r="J70" s="17"/>
      <c r="K70" s="15"/>
      <c r="L70" s="15"/>
    </row>
    <row r="71" spans="1:14">
      <c r="A71" t="s">
        <v>34</v>
      </c>
      <c r="B71" s="15"/>
      <c r="C71" s="15"/>
      <c r="D71" s="15"/>
      <c r="E71" s="15"/>
      <c r="F71" s="15"/>
      <c r="G71" s="15"/>
      <c r="H71" s="15"/>
      <c r="I71" s="17"/>
      <c r="J71" s="17"/>
      <c r="K71" s="15"/>
      <c r="L71" s="15"/>
    </row>
    <row r="72" spans="1:14">
      <c r="A72" s="18" t="s">
        <v>35</v>
      </c>
      <c r="B72" s="19">
        <f>(B27/B26)*100</f>
        <v>119.48226268000437</v>
      </c>
      <c r="C72" s="19"/>
      <c r="D72" s="19"/>
      <c r="E72" s="19"/>
      <c r="F72" s="19"/>
      <c r="G72" s="19"/>
      <c r="H72" s="19"/>
      <c r="I72" s="19"/>
      <c r="J72" s="19"/>
      <c r="K72" s="19"/>
      <c r="L72" s="19"/>
    </row>
    <row r="73" spans="1:14">
      <c r="A73" s="18" t="s">
        <v>36</v>
      </c>
      <c r="B73" s="19">
        <f>(B21/B27)*100</f>
        <v>54.858504534572717</v>
      </c>
      <c r="C73" s="19"/>
      <c r="D73" s="19"/>
      <c r="E73" s="19"/>
      <c r="F73" s="19"/>
      <c r="G73" s="19"/>
      <c r="H73" s="19"/>
      <c r="I73" s="19"/>
      <c r="J73" s="19"/>
      <c r="K73" s="19"/>
      <c r="L73" s="19"/>
    </row>
    <row r="74" spans="1:14" ht="15.75" thickBot="1">
      <c r="A74" s="20"/>
      <c r="B74" s="20"/>
      <c r="C74" s="20"/>
      <c r="D74" s="20"/>
      <c r="E74" s="20"/>
      <c r="F74" s="20"/>
      <c r="G74" s="20"/>
      <c r="H74" s="20"/>
      <c r="I74" s="49"/>
      <c r="J74" s="49"/>
      <c r="K74" s="20"/>
      <c r="L74" s="20"/>
      <c r="M74" s="20"/>
      <c r="N74" s="20"/>
    </row>
    <row r="75" spans="1:14" ht="15.75" thickTop="1">
      <c r="A75" s="33" t="s">
        <v>97</v>
      </c>
    </row>
    <row r="76" spans="1:14">
      <c r="A76" t="s">
        <v>98</v>
      </c>
    </row>
    <row r="77" spans="1:14">
      <c r="A77" t="s">
        <v>99</v>
      </c>
    </row>
    <row r="78" spans="1:14">
      <c r="A78" t="s">
        <v>54</v>
      </c>
      <c r="B78" s="21"/>
      <c r="C78" s="21"/>
      <c r="D78" s="21"/>
      <c r="E78" s="21"/>
      <c r="F78" s="21"/>
      <c r="G78" s="21"/>
      <c r="H78" s="21"/>
      <c r="I78" s="21"/>
      <c r="J78" s="21"/>
    </row>
    <row r="80" spans="1:14">
      <c r="A80" t="s">
        <v>43</v>
      </c>
    </row>
    <row r="81" spans="1:1">
      <c r="A81" t="s">
        <v>52</v>
      </c>
    </row>
    <row r="82" spans="1:1">
      <c r="A82" t="s">
        <v>60</v>
      </c>
    </row>
    <row r="83" spans="1:1">
      <c r="A83" t="s">
        <v>50</v>
      </c>
    </row>
    <row r="84" spans="1:1">
      <c r="A84" t="s">
        <v>53</v>
      </c>
    </row>
    <row r="86" spans="1:1">
      <c r="A86" s="95" t="s">
        <v>140</v>
      </c>
    </row>
    <row r="87" spans="1:1">
      <c r="A87" s="42"/>
    </row>
  </sheetData>
  <mergeCells count="10">
    <mergeCell ref="G34:J34"/>
    <mergeCell ref="A2:K2"/>
    <mergeCell ref="A4:A5"/>
    <mergeCell ref="D5:E5"/>
    <mergeCell ref="D4:N4"/>
    <mergeCell ref="G5:J5"/>
    <mergeCell ref="G20:J20"/>
    <mergeCell ref="G22:J22"/>
    <mergeCell ref="D21:E21"/>
    <mergeCell ref="G21:J2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Q88"/>
  <sheetViews>
    <sheetView zoomScale="60" zoomScaleNormal="60" workbookViewId="0">
      <selection activeCell="L14" sqref="L14"/>
    </sheetView>
  </sheetViews>
  <sheetFormatPr baseColWidth="10" defaultColWidth="11.42578125" defaultRowHeight="15"/>
  <cols>
    <col min="1" max="1" width="50.85546875" customWidth="1"/>
    <col min="2" max="3" width="26.7109375" customWidth="1"/>
    <col min="4" max="6" width="15.5703125" customWidth="1"/>
    <col min="7" max="7" width="16.140625" customWidth="1"/>
    <col min="8" max="10" width="14.5703125" customWidth="1"/>
    <col min="11" max="11" width="15.42578125" customWidth="1"/>
    <col min="12" max="12" width="16.42578125" customWidth="1"/>
    <col min="13" max="13" width="18.140625" customWidth="1"/>
    <col min="14" max="14" width="22.7109375" customWidth="1"/>
    <col min="15" max="15" width="23.85546875" customWidth="1"/>
    <col min="16" max="16" width="22.7109375" customWidth="1"/>
    <col min="17" max="17" width="15.7109375" customWidth="1"/>
  </cols>
  <sheetData>
    <row r="2" spans="1:17" ht="15.75">
      <c r="A2" s="102" t="s">
        <v>115</v>
      </c>
      <c r="B2" s="102"/>
      <c r="C2" s="102"/>
      <c r="D2" s="102"/>
      <c r="E2" s="102"/>
      <c r="F2" s="102"/>
      <c r="G2" s="102"/>
      <c r="H2" s="102"/>
      <c r="I2" s="102"/>
      <c r="J2" s="102"/>
      <c r="K2" s="102"/>
    </row>
    <row r="4" spans="1:17">
      <c r="A4" s="100" t="s">
        <v>0</v>
      </c>
      <c r="B4" s="25" t="s">
        <v>1</v>
      </c>
      <c r="C4" s="25"/>
      <c r="D4" s="108" t="s">
        <v>2</v>
      </c>
      <c r="E4" s="108"/>
      <c r="F4" s="108"/>
      <c r="G4" s="108"/>
      <c r="H4" s="108"/>
      <c r="I4" s="108"/>
      <c r="J4" s="108"/>
      <c r="K4" s="108"/>
      <c r="L4" s="108"/>
      <c r="M4" s="108"/>
      <c r="N4" s="108"/>
      <c r="O4" s="108"/>
      <c r="P4" s="108"/>
    </row>
    <row r="5" spans="1:17" ht="15.75" thickBot="1">
      <c r="A5" s="101"/>
      <c r="B5" s="1" t="s">
        <v>3</v>
      </c>
      <c r="C5" s="57" t="s">
        <v>55</v>
      </c>
      <c r="D5" s="103" t="s">
        <v>4</v>
      </c>
      <c r="E5" s="103"/>
      <c r="F5" s="57" t="s">
        <v>56</v>
      </c>
      <c r="G5" s="103" t="s">
        <v>51</v>
      </c>
      <c r="H5" s="103"/>
      <c r="I5" s="103"/>
      <c r="J5" s="103"/>
      <c r="K5" s="1" t="s">
        <v>5</v>
      </c>
      <c r="L5" s="20" t="s">
        <v>100</v>
      </c>
      <c r="M5" s="20" t="s">
        <v>61</v>
      </c>
      <c r="N5" s="20" t="s">
        <v>141</v>
      </c>
      <c r="O5" s="20" t="s">
        <v>62</v>
      </c>
      <c r="P5" s="20" t="s">
        <v>142</v>
      </c>
      <c r="Q5" s="74"/>
    </row>
    <row r="6" spans="1:17" ht="15.75" thickTop="1">
      <c r="B6" s="36" t="s">
        <v>1</v>
      </c>
      <c r="D6" s="36" t="s">
        <v>48</v>
      </c>
      <c r="E6" s="36" t="s">
        <v>49</v>
      </c>
      <c r="F6" s="36"/>
      <c r="G6" s="36">
        <v>1600</v>
      </c>
      <c r="H6" s="36">
        <v>640</v>
      </c>
      <c r="I6" s="47">
        <v>320</v>
      </c>
      <c r="J6" s="47">
        <v>800</v>
      </c>
      <c r="K6" s="36" t="s">
        <v>5</v>
      </c>
      <c r="M6" s="67" t="s">
        <v>61</v>
      </c>
      <c r="N6" s="33" t="s">
        <v>141</v>
      </c>
      <c r="O6" s="33" t="s">
        <v>62</v>
      </c>
      <c r="P6" s="33" t="s">
        <v>142</v>
      </c>
    </row>
    <row r="7" spans="1:17">
      <c r="A7" s="2" t="s">
        <v>6</v>
      </c>
      <c r="I7" s="32"/>
      <c r="J7" s="32"/>
    </row>
    <row r="8" spans="1:17">
      <c r="I8" s="32"/>
      <c r="J8" s="32"/>
    </row>
    <row r="9" spans="1:17">
      <c r="A9" t="s">
        <v>7</v>
      </c>
      <c r="I9" s="32"/>
      <c r="J9" s="32"/>
      <c r="Q9" s="74"/>
    </row>
    <row r="10" spans="1:17">
      <c r="A10" s="3" t="s">
        <v>77</v>
      </c>
      <c r="B10" s="4">
        <f>+D10+G10</f>
        <v>126180.33333333333</v>
      </c>
      <c r="C10" s="4">
        <f>+D10+E10</f>
        <v>31217.666666666668</v>
      </c>
      <c r="D10" s="5">
        <v>25107</v>
      </c>
      <c r="E10" s="4">
        <v>6110.666666666667</v>
      </c>
      <c r="F10" s="66">
        <f>SUM(G10:I10)</f>
        <v>124636.33333333333</v>
      </c>
      <c r="G10" s="4">
        <v>101073.33333333333</v>
      </c>
      <c r="H10" s="79">
        <v>3848.6666666666665</v>
      </c>
      <c r="I10" s="79">
        <v>19714.333333333332</v>
      </c>
      <c r="J10" s="37">
        <v>26368.666666666668</v>
      </c>
      <c r="K10" s="4">
        <v>8891.3333333333339</v>
      </c>
      <c r="L10" s="5">
        <v>0</v>
      </c>
      <c r="M10" s="71">
        <v>0</v>
      </c>
      <c r="N10">
        <v>2578</v>
      </c>
      <c r="O10" s="71">
        <v>0</v>
      </c>
      <c r="P10">
        <v>0</v>
      </c>
      <c r="Q10" s="38"/>
    </row>
    <row r="11" spans="1:17" hidden="1">
      <c r="A11" s="26" t="s">
        <v>37</v>
      </c>
      <c r="B11" s="4">
        <f t="shared" ref="B11:B16" si="0">+D11+G11</f>
        <v>0</v>
      </c>
      <c r="C11" s="4">
        <f t="shared" ref="C11:C16" si="1">+D11+E11</f>
        <v>0</v>
      </c>
      <c r="D11" s="4"/>
      <c r="E11" s="4"/>
      <c r="F11" s="4">
        <f>SUM(G11:I11)</f>
        <v>0</v>
      </c>
      <c r="G11" s="4"/>
      <c r="H11" s="79"/>
      <c r="I11" s="79"/>
      <c r="J11" s="37"/>
      <c r="K11" s="4"/>
      <c r="L11" s="5"/>
      <c r="M11" s="71">
        <v>0</v>
      </c>
      <c r="N11">
        <v>0</v>
      </c>
      <c r="O11" s="71">
        <v>0</v>
      </c>
      <c r="P11">
        <v>0</v>
      </c>
    </row>
    <row r="12" spans="1:17">
      <c r="A12" s="3" t="s">
        <v>116</v>
      </c>
      <c r="B12" s="4">
        <f t="shared" si="0"/>
        <v>142522</v>
      </c>
      <c r="C12" s="4">
        <f t="shared" si="1"/>
        <v>51647</v>
      </c>
      <c r="D12" s="8">
        <v>38706</v>
      </c>
      <c r="E12" s="24">
        <v>12941</v>
      </c>
      <c r="F12" s="24">
        <f>SUM(G12:I12)</f>
        <v>141709</v>
      </c>
      <c r="G12" s="24">
        <v>103816</v>
      </c>
      <c r="H12" s="24">
        <v>13333</v>
      </c>
      <c r="I12" s="5">
        <v>24560</v>
      </c>
      <c r="J12" s="5">
        <v>35277</v>
      </c>
      <c r="K12" s="4">
        <v>10634</v>
      </c>
      <c r="L12" s="4">
        <v>0</v>
      </c>
      <c r="M12" s="71">
        <v>0</v>
      </c>
      <c r="N12">
        <v>0</v>
      </c>
      <c r="O12" s="71">
        <v>0</v>
      </c>
      <c r="P12" s="4">
        <v>0</v>
      </c>
    </row>
    <row r="13" spans="1:17" hidden="1">
      <c r="A13" s="26" t="s">
        <v>37</v>
      </c>
      <c r="B13" s="4">
        <f>+D13+G13</f>
        <v>0</v>
      </c>
      <c r="C13" s="4">
        <f t="shared" si="1"/>
        <v>0</v>
      </c>
      <c r="D13" s="8"/>
      <c r="E13" s="24"/>
      <c r="F13" s="24">
        <f t="shared" ref="F13:F16" si="2">SUM(G13:I13)</f>
        <v>0</v>
      </c>
      <c r="G13" s="24"/>
      <c r="H13" s="24"/>
      <c r="I13" s="5"/>
      <c r="J13" s="5"/>
      <c r="K13" s="4"/>
      <c r="L13" s="29"/>
      <c r="M13" s="71">
        <v>0</v>
      </c>
      <c r="N13">
        <v>0</v>
      </c>
      <c r="O13" s="71">
        <v>0</v>
      </c>
      <c r="P13" s="4"/>
    </row>
    <row r="14" spans="1:17">
      <c r="A14" s="3" t="s">
        <v>117</v>
      </c>
      <c r="B14" s="4">
        <f t="shared" si="0"/>
        <v>124883</v>
      </c>
      <c r="C14" s="4">
        <f t="shared" si="1"/>
        <v>34595</v>
      </c>
      <c r="D14" s="5">
        <v>24935.333333333332</v>
      </c>
      <c r="E14" s="4">
        <v>9659.6666666666661</v>
      </c>
      <c r="F14" s="24">
        <f t="shared" si="2"/>
        <v>123140</v>
      </c>
      <c r="G14" s="4">
        <v>99947.666666666672</v>
      </c>
      <c r="H14" s="4">
        <v>3973.3333333333335</v>
      </c>
      <c r="I14" s="37">
        <v>19219</v>
      </c>
      <c r="J14" s="37">
        <v>25448.333333333332</v>
      </c>
      <c r="K14" s="4">
        <v>11903.666666666666</v>
      </c>
      <c r="L14" s="5">
        <v>18630</v>
      </c>
      <c r="M14" s="71">
        <v>0</v>
      </c>
      <c r="N14">
        <v>0</v>
      </c>
      <c r="O14" s="71">
        <v>0</v>
      </c>
      <c r="P14">
        <v>0</v>
      </c>
    </row>
    <row r="15" spans="1:17" hidden="1">
      <c r="A15" s="26" t="s">
        <v>37</v>
      </c>
      <c r="B15" s="4">
        <f t="shared" si="0"/>
        <v>0</v>
      </c>
      <c r="C15" s="4">
        <f t="shared" si="1"/>
        <v>0</v>
      </c>
      <c r="D15" s="5"/>
      <c r="E15" s="4"/>
      <c r="F15" s="24">
        <f t="shared" si="2"/>
        <v>0</v>
      </c>
      <c r="G15" s="4"/>
      <c r="H15" s="4"/>
      <c r="I15" s="37"/>
      <c r="J15" s="37"/>
      <c r="K15" s="4"/>
      <c r="L15" s="5"/>
      <c r="M15" s="71">
        <v>0</v>
      </c>
      <c r="N15">
        <v>0</v>
      </c>
      <c r="O15" s="71">
        <v>0</v>
      </c>
      <c r="P15">
        <v>0</v>
      </c>
    </row>
    <row r="16" spans="1:17">
      <c r="A16" s="3" t="s">
        <v>92</v>
      </c>
      <c r="B16" s="4">
        <f t="shared" si="0"/>
        <v>138397</v>
      </c>
      <c r="C16" s="4">
        <f t="shared" si="1"/>
        <v>49495</v>
      </c>
      <c r="D16" s="4">
        <v>37093</v>
      </c>
      <c r="E16" s="4">
        <v>12402</v>
      </c>
      <c r="F16" s="24">
        <f t="shared" si="2"/>
        <v>134076.58333333334</v>
      </c>
      <c r="G16" s="75">
        <v>101304</v>
      </c>
      <c r="H16" s="4">
        <v>10698.75</v>
      </c>
      <c r="I16" s="5">
        <v>22073.833333333332</v>
      </c>
      <c r="J16" s="5">
        <v>31742.666666666668</v>
      </c>
      <c r="K16" s="4">
        <v>10191</v>
      </c>
      <c r="L16" s="5">
        <v>20000</v>
      </c>
      <c r="M16" s="80">
        <v>0</v>
      </c>
      <c r="N16" s="5">
        <v>0</v>
      </c>
      <c r="O16" s="75">
        <v>0</v>
      </c>
      <c r="P16" s="4">
        <v>0</v>
      </c>
    </row>
    <row r="17" spans="1:17">
      <c r="G17" s="38"/>
      <c r="I17" s="5"/>
      <c r="J17" s="5"/>
    </row>
    <row r="18" spans="1:17">
      <c r="A18" s="6" t="s">
        <v>8</v>
      </c>
      <c r="I18" s="37"/>
      <c r="J18" s="37"/>
    </row>
    <row r="19" spans="1:17">
      <c r="A19" s="3" t="s">
        <v>77</v>
      </c>
      <c r="B19" s="4">
        <f>C19+F19+K19+L19+M19+N19+O19+P19</f>
        <v>6005709172.6200008</v>
      </c>
      <c r="C19" s="44">
        <v>1338991167</v>
      </c>
      <c r="D19" s="44"/>
      <c r="E19" s="44"/>
      <c r="F19" s="44">
        <v>2922596900</v>
      </c>
      <c r="G19" s="44"/>
      <c r="H19" s="44"/>
      <c r="I19" s="44"/>
      <c r="J19" s="44"/>
      <c r="K19" s="5">
        <v>1018338502.39</v>
      </c>
      <c r="L19" s="5">
        <v>22499980</v>
      </c>
      <c r="M19">
        <v>0</v>
      </c>
      <c r="N19" s="5">
        <v>323944742</v>
      </c>
      <c r="O19" s="5">
        <v>285410855.60000002</v>
      </c>
      <c r="P19" s="5">
        <v>93927025.629999995</v>
      </c>
    </row>
    <row r="20" spans="1:17">
      <c r="A20" s="61" t="s">
        <v>116</v>
      </c>
      <c r="B20" s="4">
        <f>C20+F20+K20+L20+M20+N20+O20+P20</f>
        <v>6393009403.5100002</v>
      </c>
      <c r="C20" s="4">
        <f>+D20+E20</f>
        <v>3416011753.75</v>
      </c>
      <c r="D20" s="40">
        <v>3381971478.75</v>
      </c>
      <c r="E20" s="40">
        <v>34040275</v>
      </c>
      <c r="F20" s="77">
        <f>G20</f>
        <v>2067790649.7600002</v>
      </c>
      <c r="G20" s="109">
        <v>2067790649.7600002</v>
      </c>
      <c r="H20" s="109"/>
      <c r="I20" s="109"/>
      <c r="J20" s="109"/>
      <c r="K20" s="4">
        <v>909207000</v>
      </c>
      <c r="L20" s="5">
        <v>0</v>
      </c>
      <c r="M20">
        <v>0</v>
      </c>
      <c r="N20" s="5">
        <v>0</v>
      </c>
      <c r="O20" s="5">
        <v>0</v>
      </c>
      <c r="P20" s="5">
        <v>0</v>
      </c>
      <c r="Q20" s="74"/>
    </row>
    <row r="21" spans="1:17">
      <c r="A21" s="3" t="s">
        <v>117</v>
      </c>
      <c r="B21" s="4">
        <f>C21+F21+K21+L21+M21+N21+O21+P21</f>
        <v>8195413357.1800003</v>
      </c>
      <c r="C21" s="44">
        <f>D21</f>
        <v>3538929447.1799998</v>
      </c>
      <c r="D21" s="109">
        <v>3538929447.1799998</v>
      </c>
      <c r="E21" s="109"/>
      <c r="F21" s="77">
        <f t="shared" ref="F21:F22" si="3">G21</f>
        <v>3236953510</v>
      </c>
      <c r="G21" s="109">
        <v>3236953510</v>
      </c>
      <c r="H21" s="109"/>
      <c r="I21" s="109"/>
      <c r="J21" s="109"/>
      <c r="K21" s="5">
        <v>1419530400</v>
      </c>
      <c r="L21" s="5">
        <v>0</v>
      </c>
      <c r="M21">
        <v>0</v>
      </c>
      <c r="N21" s="5">
        <v>0</v>
      </c>
      <c r="O21" s="5">
        <v>0</v>
      </c>
      <c r="P21" s="5">
        <v>0</v>
      </c>
    </row>
    <row r="22" spans="1:17">
      <c r="A22" s="3" t="s">
        <v>92</v>
      </c>
      <c r="B22" s="4">
        <f>C22+F22+K22+L22+M22+N22+O22+P22</f>
        <v>24813103939.080002</v>
      </c>
      <c r="C22" s="4">
        <f>+D22+E22</f>
        <v>13329869615</v>
      </c>
      <c r="D22" s="40">
        <v>13198884915</v>
      </c>
      <c r="E22" s="40">
        <v>130984699.99999999</v>
      </c>
      <c r="F22" s="77">
        <f t="shared" si="3"/>
        <v>7926530824.0800009</v>
      </c>
      <c r="G22" s="106">
        <v>7926530824.0800009</v>
      </c>
      <c r="H22" s="106"/>
      <c r="I22" s="106"/>
      <c r="J22" s="106"/>
      <c r="K22" s="4">
        <v>3466293500</v>
      </c>
      <c r="L22" s="5">
        <v>78410000</v>
      </c>
      <c r="M22" s="4">
        <v>12000000</v>
      </c>
      <c r="N22" s="5">
        <v>0</v>
      </c>
      <c r="O22" s="5">
        <v>0</v>
      </c>
      <c r="P22" s="5">
        <v>0</v>
      </c>
    </row>
    <row r="23" spans="1:17">
      <c r="A23" s="3" t="s">
        <v>118</v>
      </c>
      <c r="B23" s="66">
        <f>C23+F23+K23+L23+N23+O23+P23+M23</f>
        <v>8195413357.1800003</v>
      </c>
      <c r="C23" s="4">
        <f>C21</f>
        <v>3538929447.1799998</v>
      </c>
      <c r="D23" s="40"/>
      <c r="E23" s="40"/>
      <c r="F23" s="40">
        <f>F21</f>
        <v>3236953510</v>
      </c>
      <c r="G23" s="40"/>
      <c r="H23" s="40"/>
      <c r="I23" s="40"/>
      <c r="J23" s="40"/>
      <c r="K23" s="4">
        <f t="shared" ref="K23:P23" si="4">K21</f>
        <v>1419530400</v>
      </c>
      <c r="L23" s="4">
        <f t="shared" si="4"/>
        <v>0</v>
      </c>
      <c r="M23" s="66">
        <f>M21</f>
        <v>0</v>
      </c>
      <c r="N23" s="66">
        <f t="shared" si="4"/>
        <v>0</v>
      </c>
      <c r="O23" s="66">
        <f t="shared" si="4"/>
        <v>0</v>
      </c>
      <c r="P23" s="66">
        <f t="shared" si="4"/>
        <v>0</v>
      </c>
      <c r="Q23" s="74"/>
    </row>
    <row r="24" spans="1:17">
      <c r="B24" s="4"/>
      <c r="C24" s="4"/>
      <c r="D24" s="4"/>
      <c r="E24" s="4"/>
      <c r="F24" s="4"/>
      <c r="G24" s="4"/>
      <c r="H24" s="4"/>
      <c r="I24" s="5"/>
      <c r="J24" s="5"/>
      <c r="K24" s="4"/>
      <c r="O24" s="24"/>
    </row>
    <row r="25" spans="1:17">
      <c r="A25" s="7" t="s">
        <v>9</v>
      </c>
      <c r="B25" s="8"/>
      <c r="C25" s="8"/>
      <c r="D25" s="8"/>
      <c r="E25" s="8"/>
      <c r="F25" s="8"/>
      <c r="G25" s="8"/>
      <c r="H25" s="8"/>
      <c r="I25" s="8"/>
      <c r="J25" s="8"/>
      <c r="K25" s="8"/>
      <c r="L25" s="8"/>
    </row>
    <row r="26" spans="1:17">
      <c r="A26" s="9" t="s">
        <v>116</v>
      </c>
      <c r="B26" s="8">
        <f>B20</f>
        <v>6393009403.5100002</v>
      </c>
      <c r="C26" s="8"/>
      <c r="D26" s="8"/>
      <c r="E26" s="8"/>
      <c r="F26" s="8"/>
      <c r="G26" s="8"/>
      <c r="H26" s="8"/>
      <c r="I26" s="8"/>
      <c r="J26" s="8"/>
      <c r="K26" s="8"/>
      <c r="L26" s="8"/>
    </row>
    <row r="27" spans="1:17">
      <c r="A27" s="9" t="s">
        <v>117</v>
      </c>
      <c r="B27" s="31">
        <v>4575704297.5699997</v>
      </c>
      <c r="C27" s="31"/>
      <c r="D27" s="28"/>
      <c r="E27" s="28"/>
      <c r="F27" s="28"/>
      <c r="G27" s="8"/>
      <c r="H27" s="8"/>
      <c r="I27" s="8"/>
      <c r="J27" s="8"/>
      <c r="K27" s="8"/>
      <c r="L27" s="8"/>
    </row>
    <row r="28" spans="1:17">
      <c r="D28" s="29"/>
      <c r="I28" s="32"/>
      <c r="J28" s="32"/>
    </row>
    <row r="29" spans="1:17">
      <c r="A29" t="s">
        <v>10</v>
      </c>
      <c r="I29" s="32"/>
      <c r="J29" s="32"/>
    </row>
    <row r="30" spans="1:17">
      <c r="A30" s="10" t="s">
        <v>78</v>
      </c>
      <c r="B30" s="11">
        <v>0.99</v>
      </c>
      <c r="C30" s="11">
        <v>0.99</v>
      </c>
      <c r="D30" s="11">
        <v>0.99</v>
      </c>
      <c r="E30" s="11">
        <v>0.99</v>
      </c>
      <c r="F30" s="11">
        <v>0.99</v>
      </c>
      <c r="G30" s="11">
        <v>0.99</v>
      </c>
      <c r="H30" s="11">
        <v>0.99</v>
      </c>
      <c r="I30" s="11">
        <v>0.99</v>
      </c>
      <c r="J30" s="11">
        <v>0.99</v>
      </c>
      <c r="K30" s="11">
        <v>0.99</v>
      </c>
      <c r="L30" s="11">
        <v>0.99</v>
      </c>
      <c r="M30" s="11">
        <v>0.99</v>
      </c>
      <c r="N30" s="11">
        <v>0.99</v>
      </c>
      <c r="O30" s="11">
        <v>0.99</v>
      </c>
      <c r="P30" s="11">
        <v>0.99</v>
      </c>
    </row>
    <row r="31" spans="1:17">
      <c r="A31" s="10" t="s">
        <v>119</v>
      </c>
      <c r="B31">
        <v>0.99</v>
      </c>
      <c r="C31">
        <v>0.99</v>
      </c>
      <c r="D31">
        <v>0.99</v>
      </c>
      <c r="E31">
        <v>0.99</v>
      </c>
      <c r="F31">
        <v>0.99</v>
      </c>
      <c r="G31">
        <v>0.99</v>
      </c>
      <c r="H31">
        <v>0.99</v>
      </c>
      <c r="I31">
        <v>0.99</v>
      </c>
      <c r="J31">
        <v>0.99</v>
      </c>
      <c r="K31">
        <v>0.99</v>
      </c>
      <c r="L31">
        <v>0.99</v>
      </c>
      <c r="M31">
        <v>0.99</v>
      </c>
      <c r="N31">
        <v>0.99</v>
      </c>
      <c r="O31">
        <v>0.99</v>
      </c>
      <c r="P31">
        <v>0.99</v>
      </c>
    </row>
    <row r="32" spans="1:17">
      <c r="A32" s="3" t="s">
        <v>11</v>
      </c>
      <c r="B32" s="4">
        <v>126597</v>
      </c>
      <c r="C32" s="4">
        <v>126597</v>
      </c>
      <c r="D32" s="4">
        <v>126597</v>
      </c>
      <c r="E32" s="4">
        <v>126597</v>
      </c>
      <c r="F32" s="4">
        <v>126597</v>
      </c>
      <c r="G32" s="4">
        <v>126597</v>
      </c>
      <c r="H32" s="4">
        <v>126597</v>
      </c>
      <c r="I32" s="4">
        <v>126597</v>
      </c>
      <c r="J32" s="4">
        <v>126597</v>
      </c>
      <c r="K32" s="4">
        <v>126597</v>
      </c>
      <c r="L32" s="4">
        <v>126597</v>
      </c>
      <c r="M32" s="4">
        <v>126597</v>
      </c>
      <c r="N32" s="4">
        <v>126597</v>
      </c>
      <c r="O32" s="4">
        <v>126597</v>
      </c>
      <c r="P32" s="4">
        <v>126597</v>
      </c>
    </row>
    <row r="33" spans="1:16">
      <c r="I33" s="32"/>
      <c r="J33" s="32"/>
    </row>
    <row r="34" spans="1:16">
      <c r="A34" s="12" t="s">
        <v>12</v>
      </c>
      <c r="B34" s="13"/>
      <c r="C34" s="13"/>
      <c r="D34" s="51"/>
      <c r="E34" s="51"/>
      <c r="F34" s="51"/>
      <c r="G34" s="99"/>
      <c r="H34" s="99"/>
      <c r="I34" s="99"/>
      <c r="J34" s="99"/>
      <c r="K34" s="13"/>
      <c r="L34" s="13"/>
      <c r="M34" s="13"/>
      <c r="N34" s="13"/>
      <c r="O34" s="13"/>
      <c r="P34" s="13"/>
    </row>
    <row r="35" spans="1:16">
      <c r="A35" s="13" t="s">
        <v>79</v>
      </c>
      <c r="B35" s="14">
        <f>B19/B30</f>
        <v>6066372901.6363649</v>
      </c>
      <c r="C35" s="50">
        <f>C19/C30</f>
        <v>1352516330.3030303</v>
      </c>
      <c r="D35" s="50"/>
      <c r="E35" s="50"/>
      <c r="F35" s="50">
        <f>F19/F30</f>
        <v>2952118080.8080807</v>
      </c>
      <c r="G35" s="50"/>
      <c r="H35" s="50"/>
      <c r="I35" s="50"/>
      <c r="J35" s="50"/>
      <c r="K35" s="14">
        <f>K19/K30</f>
        <v>1028624749.8888888</v>
      </c>
      <c r="L35" s="14">
        <f>L19/L30</f>
        <v>22727252.525252525</v>
      </c>
      <c r="M35" s="14">
        <f t="shared" ref="M35:P35" si="5">M19/M30</f>
        <v>0</v>
      </c>
      <c r="N35" s="14">
        <f t="shared" si="5"/>
        <v>327216911.1111111</v>
      </c>
      <c r="O35" s="14">
        <f t="shared" si="5"/>
        <v>288293793.53535354</v>
      </c>
      <c r="P35" s="14">
        <f t="shared" si="5"/>
        <v>94875783.464646459</v>
      </c>
    </row>
    <row r="36" spans="1:16">
      <c r="A36" s="13" t="s">
        <v>120</v>
      </c>
      <c r="B36" s="14">
        <f>B21/B31</f>
        <v>8278195310.2828283</v>
      </c>
      <c r="C36" s="50">
        <f>C21/C31</f>
        <v>3574676209.272727</v>
      </c>
      <c r="D36" s="50"/>
      <c r="E36" s="50"/>
      <c r="F36" s="50">
        <f>F21/F31</f>
        <v>3269650010.1010103</v>
      </c>
      <c r="G36" s="50"/>
      <c r="H36" s="50"/>
      <c r="I36" s="50"/>
      <c r="J36" s="50"/>
      <c r="K36" s="14">
        <f>K21/K31</f>
        <v>1433869090.909091</v>
      </c>
      <c r="L36" s="14">
        <f>L21/L31</f>
        <v>0</v>
      </c>
      <c r="M36" s="14">
        <f>M22/M31</f>
        <v>12121212.121212121</v>
      </c>
      <c r="N36" s="14">
        <f t="shared" ref="N36:P36" si="6">N21/N31</f>
        <v>0</v>
      </c>
      <c r="O36" s="14">
        <f t="shared" si="6"/>
        <v>0</v>
      </c>
      <c r="P36" s="14">
        <f t="shared" si="6"/>
        <v>0</v>
      </c>
    </row>
    <row r="37" spans="1:16">
      <c r="A37" s="13" t="s">
        <v>80</v>
      </c>
      <c r="B37" s="14">
        <f>B35/B10</f>
        <v>48077.008051727804</v>
      </c>
      <c r="C37" s="50">
        <f>C35/C10</f>
        <v>43325.349865023978</v>
      </c>
      <c r="D37" s="50"/>
      <c r="E37" s="50"/>
      <c r="F37" s="50">
        <f>F35/F10</f>
        <v>23685.854693051631</v>
      </c>
      <c r="G37" s="50"/>
      <c r="H37" s="50"/>
      <c r="I37" s="50"/>
      <c r="J37" s="50"/>
      <c r="K37" s="14">
        <f>K35/K10</f>
        <v>115688.47003324084</v>
      </c>
      <c r="L37" s="14" t="e">
        <f>L35/L10</f>
        <v>#DIV/0!</v>
      </c>
      <c r="M37" s="14" t="e">
        <f t="shared" ref="M37:P37" si="7">M35/M10</f>
        <v>#DIV/0!</v>
      </c>
      <c r="N37" s="14">
        <f t="shared" si="7"/>
        <v>126926.65287475218</v>
      </c>
      <c r="O37" s="14" t="e">
        <f t="shared" si="7"/>
        <v>#DIV/0!</v>
      </c>
      <c r="P37" s="14" t="e">
        <f t="shared" si="7"/>
        <v>#DIV/0!</v>
      </c>
    </row>
    <row r="38" spans="1:16">
      <c r="A38" s="13" t="s">
        <v>121</v>
      </c>
      <c r="B38" s="14">
        <f>B36/B14</f>
        <v>66287.607683053968</v>
      </c>
      <c r="C38" s="50">
        <f>C36/C14</f>
        <v>103329.27328436846</v>
      </c>
      <c r="D38" s="50"/>
      <c r="E38" s="50"/>
      <c r="F38" s="50">
        <f>F36/F14</f>
        <v>26552.298279202616</v>
      </c>
      <c r="G38" s="50"/>
      <c r="H38" s="50"/>
      <c r="I38" s="50"/>
      <c r="J38" s="50"/>
      <c r="K38" s="34">
        <f>K36/K14</f>
        <v>120456.08559623851</v>
      </c>
      <c r="L38" s="34">
        <f>L36/L14</f>
        <v>0</v>
      </c>
      <c r="M38" s="34" t="e">
        <f t="shared" ref="M38:P38" si="8">M36/M14</f>
        <v>#DIV/0!</v>
      </c>
      <c r="N38" s="34" t="e">
        <f t="shared" si="8"/>
        <v>#DIV/0!</v>
      </c>
      <c r="O38" s="34" t="e">
        <f t="shared" si="8"/>
        <v>#DIV/0!</v>
      </c>
      <c r="P38" s="34" t="e">
        <f t="shared" si="8"/>
        <v>#DIV/0!</v>
      </c>
    </row>
    <row r="39" spans="1:16">
      <c r="I39" s="32"/>
      <c r="J39" s="32"/>
    </row>
    <row r="40" spans="1:16">
      <c r="A40" s="2" t="s">
        <v>13</v>
      </c>
      <c r="I40" s="32"/>
      <c r="J40" s="32"/>
    </row>
    <row r="41" spans="1:16">
      <c r="I41" s="32"/>
      <c r="J41" s="32"/>
    </row>
    <row r="42" spans="1:16">
      <c r="A42" t="s">
        <v>14</v>
      </c>
      <c r="I42" s="32"/>
      <c r="J42" s="32"/>
    </row>
    <row r="43" spans="1:16">
      <c r="A43" t="s">
        <v>15</v>
      </c>
      <c r="B43" s="17">
        <f>(B12/B32)*100</f>
        <v>112.57928702891853</v>
      </c>
      <c r="C43" s="17">
        <f t="shared" ref="C43:P43" si="9">(C12/C32)*100</f>
        <v>40.796385380380265</v>
      </c>
      <c r="D43" s="17">
        <f t="shared" si="9"/>
        <v>30.574184222374939</v>
      </c>
      <c r="E43" s="17">
        <f t="shared" si="9"/>
        <v>10.222201158005324</v>
      </c>
      <c r="F43" s="17">
        <f t="shared" si="9"/>
        <v>111.93709171623341</v>
      </c>
      <c r="G43" s="17">
        <f t="shared" si="9"/>
        <v>82.00510280654359</v>
      </c>
      <c r="H43" s="17">
        <f t="shared" si="9"/>
        <v>10.531845146409474</v>
      </c>
      <c r="I43" s="17">
        <f t="shared" si="9"/>
        <v>19.40014376328033</v>
      </c>
      <c r="J43" s="17">
        <f t="shared" si="9"/>
        <v>27.865589231972322</v>
      </c>
      <c r="K43" s="17">
        <f t="shared" si="9"/>
        <v>8.3998830935962143</v>
      </c>
      <c r="L43" s="17">
        <f t="shared" si="9"/>
        <v>0</v>
      </c>
      <c r="M43" s="17">
        <f t="shared" si="9"/>
        <v>0</v>
      </c>
      <c r="N43" s="17">
        <f t="shared" si="9"/>
        <v>0</v>
      </c>
      <c r="O43" s="17">
        <f t="shared" si="9"/>
        <v>0</v>
      </c>
      <c r="P43" s="17">
        <f t="shared" si="9"/>
        <v>0</v>
      </c>
    </row>
    <row r="44" spans="1:16">
      <c r="A44" t="s">
        <v>16</v>
      </c>
      <c r="B44" s="17">
        <f>(B14/B32)*100</f>
        <v>98.64609745886554</v>
      </c>
      <c r="C44" s="17">
        <f t="shared" ref="C44:P44" si="10">(C14/C32)*100</f>
        <v>27.326871884799797</v>
      </c>
      <c r="D44" s="17">
        <f t="shared" si="10"/>
        <v>19.696622616123076</v>
      </c>
      <c r="E44" s="17">
        <f t="shared" si="10"/>
        <v>7.6302492686767183</v>
      </c>
      <c r="F44" s="17">
        <f t="shared" si="10"/>
        <v>97.269287581854229</v>
      </c>
      <c r="G44" s="17">
        <f t="shared" si="10"/>
        <v>78.949474842742461</v>
      </c>
      <c r="H44" s="17">
        <f t="shared" si="10"/>
        <v>3.1385683178379691</v>
      </c>
      <c r="I44" s="17">
        <f t="shared" si="10"/>
        <v>15.181244421273806</v>
      </c>
      <c r="J44" s="17">
        <f t="shared" si="10"/>
        <v>20.101845488702995</v>
      </c>
      <c r="K44" s="17">
        <f t="shared" si="10"/>
        <v>9.4028031206637337</v>
      </c>
      <c r="L44" s="17">
        <f t="shared" si="10"/>
        <v>14.715988530533899</v>
      </c>
      <c r="M44" s="17">
        <f t="shared" si="10"/>
        <v>0</v>
      </c>
      <c r="N44" s="17">
        <f t="shared" si="10"/>
        <v>0</v>
      </c>
      <c r="O44" s="17">
        <f t="shared" si="10"/>
        <v>0</v>
      </c>
      <c r="P44" s="17">
        <f t="shared" si="10"/>
        <v>0</v>
      </c>
    </row>
    <row r="45" spans="1:16">
      <c r="I45" s="32"/>
      <c r="J45" s="32"/>
    </row>
    <row r="46" spans="1:16">
      <c r="A46" t="s">
        <v>17</v>
      </c>
      <c r="I46" s="32"/>
      <c r="J46" s="32"/>
    </row>
    <row r="47" spans="1:16">
      <c r="A47" t="s">
        <v>18</v>
      </c>
      <c r="B47" s="15">
        <f>B14/B12*100</f>
        <v>87.623665118367683</v>
      </c>
      <c r="C47" s="15">
        <f t="shared" ref="C47:P47" si="11">C14/C12*100</f>
        <v>66.983561484694178</v>
      </c>
      <c r="D47" s="15">
        <f t="shared" si="11"/>
        <v>64.422397905578805</v>
      </c>
      <c r="E47" s="15">
        <f t="shared" si="11"/>
        <v>74.643896659196855</v>
      </c>
      <c r="F47" s="15">
        <f t="shared" si="11"/>
        <v>86.896386256342211</v>
      </c>
      <c r="G47" s="15">
        <f t="shared" si="11"/>
        <v>96.273856309881594</v>
      </c>
      <c r="H47" s="15">
        <f t="shared" si="11"/>
        <v>29.80074501862547</v>
      </c>
      <c r="I47" s="15">
        <f t="shared" si="11"/>
        <v>78.25325732899023</v>
      </c>
      <c r="J47" s="15">
        <f t="shared" si="11"/>
        <v>72.138598331301779</v>
      </c>
      <c r="K47" s="15">
        <f t="shared" si="11"/>
        <v>111.9396903015485</v>
      </c>
      <c r="L47" s="15" t="e">
        <f t="shared" si="11"/>
        <v>#DIV/0!</v>
      </c>
      <c r="M47" s="15" t="e">
        <f t="shared" si="11"/>
        <v>#DIV/0!</v>
      </c>
      <c r="N47" s="15" t="e">
        <f t="shared" si="11"/>
        <v>#DIV/0!</v>
      </c>
      <c r="O47" s="15" t="e">
        <f t="shared" si="11"/>
        <v>#DIV/0!</v>
      </c>
      <c r="P47" s="15" t="e">
        <f t="shared" si="11"/>
        <v>#DIV/0!</v>
      </c>
    </row>
    <row r="48" spans="1:16">
      <c r="A48" t="s">
        <v>19</v>
      </c>
      <c r="B48" s="15">
        <f>B21/B20*100</f>
        <v>128.19335683567763</v>
      </c>
      <c r="C48" s="15">
        <f>C21/C20*100</f>
        <v>103.59828075225633</v>
      </c>
      <c r="D48" s="15"/>
      <c r="E48" s="15"/>
      <c r="F48" s="58">
        <f>F21/F20*100</f>
        <v>156.54164556628106</v>
      </c>
      <c r="G48" s="58"/>
      <c r="H48" s="58"/>
      <c r="I48" s="58"/>
      <c r="J48" s="58"/>
      <c r="K48" s="15">
        <f>K21/K20*100</f>
        <v>156.12840640250241</v>
      </c>
      <c r="L48" s="15" t="e">
        <f>L21/L20*100</f>
        <v>#DIV/0!</v>
      </c>
      <c r="M48" s="15" t="e">
        <f>M22/M20*100</f>
        <v>#DIV/0!</v>
      </c>
      <c r="N48" s="15" t="e">
        <f t="shared" ref="N48:P48" si="12">N21/N20*100</f>
        <v>#DIV/0!</v>
      </c>
      <c r="O48" s="15" t="e">
        <f t="shared" si="12"/>
        <v>#DIV/0!</v>
      </c>
      <c r="P48" s="15" t="e">
        <f t="shared" si="12"/>
        <v>#DIV/0!</v>
      </c>
    </row>
    <row r="49" spans="1:17">
      <c r="A49" s="13" t="s">
        <v>20</v>
      </c>
      <c r="B49" s="16">
        <f>AVERAGE(B47:B48)</f>
        <v>107.90851097702266</v>
      </c>
      <c r="C49" s="16">
        <f t="shared" ref="C49:P49" si="13">AVERAGE(C47:C48)</f>
        <v>85.290921118475254</v>
      </c>
      <c r="D49" s="16"/>
      <c r="E49" s="16"/>
      <c r="F49" s="59">
        <f>AVERAGE(F47:F48)</f>
        <v>121.71901591131163</v>
      </c>
      <c r="G49" s="59"/>
      <c r="H49" s="59"/>
      <c r="I49" s="59"/>
      <c r="J49" s="59"/>
      <c r="K49" s="16">
        <f t="shared" si="13"/>
        <v>134.03404835202545</v>
      </c>
      <c r="L49" s="16" t="e">
        <f t="shared" si="13"/>
        <v>#DIV/0!</v>
      </c>
      <c r="M49" s="16" t="e">
        <f t="shared" si="13"/>
        <v>#DIV/0!</v>
      </c>
      <c r="N49" s="16" t="e">
        <f t="shared" si="13"/>
        <v>#DIV/0!</v>
      </c>
      <c r="O49" s="16" t="e">
        <f t="shared" si="13"/>
        <v>#DIV/0!</v>
      </c>
      <c r="P49" s="16" t="e">
        <f t="shared" si="13"/>
        <v>#DIV/0!</v>
      </c>
    </row>
    <row r="50" spans="1:17">
      <c r="B50" s="15"/>
      <c r="C50" s="15"/>
      <c r="D50" s="15"/>
      <c r="E50" s="15"/>
      <c r="F50" s="15"/>
      <c r="G50" s="15"/>
      <c r="H50" s="15"/>
      <c r="I50" s="15"/>
      <c r="J50" s="15"/>
      <c r="K50" s="15"/>
      <c r="L50" s="15"/>
    </row>
    <row r="51" spans="1:17">
      <c r="A51" t="s">
        <v>21</v>
      </c>
    </row>
    <row r="52" spans="1:17">
      <c r="A52" t="s">
        <v>22</v>
      </c>
      <c r="B52" s="15">
        <f>((B14/B16)*100)</f>
        <v>90.235337471187961</v>
      </c>
      <c r="C52" s="15">
        <f t="shared" ref="C52:P52" si="14">((C14/C16)*100)</f>
        <v>69.895949085766233</v>
      </c>
      <c r="D52" s="15">
        <f t="shared" si="14"/>
        <v>67.223824800726092</v>
      </c>
      <c r="E52" s="15">
        <f t="shared" si="14"/>
        <v>77.887975057786377</v>
      </c>
      <c r="F52" s="15">
        <f t="shared" si="14"/>
        <v>91.843032495731606</v>
      </c>
      <c r="G52" s="15">
        <f t="shared" si="14"/>
        <v>98.66112558898628</v>
      </c>
      <c r="H52" s="15">
        <f t="shared" si="14"/>
        <v>37.138294972154071</v>
      </c>
      <c r="I52" s="15">
        <f t="shared" si="14"/>
        <v>87.066889152314587</v>
      </c>
      <c r="J52" s="15">
        <f t="shared" si="14"/>
        <v>80.170748099298521</v>
      </c>
      <c r="K52" s="15">
        <f t="shared" si="14"/>
        <v>116.80567821280215</v>
      </c>
      <c r="L52" s="15">
        <f t="shared" si="14"/>
        <v>93.15</v>
      </c>
      <c r="M52" s="15" t="e">
        <f t="shared" si="14"/>
        <v>#DIV/0!</v>
      </c>
      <c r="N52" s="15" t="e">
        <f>((N14/M16)*100)</f>
        <v>#DIV/0!</v>
      </c>
      <c r="O52" s="15" t="e">
        <f t="shared" si="14"/>
        <v>#DIV/0!</v>
      </c>
      <c r="P52" s="15" t="e">
        <f t="shared" si="14"/>
        <v>#DIV/0!</v>
      </c>
      <c r="Q52" s="74"/>
    </row>
    <row r="53" spans="1:17">
      <c r="A53" t="s">
        <v>23</v>
      </c>
      <c r="B53" s="15">
        <f>B21/B22*100</f>
        <v>33.028569812551481</v>
      </c>
      <c r="C53" s="15">
        <f>C21/C22*100</f>
        <v>26.548867688830729</v>
      </c>
      <c r="D53" s="15"/>
      <c r="E53" s="15"/>
      <c r="F53" s="15">
        <f>F21/F22*100</f>
        <v>40.836951017290716</v>
      </c>
      <c r="G53" s="15"/>
      <c r="H53" s="15"/>
      <c r="I53" s="15"/>
      <c r="J53" s="15"/>
      <c r="K53" s="15">
        <f t="shared" ref="K53:P53" si="15">K21/K22*100</f>
        <v>40.952400597352764</v>
      </c>
      <c r="L53" s="15">
        <f t="shared" si="15"/>
        <v>0</v>
      </c>
      <c r="M53" s="15" t="e">
        <f>M22/#REF!*100</f>
        <v>#REF!</v>
      </c>
      <c r="N53" s="15" t="e">
        <f t="shared" si="15"/>
        <v>#DIV/0!</v>
      </c>
      <c r="O53" s="15" t="e">
        <f t="shared" si="15"/>
        <v>#DIV/0!</v>
      </c>
      <c r="P53" s="15" t="e">
        <f t="shared" si="15"/>
        <v>#DIV/0!</v>
      </c>
    </row>
    <row r="54" spans="1:17">
      <c r="A54" t="s">
        <v>24</v>
      </c>
      <c r="B54" s="15">
        <f>(B52+B53)/2</f>
        <v>61.631953641869721</v>
      </c>
      <c r="C54" s="15">
        <f t="shared" ref="C54:P54" si="16">(C52+C53)/2</f>
        <v>48.222408387298479</v>
      </c>
      <c r="D54" s="15"/>
      <c r="E54" s="15"/>
      <c r="F54" s="15">
        <f t="shared" ref="F54" si="17">(F52+F53)/2</f>
        <v>66.339991756511154</v>
      </c>
      <c r="G54" s="15"/>
      <c r="H54" s="15"/>
      <c r="I54" s="15"/>
      <c r="J54" s="15"/>
      <c r="K54" s="15">
        <f t="shared" si="16"/>
        <v>78.879039405077464</v>
      </c>
      <c r="L54" s="15">
        <f t="shared" si="16"/>
        <v>46.575000000000003</v>
      </c>
      <c r="M54" s="15" t="e">
        <f t="shared" si="16"/>
        <v>#DIV/0!</v>
      </c>
      <c r="N54" s="15" t="e">
        <f t="shared" si="16"/>
        <v>#DIV/0!</v>
      </c>
      <c r="O54" s="15" t="e">
        <f t="shared" si="16"/>
        <v>#DIV/0!</v>
      </c>
      <c r="P54" s="15" t="e">
        <f t="shared" si="16"/>
        <v>#DIV/0!</v>
      </c>
    </row>
    <row r="55" spans="1:17">
      <c r="B55" s="15"/>
      <c r="C55" s="15"/>
      <c r="D55" s="15"/>
      <c r="E55" s="15"/>
      <c r="F55" s="15"/>
      <c r="G55" s="15"/>
      <c r="H55" s="15"/>
      <c r="I55" s="15"/>
      <c r="J55" s="15"/>
      <c r="K55" s="15"/>
      <c r="L55" s="15"/>
    </row>
    <row r="56" spans="1:17">
      <c r="A56" t="s">
        <v>40</v>
      </c>
    </row>
    <row r="57" spans="1:17">
      <c r="A57" t="s">
        <v>25</v>
      </c>
      <c r="B57" s="15">
        <f>B23/B21*100</f>
        <v>100</v>
      </c>
      <c r="C57" s="15"/>
      <c r="D57" s="15"/>
      <c r="E57" s="15"/>
      <c r="F57" s="15"/>
      <c r="G57" s="15"/>
      <c r="H57" s="15"/>
      <c r="I57" s="15"/>
      <c r="J57" s="15"/>
      <c r="K57" s="15"/>
      <c r="L57" s="15"/>
    </row>
    <row r="59" spans="1:17">
      <c r="A59" t="s">
        <v>26</v>
      </c>
    </row>
    <row r="60" spans="1:17">
      <c r="A60" t="s">
        <v>27</v>
      </c>
      <c r="B60" s="15">
        <f>((B14/B10)-1)*100</f>
        <v>-1.02815811233129</v>
      </c>
      <c r="C60" s="15">
        <f t="shared" ref="C60:P60" si="18">((C14/C10)-1)*100</f>
        <v>10.818660373933554</v>
      </c>
      <c r="D60" s="15">
        <f t="shared" si="18"/>
        <v>-0.68374025836088759</v>
      </c>
      <c r="E60" s="15">
        <f t="shared" si="18"/>
        <v>58.0787693650447</v>
      </c>
      <c r="F60" s="15">
        <f t="shared" si="18"/>
        <v>-1.2005594944224374</v>
      </c>
      <c r="G60" s="15">
        <f t="shared" si="18"/>
        <v>-1.1137128157773124</v>
      </c>
      <c r="H60" s="15">
        <f t="shared" si="18"/>
        <v>3.2392170448640289</v>
      </c>
      <c r="I60" s="15">
        <f t="shared" si="18"/>
        <v>-2.5125543175016474</v>
      </c>
      <c r="J60" s="15">
        <f t="shared" si="18"/>
        <v>-3.4902535837989634</v>
      </c>
      <c r="K60" s="15">
        <f t="shared" si="18"/>
        <v>33.879433155882111</v>
      </c>
      <c r="L60" s="15" t="e">
        <f t="shared" si="18"/>
        <v>#DIV/0!</v>
      </c>
      <c r="M60" s="15" t="e">
        <f t="shared" si="18"/>
        <v>#DIV/0!</v>
      </c>
      <c r="N60" s="15">
        <f t="shared" si="18"/>
        <v>-100</v>
      </c>
      <c r="O60" s="15" t="e">
        <f t="shared" si="18"/>
        <v>#DIV/0!</v>
      </c>
      <c r="P60" s="15" t="e">
        <f t="shared" si="18"/>
        <v>#DIV/0!</v>
      </c>
    </row>
    <row r="61" spans="1:17">
      <c r="A61" t="s">
        <v>28</v>
      </c>
      <c r="B61" s="15">
        <f>((B36/B35)-1)*100</f>
        <v>36.460376645323578</v>
      </c>
      <c r="C61" s="15">
        <f t="shared" ref="C61:P61" si="19">((C36/C35)-1)*100</f>
        <v>164.29819213138992</v>
      </c>
      <c r="D61" s="15"/>
      <c r="E61" s="15"/>
      <c r="F61" s="15">
        <f t="shared" si="19"/>
        <v>10.756071424013358</v>
      </c>
      <c r="G61" s="15"/>
      <c r="H61" s="15"/>
      <c r="I61" s="15"/>
      <c r="J61" s="15"/>
      <c r="K61" s="15">
        <f t="shared" si="19"/>
        <v>39.396713044672161</v>
      </c>
      <c r="L61" s="15">
        <f t="shared" si="19"/>
        <v>-100</v>
      </c>
      <c r="M61" s="15" t="e">
        <f t="shared" si="19"/>
        <v>#DIV/0!</v>
      </c>
      <c r="N61" s="15">
        <f t="shared" si="19"/>
        <v>-100</v>
      </c>
      <c r="O61" s="15">
        <f t="shared" si="19"/>
        <v>-100</v>
      </c>
      <c r="P61" s="15">
        <f t="shared" si="19"/>
        <v>-100</v>
      </c>
    </row>
    <row r="62" spans="1:17">
      <c r="A62" s="13" t="s">
        <v>29</v>
      </c>
      <c r="B62" s="16">
        <f>((B38/B37)-1)*100</f>
        <v>37.877980284739678</v>
      </c>
      <c r="C62" s="16">
        <f t="shared" ref="C62:P62" si="20">((C38/C37)-1)*100</f>
        <v>138.49610818211744</v>
      </c>
      <c r="D62" s="16"/>
      <c r="E62" s="16"/>
      <c r="F62" s="16">
        <f t="shared" si="20"/>
        <v>12.101921688271911</v>
      </c>
      <c r="G62" s="16"/>
      <c r="H62" s="16"/>
      <c r="I62" s="16"/>
      <c r="J62" s="16"/>
      <c r="K62" s="16">
        <f t="shared" si="20"/>
        <v>4.1210810045528179</v>
      </c>
      <c r="L62" s="16" t="e">
        <f t="shared" si="20"/>
        <v>#DIV/0!</v>
      </c>
      <c r="M62" s="16" t="e">
        <f t="shared" si="20"/>
        <v>#DIV/0!</v>
      </c>
      <c r="N62" s="16" t="e">
        <f t="shared" si="20"/>
        <v>#DIV/0!</v>
      </c>
      <c r="O62" s="16" t="e">
        <f t="shared" si="20"/>
        <v>#DIV/0!</v>
      </c>
      <c r="P62" s="16" t="e">
        <f t="shared" si="20"/>
        <v>#DIV/0!</v>
      </c>
    </row>
    <row r="63" spans="1:17">
      <c r="B63" s="17"/>
      <c r="C63" s="17"/>
      <c r="D63" s="17"/>
      <c r="E63" s="17"/>
      <c r="F63" s="17"/>
      <c r="G63" s="17"/>
      <c r="H63" s="17"/>
      <c r="I63" s="17"/>
      <c r="J63" s="17"/>
      <c r="K63" s="17"/>
      <c r="L63" s="17"/>
    </row>
    <row r="64" spans="1:17">
      <c r="A64" t="s">
        <v>30</v>
      </c>
    </row>
    <row r="65" spans="1:16">
      <c r="A65" t="s">
        <v>46</v>
      </c>
      <c r="B65" s="4">
        <f>B20/(B12*3)</f>
        <v>14952.099567107769</v>
      </c>
      <c r="C65" s="4">
        <f>C20/(C12*3)</f>
        <v>22047.177659560737</v>
      </c>
      <c r="D65" s="4"/>
      <c r="E65" s="4"/>
      <c r="F65" s="4">
        <f t="shared" ref="F65" si="21">F20/(F12*3)</f>
        <v>4863.9363055275253</v>
      </c>
      <c r="G65" s="4"/>
      <c r="H65" s="40"/>
      <c r="I65" s="40"/>
      <c r="J65" s="40"/>
      <c r="K65" s="4">
        <f>K20/(K12*3)</f>
        <v>28500</v>
      </c>
      <c r="L65" s="4" t="e">
        <f>L20/(L12*3)</f>
        <v>#DIV/0!</v>
      </c>
      <c r="M65" s="4" t="e">
        <f t="shared" ref="M65:P65" si="22">M20/(M12*3)</f>
        <v>#DIV/0!</v>
      </c>
      <c r="N65" s="4" t="e">
        <f t="shared" si="22"/>
        <v>#DIV/0!</v>
      </c>
      <c r="O65" s="4" t="e">
        <f t="shared" si="22"/>
        <v>#DIV/0!</v>
      </c>
      <c r="P65" s="4" t="e">
        <f t="shared" si="22"/>
        <v>#DIV/0!</v>
      </c>
    </row>
    <row r="66" spans="1:16">
      <c r="A66" t="s">
        <v>47</v>
      </c>
      <c r="B66" s="4">
        <f>B21/(B14*3)</f>
        <v>21874.910535407809</v>
      </c>
      <c r="C66" s="4">
        <f>C21/(C14*3)</f>
        <v>34098.660183841595</v>
      </c>
      <c r="D66" s="4"/>
      <c r="E66" s="44"/>
      <c r="F66" s="4">
        <f>F21/(F14*3)</f>
        <v>8762.2584321368631</v>
      </c>
      <c r="G66" s="40"/>
      <c r="H66" s="40"/>
      <c r="I66" s="40"/>
      <c r="J66" s="40"/>
      <c r="K66" s="4">
        <f>K21/(K14*3)</f>
        <v>39750.508246758705</v>
      </c>
      <c r="L66" s="4">
        <f>L21/(L14*3)</f>
        <v>0</v>
      </c>
      <c r="M66" s="4" t="e">
        <f>M22/(M14*3)</f>
        <v>#DIV/0!</v>
      </c>
      <c r="N66" s="4" t="e">
        <f t="shared" ref="N66:P66" si="23">N21/(N14*3)</f>
        <v>#DIV/0!</v>
      </c>
      <c r="O66" s="4" t="e">
        <f t="shared" si="23"/>
        <v>#DIV/0!</v>
      </c>
      <c r="P66" s="4" t="e">
        <f t="shared" si="23"/>
        <v>#DIV/0!</v>
      </c>
    </row>
    <row r="67" spans="1:16">
      <c r="A67" s="13" t="s">
        <v>33</v>
      </c>
      <c r="B67" s="16">
        <f>(B66/B65)*B49</f>
        <v>157.87007122559169</v>
      </c>
      <c r="C67" s="16">
        <f t="shared" ref="C67:P67" si="24">(C66/C65)*C49</f>
        <v>131.91285437501531</v>
      </c>
      <c r="D67" s="16"/>
      <c r="E67" s="16"/>
      <c r="F67" s="16">
        <f t="shared" si="24"/>
        <v>219.27373356189929</v>
      </c>
      <c r="G67" s="16"/>
      <c r="H67" s="16"/>
      <c r="I67" s="16"/>
      <c r="J67" s="16"/>
      <c r="K67" s="16">
        <f t="shared" si="24"/>
        <v>186.94461559170674</v>
      </c>
      <c r="L67" s="16" t="e">
        <f t="shared" si="24"/>
        <v>#DIV/0!</v>
      </c>
      <c r="M67" s="16" t="e">
        <f t="shared" si="24"/>
        <v>#DIV/0!</v>
      </c>
      <c r="N67" s="16" t="e">
        <f t="shared" si="24"/>
        <v>#DIV/0!</v>
      </c>
      <c r="O67" s="16" t="e">
        <f t="shared" si="24"/>
        <v>#DIV/0!</v>
      </c>
      <c r="P67" s="16" t="e">
        <f t="shared" si="24"/>
        <v>#DIV/0!</v>
      </c>
    </row>
    <row r="68" spans="1:16">
      <c r="A68" t="s">
        <v>39</v>
      </c>
      <c r="B68" s="30">
        <f>B20/B12</f>
        <v>44856.298701323307</v>
      </c>
      <c r="C68" s="30">
        <f>C20/C12</f>
        <v>66141.532978682211</v>
      </c>
      <c r="D68" s="30"/>
      <c r="E68" s="30"/>
      <c r="F68" s="30">
        <f t="shared" ref="F68" si="25">F20/F12</f>
        <v>14591.808916582575</v>
      </c>
      <c r="G68" s="60"/>
      <c r="H68" s="60"/>
      <c r="I68" s="60"/>
      <c r="J68" s="60"/>
      <c r="K68" s="30">
        <f t="shared" ref="K68:P68" si="26">K20/K12</f>
        <v>85500</v>
      </c>
      <c r="L68" s="30" t="e">
        <f t="shared" si="26"/>
        <v>#DIV/0!</v>
      </c>
      <c r="M68" s="30" t="e">
        <f t="shared" si="26"/>
        <v>#DIV/0!</v>
      </c>
      <c r="N68" s="30" t="e">
        <f t="shared" si="26"/>
        <v>#DIV/0!</v>
      </c>
      <c r="O68" s="30" t="e">
        <f t="shared" si="26"/>
        <v>#DIV/0!</v>
      </c>
      <c r="P68" s="30" t="e">
        <f t="shared" si="26"/>
        <v>#DIV/0!</v>
      </c>
    </row>
    <row r="69" spans="1:16">
      <c r="A69" t="s">
        <v>38</v>
      </c>
      <c r="B69" s="17">
        <f>B21/B14</f>
        <v>65624.731606223431</v>
      </c>
      <c r="C69" s="17">
        <f>C21/C14</f>
        <v>102295.98055152479</v>
      </c>
      <c r="D69" s="17"/>
      <c r="E69" s="17"/>
      <c r="F69" s="17">
        <f t="shared" ref="F69" si="27">F21/F14</f>
        <v>26286.775296410589</v>
      </c>
      <c r="G69" s="60"/>
      <c r="H69" s="60"/>
      <c r="I69" s="60"/>
      <c r="J69" s="60"/>
      <c r="K69" s="30">
        <f>K21/K14</f>
        <v>119251.52474027612</v>
      </c>
      <c r="L69" s="30">
        <f>L21/L14</f>
        <v>0</v>
      </c>
      <c r="M69" s="30" t="e">
        <f>M22/M14</f>
        <v>#DIV/0!</v>
      </c>
      <c r="N69" s="30" t="e">
        <f t="shared" ref="N69:P69" si="28">N21/N14</f>
        <v>#DIV/0!</v>
      </c>
      <c r="O69" s="30" t="e">
        <f t="shared" si="28"/>
        <v>#DIV/0!</v>
      </c>
      <c r="P69" s="30" t="e">
        <f t="shared" si="28"/>
        <v>#DIV/0!</v>
      </c>
    </row>
    <row r="70" spans="1:16">
      <c r="B70" s="15"/>
      <c r="C70" s="15"/>
      <c r="D70" s="15"/>
      <c r="E70" s="15"/>
      <c r="F70" s="15"/>
      <c r="G70" s="15"/>
      <c r="H70" s="15"/>
      <c r="I70" s="17"/>
      <c r="J70" s="17"/>
      <c r="K70" s="15"/>
      <c r="L70" s="15"/>
    </row>
    <row r="71" spans="1:16">
      <c r="A71" t="s">
        <v>34</v>
      </c>
      <c r="B71" s="15"/>
      <c r="C71" s="15"/>
      <c r="D71" s="15"/>
      <c r="E71" s="15"/>
      <c r="F71" s="15"/>
      <c r="G71" s="15"/>
      <c r="H71" s="15"/>
      <c r="I71" s="17"/>
      <c r="J71" s="17"/>
      <c r="K71" s="15"/>
      <c r="L71" s="15"/>
    </row>
    <row r="72" spans="1:16">
      <c r="A72" s="18" t="s">
        <v>35</v>
      </c>
      <c r="B72" s="19">
        <f>(B27/B26)*100</f>
        <v>71.573558065748628</v>
      </c>
      <c r="C72" s="19"/>
      <c r="D72" s="19"/>
      <c r="E72" s="19"/>
      <c r="F72" s="19"/>
      <c r="G72" s="19"/>
      <c r="H72" s="19"/>
      <c r="I72" s="19"/>
      <c r="J72" s="19"/>
      <c r="K72" s="19"/>
      <c r="L72" s="19"/>
    </row>
    <row r="73" spans="1:16">
      <c r="A73" s="18" t="s">
        <v>36</v>
      </c>
      <c r="B73" s="19">
        <f>(B21/B27)*100</f>
        <v>179.10714557171679</v>
      </c>
      <c r="C73" s="19"/>
      <c r="D73" s="19"/>
      <c r="E73" s="19"/>
      <c r="F73" s="19"/>
      <c r="G73" s="19"/>
      <c r="H73" s="19"/>
      <c r="I73" s="19"/>
      <c r="J73" s="19"/>
      <c r="K73" s="19"/>
      <c r="L73" s="19"/>
    </row>
    <row r="74" spans="1:16" ht="15.75" thickBot="1">
      <c r="A74" s="20"/>
      <c r="B74" s="20"/>
      <c r="C74" s="20"/>
      <c r="D74" s="20"/>
      <c r="E74" s="20"/>
      <c r="F74" s="20"/>
      <c r="G74" s="20"/>
      <c r="H74" s="20"/>
      <c r="I74" s="49"/>
      <c r="J74" s="49"/>
      <c r="K74" s="20"/>
      <c r="L74" s="20"/>
      <c r="M74" s="20"/>
      <c r="N74" s="20"/>
      <c r="O74" s="20"/>
      <c r="P74" s="20"/>
    </row>
    <row r="75" spans="1:16" ht="15.75" thickTop="1">
      <c r="A75" s="33" t="s">
        <v>97</v>
      </c>
    </row>
    <row r="76" spans="1:16">
      <c r="A76" t="s">
        <v>98</v>
      </c>
    </row>
    <row r="77" spans="1:16">
      <c r="A77" t="s">
        <v>99</v>
      </c>
    </row>
    <row r="78" spans="1:16">
      <c r="A78" t="s">
        <v>54</v>
      </c>
      <c r="B78" s="21"/>
      <c r="C78" s="21"/>
      <c r="D78" s="21"/>
      <c r="E78" s="21"/>
      <c r="F78" s="21"/>
      <c r="G78" s="21"/>
      <c r="H78" s="21"/>
      <c r="I78" s="21"/>
      <c r="J78" s="21"/>
    </row>
    <row r="80" spans="1:16">
      <c r="A80" t="s">
        <v>43</v>
      </c>
    </row>
    <row r="81" spans="1:1">
      <c r="A81" t="s">
        <v>52</v>
      </c>
    </row>
    <row r="82" spans="1:1">
      <c r="A82" t="s">
        <v>60</v>
      </c>
    </row>
    <row r="83" spans="1:1">
      <c r="A83" t="s">
        <v>50</v>
      </c>
    </row>
    <row r="84" spans="1:1">
      <c r="A84" t="s">
        <v>53</v>
      </c>
    </row>
    <row r="85" spans="1:1">
      <c r="A85" t="s">
        <v>64</v>
      </c>
    </row>
    <row r="87" spans="1:1">
      <c r="A87" t="s">
        <v>143</v>
      </c>
    </row>
    <row r="88" spans="1:1">
      <c r="A88" s="42"/>
    </row>
  </sheetData>
  <mergeCells count="10">
    <mergeCell ref="G34:J34"/>
    <mergeCell ref="A2:K2"/>
    <mergeCell ref="A4:A5"/>
    <mergeCell ref="D5:E5"/>
    <mergeCell ref="D4:P4"/>
    <mergeCell ref="G5:J5"/>
    <mergeCell ref="G20:J20"/>
    <mergeCell ref="G22:J22"/>
    <mergeCell ref="G21:J21"/>
    <mergeCell ref="D21:E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P87"/>
  <sheetViews>
    <sheetView topLeftCell="C1" zoomScale="70" zoomScaleNormal="70" workbookViewId="0">
      <selection activeCell="L16" sqref="L16"/>
    </sheetView>
  </sheetViews>
  <sheetFormatPr baseColWidth="10" defaultColWidth="11.42578125" defaultRowHeight="15"/>
  <cols>
    <col min="1" max="1" width="55.140625" customWidth="1"/>
    <col min="2" max="3" width="26.7109375" customWidth="1"/>
    <col min="4" max="6" width="16.5703125" customWidth="1"/>
    <col min="7" max="7" width="16.140625" customWidth="1"/>
    <col min="8" max="10" width="17.42578125" customWidth="1"/>
    <col min="11" max="11" width="24.5703125" customWidth="1"/>
    <col min="12" max="12" width="16.42578125" customWidth="1"/>
    <col min="13" max="13" width="18.85546875" customWidth="1"/>
    <col min="14" max="14" width="23.85546875" customWidth="1"/>
    <col min="15" max="15" width="19" hidden="1" customWidth="1"/>
    <col min="16" max="16" width="22.7109375" hidden="1" customWidth="1"/>
  </cols>
  <sheetData>
    <row r="1" spans="1:16">
      <c r="G1" s="38"/>
      <c r="H1" s="38"/>
      <c r="I1" s="32"/>
      <c r="J1" s="32"/>
    </row>
    <row r="2" spans="1:16" ht="15.75">
      <c r="A2" s="102" t="s">
        <v>122</v>
      </c>
      <c r="B2" s="102"/>
      <c r="C2" s="102"/>
      <c r="D2" s="102"/>
      <c r="E2" s="102"/>
      <c r="F2" s="102"/>
      <c r="G2" s="102"/>
      <c r="H2" s="102"/>
      <c r="I2" s="102"/>
      <c r="J2" s="102"/>
      <c r="K2" s="102"/>
    </row>
    <row r="4" spans="1:16">
      <c r="A4" s="100" t="s">
        <v>0</v>
      </c>
      <c r="B4" s="25" t="s">
        <v>1</v>
      </c>
      <c r="C4" s="25"/>
      <c r="D4" s="110" t="s">
        <v>2</v>
      </c>
      <c r="E4" s="110"/>
      <c r="F4" s="110"/>
      <c r="G4" s="110"/>
      <c r="H4" s="110"/>
      <c r="I4" s="110"/>
      <c r="J4" s="110"/>
      <c r="K4" s="110"/>
      <c r="L4" s="110"/>
      <c r="M4" s="110"/>
      <c r="N4" s="110"/>
    </row>
    <row r="5" spans="1:16" ht="15.75" thickBot="1">
      <c r="A5" s="101"/>
      <c r="B5" s="1" t="s">
        <v>3</v>
      </c>
      <c r="C5" s="57" t="s">
        <v>55</v>
      </c>
      <c r="D5" s="103" t="s">
        <v>4</v>
      </c>
      <c r="E5" s="103"/>
      <c r="F5" s="57" t="s">
        <v>56</v>
      </c>
      <c r="G5" s="103" t="s">
        <v>51</v>
      </c>
      <c r="H5" s="103"/>
      <c r="I5" s="48"/>
      <c r="J5" s="48"/>
      <c r="K5" s="1" t="s">
        <v>5</v>
      </c>
      <c r="L5" s="20" t="s">
        <v>100</v>
      </c>
      <c r="M5" s="20" t="s">
        <v>61</v>
      </c>
      <c r="N5" s="65" t="s">
        <v>138</v>
      </c>
      <c r="O5" s="20" t="s">
        <v>62</v>
      </c>
      <c r="P5" s="20" t="s">
        <v>63</v>
      </c>
    </row>
    <row r="6" spans="1:16" ht="15.75" thickTop="1">
      <c r="B6" s="36" t="s">
        <v>1</v>
      </c>
      <c r="D6" s="36" t="s">
        <v>48</v>
      </c>
      <c r="E6" s="36" t="s">
        <v>49</v>
      </c>
      <c r="F6" s="36"/>
      <c r="G6" s="36">
        <v>1600</v>
      </c>
      <c r="H6" s="36">
        <v>640</v>
      </c>
      <c r="I6" s="47">
        <v>320</v>
      </c>
      <c r="J6" s="47">
        <v>800</v>
      </c>
      <c r="K6" s="36" t="s">
        <v>5</v>
      </c>
      <c r="M6" s="67"/>
      <c r="N6" s="67"/>
      <c r="O6" s="33" t="s">
        <v>62</v>
      </c>
      <c r="P6" s="33" t="s">
        <v>63</v>
      </c>
    </row>
    <row r="7" spans="1:16">
      <c r="A7" s="2" t="s">
        <v>6</v>
      </c>
      <c r="I7" s="32"/>
      <c r="J7" s="32"/>
    </row>
    <row r="8" spans="1:16">
      <c r="I8" s="32"/>
      <c r="J8" s="32"/>
    </row>
    <row r="9" spans="1:16">
      <c r="A9" t="s">
        <v>7</v>
      </c>
      <c r="I9" s="32"/>
      <c r="J9" s="32"/>
    </row>
    <row r="10" spans="1:16">
      <c r="A10" s="3" t="s">
        <v>81</v>
      </c>
      <c r="B10" s="24">
        <f>+D10+G10</f>
        <v>118282.16666666667</v>
      </c>
      <c r="C10" s="52">
        <f>D10+E10</f>
        <v>27449.833333333336</v>
      </c>
      <c r="D10" s="24">
        <f>(+'I Trimestre'!D10+'II Trimestre'!D10)/2</f>
        <v>22793.666666666668</v>
      </c>
      <c r="E10" s="24">
        <f>(+'I Trimestre'!E10+'II Trimestre'!E10)/2</f>
        <v>4656.166666666667</v>
      </c>
      <c r="F10" s="24">
        <f>SUM(G10:I10)</f>
        <v>116825.33333333333</v>
      </c>
      <c r="G10" s="24">
        <f>(+'I Trimestre'!G10+'II Trimestre'!G10)/2</f>
        <v>95488.5</v>
      </c>
      <c r="H10" s="64">
        <f>(+'I Trimestre'!H10+'II Trimestre'!H10)/2</f>
        <v>3478</v>
      </c>
      <c r="I10" s="64">
        <f>(+'I Trimestre'!I10+'II Trimestre'!I10)/2</f>
        <v>17858.833333333332</v>
      </c>
      <c r="J10" s="37">
        <f>(+'I Trimestre'!J10+'II Trimestre'!J10)/2</f>
        <v>24431.166666666664</v>
      </c>
      <c r="K10" s="24">
        <f>(+'I Trimestre'!K10+'II Trimestre'!K10)/2</f>
        <v>7907.8333333333339</v>
      </c>
      <c r="L10" s="24">
        <f>(+'I Trimestre'!L10+'II Trimestre'!L10)/2</f>
        <v>0</v>
      </c>
      <c r="M10" s="86">
        <f>(+'I Trimestre'!M10+'II Trimestre'!M10)/2</f>
        <v>0</v>
      </c>
      <c r="N10" s="24">
        <f>(+'I Trimestre'!N10+'II Trimestre'!N10)/2</f>
        <v>18906.166666666664</v>
      </c>
      <c r="O10" s="88">
        <f>(+'I Trimestre'!O10+'II Trimestre'!O10)/2</f>
        <v>0</v>
      </c>
      <c r="P10" s="88">
        <f>(+'I Trimestre'!P10+'II Trimestre'!P10)/2</f>
        <v>0</v>
      </c>
    </row>
    <row r="11" spans="1:16" hidden="1">
      <c r="A11" s="27"/>
      <c r="B11" s="24">
        <f t="shared" ref="B11:B16" si="0">+D11+G11</f>
        <v>0</v>
      </c>
      <c r="C11" s="52">
        <f t="shared" ref="C11:C16" si="1">D11+E11</f>
        <v>0</v>
      </c>
      <c r="D11" s="24">
        <f>(+'I Trimestre'!D11+'II Trimestre'!D11)/2</f>
        <v>0</v>
      </c>
      <c r="E11" s="24">
        <f>(+'I Trimestre'!E11+'II Trimestre'!E11)/2</f>
        <v>0</v>
      </c>
      <c r="F11" s="24">
        <f>SUM(G11:I11)</f>
        <v>0</v>
      </c>
      <c r="G11" s="24">
        <f>(+'I Trimestre'!G11+'II Trimestre'!G11)/2</f>
        <v>0</v>
      </c>
      <c r="H11" s="64">
        <f>(+'I Trimestre'!H11+'II Trimestre'!H11)/2</f>
        <v>0</v>
      </c>
      <c r="I11" s="64">
        <f>(+'I Trimestre'!I11+'II Trimestre'!I11)/2</f>
        <v>0</v>
      </c>
      <c r="J11" s="37">
        <f>(+'I Trimestre'!J11+'II Trimestre'!J11)/2</f>
        <v>0</v>
      </c>
      <c r="K11" s="24">
        <f>(+'I Trimestre'!K11+'II Trimestre'!K11)/2</f>
        <v>0</v>
      </c>
      <c r="L11" s="24">
        <f>(+'I Trimestre'!L11+'II Trimestre'!L11)/2</f>
        <v>0</v>
      </c>
      <c r="M11" s="86">
        <f>(+'I Trimestre'!M11+'II Trimestre'!M11)/2</f>
        <v>0</v>
      </c>
      <c r="N11" s="88">
        <f>(+'I Trimestre'!N11+'II Trimestre'!N11)/2</f>
        <v>0</v>
      </c>
      <c r="O11" s="88">
        <f>(+'I Trimestre'!O11+'II Trimestre'!O11)/2</f>
        <v>0</v>
      </c>
      <c r="P11" s="88">
        <f>(+'I Trimestre'!P11+'II Trimestre'!P11)/2</f>
        <v>0</v>
      </c>
    </row>
    <row r="12" spans="1:16">
      <c r="A12" s="3" t="s">
        <v>123</v>
      </c>
      <c r="B12" s="24">
        <f t="shared" si="0"/>
        <v>134272.5</v>
      </c>
      <c r="C12" s="52">
        <f t="shared" si="1"/>
        <v>47343</v>
      </c>
      <c r="D12" s="24">
        <f>(+'I Trimestre'!D12+'II Trimestre'!D12)/2</f>
        <v>35480.5</v>
      </c>
      <c r="E12" s="24">
        <f>(+'I Trimestre'!E12+'II Trimestre'!E12)/2</f>
        <v>11862.5</v>
      </c>
      <c r="F12" s="24">
        <f>SUM(G12:I12)</f>
        <v>126444</v>
      </c>
      <c r="G12" s="24">
        <f>(+'I Trimestre'!G12+'II Trimestre'!G12)/2</f>
        <v>98792</v>
      </c>
      <c r="H12" s="24">
        <f>(+'I Trimestre'!H12+'II Trimestre'!H12)/2</f>
        <v>8064.5</v>
      </c>
      <c r="I12" s="37">
        <f>(+'I Trimestre'!I12+'II Trimestre'!I12)/2</f>
        <v>19587.5</v>
      </c>
      <c r="J12" s="37">
        <f>(+'I Trimestre'!J12+'II Trimestre'!J12)/2</f>
        <v>28208.5</v>
      </c>
      <c r="K12" s="24">
        <f>(+'I Trimestre'!K12+'II Trimestre'!K12)/2</f>
        <v>9748</v>
      </c>
      <c r="L12" s="24">
        <f>(+'I Trimestre'!L12+'II Trimestre'!L12)/2</f>
        <v>10000</v>
      </c>
      <c r="M12" s="86">
        <f>(+'I Trimestre'!M12+'II Trimestre'!M12)/2</f>
        <v>0</v>
      </c>
      <c r="N12" s="88">
        <f>(+'I Trimestre'!N12+'II Trimestre'!N12)/2</f>
        <v>0</v>
      </c>
      <c r="O12" s="88">
        <f>(+'I Trimestre'!O12+'II Trimestre'!O12)/2</f>
        <v>0</v>
      </c>
      <c r="P12" s="88">
        <f>(+'I Trimestre'!P12+'II Trimestre'!P12)/2</f>
        <v>0</v>
      </c>
    </row>
    <row r="13" spans="1:16" hidden="1">
      <c r="A13" s="27"/>
      <c r="B13" s="24">
        <f t="shared" si="0"/>
        <v>0</v>
      </c>
      <c r="C13" s="52">
        <f t="shared" si="1"/>
        <v>0</v>
      </c>
      <c r="D13" s="24">
        <f>(+'I Trimestre'!D13+'II Trimestre'!D13)/2</f>
        <v>0</v>
      </c>
      <c r="E13" s="24">
        <f>(+'I Trimestre'!E13+'II Trimestre'!E13)/2</f>
        <v>0</v>
      </c>
      <c r="F13" s="24">
        <f t="shared" ref="F13:F16" si="2">SUM(G13:I13)</f>
        <v>0</v>
      </c>
      <c r="G13" s="24">
        <f>(+'I Trimestre'!G13+'II Trimestre'!G13)/2</f>
        <v>0</v>
      </c>
      <c r="H13" s="24">
        <f>(+'I Trimestre'!H13+'II Trimestre'!H13)/2</f>
        <v>0</v>
      </c>
      <c r="I13" s="37">
        <f>(+'I Trimestre'!I13+'II Trimestre'!I13)/2</f>
        <v>0</v>
      </c>
      <c r="J13" s="37">
        <f>(+'I Trimestre'!J13+'II Trimestre'!J13)/2</f>
        <v>0</v>
      </c>
      <c r="K13" s="24">
        <f>(+'I Trimestre'!K13+'II Trimestre'!K13)/2</f>
        <v>0</v>
      </c>
      <c r="L13" s="24">
        <f>(+'I Trimestre'!L13+'II Trimestre'!L13)/2</f>
        <v>0</v>
      </c>
      <c r="M13" s="86">
        <f>(+'I Trimestre'!M13+'II Trimestre'!M13)/2</f>
        <v>0</v>
      </c>
      <c r="N13" s="88">
        <f>(+'I Trimestre'!N13+'II Trimestre'!N13)/2</f>
        <v>0</v>
      </c>
      <c r="O13" s="88">
        <f>(+'I Trimestre'!O13+'II Trimestre'!O13)/2</f>
        <v>0</v>
      </c>
      <c r="P13" s="88">
        <f>(+'I Trimestre'!P13+'II Trimestre'!P13)/2</f>
        <v>0</v>
      </c>
    </row>
    <row r="14" spans="1:16">
      <c r="A14" s="3" t="s">
        <v>124</v>
      </c>
      <c r="B14" s="24">
        <f t="shared" si="0"/>
        <v>116843.33333333334</v>
      </c>
      <c r="C14" s="52">
        <f t="shared" si="1"/>
        <v>28061.666666666668</v>
      </c>
      <c r="D14" s="24">
        <f>(+'I Trimestre'!D14+'II Trimestre'!D14)/2</f>
        <v>21794.833333333336</v>
      </c>
      <c r="E14" s="24">
        <f>(+'I Trimestre'!E14+'II Trimestre'!E14)/2</f>
        <v>6266.833333333333</v>
      </c>
      <c r="F14" s="24">
        <f t="shared" si="2"/>
        <v>115740.66666666667</v>
      </c>
      <c r="G14" s="24">
        <f>(+'I Trimestre'!G14+'II Trimestre'!G14)/2</f>
        <v>95048.5</v>
      </c>
      <c r="H14" s="24">
        <f>(+'I Trimestre'!H14+'II Trimestre'!H14)/2</f>
        <v>3471</v>
      </c>
      <c r="I14" s="37">
        <f>(+'I Trimestre'!I14+'II Trimestre'!I14)/2</f>
        <v>17221.166666666668</v>
      </c>
      <c r="J14" s="37">
        <f>(+'I Trimestre'!J14+'II Trimestre'!J14)/2</f>
        <v>23105.5</v>
      </c>
      <c r="K14" s="24">
        <f>(+'I Trimestre'!K14+'II Trimestre'!K14)/2</f>
        <v>7976.6666666666661</v>
      </c>
      <c r="L14" s="24">
        <f>'II Trimestre'!L14</f>
        <v>16937</v>
      </c>
      <c r="M14" s="86">
        <f>(+'I Trimestre'!M14+'II Trimestre'!M14)/2</f>
        <v>0</v>
      </c>
      <c r="N14" s="88">
        <f>(+'I Trimestre'!N14+'II Trimestre'!N14)/2</f>
        <v>0</v>
      </c>
      <c r="O14" s="88">
        <f>(+'I Trimestre'!O14+'II Trimestre'!O14)/2</f>
        <v>0</v>
      </c>
      <c r="P14" s="88">
        <f>(+'I Trimestre'!P14+'II Trimestre'!P14)/2</f>
        <v>0</v>
      </c>
    </row>
    <row r="15" spans="1:16" hidden="1">
      <c r="A15" s="27"/>
      <c r="B15" s="24">
        <f t="shared" si="0"/>
        <v>0</v>
      </c>
      <c r="C15" s="52">
        <f t="shared" si="1"/>
        <v>0</v>
      </c>
      <c r="D15" s="24">
        <f>(+'I Trimestre'!D15+'II Trimestre'!D15)/2</f>
        <v>0</v>
      </c>
      <c r="E15" s="24">
        <f>(+'I Trimestre'!E15+'II Trimestre'!E15)/2</f>
        <v>0</v>
      </c>
      <c r="F15" s="24">
        <f t="shared" si="2"/>
        <v>0</v>
      </c>
      <c r="G15" s="24">
        <f>(+'I Trimestre'!G15+'II Trimestre'!G15)/2</f>
        <v>0</v>
      </c>
      <c r="H15" s="24">
        <f>(+'I Trimestre'!H15+'II Trimestre'!H15)/2</f>
        <v>0</v>
      </c>
      <c r="I15" s="37">
        <f>(+'I Trimestre'!I15+'II Trimestre'!I15)/2</f>
        <v>0</v>
      </c>
      <c r="J15" s="37">
        <f>(+'I Trimestre'!J15+'II Trimestre'!J15)/2</f>
        <v>0</v>
      </c>
      <c r="K15" s="24">
        <f>(+'I Trimestre'!K15+'II Trimestre'!K15)/2</f>
        <v>0</v>
      </c>
      <c r="L15" s="24">
        <f>(+'I Trimestre'!L15+'II Trimestre'!L15)/2</f>
        <v>0</v>
      </c>
      <c r="M15" s="86">
        <f>(+'I Trimestre'!M15+'II Trimestre'!M15)/2</f>
        <v>0</v>
      </c>
      <c r="N15" s="88">
        <f>(+'I Trimestre'!N15+'II Trimestre'!N15)/2</f>
        <v>0</v>
      </c>
      <c r="O15" s="88">
        <f>(+'I Trimestre'!O15+'II Trimestre'!O15)/2</f>
        <v>0</v>
      </c>
      <c r="P15" s="88">
        <f>(+'I Trimestre'!P15+'II Trimestre'!P15)/2</f>
        <v>0</v>
      </c>
    </row>
    <row r="16" spans="1:16">
      <c r="A16" s="3" t="s">
        <v>92</v>
      </c>
      <c r="B16" s="24">
        <f t="shared" si="0"/>
        <v>138397</v>
      </c>
      <c r="C16" s="52">
        <f t="shared" si="1"/>
        <v>49495</v>
      </c>
      <c r="D16" s="4">
        <f>+'II Trimestre'!D16</f>
        <v>37093</v>
      </c>
      <c r="E16" s="4">
        <f>+'II Trimestre'!E16</f>
        <v>12402</v>
      </c>
      <c r="F16" s="24">
        <f t="shared" si="2"/>
        <v>134076.58333333334</v>
      </c>
      <c r="G16" s="4">
        <f>+'II Trimestre'!G16</f>
        <v>101304</v>
      </c>
      <c r="H16" s="4">
        <f>+'II Trimestre'!H16</f>
        <v>10698.75</v>
      </c>
      <c r="I16" s="37">
        <f>'II Trimestre'!I16</f>
        <v>22073.833333333332</v>
      </c>
      <c r="J16" s="37">
        <f>'II Trimestre'!J16</f>
        <v>31742.666666666668</v>
      </c>
      <c r="K16" s="4">
        <f>+'II Trimestre'!K16</f>
        <v>10191</v>
      </c>
      <c r="L16" s="4">
        <f>+'II Trimestre'!L16</f>
        <v>20000</v>
      </c>
      <c r="M16" s="87">
        <f>+'II Trimestre'!M16</f>
        <v>0</v>
      </c>
      <c r="N16" s="89">
        <f>+'II Trimestre'!N16</f>
        <v>0</v>
      </c>
      <c r="O16" s="89">
        <f>+'II Trimestre'!O16</f>
        <v>0</v>
      </c>
      <c r="P16" s="89">
        <f>+'II Trimestre'!P16</f>
        <v>0</v>
      </c>
    </row>
    <row r="17" spans="1:16">
      <c r="B17" s="22"/>
      <c r="C17" s="22"/>
      <c r="D17" s="22"/>
      <c r="E17" s="22"/>
      <c r="F17" s="22"/>
      <c r="G17" s="22"/>
      <c r="H17" s="22"/>
      <c r="I17" s="45"/>
      <c r="J17" s="45"/>
      <c r="K17" s="22"/>
    </row>
    <row r="18" spans="1:16">
      <c r="A18" s="6" t="s">
        <v>8</v>
      </c>
      <c r="B18" s="22"/>
      <c r="C18" s="22"/>
      <c r="D18" s="22"/>
      <c r="E18" s="22"/>
      <c r="F18" s="22"/>
      <c r="G18" s="22"/>
      <c r="H18" s="22"/>
      <c r="I18" s="45"/>
      <c r="J18" s="45"/>
      <c r="K18" s="22"/>
    </row>
    <row r="19" spans="1:16">
      <c r="A19" s="3" t="s">
        <v>81</v>
      </c>
      <c r="B19" s="24">
        <f>C19+F19+K19+L19+M19+N19</f>
        <v>4913666547.4799995</v>
      </c>
      <c r="C19" s="24">
        <f>+'I Trimestre'!C19+'II Trimestre'!C19</f>
        <v>2234752007</v>
      </c>
      <c r="D19" s="40"/>
      <c r="E19" s="40"/>
      <c r="F19" s="54">
        <f>+'I Trimestre'!F19+'II Trimestre'!F19</f>
        <v>2097891120</v>
      </c>
      <c r="G19" s="40"/>
      <c r="H19" s="40"/>
      <c r="I19" s="40"/>
      <c r="J19" s="40"/>
      <c r="K19" s="24">
        <f>+'I Trimestre'!K19+'II Trimestre'!K19</f>
        <v>274129467.48000002</v>
      </c>
      <c r="L19" s="24">
        <f>+'I Trimestre'!L19+'II Trimestre'!L19</f>
        <v>970170</v>
      </c>
      <c r="M19" s="91">
        <f>+'I Trimestre'!M19+'II Trimestre'!M19</f>
        <v>0</v>
      </c>
      <c r="N19" s="91">
        <f>+'I Trimestre'!N19+'II Trimestre'!N19</f>
        <v>305923783</v>
      </c>
      <c r="O19" s="91">
        <f>+'I Trimestre'!O19+'II Trimestre'!O19</f>
        <v>0</v>
      </c>
      <c r="P19" s="91">
        <f>+'I Trimestre'!P19+'II Trimestre'!P19</f>
        <v>0</v>
      </c>
    </row>
    <row r="20" spans="1:16">
      <c r="A20" s="61" t="s">
        <v>123</v>
      </c>
      <c r="B20" s="24">
        <f t="shared" ref="B20:B22" si="3">C20+F20+K20+L20+M20+N20</f>
        <v>11996085132.26</v>
      </c>
      <c r="C20" s="24">
        <f>+'I Trimestre'!C20+'II Trimestre'!C20</f>
        <v>6497846107.5</v>
      </c>
      <c r="D20" s="40"/>
      <c r="E20" s="40"/>
      <c r="F20" s="55">
        <f>+'I Trimestre'!F20+'II Trimestre'!F20</f>
        <v>3790949524.7600002</v>
      </c>
      <c r="G20" s="40"/>
      <c r="H20" s="40"/>
      <c r="I20" s="40"/>
      <c r="J20" s="40"/>
      <c r="K20" s="24">
        <f>+'I Trimestre'!K20+'II Trimestre'!K20</f>
        <v>1647879500</v>
      </c>
      <c r="L20" s="24">
        <f>+'I Trimestre'!L20+'II Trimestre'!L20</f>
        <v>59410000</v>
      </c>
      <c r="M20" s="91">
        <f>+'I Trimestre'!M20+'II Trimestre'!M20</f>
        <v>0</v>
      </c>
      <c r="N20" s="91">
        <f>+'I Trimestre'!N20+'II Trimestre'!N20</f>
        <v>0</v>
      </c>
      <c r="O20" s="91">
        <f>+'I Trimestre'!O20+'II Trimestre'!O20</f>
        <v>0</v>
      </c>
      <c r="P20" s="91">
        <f>+'I Trimestre'!P20+'II Trimestre'!P20</f>
        <v>0</v>
      </c>
    </row>
    <row r="21" spans="1:16">
      <c r="A21" s="3" t="s">
        <v>124</v>
      </c>
      <c r="B21" s="24">
        <f t="shared" si="3"/>
        <v>5882477523</v>
      </c>
      <c r="C21" s="24">
        <f>+'I Trimestre'!C21+'II Trimestre'!C21</f>
        <v>3587461627</v>
      </c>
      <c r="D21" s="40"/>
      <c r="E21" s="40"/>
      <c r="F21" s="55">
        <f>+'I Trimestre'!F21+'II Trimestre'!F21</f>
        <v>2293912680</v>
      </c>
      <c r="G21" s="40"/>
      <c r="H21" s="40"/>
      <c r="I21" s="40"/>
      <c r="J21" s="40"/>
      <c r="K21" s="24">
        <f>+'I Trimestre'!K21+'II Trimestre'!K21</f>
        <v>0</v>
      </c>
      <c r="L21" s="24">
        <f>+'I Trimestre'!L21+'II Trimestre'!L21</f>
        <v>0</v>
      </c>
      <c r="M21" s="91">
        <f>+'I Trimestre'!M21+'II Trimestre'!M21</f>
        <v>1103216</v>
      </c>
      <c r="N21" s="91">
        <f>+'I Trimestre'!N21+'II Trimestre'!N21</f>
        <v>0</v>
      </c>
      <c r="O21" s="91">
        <f>+'I Trimestre'!O21+'II Trimestre'!O21</f>
        <v>0</v>
      </c>
      <c r="P21" s="91">
        <f>+'I Trimestre'!P21+'II Trimestre'!P21</f>
        <v>0</v>
      </c>
    </row>
    <row r="22" spans="1:16">
      <c r="A22" s="3" t="s">
        <v>92</v>
      </c>
      <c r="B22" s="24">
        <f t="shared" si="3"/>
        <v>24813103939.080002</v>
      </c>
      <c r="C22" s="24">
        <f>+'II Trimestre'!C22</f>
        <v>13329869615</v>
      </c>
      <c r="D22" s="40"/>
      <c r="E22" s="40"/>
      <c r="F22" s="55">
        <f>+'II Trimestre'!F22</f>
        <v>7926530824.0800009</v>
      </c>
      <c r="G22" s="40"/>
      <c r="H22" s="40"/>
      <c r="I22" s="40"/>
      <c r="J22" s="40"/>
      <c r="K22" s="24">
        <f>+'II Trimestre'!K22</f>
        <v>3466293500</v>
      </c>
      <c r="L22" s="24">
        <f>+'II Trimestre'!L22</f>
        <v>78410000</v>
      </c>
      <c r="M22" s="91">
        <f>+'II Trimestre'!M22</f>
        <v>12000000</v>
      </c>
      <c r="N22" s="91">
        <f>+'II Trimestre'!N22</f>
        <v>0</v>
      </c>
      <c r="O22" s="91">
        <f>+'II Trimestre'!O22</f>
        <v>0</v>
      </c>
      <c r="P22" s="91">
        <f>+'II Trimestre'!P22</f>
        <v>0</v>
      </c>
    </row>
    <row r="23" spans="1:16">
      <c r="A23" s="3" t="s">
        <v>125</v>
      </c>
      <c r="B23" s="52">
        <f>C23+F23+K23+L23+N23</f>
        <v>5881374307</v>
      </c>
      <c r="C23" s="4">
        <f>C21</f>
        <v>3587461627</v>
      </c>
      <c r="D23" s="40"/>
      <c r="E23" s="40"/>
      <c r="F23" s="40">
        <f>F21</f>
        <v>2293912680</v>
      </c>
      <c r="G23" s="40"/>
      <c r="H23" s="40"/>
      <c r="I23" s="40"/>
      <c r="J23" s="40"/>
      <c r="K23" s="4">
        <f>K21</f>
        <v>0</v>
      </c>
      <c r="L23" s="4">
        <f>L21</f>
        <v>0</v>
      </c>
      <c r="M23" s="93">
        <f>M21</f>
        <v>1103216</v>
      </c>
      <c r="N23" s="92">
        <f>N21</f>
        <v>0</v>
      </c>
      <c r="O23" s="92">
        <f t="shared" ref="O23:P23" si="4">O21</f>
        <v>0</v>
      </c>
      <c r="P23" s="92">
        <f t="shared" si="4"/>
        <v>0</v>
      </c>
    </row>
    <row r="24" spans="1:16">
      <c r="B24" s="22"/>
      <c r="C24" s="22"/>
      <c r="D24" s="22"/>
      <c r="E24" s="22"/>
      <c r="F24" s="22"/>
      <c r="G24" s="22"/>
      <c r="H24" s="22"/>
      <c r="I24" s="45"/>
      <c r="J24" s="45"/>
      <c r="K24" s="22"/>
    </row>
    <row r="25" spans="1:16">
      <c r="A25" s="7" t="s">
        <v>9</v>
      </c>
      <c r="B25" s="23"/>
      <c r="C25" s="23"/>
      <c r="D25" s="23"/>
      <c r="E25" s="23"/>
      <c r="F25" s="23"/>
      <c r="G25" s="23"/>
      <c r="H25" s="23"/>
      <c r="I25" s="23"/>
      <c r="J25" s="23"/>
      <c r="K25" s="23"/>
      <c r="L25" s="23"/>
    </row>
    <row r="26" spans="1:16">
      <c r="A26" s="9" t="s">
        <v>123</v>
      </c>
      <c r="B26" s="23">
        <f>+B20</f>
        <v>11996085132.26</v>
      </c>
      <c r="C26" s="23"/>
      <c r="D26" s="23"/>
      <c r="E26" s="23"/>
      <c r="F26" s="23"/>
      <c r="G26" s="23"/>
      <c r="H26" s="23"/>
      <c r="I26" s="23"/>
      <c r="J26" s="23"/>
      <c r="K26" s="23"/>
      <c r="L26" s="23"/>
    </row>
    <row r="27" spans="1:16">
      <c r="A27" s="9" t="s">
        <v>124</v>
      </c>
      <c r="B27" s="23">
        <f>+'I Trimestre'!B27+'II Trimestre'!B27</f>
        <v>7828004383.46</v>
      </c>
      <c r="C27" s="23"/>
      <c r="D27" s="23"/>
      <c r="E27" s="23"/>
      <c r="F27" s="23"/>
      <c r="G27" s="23"/>
      <c r="H27" s="23"/>
      <c r="I27" s="23"/>
      <c r="J27" s="23"/>
      <c r="K27" s="23"/>
      <c r="L27" s="23"/>
    </row>
    <row r="28" spans="1:16">
      <c r="I28" s="32"/>
      <c r="J28" s="32"/>
    </row>
    <row r="29" spans="1:16">
      <c r="A29" t="s">
        <v>10</v>
      </c>
      <c r="I29" s="32"/>
      <c r="J29" s="32"/>
    </row>
    <row r="30" spans="1:16">
      <c r="A30" s="10" t="s">
        <v>82</v>
      </c>
      <c r="B30" s="11">
        <v>1</v>
      </c>
      <c r="C30" s="11">
        <v>1</v>
      </c>
      <c r="D30" s="11">
        <v>1</v>
      </c>
      <c r="E30" s="11">
        <v>1</v>
      </c>
      <c r="F30" s="11">
        <v>1</v>
      </c>
      <c r="G30" s="11">
        <v>1</v>
      </c>
      <c r="H30" s="11">
        <v>1</v>
      </c>
      <c r="I30" s="11">
        <v>1</v>
      </c>
      <c r="J30" s="11">
        <v>1</v>
      </c>
      <c r="K30" s="11">
        <v>1</v>
      </c>
      <c r="L30" s="11">
        <v>1</v>
      </c>
      <c r="M30" s="11">
        <v>1</v>
      </c>
      <c r="N30" s="11">
        <v>1</v>
      </c>
      <c r="O30" s="11">
        <v>1</v>
      </c>
      <c r="P30" s="11">
        <v>1</v>
      </c>
    </row>
    <row r="31" spans="1:16">
      <c r="A31" s="10" t="s">
        <v>126</v>
      </c>
      <c r="B31" s="11">
        <v>0.99</v>
      </c>
      <c r="C31" s="11">
        <v>0.99</v>
      </c>
      <c r="D31" s="11">
        <v>0.99</v>
      </c>
      <c r="E31" s="11">
        <v>0.99</v>
      </c>
      <c r="F31" s="11">
        <v>0.99</v>
      </c>
      <c r="G31" s="11">
        <v>0.99</v>
      </c>
      <c r="H31" s="11">
        <v>0.99</v>
      </c>
      <c r="I31" s="11">
        <v>0.99</v>
      </c>
      <c r="J31" s="11">
        <v>0.99</v>
      </c>
      <c r="K31" s="11">
        <v>0.99</v>
      </c>
      <c r="L31" s="11">
        <v>0.99</v>
      </c>
      <c r="M31" s="11">
        <v>0.99</v>
      </c>
      <c r="N31" s="11">
        <v>0.99</v>
      </c>
      <c r="O31" s="11"/>
      <c r="P31" s="11"/>
    </row>
    <row r="32" spans="1:16">
      <c r="A32" s="3" t="s">
        <v>11</v>
      </c>
      <c r="B32" s="4">
        <v>126597</v>
      </c>
      <c r="C32" s="4">
        <v>126597</v>
      </c>
      <c r="D32" s="4">
        <v>126597</v>
      </c>
      <c r="E32" s="4">
        <v>126597</v>
      </c>
      <c r="F32" s="4">
        <v>126597</v>
      </c>
      <c r="G32" s="4">
        <v>126597</v>
      </c>
      <c r="H32" s="4">
        <v>126597</v>
      </c>
      <c r="I32" s="4">
        <v>126597</v>
      </c>
      <c r="J32" s="4">
        <v>126597</v>
      </c>
      <c r="K32" s="4">
        <v>126597</v>
      </c>
      <c r="L32" s="4">
        <v>126597</v>
      </c>
      <c r="M32" s="4">
        <v>126597</v>
      </c>
      <c r="N32" s="4">
        <v>126597</v>
      </c>
      <c r="O32" s="4"/>
      <c r="P32" s="4"/>
    </row>
    <row r="33" spans="1:16">
      <c r="I33" s="32"/>
      <c r="J33" s="32"/>
    </row>
    <row r="34" spans="1:16">
      <c r="A34" s="12" t="s">
        <v>12</v>
      </c>
      <c r="B34" s="13"/>
      <c r="C34" s="13"/>
      <c r="D34" s="51"/>
      <c r="E34" s="51"/>
      <c r="F34" s="51"/>
      <c r="G34" s="99"/>
      <c r="H34" s="99"/>
      <c r="I34" s="99"/>
      <c r="J34" s="99"/>
      <c r="K34" s="13"/>
      <c r="L34" s="13"/>
      <c r="M34" s="13"/>
      <c r="N34" s="13"/>
    </row>
    <row r="35" spans="1:16">
      <c r="A35" s="13" t="s">
        <v>83</v>
      </c>
      <c r="B35" s="14">
        <f>B19/B30</f>
        <v>4913666547.4799995</v>
      </c>
      <c r="C35" s="50">
        <f>C19/C30</f>
        <v>2234752007</v>
      </c>
      <c r="D35" s="50"/>
      <c r="E35" s="50"/>
      <c r="F35" s="50">
        <f>F19/F30</f>
        <v>2097891120</v>
      </c>
      <c r="G35" s="50"/>
      <c r="H35" s="50"/>
      <c r="I35" s="50"/>
      <c r="J35" s="50"/>
      <c r="K35" s="14">
        <f t="shared" ref="K35:P35" si="5">K19/K30</f>
        <v>274129467.48000002</v>
      </c>
      <c r="L35" s="14">
        <f t="shared" si="5"/>
        <v>970170</v>
      </c>
      <c r="M35" s="14">
        <f t="shared" si="5"/>
        <v>0</v>
      </c>
      <c r="N35" s="14">
        <f t="shared" si="5"/>
        <v>305923783</v>
      </c>
      <c r="O35" s="14">
        <f t="shared" si="5"/>
        <v>0</v>
      </c>
      <c r="P35" s="14">
        <f t="shared" si="5"/>
        <v>0</v>
      </c>
    </row>
    <row r="36" spans="1:16">
      <c r="A36" s="13" t="s">
        <v>127</v>
      </c>
      <c r="B36" s="14">
        <f>B21/B31</f>
        <v>5941896487.878788</v>
      </c>
      <c r="C36" s="50">
        <f>C21/C31</f>
        <v>3623698613.1313133</v>
      </c>
      <c r="D36" s="50"/>
      <c r="E36" s="50"/>
      <c r="F36" s="50">
        <f>F21/F31</f>
        <v>2317083515.151515</v>
      </c>
      <c r="G36" s="50"/>
      <c r="H36" s="50"/>
      <c r="I36" s="50"/>
      <c r="J36" s="50"/>
      <c r="K36" s="14">
        <f>K21/K31</f>
        <v>0</v>
      </c>
      <c r="L36" s="14">
        <f>L21/L31</f>
        <v>0</v>
      </c>
      <c r="M36" s="14">
        <f t="shared" ref="M36:P36" si="6">M21/M31</f>
        <v>1114359.5959595959</v>
      </c>
      <c r="N36" s="14">
        <f t="shared" si="6"/>
        <v>0</v>
      </c>
      <c r="O36" s="14" t="e">
        <f t="shared" si="6"/>
        <v>#DIV/0!</v>
      </c>
      <c r="P36" s="14" t="e">
        <f t="shared" si="6"/>
        <v>#DIV/0!</v>
      </c>
    </row>
    <row r="37" spans="1:16">
      <c r="A37" s="13" t="s">
        <v>84</v>
      </c>
      <c r="B37" s="14">
        <f>B35/B10</f>
        <v>41541.905140504408</v>
      </c>
      <c r="C37" s="50">
        <f>C35/C10</f>
        <v>81412.224980115236</v>
      </c>
      <c r="D37" s="50"/>
      <c r="E37" s="50"/>
      <c r="F37" s="50">
        <f>F35/F10</f>
        <v>17957.501683424827</v>
      </c>
      <c r="G37" s="50"/>
      <c r="H37" s="50"/>
      <c r="I37" s="50"/>
      <c r="J37" s="50"/>
      <c r="K37" s="14">
        <f>K35/K10</f>
        <v>34665.559569203535</v>
      </c>
      <c r="L37" s="14" t="e">
        <f>L35/L10</f>
        <v>#DIV/0!</v>
      </c>
      <c r="M37" s="14" t="e">
        <f t="shared" ref="M37:P37" si="7">M35/M10</f>
        <v>#DIV/0!</v>
      </c>
      <c r="N37" s="14">
        <f t="shared" si="7"/>
        <v>16181.163976480339</v>
      </c>
      <c r="O37" s="14" t="e">
        <f t="shared" si="7"/>
        <v>#DIV/0!</v>
      </c>
      <c r="P37" s="14" t="e">
        <f t="shared" si="7"/>
        <v>#DIV/0!</v>
      </c>
    </row>
    <row r="38" spans="1:16">
      <c r="A38" s="13" t="s">
        <v>128</v>
      </c>
      <c r="B38" s="14">
        <f>B36/B14</f>
        <v>50853.534543794718</v>
      </c>
      <c r="C38" s="50">
        <f>C36/C14</f>
        <v>129133.40665669584</v>
      </c>
      <c r="D38" s="50"/>
      <c r="E38" s="50"/>
      <c r="F38" s="50">
        <f>F36/F14</f>
        <v>20019.614383462293</v>
      </c>
      <c r="G38" s="50"/>
      <c r="H38" s="50"/>
      <c r="I38" s="50"/>
      <c r="J38" s="50"/>
      <c r="K38" s="34">
        <f>K36/K14</f>
        <v>0</v>
      </c>
      <c r="L38" s="34">
        <f>L36/L14</f>
        <v>0</v>
      </c>
      <c r="M38" s="34" t="e">
        <f t="shared" ref="M38:P38" si="8">M36/M14</f>
        <v>#DIV/0!</v>
      </c>
      <c r="N38" s="34" t="e">
        <f t="shared" si="8"/>
        <v>#DIV/0!</v>
      </c>
      <c r="O38" s="34" t="e">
        <f t="shared" si="8"/>
        <v>#DIV/0!</v>
      </c>
      <c r="P38" s="34" t="e">
        <f t="shared" si="8"/>
        <v>#DIV/0!</v>
      </c>
    </row>
    <row r="39" spans="1:16">
      <c r="I39" s="32"/>
      <c r="J39" s="32"/>
    </row>
    <row r="40" spans="1:16">
      <c r="A40" s="2" t="s">
        <v>13</v>
      </c>
      <c r="I40" s="32"/>
      <c r="J40" s="32"/>
    </row>
    <row r="41" spans="1:16">
      <c r="I41" s="32"/>
      <c r="J41" s="32"/>
    </row>
    <row r="42" spans="1:16">
      <c r="A42" t="s">
        <v>14</v>
      </c>
      <c r="I42" s="32"/>
      <c r="J42" s="32"/>
    </row>
    <row r="43" spans="1:16">
      <c r="A43" t="s">
        <v>15</v>
      </c>
      <c r="B43" s="17">
        <f>(B12/B32)*100</f>
        <v>106.06293988009195</v>
      </c>
      <c r="C43" s="17">
        <f t="shared" ref="C43:P43" si="9">(C12/C32)*100</f>
        <v>37.396620773004102</v>
      </c>
      <c r="D43" s="17">
        <f t="shared" si="9"/>
        <v>28.026335537177026</v>
      </c>
      <c r="E43" s="17">
        <f t="shared" si="9"/>
        <v>9.3702852358270743</v>
      </c>
      <c r="F43" s="17">
        <f t="shared" si="9"/>
        <v>99.879144055546348</v>
      </c>
      <c r="G43" s="17">
        <f t="shared" si="9"/>
        <v>78.036604342914913</v>
      </c>
      <c r="H43" s="17">
        <f t="shared" si="9"/>
        <v>6.3702141440950415</v>
      </c>
      <c r="I43" s="17">
        <f t="shared" si="9"/>
        <v>15.47232556853638</v>
      </c>
      <c r="J43" s="17">
        <f t="shared" si="9"/>
        <v>22.282123589026597</v>
      </c>
      <c r="K43" s="17">
        <f t="shared" si="9"/>
        <v>7.7000244871521444</v>
      </c>
      <c r="L43" s="17">
        <f t="shared" si="9"/>
        <v>7.8990813368405259</v>
      </c>
      <c r="M43" s="17">
        <f t="shared" si="9"/>
        <v>0</v>
      </c>
      <c r="N43" s="17">
        <f t="shared" si="9"/>
        <v>0</v>
      </c>
      <c r="O43" s="17" t="e">
        <f t="shared" si="9"/>
        <v>#DIV/0!</v>
      </c>
      <c r="P43" s="17" t="e">
        <f t="shared" si="9"/>
        <v>#DIV/0!</v>
      </c>
    </row>
    <row r="44" spans="1:16">
      <c r="A44" t="s">
        <v>16</v>
      </c>
      <c r="B44" s="17">
        <f>(B14/B32)*100</f>
        <v>92.295499366756985</v>
      </c>
      <c r="C44" s="17">
        <f t="shared" ref="C44:N44" si="10">(C14/C32)*100</f>
        <v>22.166138744730656</v>
      </c>
      <c r="D44" s="17">
        <f t="shared" si="10"/>
        <v>17.215916122288313</v>
      </c>
      <c r="E44" s="17">
        <f t="shared" si="10"/>
        <v>4.9502226224423431</v>
      </c>
      <c r="F44" s="17">
        <f t="shared" si="10"/>
        <v>91.424493998014697</v>
      </c>
      <c r="G44" s="17">
        <f t="shared" si="10"/>
        <v>75.079583244468679</v>
      </c>
      <c r="H44" s="17">
        <f t="shared" si="10"/>
        <v>2.7417711320173463</v>
      </c>
      <c r="I44" s="17">
        <f t="shared" si="10"/>
        <v>13.603139621528685</v>
      </c>
      <c r="J44" s="17">
        <f t="shared" si="10"/>
        <v>18.251222382836875</v>
      </c>
      <c r="K44" s="17">
        <f t="shared" si="10"/>
        <v>6.3008338796864587</v>
      </c>
      <c r="L44" s="17">
        <f t="shared" si="10"/>
        <v>13.378674060206796</v>
      </c>
      <c r="M44" s="17">
        <f t="shared" si="10"/>
        <v>0</v>
      </c>
      <c r="N44" s="17">
        <f t="shared" si="10"/>
        <v>0</v>
      </c>
    </row>
    <row r="45" spans="1:16">
      <c r="I45" s="32"/>
      <c r="J45" s="32"/>
    </row>
    <row r="46" spans="1:16">
      <c r="A46" t="s">
        <v>17</v>
      </c>
      <c r="I46" s="32"/>
      <c r="J46" s="32"/>
    </row>
    <row r="47" spans="1:16">
      <c r="A47" t="s">
        <v>18</v>
      </c>
      <c r="B47" s="15">
        <f>B14/B12*100</f>
        <v>87.019556002408052</v>
      </c>
      <c r="C47" s="15">
        <f t="shared" ref="C47:N47" si="11">C14/C12*100</f>
        <v>59.273106196621818</v>
      </c>
      <c r="D47" s="15">
        <f t="shared" si="11"/>
        <v>61.427638655975358</v>
      </c>
      <c r="E47" s="15">
        <f t="shared" si="11"/>
        <v>52.828942746750961</v>
      </c>
      <c r="F47" s="15">
        <f t="shared" si="11"/>
        <v>91.535119631351961</v>
      </c>
      <c r="G47" s="15">
        <f t="shared" si="11"/>
        <v>96.210725564823065</v>
      </c>
      <c r="H47" s="15">
        <f t="shared" si="11"/>
        <v>43.040486080972165</v>
      </c>
      <c r="I47" s="15">
        <f t="shared" si="11"/>
        <v>87.919166134864923</v>
      </c>
      <c r="J47" s="15">
        <f t="shared" si="11"/>
        <v>81.909708066717485</v>
      </c>
      <c r="K47" s="15">
        <f t="shared" si="11"/>
        <v>81.828751196826687</v>
      </c>
      <c r="L47" s="15">
        <f t="shared" si="11"/>
        <v>169.37</v>
      </c>
      <c r="M47" s="15" t="e">
        <f t="shared" si="11"/>
        <v>#DIV/0!</v>
      </c>
      <c r="N47" s="15" t="e">
        <f t="shared" si="11"/>
        <v>#DIV/0!</v>
      </c>
    </row>
    <row r="48" spans="1:16">
      <c r="A48" t="s">
        <v>19</v>
      </c>
      <c r="B48" s="15">
        <f>B21/B20*100</f>
        <v>49.036643689538167</v>
      </c>
      <c r="C48" s="15">
        <f>C21/C20*100</f>
        <v>55.210012174022552</v>
      </c>
      <c r="D48" s="15"/>
      <c r="E48" s="15"/>
      <c r="F48" s="58">
        <f>F21/F20*100</f>
        <v>60.510240640706613</v>
      </c>
      <c r="G48" s="58"/>
      <c r="H48" s="58"/>
      <c r="I48" s="58"/>
      <c r="J48" s="58"/>
      <c r="K48" s="15">
        <f>K21/K20*100</f>
        <v>0</v>
      </c>
      <c r="L48" s="15">
        <f>L21/L20*100</f>
        <v>0</v>
      </c>
      <c r="M48" s="15" t="e">
        <f t="shared" ref="M48:N48" si="12">M21/M20*100</f>
        <v>#DIV/0!</v>
      </c>
      <c r="N48" s="15" t="e">
        <f t="shared" si="12"/>
        <v>#DIV/0!</v>
      </c>
    </row>
    <row r="49" spans="1:14">
      <c r="A49" s="13" t="s">
        <v>20</v>
      </c>
      <c r="B49" s="16">
        <f>AVERAGE(B47:B48)</f>
        <v>68.028099845973117</v>
      </c>
      <c r="C49" s="16">
        <f t="shared" ref="C49:N49" si="13">AVERAGE(C47:C48)</f>
        <v>57.241559185322188</v>
      </c>
      <c r="D49" s="16"/>
      <c r="E49" s="16"/>
      <c r="F49" s="59">
        <f>AVERAGE(F47:F48)</f>
        <v>76.022680136029294</v>
      </c>
      <c r="G49" s="59"/>
      <c r="H49" s="59"/>
      <c r="I49" s="59"/>
      <c r="J49" s="59"/>
      <c r="K49" s="16">
        <f t="shared" si="13"/>
        <v>40.914375598413343</v>
      </c>
      <c r="L49" s="16">
        <f t="shared" si="13"/>
        <v>84.685000000000002</v>
      </c>
      <c r="M49" s="16" t="e">
        <f t="shared" si="13"/>
        <v>#DIV/0!</v>
      </c>
      <c r="N49" s="16" t="e">
        <f t="shared" si="13"/>
        <v>#DIV/0!</v>
      </c>
    </row>
    <row r="50" spans="1:14">
      <c r="B50" s="15"/>
      <c r="C50" s="15"/>
      <c r="D50" s="15"/>
      <c r="E50" s="15"/>
      <c r="F50" s="15"/>
      <c r="G50" s="15"/>
      <c r="H50" s="15"/>
      <c r="I50" s="15"/>
      <c r="J50" s="15"/>
      <c r="K50" s="15"/>
      <c r="L50" s="15"/>
    </row>
    <row r="51" spans="1:14">
      <c r="A51" t="s">
        <v>21</v>
      </c>
    </row>
    <row r="52" spans="1:14">
      <c r="A52" t="s">
        <v>22</v>
      </c>
      <c r="B52" s="15">
        <f>((B14/B16)*100)</f>
        <v>84.426203843532264</v>
      </c>
      <c r="C52" s="15">
        <f t="shared" ref="C52:N52" si="14">((C14/C16)*100)</f>
        <v>56.695962555140255</v>
      </c>
      <c r="D52" s="15">
        <f t="shared" si="14"/>
        <v>58.757267768401952</v>
      </c>
      <c r="E52" s="15">
        <f t="shared" si="14"/>
        <v>50.530828361017029</v>
      </c>
      <c r="F52" s="15">
        <f t="shared" si="14"/>
        <v>86.324296002471229</v>
      </c>
      <c r="G52" s="15">
        <f t="shared" si="14"/>
        <v>93.825021716812756</v>
      </c>
      <c r="H52" s="15">
        <f t="shared" si="14"/>
        <v>32.44304241149667</v>
      </c>
      <c r="I52" s="15">
        <f t="shared" si="14"/>
        <v>78.016203196846959</v>
      </c>
      <c r="J52" s="15">
        <f t="shared" si="14"/>
        <v>72.790040744318901</v>
      </c>
      <c r="K52" s="15">
        <f t="shared" si="14"/>
        <v>78.271677624047356</v>
      </c>
      <c r="L52" s="15">
        <f t="shared" si="14"/>
        <v>84.685000000000002</v>
      </c>
      <c r="M52" s="15" t="e">
        <f t="shared" si="14"/>
        <v>#DIV/0!</v>
      </c>
      <c r="N52" s="15" t="e">
        <f t="shared" si="14"/>
        <v>#DIV/0!</v>
      </c>
    </row>
    <row r="53" spans="1:14">
      <c r="A53" t="s">
        <v>23</v>
      </c>
      <c r="B53" s="15">
        <f>B21/B22*100</f>
        <v>23.707140942311732</v>
      </c>
      <c r="C53" s="15">
        <f>C21/C22*100</f>
        <v>26.912953619314152</v>
      </c>
      <c r="D53" s="15"/>
      <c r="E53" s="15"/>
      <c r="F53" s="15">
        <f>F21/F22*100</f>
        <v>28.939680307951683</v>
      </c>
      <c r="G53" s="15"/>
      <c r="H53" s="15"/>
      <c r="I53" s="15"/>
      <c r="J53" s="15"/>
      <c r="K53" s="15">
        <f t="shared" ref="K53:N53" si="15">K21/K22*100</f>
        <v>0</v>
      </c>
      <c r="L53" s="15">
        <f t="shared" si="15"/>
        <v>0</v>
      </c>
      <c r="M53" s="15">
        <f t="shared" si="15"/>
        <v>9.1934666666666658</v>
      </c>
      <c r="N53" s="15" t="e">
        <f t="shared" si="15"/>
        <v>#DIV/0!</v>
      </c>
    </row>
    <row r="54" spans="1:14">
      <c r="A54" t="s">
        <v>24</v>
      </c>
      <c r="B54" s="17">
        <f>(B52+B53)/2</f>
        <v>54.066672392922001</v>
      </c>
      <c r="C54" s="15">
        <f t="shared" ref="C54:N54" si="16">(C52+C53)/2</f>
        <v>41.804458087227204</v>
      </c>
      <c r="D54" s="15"/>
      <c r="E54" s="15"/>
      <c r="F54" s="15">
        <f t="shared" ref="F54" si="17">(F52+F53)/2</f>
        <v>57.631988155211459</v>
      </c>
      <c r="G54" s="15"/>
      <c r="H54" s="15"/>
      <c r="I54" s="15"/>
      <c r="J54" s="15"/>
      <c r="K54" s="15">
        <f t="shared" si="16"/>
        <v>39.135838812023678</v>
      </c>
      <c r="L54" s="15">
        <f t="shared" si="16"/>
        <v>42.342500000000001</v>
      </c>
      <c r="M54" s="15" t="e">
        <f t="shared" si="16"/>
        <v>#DIV/0!</v>
      </c>
      <c r="N54" s="15" t="e">
        <f t="shared" si="16"/>
        <v>#DIV/0!</v>
      </c>
    </row>
    <row r="55" spans="1:14">
      <c r="B55" s="15"/>
      <c r="C55" s="15"/>
      <c r="D55" s="15"/>
      <c r="E55" s="15"/>
      <c r="F55" s="15"/>
      <c r="G55" s="15"/>
      <c r="H55" s="15"/>
      <c r="I55" s="15"/>
      <c r="J55" s="15"/>
      <c r="K55" s="15"/>
      <c r="L55" s="15"/>
    </row>
    <row r="56" spans="1:14">
      <c r="A56" t="s">
        <v>40</v>
      </c>
    </row>
    <row r="57" spans="1:14">
      <c r="A57" t="s">
        <v>25</v>
      </c>
      <c r="B57" s="15">
        <f>B23/B21*100</f>
        <v>99.981245725195095</v>
      </c>
      <c r="C57" s="15"/>
      <c r="D57" s="15"/>
      <c r="E57" s="15"/>
      <c r="F57" s="15"/>
      <c r="G57" s="15"/>
      <c r="H57" s="15"/>
      <c r="I57" s="15"/>
      <c r="J57" s="15"/>
      <c r="K57" s="15"/>
      <c r="L57" s="15"/>
    </row>
    <row r="59" spans="1:14">
      <c r="A59" t="s">
        <v>26</v>
      </c>
    </row>
    <row r="60" spans="1:14">
      <c r="A60" t="s">
        <v>27</v>
      </c>
      <c r="B60" s="15">
        <f>((B14/B10)-1)*100</f>
        <v>-1.2164414753985109</v>
      </c>
      <c r="C60" s="15">
        <f t="shared" ref="C60:N60" si="18">((C14/C10)-1)*100</f>
        <v>2.2289145653586084</v>
      </c>
      <c r="D60" s="15">
        <f t="shared" si="18"/>
        <v>-4.3820651935479127</v>
      </c>
      <c r="E60" s="15">
        <f t="shared" si="18"/>
        <v>34.592117979740109</v>
      </c>
      <c r="F60" s="15">
        <f t="shared" si="18"/>
        <v>-0.92845159154977264</v>
      </c>
      <c r="G60" s="15">
        <f t="shared" si="18"/>
        <v>-0.46078847191023398</v>
      </c>
      <c r="H60" s="15">
        <f t="shared" si="18"/>
        <v>-0.2012650948821193</v>
      </c>
      <c r="I60" s="15">
        <f t="shared" si="18"/>
        <v>-3.5705953169766436</v>
      </c>
      <c r="J60" s="15">
        <f t="shared" si="18"/>
        <v>-5.4261291929024953</v>
      </c>
      <c r="K60" s="15">
        <f t="shared" si="18"/>
        <v>0.87044491748686781</v>
      </c>
      <c r="L60" s="15" t="e">
        <f t="shared" si="18"/>
        <v>#DIV/0!</v>
      </c>
      <c r="M60" s="15" t="e">
        <f t="shared" si="18"/>
        <v>#DIV/0!</v>
      </c>
      <c r="N60" s="15">
        <f t="shared" si="18"/>
        <v>-100</v>
      </c>
    </row>
    <row r="61" spans="1:14">
      <c r="A61" t="s">
        <v>28</v>
      </c>
      <c r="B61" s="15">
        <f>((B36/B35)-1)*100</f>
        <v>20.925920195502922</v>
      </c>
      <c r="C61" s="15">
        <f t="shared" ref="C61:N61" si="19">((C36/C35)-1)*100</f>
        <v>62.152158350486417</v>
      </c>
      <c r="D61" s="15"/>
      <c r="E61" s="15"/>
      <c r="F61" s="15">
        <f t="shared" si="19"/>
        <v>10.448225509029996</v>
      </c>
      <c r="G61" s="15"/>
      <c r="H61" s="15"/>
      <c r="I61" s="15"/>
      <c r="J61" s="15"/>
      <c r="K61" s="15">
        <f t="shared" si="19"/>
        <v>-100</v>
      </c>
      <c r="L61" s="15">
        <f t="shared" si="19"/>
        <v>-100</v>
      </c>
      <c r="M61" s="15" t="e">
        <f t="shared" si="19"/>
        <v>#DIV/0!</v>
      </c>
      <c r="N61" s="15">
        <f t="shared" si="19"/>
        <v>-100</v>
      </c>
    </row>
    <row r="62" spans="1:14">
      <c r="A62" s="13" t="s">
        <v>29</v>
      </c>
      <c r="B62" s="16">
        <f>((B38/B37)-1)*100</f>
        <v>22.415027360435701</v>
      </c>
      <c r="C62" s="16">
        <f t="shared" ref="C62:N62" si="20">((C38/C37)-1)*100</f>
        <v>58.616727018867735</v>
      </c>
      <c r="D62" s="16"/>
      <c r="E62" s="16"/>
      <c r="F62" s="16">
        <f t="shared" si="20"/>
        <v>11.483293925796145</v>
      </c>
      <c r="G62" s="16"/>
      <c r="H62" s="16"/>
      <c r="I62" s="16"/>
      <c r="J62" s="16"/>
      <c r="K62" s="16">
        <f t="shared" si="20"/>
        <v>-100</v>
      </c>
      <c r="L62" s="16" t="e">
        <f t="shared" si="20"/>
        <v>#DIV/0!</v>
      </c>
      <c r="M62" s="16" t="e">
        <f t="shared" si="20"/>
        <v>#DIV/0!</v>
      </c>
      <c r="N62" s="16" t="e">
        <f t="shared" si="20"/>
        <v>#DIV/0!</v>
      </c>
    </row>
    <row r="63" spans="1:14">
      <c r="B63" s="17"/>
      <c r="C63" s="17"/>
      <c r="D63" s="17"/>
      <c r="E63" s="17"/>
      <c r="F63" s="17"/>
      <c r="G63" s="17"/>
      <c r="H63" s="17"/>
      <c r="I63" s="17"/>
      <c r="J63" s="17"/>
      <c r="K63" s="17"/>
      <c r="L63" s="17"/>
    </row>
    <row r="64" spans="1:14">
      <c r="A64" t="s">
        <v>30</v>
      </c>
    </row>
    <row r="65" spans="1:16">
      <c r="A65" t="s">
        <v>31</v>
      </c>
      <c r="B65" s="4">
        <f>B20/(B12*6)</f>
        <v>14890.223404221515</v>
      </c>
      <c r="C65" s="4">
        <f>C20/(C12*6)</f>
        <v>22875.068146294067</v>
      </c>
      <c r="D65" s="4"/>
      <c r="E65" s="4"/>
      <c r="F65" s="4">
        <f>F20/(F12*6)</f>
        <v>4996.8754610209526</v>
      </c>
      <c r="G65" s="4"/>
      <c r="H65" s="40"/>
      <c r="I65" s="40"/>
      <c r="J65" s="40"/>
      <c r="K65" s="4">
        <f>K20/(K12*6)</f>
        <v>28174.659759266859</v>
      </c>
      <c r="L65" s="4">
        <f>L20/(L12*6)</f>
        <v>990.16666666666663</v>
      </c>
      <c r="M65" s="4" t="e">
        <f t="shared" ref="M65:N65" si="21">M20/(M12*6)</f>
        <v>#DIV/0!</v>
      </c>
      <c r="N65" s="4" t="e">
        <f t="shared" si="21"/>
        <v>#DIV/0!</v>
      </c>
    </row>
    <row r="66" spans="1:16">
      <c r="A66" t="s">
        <v>32</v>
      </c>
      <c r="B66" s="4">
        <f>B21/(B14*6)</f>
        <v>8390.8331997261284</v>
      </c>
      <c r="C66" s="4">
        <f>C21/(C14*6)</f>
        <v>21307.012098354815</v>
      </c>
      <c r="D66" s="4"/>
      <c r="E66" s="44"/>
      <c r="F66" s="4">
        <f>F21/(F14*6)</f>
        <v>3303.2363732712788</v>
      </c>
      <c r="G66" s="40"/>
      <c r="H66" s="40"/>
      <c r="I66" s="40"/>
      <c r="J66" s="40"/>
      <c r="K66" s="4">
        <f>K21/(K14*6)</f>
        <v>0</v>
      </c>
      <c r="L66" s="4">
        <f>L21/(L14*6)</f>
        <v>0</v>
      </c>
      <c r="M66" s="4" t="e">
        <f t="shared" ref="M66:N66" si="22">M21/(M14*6)</f>
        <v>#DIV/0!</v>
      </c>
      <c r="N66" s="4" t="e">
        <f t="shared" si="22"/>
        <v>#DIV/0!</v>
      </c>
    </row>
    <row r="67" spans="1:16">
      <c r="A67" s="13" t="s">
        <v>33</v>
      </c>
      <c r="B67" s="16">
        <f>(B66/B65)*B49</f>
        <v>38.334712865358661</v>
      </c>
      <c r="C67" s="16">
        <f t="shared" ref="C67:P67" si="23">(C66/C65)*C49</f>
        <v>53.317725057266991</v>
      </c>
      <c r="D67" s="16"/>
      <c r="E67" s="16"/>
      <c r="F67" s="16">
        <f t="shared" si="23"/>
        <v>50.255581548472563</v>
      </c>
      <c r="G67" s="16"/>
      <c r="H67" s="16"/>
      <c r="I67" s="16"/>
      <c r="J67" s="16"/>
      <c r="K67" s="16">
        <f t="shared" si="23"/>
        <v>0</v>
      </c>
      <c r="L67" s="16">
        <f t="shared" si="23"/>
        <v>0</v>
      </c>
      <c r="M67" s="16" t="e">
        <f t="shared" si="23"/>
        <v>#DIV/0!</v>
      </c>
      <c r="N67" s="16" t="e">
        <f t="shared" si="23"/>
        <v>#DIV/0!</v>
      </c>
      <c r="O67" s="16" t="e">
        <f t="shared" si="23"/>
        <v>#DIV/0!</v>
      </c>
      <c r="P67" s="16" t="e">
        <f t="shared" si="23"/>
        <v>#DIV/0!</v>
      </c>
    </row>
    <row r="68" spans="1:16">
      <c r="A68" t="s">
        <v>41</v>
      </c>
      <c r="B68" s="30">
        <f>B20/B12</f>
        <v>89341.340425329094</v>
      </c>
      <c r="C68" s="30">
        <f>C20/C12</f>
        <v>137250.40887776439</v>
      </c>
      <c r="D68" s="30"/>
      <c r="E68" s="30"/>
      <c r="F68" s="30">
        <f t="shared" ref="F68" si="24">F20/F12</f>
        <v>29981.252766125719</v>
      </c>
      <c r="G68" s="60"/>
      <c r="H68" s="60"/>
      <c r="I68" s="60"/>
      <c r="J68" s="60"/>
      <c r="K68" s="30">
        <f t="shared" ref="K68:N68" si="25">K20/K12</f>
        <v>169047.95855560116</v>
      </c>
      <c r="L68" s="30">
        <f t="shared" si="25"/>
        <v>5941</v>
      </c>
      <c r="M68" s="30" t="e">
        <f t="shared" si="25"/>
        <v>#DIV/0!</v>
      </c>
      <c r="N68" s="30" t="e">
        <f t="shared" si="25"/>
        <v>#DIV/0!</v>
      </c>
    </row>
    <row r="69" spans="1:16">
      <c r="A69" t="s">
        <v>42</v>
      </c>
      <c r="B69" s="17">
        <f>B21/B14</f>
        <v>50344.999198356767</v>
      </c>
      <c r="C69" s="17">
        <f>C21/C14</f>
        <v>127842.07259012888</v>
      </c>
      <c r="D69" s="17"/>
      <c r="E69" s="17"/>
      <c r="F69" s="17">
        <f t="shared" ref="F69" si="26">F21/F14</f>
        <v>19819.418239627674</v>
      </c>
      <c r="G69" s="60"/>
      <c r="H69" s="60"/>
      <c r="I69" s="60"/>
      <c r="J69" s="60"/>
      <c r="K69" s="30">
        <f>K21/K14</f>
        <v>0</v>
      </c>
      <c r="L69" s="30">
        <f>L21/L14</f>
        <v>0</v>
      </c>
      <c r="M69" s="30" t="e">
        <f t="shared" ref="M69:N69" si="27">M21/M14</f>
        <v>#DIV/0!</v>
      </c>
      <c r="N69" s="30" t="e">
        <f t="shared" si="27"/>
        <v>#DIV/0!</v>
      </c>
    </row>
    <row r="70" spans="1:16">
      <c r="B70" s="15"/>
      <c r="C70" s="15"/>
      <c r="D70" s="15"/>
      <c r="E70" s="15"/>
      <c r="F70" s="15"/>
      <c r="G70" s="15"/>
      <c r="H70" s="15"/>
      <c r="I70" s="17"/>
      <c r="J70" s="17"/>
      <c r="K70" s="15"/>
      <c r="L70" s="15"/>
    </row>
    <row r="71" spans="1:16">
      <c r="A71" t="s">
        <v>34</v>
      </c>
      <c r="B71" s="15"/>
      <c r="C71" s="15"/>
      <c r="D71" s="15"/>
      <c r="E71" s="15"/>
      <c r="F71" s="15"/>
      <c r="G71" s="15"/>
      <c r="H71" s="15"/>
      <c r="I71" s="17"/>
      <c r="J71" s="17"/>
      <c r="K71" s="15"/>
      <c r="L71" s="15"/>
    </row>
    <row r="72" spans="1:16">
      <c r="A72" s="18" t="s">
        <v>35</v>
      </c>
      <c r="B72" s="19">
        <f>(B27/B26)*100</f>
        <v>65.254658475279129</v>
      </c>
      <c r="C72" s="19"/>
      <c r="D72" s="19"/>
      <c r="E72" s="19"/>
      <c r="F72" s="19"/>
      <c r="G72" s="19"/>
      <c r="H72" s="19"/>
      <c r="I72" s="19"/>
      <c r="J72" s="19"/>
      <c r="K72" s="19"/>
      <c r="L72" s="19"/>
    </row>
    <row r="73" spans="1:16">
      <c r="A73" s="18" t="s">
        <v>36</v>
      </c>
      <c r="B73" s="19">
        <f>(B21/B27)*100</f>
        <v>75.14657931757479</v>
      </c>
      <c r="C73" s="19"/>
      <c r="D73" s="19"/>
      <c r="E73" s="19"/>
      <c r="F73" s="19"/>
      <c r="G73" s="19"/>
      <c r="H73" s="19"/>
      <c r="I73" s="19"/>
      <c r="J73" s="19"/>
      <c r="K73" s="19"/>
      <c r="L73" s="19"/>
    </row>
    <row r="74" spans="1:16" ht="15.75" thickBot="1">
      <c r="A74" s="20"/>
      <c r="B74" s="20"/>
      <c r="C74" s="20"/>
      <c r="D74" s="20"/>
      <c r="E74" s="20"/>
      <c r="F74" s="20"/>
      <c r="G74" s="20"/>
      <c r="H74" s="20"/>
      <c r="I74" s="49"/>
      <c r="J74" s="49"/>
      <c r="K74" s="20"/>
      <c r="L74" s="20"/>
      <c r="M74" s="20"/>
      <c r="N74" s="20"/>
    </row>
    <row r="75" spans="1:16" ht="15.75" thickTop="1">
      <c r="A75" s="33" t="s">
        <v>97</v>
      </c>
    </row>
    <row r="76" spans="1:16">
      <c r="A76" t="s">
        <v>98</v>
      </c>
    </row>
    <row r="77" spans="1:16">
      <c r="A77" t="s">
        <v>99</v>
      </c>
    </row>
    <row r="78" spans="1:16">
      <c r="A78" t="s">
        <v>54</v>
      </c>
      <c r="B78" s="21"/>
      <c r="C78" s="21"/>
      <c r="D78" s="21"/>
      <c r="E78" s="21"/>
      <c r="F78" s="21"/>
      <c r="G78" s="21"/>
      <c r="H78" s="21"/>
      <c r="I78" s="21"/>
      <c r="J78" s="21"/>
    </row>
    <row r="80" spans="1:16">
      <c r="A80" t="s">
        <v>43</v>
      </c>
    </row>
    <row r="81" spans="1:1">
      <c r="A81" t="s">
        <v>52</v>
      </c>
    </row>
    <row r="82" spans="1:1">
      <c r="A82" t="s">
        <v>60</v>
      </c>
    </row>
    <row r="83" spans="1:1">
      <c r="A83" t="s">
        <v>50</v>
      </c>
    </row>
    <row r="84" spans="1:1">
      <c r="A84" t="s">
        <v>53</v>
      </c>
    </row>
    <row r="86" spans="1:1">
      <c r="A86" s="95" t="s">
        <v>139</v>
      </c>
    </row>
    <row r="87" spans="1:1">
      <c r="A87" s="42"/>
    </row>
  </sheetData>
  <mergeCells count="7">
    <mergeCell ref="M4:N4"/>
    <mergeCell ref="G34:J34"/>
    <mergeCell ref="A2:K2"/>
    <mergeCell ref="A4:A5"/>
    <mergeCell ref="D5:E5"/>
    <mergeCell ref="G5:H5"/>
    <mergeCell ref="D4:L4"/>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2:P87"/>
  <sheetViews>
    <sheetView topLeftCell="B1" zoomScale="70" zoomScaleNormal="70" workbookViewId="0">
      <selection activeCell="L16" sqref="L16"/>
    </sheetView>
  </sheetViews>
  <sheetFormatPr baseColWidth="10" defaultColWidth="11.42578125" defaultRowHeight="15"/>
  <cols>
    <col min="1" max="1" width="55.140625" customWidth="1"/>
    <col min="2" max="3" width="26.7109375" customWidth="1"/>
    <col min="4" max="6" width="16.5703125" customWidth="1"/>
    <col min="7" max="7" width="16.140625" customWidth="1"/>
    <col min="8" max="10" width="17.42578125" customWidth="1"/>
    <col min="11" max="11" width="16.7109375" bestFit="1" customWidth="1"/>
    <col min="12" max="12" width="16.42578125" customWidth="1"/>
    <col min="13" max="13" width="16.7109375" customWidth="1"/>
    <col min="14" max="14" width="22.85546875" customWidth="1"/>
    <col min="15" max="15" width="20" hidden="1" customWidth="1"/>
    <col min="16" max="16" width="22" hidden="1" customWidth="1"/>
  </cols>
  <sheetData>
    <row r="2" spans="1:16" ht="15.75">
      <c r="A2" s="102" t="s">
        <v>129</v>
      </c>
      <c r="B2" s="102"/>
      <c r="C2" s="102"/>
      <c r="D2" s="102"/>
      <c r="E2" s="102"/>
      <c r="F2" s="102"/>
      <c r="G2" s="102"/>
      <c r="H2" s="102"/>
      <c r="I2" s="102"/>
      <c r="J2" s="102"/>
      <c r="K2" s="102"/>
    </row>
    <row r="4" spans="1:16">
      <c r="A4" s="100" t="s">
        <v>0</v>
      </c>
      <c r="B4" s="25" t="s">
        <v>1</v>
      </c>
      <c r="C4" s="25"/>
      <c r="D4" s="108" t="s">
        <v>2</v>
      </c>
      <c r="E4" s="108"/>
      <c r="F4" s="108"/>
      <c r="G4" s="108"/>
      <c r="H4" s="108"/>
      <c r="I4" s="108"/>
      <c r="J4" s="108"/>
      <c r="K4" s="108"/>
      <c r="L4" s="108"/>
      <c r="M4" s="108"/>
      <c r="N4" s="108"/>
    </row>
    <row r="5" spans="1:16" ht="15.75" thickBot="1">
      <c r="A5" s="101"/>
      <c r="B5" s="1" t="s">
        <v>3</v>
      </c>
      <c r="C5" s="57" t="s">
        <v>55</v>
      </c>
      <c r="D5" s="103" t="s">
        <v>4</v>
      </c>
      <c r="E5" s="103"/>
      <c r="F5" s="57" t="s">
        <v>56</v>
      </c>
      <c r="G5" s="103" t="s">
        <v>51</v>
      </c>
      <c r="H5" s="103"/>
      <c r="I5" s="48"/>
      <c r="J5" s="48"/>
      <c r="K5" s="1" t="s">
        <v>5</v>
      </c>
      <c r="L5" s="20" t="s">
        <v>100</v>
      </c>
      <c r="M5" s="20" t="s">
        <v>61</v>
      </c>
      <c r="N5" s="20" t="s">
        <v>138</v>
      </c>
      <c r="O5" s="20" t="s">
        <v>62</v>
      </c>
      <c r="P5" s="20" t="s">
        <v>63</v>
      </c>
    </row>
    <row r="6" spans="1:16" ht="15.75" thickTop="1">
      <c r="B6" s="36" t="s">
        <v>1</v>
      </c>
      <c r="D6" s="36" t="s">
        <v>48</v>
      </c>
      <c r="E6" s="36" t="s">
        <v>49</v>
      </c>
      <c r="F6" s="36"/>
      <c r="G6" s="36">
        <v>1600</v>
      </c>
      <c r="H6" s="36">
        <v>640</v>
      </c>
      <c r="I6" s="47">
        <v>320</v>
      </c>
      <c r="J6" s="47">
        <v>800</v>
      </c>
      <c r="K6" s="36"/>
      <c r="M6" s="67"/>
      <c r="N6" s="67"/>
      <c r="O6" s="33" t="s">
        <v>62</v>
      </c>
      <c r="P6" s="33" t="s">
        <v>63</v>
      </c>
    </row>
    <row r="7" spans="1:16">
      <c r="A7" s="2" t="s">
        <v>6</v>
      </c>
      <c r="I7" s="32"/>
      <c r="J7" s="32"/>
    </row>
    <row r="8" spans="1:16">
      <c r="I8" s="32"/>
      <c r="J8" s="32"/>
    </row>
    <row r="9" spans="1:16">
      <c r="A9" t="s">
        <v>7</v>
      </c>
      <c r="I9" s="32"/>
      <c r="J9" s="32"/>
      <c r="M9" s="71"/>
    </row>
    <row r="10" spans="1:16">
      <c r="A10" s="3" t="s">
        <v>73</v>
      </c>
      <c r="B10" s="24">
        <f>+D10+G10</f>
        <v>120887.11111111111</v>
      </c>
      <c r="C10" s="24">
        <f>+D10+E10</f>
        <v>28632.777777777777</v>
      </c>
      <c r="D10" s="24">
        <f>(+'I Trimestre'!D10+'II Trimestre'!D10+'III Trimestre'!D10)/3</f>
        <v>23499</v>
      </c>
      <c r="E10" s="24">
        <f>(+'I Trimestre'!E10+'II Trimestre'!E10+'III Trimestre'!E10)/3</f>
        <v>5133.7777777777783</v>
      </c>
      <c r="F10" s="24">
        <f>SUM(G10:I10)</f>
        <v>119417.22222222222</v>
      </c>
      <c r="G10" s="24">
        <f>(+'I Trimestre'!G10+'II Trimestre'!G10+'III Trimestre'!G10)/3</f>
        <v>97388.111111111109</v>
      </c>
      <c r="H10" s="64">
        <f>(+'I Trimestre'!H10+'II Trimestre'!H10+'III Trimestre'!H10)/3</f>
        <v>3521.5555555555552</v>
      </c>
      <c r="I10" s="64">
        <f>(+'I Trimestre'!I10+'II Trimestre'!I10+'III Trimestre'!I10)/3</f>
        <v>18507.555555555555</v>
      </c>
      <c r="J10" s="37">
        <f>(+'I Trimestre'!J10+'II Trimestre'!J10+'III Trimestre'!J10)/3</f>
        <v>25012.111111111109</v>
      </c>
      <c r="K10" s="24">
        <f>(+'I Trimestre'!K10+'II Trimestre'!K10+'III Trimestre'!K10)/3</f>
        <v>6962.2222222222226</v>
      </c>
      <c r="L10" s="24">
        <f>(+'I Trimestre'!L10+'II Trimestre'!L10+'III Trimestre'!L10)/3</f>
        <v>0</v>
      </c>
      <c r="M10" s="86">
        <f>(+'I Trimestre'!M10+'II Trimestre'!M10+'III Trimestre'!M10)/3</f>
        <v>0</v>
      </c>
      <c r="N10" s="88">
        <f>(+'I Trimestre'!N10+'II Trimestre'!N10+'III Trimestre'!N10)/3</f>
        <v>13412.777777777776</v>
      </c>
      <c r="O10" s="88">
        <f>(+'I Trimestre'!O10+'II Trimestre'!O10+'III Trimestre'!O10)/3</f>
        <v>0</v>
      </c>
      <c r="P10" s="88">
        <f>(+'I Trimestre'!P10+'II Trimestre'!P10+'III Trimestre'!P10)/3</f>
        <v>0</v>
      </c>
    </row>
    <row r="11" spans="1:16" hidden="1">
      <c r="A11" s="27" t="s">
        <v>37</v>
      </c>
      <c r="B11" s="24">
        <f t="shared" ref="B11:B16" si="0">+D11+G11</f>
        <v>34277.444444444445</v>
      </c>
      <c r="C11" s="24">
        <f t="shared" ref="C11:C16" si="1">+D11+E11</f>
        <v>8114.5555555555566</v>
      </c>
      <c r="D11" s="24">
        <f>(+'I Trimestre'!D11+'II Trimestre'!D11+'III Trimestre'!D11)/3</f>
        <v>6084.8888888888896</v>
      </c>
      <c r="E11" s="24">
        <f>(+'I Trimestre'!E11+'II Trimestre'!E11+'III Trimestre'!E11)/3</f>
        <v>2029.6666666666667</v>
      </c>
      <c r="F11" s="24">
        <f>SUM(G11:I11)</f>
        <v>35997.111111111117</v>
      </c>
      <c r="G11" s="24">
        <f>(+'I Trimestre'!G11+'II Trimestre'!G11+'III Trimestre'!G11)/3</f>
        <v>28192.555555555558</v>
      </c>
      <c r="H11" s="64">
        <f>(+'I Trimestre'!H11+'II Trimestre'!H11+'III Trimestre'!H11)/3</f>
        <v>1202.8888888888889</v>
      </c>
      <c r="I11" s="64">
        <f>(+'I Trimestre'!I11+'II Trimestre'!I11+'III Trimestre'!I11)/3</f>
        <v>6601.666666666667</v>
      </c>
      <c r="J11" s="37">
        <f>(+'I Trimestre'!J11+'II Trimestre'!J11+'III Trimestre'!J11)/3</f>
        <v>8724.6666666666661</v>
      </c>
      <c r="K11" s="24">
        <f>(+'I Trimestre'!K11+'II Trimestre'!K11+'III Trimestre'!K11)/3</f>
        <v>1690.3333333333333</v>
      </c>
      <c r="L11" s="24">
        <f>(+'I Trimestre'!L11+'II Trimestre'!L11+'III Trimestre'!L11)/3</f>
        <v>0</v>
      </c>
      <c r="M11" s="86">
        <f>(+'I Trimestre'!M11+'II Trimestre'!M11+'III Trimestre'!M11)/3</f>
        <v>0</v>
      </c>
      <c r="N11" s="88">
        <f>(+'I Trimestre'!N11+'II Trimestre'!N11+'III Trimestre'!N11)/3</f>
        <v>808.66666666666663</v>
      </c>
      <c r="O11" s="88">
        <f>(+'I Trimestre'!O11+'II Trimestre'!O11+'III Trimestre'!O11)/3</f>
        <v>0</v>
      </c>
      <c r="P11" s="88">
        <f>(+'I Trimestre'!P11+'II Trimestre'!P11+'III Trimestre'!P11)/3</f>
        <v>0</v>
      </c>
    </row>
    <row r="12" spans="1:16">
      <c r="A12" s="3" t="s">
        <v>109</v>
      </c>
      <c r="B12" s="24">
        <f t="shared" si="0"/>
        <v>137022.33333333334</v>
      </c>
      <c r="C12" s="24">
        <f t="shared" si="1"/>
        <v>48777.666666666664</v>
      </c>
      <c r="D12" s="24">
        <f>(+'I Trimestre'!D12+'II Trimestre'!D12+'III Trimestre'!D12)/3</f>
        <v>36555.666666666664</v>
      </c>
      <c r="E12" s="24">
        <f>(+'I Trimestre'!E12+'II Trimestre'!E12+'III Trimestre'!E12)/3</f>
        <v>12222</v>
      </c>
      <c r="F12" s="24">
        <f>SUM(G12:I12)</f>
        <v>131532.33333333334</v>
      </c>
      <c r="G12" s="24">
        <f>(+'I Trimestre'!G12+'II Trimestre'!G12+'III Trimestre'!G12)/3</f>
        <v>100466.66666666667</v>
      </c>
      <c r="H12" s="24">
        <f>(+'I Trimestre'!H12+'II Trimestre'!H12+'III Trimestre'!H12)/3</f>
        <v>9820.6666666666661</v>
      </c>
      <c r="I12" s="37">
        <f>(+'I Trimestre'!I12+'II Trimestre'!I12+'III Trimestre'!I12)/3</f>
        <v>21245</v>
      </c>
      <c r="J12" s="37">
        <f>(+'I Trimestre'!J12+'II Trimestre'!J12+'III Trimestre'!J12)/3</f>
        <v>23250</v>
      </c>
      <c r="K12" s="24">
        <f>(+'I Trimestre'!K12+'II Trimestre'!K12+'III Trimestre'!K12)/3</f>
        <v>10043.333333333334</v>
      </c>
      <c r="L12" s="24">
        <f>(+'I Trimestre'!L12+'II Trimestre'!L12+'III Trimestre'!L12)/3</f>
        <v>6666.666666666667</v>
      </c>
      <c r="M12" s="86">
        <f>(+'I Trimestre'!M12+'II Trimestre'!M12+'III Trimestre'!M12)/3</f>
        <v>0</v>
      </c>
      <c r="N12" s="88">
        <f>(+'I Trimestre'!N12+'II Trimestre'!N12+'III Trimestre'!N12)/3</f>
        <v>0</v>
      </c>
      <c r="O12" s="88">
        <f>(+'I Trimestre'!O12+'II Trimestre'!O12+'III Trimestre'!O12)/3</f>
        <v>0</v>
      </c>
      <c r="P12" s="88">
        <f>(+'I Trimestre'!P12+'II Trimestre'!P12+'III Trimestre'!P12)/3</f>
        <v>0</v>
      </c>
    </row>
    <row r="13" spans="1:16" hidden="1">
      <c r="A13" s="27" t="s">
        <v>37</v>
      </c>
      <c r="B13" s="24">
        <f t="shared" si="0"/>
        <v>0</v>
      </c>
      <c r="C13" s="24">
        <f t="shared" si="1"/>
        <v>0</v>
      </c>
      <c r="D13" s="24">
        <f>(+'I Trimestre'!D13+'II Trimestre'!D13+'III Trimestre'!D13)/3</f>
        <v>0</v>
      </c>
      <c r="E13" s="24">
        <f>(+'I Trimestre'!E13+'II Trimestre'!E13+'III Trimestre'!E13)/3</f>
        <v>0</v>
      </c>
      <c r="F13" s="24">
        <f t="shared" ref="F13:F16" si="2">SUM(G13:I13)</f>
        <v>0</v>
      </c>
      <c r="G13" s="24">
        <f>(+'I Trimestre'!G13+'II Trimestre'!G13+'III Trimestre'!G13)/3</f>
        <v>0</v>
      </c>
      <c r="H13" s="24">
        <f>(+'I Trimestre'!H13+'II Trimestre'!H13+'III Trimestre'!H13)/3</f>
        <v>0</v>
      </c>
      <c r="I13" s="37">
        <f>(+'I Trimestre'!I13+'II Trimestre'!I13+'III Trimestre'!I13)/3</f>
        <v>0</v>
      </c>
      <c r="J13" s="37">
        <f>(+'I Trimestre'!J13+'II Trimestre'!J13+'III Trimestre'!J13)/3</f>
        <v>0</v>
      </c>
      <c r="K13" s="24">
        <f>(+'I Trimestre'!K13+'II Trimestre'!K13+'III Trimestre'!K13)/3</f>
        <v>0</v>
      </c>
      <c r="L13" s="24">
        <f>(+'I Trimestre'!L13+'II Trimestre'!L13+'III Trimestre'!L13)/3</f>
        <v>0</v>
      </c>
      <c r="M13" s="86">
        <f>(+'I Trimestre'!M13+'II Trimestre'!M13+'III Trimestre'!M13)/3</f>
        <v>0</v>
      </c>
      <c r="N13" s="88">
        <f>(+'I Trimestre'!N13+'II Trimestre'!N13+'III Trimestre'!N13)/3</f>
        <v>0</v>
      </c>
      <c r="O13" s="88">
        <f>(+'I Trimestre'!O13+'II Trimestre'!O13+'III Trimestre'!O13)/3</f>
        <v>0</v>
      </c>
      <c r="P13" s="88">
        <f>(+'I Trimestre'!P13+'II Trimestre'!P13+'III Trimestre'!P13)/3</f>
        <v>0</v>
      </c>
    </row>
    <row r="14" spans="1:16">
      <c r="A14" s="3" t="s">
        <v>110</v>
      </c>
      <c r="B14" s="24">
        <f t="shared" si="0"/>
        <v>119542.55555555556</v>
      </c>
      <c r="C14" s="24">
        <f t="shared" si="1"/>
        <v>30325.666666666672</v>
      </c>
      <c r="D14" s="24">
        <f>(+'I Trimestre'!D14+'II Trimestre'!D14+'III Trimestre'!D14)/3</f>
        <v>22746.444444444449</v>
      </c>
      <c r="E14" s="24">
        <f>(+'I Trimestre'!E14+'II Trimestre'!E14+'III Trimestre'!E14)/3</f>
        <v>7579.2222222222217</v>
      </c>
      <c r="F14" s="24">
        <f t="shared" si="2"/>
        <v>118310.77777777778</v>
      </c>
      <c r="G14" s="24">
        <f>(+'I Trimestre'!G14+'II Trimestre'!G14+'III Trimestre'!G14)/3</f>
        <v>96796.111111111109</v>
      </c>
      <c r="H14" s="24">
        <f>(+'I Trimestre'!H14+'II Trimestre'!H14+'III Trimestre'!H14)/3</f>
        <v>3583.5555555555552</v>
      </c>
      <c r="I14" s="37">
        <f>(+'I Trimestre'!I14+'II Trimestre'!I14+'III Trimestre'!I14)/3</f>
        <v>17931.111111111113</v>
      </c>
      <c r="J14" s="37">
        <f>(+'I Trimestre'!J14+'II Trimestre'!J14+'III Trimestre'!J14)/3</f>
        <v>23780.333333333332</v>
      </c>
      <c r="K14" s="24">
        <f>(+'I Trimestre'!K14+'II Trimestre'!K14+'III Trimestre'!K14)/3</f>
        <v>8316</v>
      </c>
      <c r="L14" s="24">
        <f>'I Semestre'!L14</f>
        <v>16937</v>
      </c>
      <c r="M14" s="86">
        <f>(+'I Trimestre'!M14+'II Trimestre'!M14+'III Trimestre'!M14)/3</f>
        <v>0</v>
      </c>
      <c r="N14" s="88">
        <f>(+'I Trimestre'!N14+'II Trimestre'!N14+'III Trimestre'!N14)/3</f>
        <v>0</v>
      </c>
      <c r="O14" s="88">
        <f>(+'I Trimestre'!O14+'II Trimestre'!O14+'III Trimestre'!O14)/3</f>
        <v>0</v>
      </c>
      <c r="P14" s="88">
        <f>(+'I Trimestre'!P14+'II Trimestre'!P14+'III Trimestre'!P14)/3</f>
        <v>0</v>
      </c>
    </row>
    <row r="15" spans="1:16" hidden="1">
      <c r="A15" s="27" t="s">
        <v>37</v>
      </c>
      <c r="B15" s="24">
        <f t="shared" si="0"/>
        <v>0</v>
      </c>
      <c r="C15" s="24">
        <f t="shared" si="1"/>
        <v>0</v>
      </c>
      <c r="D15" s="24">
        <f>(+'I Trimestre'!D15+'II Trimestre'!D15+'III Trimestre'!D15)/3</f>
        <v>0</v>
      </c>
      <c r="E15" s="24">
        <f>(+'I Trimestre'!E15+'II Trimestre'!E15+'III Trimestre'!E15)/3</f>
        <v>0</v>
      </c>
      <c r="F15" s="24">
        <f t="shared" si="2"/>
        <v>0</v>
      </c>
      <c r="G15" s="24">
        <f>(+'I Trimestre'!G15+'II Trimestre'!G15+'III Trimestre'!G15)/3</f>
        <v>0</v>
      </c>
      <c r="H15" s="24">
        <f>(+'I Trimestre'!H15+'II Trimestre'!H15+'III Trimestre'!H15)/3</f>
        <v>0</v>
      </c>
      <c r="I15" s="37">
        <f>(+'I Trimestre'!I15+'II Trimestre'!I15+'III Trimestre'!I15)/3</f>
        <v>0</v>
      </c>
      <c r="J15" s="37">
        <f>(+'I Trimestre'!J15+'II Trimestre'!J15+'III Trimestre'!J15)/3</f>
        <v>0</v>
      </c>
      <c r="K15" s="24">
        <f>(+'I Trimestre'!K15+'II Trimestre'!K15+'III Trimestre'!K15)/3</f>
        <v>0</v>
      </c>
      <c r="L15" s="24">
        <f>(+'I Trimestre'!L15+'II Trimestre'!L15+'III Trimestre'!L15)/3</f>
        <v>0</v>
      </c>
      <c r="M15" s="86">
        <f>(+'I Trimestre'!M15+'II Trimestre'!M15+'III Trimestre'!M15)/3</f>
        <v>0</v>
      </c>
      <c r="N15" s="88">
        <f>(+'I Trimestre'!N15+'II Trimestre'!N15+'III Trimestre'!N15)/3</f>
        <v>0</v>
      </c>
      <c r="O15" s="88">
        <f>(+'I Trimestre'!O15+'II Trimestre'!O15+'III Trimestre'!O15)/3</f>
        <v>0</v>
      </c>
      <c r="P15" s="88">
        <f>(+'I Trimestre'!P15+'II Trimestre'!P15+'III Trimestre'!P15)/3</f>
        <v>0</v>
      </c>
    </row>
    <row r="16" spans="1:16">
      <c r="A16" s="3" t="s">
        <v>92</v>
      </c>
      <c r="B16" s="24">
        <f t="shared" si="0"/>
        <v>138397</v>
      </c>
      <c r="C16" s="24">
        <f t="shared" si="1"/>
        <v>49495</v>
      </c>
      <c r="D16" s="4">
        <f>+'III Trimestre'!D16</f>
        <v>37093</v>
      </c>
      <c r="E16" s="4">
        <f>+'III Trimestre'!E16</f>
        <v>12402</v>
      </c>
      <c r="F16" s="24">
        <f t="shared" si="2"/>
        <v>134076.58333333334</v>
      </c>
      <c r="G16" s="4">
        <f>+'III Trimestre'!G16</f>
        <v>101304</v>
      </c>
      <c r="H16" s="4">
        <f>+'III Trimestre'!H16</f>
        <v>10698.75</v>
      </c>
      <c r="I16" s="5">
        <f>'III Trimestre'!I16</f>
        <v>22073.833333333332</v>
      </c>
      <c r="J16" s="5">
        <f>'III Trimestre'!J16</f>
        <v>31742.666666666668</v>
      </c>
      <c r="K16" s="4">
        <f>+'III Trimestre'!K16</f>
        <v>10191</v>
      </c>
      <c r="L16" s="4">
        <f>+'III Trimestre'!L16</f>
        <v>20000</v>
      </c>
      <c r="M16" s="87">
        <f>+'III Trimestre'!M16</f>
        <v>0</v>
      </c>
      <c r="N16" s="89">
        <f>+'III Trimestre'!N16</f>
        <v>0</v>
      </c>
      <c r="O16" s="89">
        <f>+'III Trimestre'!O16</f>
        <v>0</v>
      </c>
      <c r="P16" s="89">
        <f>+'III Trimestre'!P16</f>
        <v>0</v>
      </c>
    </row>
    <row r="17" spans="1:16">
      <c r="B17" s="22"/>
      <c r="C17" s="22"/>
      <c r="D17" s="22"/>
      <c r="E17" s="22"/>
      <c r="F17" s="22"/>
      <c r="G17" s="22"/>
      <c r="H17" s="22"/>
      <c r="I17" s="45"/>
      <c r="J17" s="45"/>
      <c r="K17" s="22"/>
      <c r="N17" s="24"/>
    </row>
    <row r="18" spans="1:16">
      <c r="A18" s="6" t="s">
        <v>8</v>
      </c>
      <c r="B18" s="22"/>
      <c r="C18" s="22"/>
      <c r="D18" s="22"/>
      <c r="E18" s="22"/>
      <c r="F18" s="22"/>
      <c r="G18" s="22"/>
      <c r="H18" s="22"/>
      <c r="I18" s="45"/>
      <c r="J18" s="45"/>
      <c r="K18" s="22"/>
    </row>
    <row r="19" spans="1:16">
      <c r="A19" s="3" t="s">
        <v>73</v>
      </c>
      <c r="B19" s="24">
        <f>C19+F19+K19+L19+M19+N19</f>
        <v>9929115762.0400009</v>
      </c>
      <c r="C19" s="24">
        <f>+'I Trimestre'!C19+'II Trimestre'!C19+'III Trimestre'!C19</f>
        <v>3441763953</v>
      </c>
      <c r="D19" s="40"/>
      <c r="E19" s="40"/>
      <c r="F19" s="54">
        <f>+'I Trimestre'!F19+'II Trimestre'!F19+'III Trimestre'!F19</f>
        <v>4454112540</v>
      </c>
      <c r="G19" s="40"/>
      <c r="H19" s="40"/>
      <c r="I19" s="40"/>
      <c r="J19" s="40"/>
      <c r="K19" s="24">
        <f>+'I Trimestre'!K19+'II Trimestre'!K19+'III Trimestre'!K19</f>
        <v>1434670400.04</v>
      </c>
      <c r="L19" s="24">
        <f>+'I Trimestre'!L19+'II Trimestre'!L19+'III Trimestre'!L19</f>
        <v>8797150</v>
      </c>
      <c r="M19" s="91">
        <f>+'I Trimestre'!M19+'II Trimestre'!M19+'III Trimestre'!M19</f>
        <v>565300</v>
      </c>
      <c r="N19" s="91">
        <f>+'I Trimestre'!N19+'II Trimestre'!N19+'III Trimestre'!N19</f>
        <v>589206419</v>
      </c>
      <c r="O19" s="91">
        <f>+'I Trimestre'!O19+'II Trimestre'!O19+'III Trimestre'!O19</f>
        <v>0</v>
      </c>
      <c r="P19" s="91">
        <f>+'I Trimestre'!P19+'II Trimestre'!P19+'III Trimestre'!P19</f>
        <v>0</v>
      </c>
    </row>
    <row r="20" spans="1:16">
      <c r="A20" s="61" t="s">
        <v>109</v>
      </c>
      <c r="B20" s="24">
        <f t="shared" ref="B20:B22" si="3">C20+F20+K20+L20+M20+N20</f>
        <v>18420094535.77</v>
      </c>
      <c r="C20" s="24">
        <f>+'I Trimestre'!C20+'II Trimestre'!C20+'III Trimestre'!C20</f>
        <v>9913857861.25</v>
      </c>
      <c r="D20" s="40"/>
      <c r="E20" s="40"/>
      <c r="F20" s="55">
        <f>+'I Trimestre'!F20+'II Trimestre'!F20+'III Trimestre'!F20</f>
        <v>5858740174.5200005</v>
      </c>
      <c r="G20" s="40"/>
      <c r="H20" s="40"/>
      <c r="I20" s="40"/>
      <c r="J20" s="40"/>
      <c r="K20" s="24">
        <f>+'I Trimestre'!K20+'II Trimestre'!K20+'III Trimestre'!K20</f>
        <v>2557086500</v>
      </c>
      <c r="L20" s="24">
        <f>+'I Trimestre'!L20+'II Trimestre'!L20+'III Trimestre'!L20</f>
        <v>78410000</v>
      </c>
      <c r="M20" s="91">
        <f>+'I Trimestre'!M20+'II Trimestre'!M20+'III Trimestre'!M20</f>
        <v>12000000</v>
      </c>
      <c r="N20" s="91">
        <f>+'I Trimestre'!N20+'II Trimestre'!N20+'III Trimestre'!N20</f>
        <v>0</v>
      </c>
      <c r="O20" s="91">
        <f>+'I Trimestre'!O20+'II Trimestre'!O20+'III Trimestre'!O20</f>
        <v>0</v>
      </c>
      <c r="P20" s="91">
        <f>+'I Trimestre'!P20+'II Trimestre'!P20+'III Trimestre'!P20</f>
        <v>0</v>
      </c>
    </row>
    <row r="21" spans="1:16">
      <c r="A21" s="3" t="s">
        <v>110</v>
      </c>
      <c r="B21" s="24">
        <f t="shared" si="3"/>
        <v>10093170449.82</v>
      </c>
      <c r="C21" s="24">
        <f>+'I Trimestre'!C21+'II Trimestre'!C21+'III Trimestre'!C21</f>
        <v>5871084926.8199997</v>
      </c>
      <c r="D21" s="40"/>
      <c r="E21" s="40"/>
      <c r="F21" s="55">
        <f>+'I Trimestre'!F21+'II Trimestre'!F21+'III Trimestre'!F21</f>
        <v>3482118840</v>
      </c>
      <c r="G21" s="40"/>
      <c r="H21" s="40"/>
      <c r="I21" s="40"/>
      <c r="J21" s="40"/>
      <c r="K21" s="24">
        <f>+'I Trimestre'!K21+'II Trimestre'!K21+'III Trimestre'!K21</f>
        <v>729755932</v>
      </c>
      <c r="L21" s="24">
        <f>+'I Trimestre'!L21+'II Trimestre'!L21+'III Trimestre'!L21</f>
        <v>9107535</v>
      </c>
      <c r="M21" s="91">
        <f>+'I Trimestre'!M21+'II Trimestre'!M21+'III Trimestre'!M21</f>
        <v>1103216</v>
      </c>
      <c r="N21" s="91">
        <f>+'I Trimestre'!N21+'II Trimestre'!N21+'III Trimestre'!N21</f>
        <v>0</v>
      </c>
      <c r="O21" s="91">
        <f>+'I Trimestre'!O21+'II Trimestre'!O21+'III Trimestre'!O21</f>
        <v>0</v>
      </c>
      <c r="P21" s="91">
        <f>+'I Trimestre'!P21+'II Trimestre'!P21+'III Trimestre'!P21</f>
        <v>0</v>
      </c>
    </row>
    <row r="22" spans="1:16">
      <c r="A22" s="3" t="s">
        <v>92</v>
      </c>
      <c r="B22" s="24">
        <f t="shared" si="3"/>
        <v>24813103939.080002</v>
      </c>
      <c r="C22" s="24">
        <f>+'III Trimestre'!C22</f>
        <v>13329869615</v>
      </c>
      <c r="D22" s="40"/>
      <c r="E22" s="40"/>
      <c r="F22" s="55">
        <f>+'III Trimestre'!F22</f>
        <v>7926530824.0800009</v>
      </c>
      <c r="G22" s="40"/>
      <c r="H22" s="40"/>
      <c r="I22" s="40"/>
      <c r="J22" s="40"/>
      <c r="K22" s="39">
        <f>+'III Trimestre'!K22</f>
        <v>3466293500</v>
      </c>
      <c r="L22" s="39">
        <f>+'III Trimestre'!L22</f>
        <v>78410000</v>
      </c>
      <c r="M22" s="94">
        <f>+'III Trimestre'!M22</f>
        <v>12000000</v>
      </c>
      <c r="N22" s="94">
        <f>+'III Trimestre'!N22</f>
        <v>0</v>
      </c>
      <c r="O22" s="94">
        <f>+'III Trimestre'!O22</f>
        <v>0</v>
      </c>
      <c r="P22" s="94">
        <f>+'III Trimestre'!P22</f>
        <v>0</v>
      </c>
    </row>
    <row r="23" spans="1:16">
      <c r="A23" s="3" t="s">
        <v>111</v>
      </c>
      <c r="B23" s="24">
        <f>C23+F23+K23+L23+N23</f>
        <v>10092067233.82</v>
      </c>
      <c r="C23" s="4">
        <f>C21</f>
        <v>5871084926.8199997</v>
      </c>
      <c r="D23" s="40"/>
      <c r="E23" s="40"/>
      <c r="F23" s="40">
        <f>F21</f>
        <v>3482118840</v>
      </c>
      <c r="G23" s="40"/>
      <c r="H23" s="40"/>
      <c r="I23" s="40"/>
      <c r="J23" s="40"/>
      <c r="K23" s="4">
        <f>K21</f>
        <v>729755932</v>
      </c>
      <c r="L23" s="4">
        <f>L21</f>
        <v>9107535</v>
      </c>
      <c r="M23" s="93">
        <f>M21</f>
        <v>1103216</v>
      </c>
      <c r="N23" s="92">
        <f>N21</f>
        <v>0</v>
      </c>
      <c r="O23" s="92">
        <f t="shared" ref="O23:P23" si="4">O21</f>
        <v>0</v>
      </c>
      <c r="P23" s="92">
        <f t="shared" si="4"/>
        <v>0</v>
      </c>
    </row>
    <row r="24" spans="1:16">
      <c r="B24" s="22"/>
      <c r="C24" s="22"/>
      <c r="D24" s="22"/>
      <c r="E24" s="22"/>
      <c r="F24" s="22"/>
      <c r="G24" s="22"/>
      <c r="H24" s="22"/>
      <c r="I24" s="45"/>
      <c r="J24" s="45"/>
      <c r="K24" s="22"/>
    </row>
    <row r="25" spans="1:16">
      <c r="A25" s="7" t="s">
        <v>9</v>
      </c>
      <c r="B25" s="23"/>
      <c r="C25" s="23"/>
      <c r="D25" s="23"/>
      <c r="E25" s="23"/>
      <c r="F25" s="23"/>
      <c r="G25" s="23"/>
      <c r="H25" s="23"/>
      <c r="I25" s="23"/>
      <c r="J25" s="23"/>
      <c r="K25" s="23"/>
      <c r="L25" s="23"/>
    </row>
    <row r="26" spans="1:16">
      <c r="A26" s="9" t="s">
        <v>109</v>
      </c>
      <c r="B26" s="35">
        <f>+B20</f>
        <v>18420094535.77</v>
      </c>
      <c r="C26" s="35"/>
      <c r="D26" s="23"/>
      <c r="E26" s="23"/>
      <c r="F26" s="23"/>
      <c r="G26" s="23"/>
      <c r="H26" s="23"/>
      <c r="I26" s="23"/>
      <c r="J26" s="23"/>
      <c r="K26" s="23"/>
      <c r="L26" s="23"/>
    </row>
    <row r="27" spans="1:16">
      <c r="A27" s="9" t="s">
        <v>110</v>
      </c>
      <c r="B27" s="35">
        <f>+'I Trimestre'!B27+'II Trimestre'!B27+'III Trimestre'!B27</f>
        <v>15503556173.549999</v>
      </c>
      <c r="C27" s="35"/>
      <c r="D27" s="23"/>
      <c r="E27" s="23"/>
      <c r="F27" s="23"/>
      <c r="G27" s="23"/>
      <c r="H27" s="23"/>
      <c r="I27" s="23"/>
      <c r="J27" s="23"/>
      <c r="K27" s="23"/>
      <c r="L27" s="23"/>
    </row>
    <row r="28" spans="1:16">
      <c r="I28" s="32"/>
      <c r="J28" s="32"/>
    </row>
    <row r="29" spans="1:16">
      <c r="A29" t="s">
        <v>10</v>
      </c>
      <c r="I29" s="32"/>
      <c r="J29" s="32"/>
    </row>
    <row r="30" spans="1:16">
      <c r="A30" s="10" t="s">
        <v>74</v>
      </c>
      <c r="B30" s="11">
        <v>0.99</v>
      </c>
      <c r="C30" s="11">
        <v>0.99</v>
      </c>
      <c r="D30" s="11">
        <v>0.99</v>
      </c>
      <c r="E30" s="11">
        <v>0.99</v>
      </c>
      <c r="F30" s="11">
        <v>0.99</v>
      </c>
      <c r="G30" s="11">
        <v>0.99</v>
      </c>
      <c r="H30" s="11">
        <v>0.99</v>
      </c>
      <c r="I30" s="11">
        <v>0.99</v>
      </c>
      <c r="J30" s="11">
        <v>0.99</v>
      </c>
      <c r="K30" s="11">
        <v>0.99</v>
      </c>
      <c r="L30" s="11">
        <v>0.99</v>
      </c>
      <c r="M30" s="11">
        <v>0.99</v>
      </c>
      <c r="N30" s="11">
        <v>0.99</v>
      </c>
      <c r="O30" s="11"/>
      <c r="P30" s="11"/>
    </row>
    <row r="31" spans="1:16">
      <c r="A31" s="10" t="s">
        <v>112</v>
      </c>
      <c r="B31" s="11">
        <v>0.99</v>
      </c>
      <c r="C31" s="11">
        <v>0.99</v>
      </c>
      <c r="D31" s="11">
        <v>0.99</v>
      </c>
      <c r="E31" s="11">
        <v>0.99</v>
      </c>
      <c r="F31" s="11">
        <v>0.99</v>
      </c>
      <c r="G31" s="11">
        <v>0.99</v>
      </c>
      <c r="H31" s="11">
        <v>0.99</v>
      </c>
      <c r="I31" s="11">
        <v>0.99</v>
      </c>
      <c r="J31" s="11">
        <v>0.99</v>
      </c>
      <c r="K31" s="11">
        <v>0.99</v>
      </c>
      <c r="L31" s="11">
        <v>0.99</v>
      </c>
      <c r="M31" s="11">
        <v>0.99</v>
      </c>
      <c r="N31" s="11">
        <v>0.99</v>
      </c>
      <c r="O31" s="11"/>
      <c r="P31" s="11"/>
    </row>
    <row r="32" spans="1:16">
      <c r="A32" s="3" t="s">
        <v>11</v>
      </c>
      <c r="B32" s="4">
        <v>126597</v>
      </c>
      <c r="C32" s="4">
        <v>126597</v>
      </c>
      <c r="D32" s="4">
        <v>126597</v>
      </c>
      <c r="E32" s="4">
        <v>126597</v>
      </c>
      <c r="F32" s="4">
        <v>126597</v>
      </c>
      <c r="G32" s="4">
        <v>126597</v>
      </c>
      <c r="H32" s="4">
        <v>126597</v>
      </c>
      <c r="I32" s="4">
        <v>126597</v>
      </c>
      <c r="J32" s="4">
        <v>126597</v>
      </c>
      <c r="K32" s="4">
        <v>126597</v>
      </c>
      <c r="L32" s="4">
        <v>126597</v>
      </c>
      <c r="M32" s="4">
        <v>126597</v>
      </c>
      <c r="N32" s="4">
        <v>126597</v>
      </c>
      <c r="O32" s="4"/>
      <c r="P32" s="4"/>
    </row>
    <row r="33" spans="1:16">
      <c r="I33" s="32"/>
      <c r="J33" s="32"/>
    </row>
    <row r="34" spans="1:16">
      <c r="A34" s="12" t="s">
        <v>12</v>
      </c>
      <c r="B34" s="13"/>
      <c r="C34" s="13"/>
      <c r="D34" s="51"/>
      <c r="E34" s="13"/>
      <c r="F34" s="13"/>
      <c r="G34" s="99"/>
      <c r="H34" s="99"/>
      <c r="I34" s="99"/>
      <c r="J34" s="99"/>
      <c r="K34" s="13"/>
      <c r="L34" s="13"/>
      <c r="M34" s="13"/>
      <c r="N34" s="13"/>
    </row>
    <row r="35" spans="1:16">
      <c r="A35" s="13" t="s">
        <v>75</v>
      </c>
      <c r="B35" s="14">
        <f>B19/B30</f>
        <v>10029409860.646465</v>
      </c>
      <c r="C35" s="50">
        <f>C19/C30</f>
        <v>3476529245.4545455</v>
      </c>
      <c r="D35" s="50"/>
      <c r="E35" s="50"/>
      <c r="F35" s="50">
        <f>F19/F30</f>
        <v>4499103575.757576</v>
      </c>
      <c r="G35" s="50"/>
      <c r="H35" s="50"/>
      <c r="I35" s="50"/>
      <c r="J35" s="50"/>
      <c r="K35" s="14">
        <f t="shared" ref="K35:P35" si="5">K19/K30</f>
        <v>1449162020.2424242</v>
      </c>
      <c r="L35" s="14">
        <f t="shared" si="5"/>
        <v>8886010.1010101009</v>
      </c>
      <c r="M35" s="14">
        <f t="shared" si="5"/>
        <v>571010.10101010103</v>
      </c>
      <c r="N35" s="14">
        <f t="shared" si="5"/>
        <v>595157998.98989904</v>
      </c>
      <c r="O35" s="14" t="e">
        <f t="shared" si="5"/>
        <v>#DIV/0!</v>
      </c>
      <c r="P35" s="14" t="e">
        <f t="shared" si="5"/>
        <v>#DIV/0!</v>
      </c>
    </row>
    <row r="36" spans="1:16">
      <c r="A36" s="13" t="s">
        <v>113</v>
      </c>
      <c r="B36" s="14">
        <f>B21/B31</f>
        <v>10195121666.484848</v>
      </c>
      <c r="C36" s="50">
        <f>C21/C31</f>
        <v>5930388814.969697</v>
      </c>
      <c r="D36" s="50"/>
      <c r="E36" s="50"/>
      <c r="F36" s="50">
        <f>F21/F31</f>
        <v>3517291757.5757575</v>
      </c>
      <c r="G36" s="50"/>
      <c r="H36" s="50"/>
      <c r="I36" s="50"/>
      <c r="J36" s="50"/>
      <c r="K36" s="14">
        <f>K21/K31</f>
        <v>737127204.04040408</v>
      </c>
      <c r="L36" s="14">
        <f>L21/L31</f>
        <v>9199530.3030303027</v>
      </c>
      <c r="M36" s="14">
        <f t="shared" ref="M36:P36" si="6">M21/M31</f>
        <v>1114359.5959595959</v>
      </c>
      <c r="N36" s="14">
        <f t="shared" si="6"/>
        <v>0</v>
      </c>
      <c r="O36" s="14" t="e">
        <f t="shared" si="6"/>
        <v>#DIV/0!</v>
      </c>
      <c r="P36" s="14" t="e">
        <f t="shared" si="6"/>
        <v>#DIV/0!</v>
      </c>
    </row>
    <row r="37" spans="1:16">
      <c r="A37" s="13" t="s">
        <v>76</v>
      </c>
      <c r="B37" s="14">
        <f>B35/B10</f>
        <v>82965.088407383009</v>
      </c>
      <c r="C37" s="50">
        <f>C35/C10</f>
        <v>121417.81256559464</v>
      </c>
      <c r="D37" s="50"/>
      <c r="E37" s="50"/>
      <c r="F37" s="50">
        <f>F35/F10</f>
        <v>37675.500166845639</v>
      </c>
      <c r="G37" s="50"/>
      <c r="H37" s="50"/>
      <c r="I37" s="50"/>
      <c r="J37" s="50"/>
      <c r="K37" s="14">
        <f>K35/K10</f>
        <v>208146.47593651162</v>
      </c>
      <c r="L37" s="14" t="e">
        <f>L35/L10</f>
        <v>#DIV/0!</v>
      </c>
      <c r="M37" s="14" t="e">
        <f t="shared" ref="M37:P37" si="7">M35/M10</f>
        <v>#DIV/0!</v>
      </c>
      <c r="N37" s="14">
        <f t="shared" si="7"/>
        <v>44372.463992951103</v>
      </c>
      <c r="O37" s="14" t="e">
        <f t="shared" si="7"/>
        <v>#DIV/0!</v>
      </c>
      <c r="P37" s="14" t="e">
        <f t="shared" si="7"/>
        <v>#DIV/0!</v>
      </c>
    </row>
    <row r="38" spans="1:16">
      <c r="A38" s="13" t="s">
        <v>114</v>
      </c>
      <c r="B38" s="14">
        <f>B36/B14</f>
        <v>85284.454720786205</v>
      </c>
      <c r="C38" s="50">
        <f>C36/C14</f>
        <v>195556.75000174867</v>
      </c>
      <c r="D38" s="50"/>
      <c r="E38" s="50"/>
      <c r="F38" s="50">
        <f>F36/F14</f>
        <v>29729.259021373855</v>
      </c>
      <c r="G38" s="50"/>
      <c r="H38" s="50"/>
      <c r="I38" s="50"/>
      <c r="J38" s="50"/>
      <c r="K38" s="34">
        <f>K36/K14</f>
        <v>88639.634925493519</v>
      </c>
      <c r="L38" s="34">
        <f>L36/L14</f>
        <v>543.16173484267006</v>
      </c>
      <c r="M38" s="34" t="e">
        <f t="shared" ref="M38:P38" si="8">M36/M14</f>
        <v>#DIV/0!</v>
      </c>
      <c r="N38" s="34" t="e">
        <f t="shared" si="8"/>
        <v>#DIV/0!</v>
      </c>
      <c r="O38" s="34" t="e">
        <f t="shared" si="8"/>
        <v>#DIV/0!</v>
      </c>
      <c r="P38" s="34" t="e">
        <f t="shared" si="8"/>
        <v>#DIV/0!</v>
      </c>
    </row>
    <row r="39" spans="1:16">
      <c r="I39" s="32"/>
      <c r="J39" s="32"/>
    </row>
    <row r="40" spans="1:16">
      <c r="A40" s="2" t="s">
        <v>13</v>
      </c>
      <c r="I40" s="32"/>
      <c r="J40" s="32"/>
    </row>
    <row r="41" spans="1:16">
      <c r="I41" s="32"/>
      <c r="J41" s="32"/>
    </row>
    <row r="42" spans="1:16">
      <c r="A42" t="s">
        <v>14</v>
      </c>
      <c r="I42" s="32"/>
      <c r="J42" s="32"/>
    </row>
    <row r="43" spans="1:16">
      <c r="A43" t="s">
        <v>15</v>
      </c>
      <c r="B43" s="17">
        <f>(B12/B32)*100</f>
        <v>108.23505559636747</v>
      </c>
      <c r="C43" s="17">
        <f t="shared" ref="C43:N43" si="9">(C12/C32)*100</f>
        <v>38.529875642129483</v>
      </c>
      <c r="D43" s="17">
        <f t="shared" si="9"/>
        <v>28.875618432242995</v>
      </c>
      <c r="E43" s="17">
        <f t="shared" si="9"/>
        <v>9.6542572098864898</v>
      </c>
      <c r="F43" s="17">
        <f t="shared" si="9"/>
        <v>103.89845994244205</v>
      </c>
      <c r="G43" s="17">
        <f t="shared" si="9"/>
        <v>79.359437164124486</v>
      </c>
      <c r="H43" s="17">
        <f t="shared" si="9"/>
        <v>7.7574244781998525</v>
      </c>
      <c r="I43" s="17">
        <f t="shared" si="9"/>
        <v>16.781598300117693</v>
      </c>
      <c r="J43" s="17">
        <f t="shared" si="9"/>
        <v>18.365364108154221</v>
      </c>
      <c r="K43" s="17">
        <f t="shared" si="9"/>
        <v>7.9333106893001686</v>
      </c>
      <c r="L43" s="17">
        <f t="shared" si="9"/>
        <v>5.2660542245603503</v>
      </c>
      <c r="M43" s="17">
        <f t="shared" si="9"/>
        <v>0</v>
      </c>
      <c r="N43" s="17">
        <f t="shared" si="9"/>
        <v>0</v>
      </c>
    </row>
    <row r="44" spans="1:16">
      <c r="A44" t="s">
        <v>16</v>
      </c>
      <c r="B44" s="17">
        <f>(B14/B32)*100</f>
        <v>94.427636954711062</v>
      </c>
      <c r="C44" s="17">
        <f t="shared" ref="C44:P44" si="10">(C14/C32)*100</f>
        <v>23.954490759391351</v>
      </c>
      <c r="D44" s="17">
        <f t="shared" si="10"/>
        <v>17.967601479059102</v>
      </c>
      <c r="E44" s="17">
        <f t="shared" si="10"/>
        <v>5.9868892803322531</v>
      </c>
      <c r="F44" s="17">
        <f t="shared" si="10"/>
        <v>93.454645669153123</v>
      </c>
      <c r="G44" s="17">
        <f t="shared" si="10"/>
        <v>76.460035475651949</v>
      </c>
      <c r="H44" s="17">
        <f t="shared" si="10"/>
        <v>2.8306796808420067</v>
      </c>
      <c r="I44" s="17">
        <f t="shared" si="10"/>
        <v>14.163930512659157</v>
      </c>
      <c r="J44" s="17">
        <f t="shared" si="10"/>
        <v>18.784278721718</v>
      </c>
      <c r="K44" s="17">
        <f t="shared" si="10"/>
        <v>6.5688760397165815</v>
      </c>
      <c r="L44" s="17">
        <f t="shared" si="10"/>
        <v>13.378674060206796</v>
      </c>
      <c r="M44" s="17">
        <f t="shared" si="10"/>
        <v>0</v>
      </c>
      <c r="N44" s="17">
        <f t="shared" si="10"/>
        <v>0</v>
      </c>
      <c r="O44" s="17" t="e">
        <f t="shared" si="10"/>
        <v>#DIV/0!</v>
      </c>
      <c r="P44" s="17" t="e">
        <f t="shared" si="10"/>
        <v>#DIV/0!</v>
      </c>
    </row>
    <row r="45" spans="1:16">
      <c r="I45" s="32"/>
      <c r="J45" s="32"/>
    </row>
    <row r="46" spans="1:16">
      <c r="A46" t="s">
        <v>17</v>
      </c>
      <c r="I46" s="32"/>
      <c r="J46" s="32"/>
    </row>
    <row r="47" spans="1:16">
      <c r="A47" t="s">
        <v>18</v>
      </c>
      <c r="B47" s="15">
        <f>B14/B12*100</f>
        <v>87.243117707494548</v>
      </c>
      <c r="C47" s="15">
        <f t="shared" ref="C47:N47" si="11">C14/C12*100</f>
        <v>62.17121223510761</v>
      </c>
      <c r="D47" s="15">
        <f t="shared" si="11"/>
        <v>62.224126978337466</v>
      </c>
      <c r="E47" s="15">
        <f t="shared" si="11"/>
        <v>62.012945689921629</v>
      </c>
      <c r="F47" s="15">
        <f t="shared" si="11"/>
        <v>89.948056709334665</v>
      </c>
      <c r="G47" s="15">
        <f t="shared" si="11"/>
        <v>96.346494138464934</v>
      </c>
      <c r="H47" s="15">
        <f t="shared" si="11"/>
        <v>36.489941845993705</v>
      </c>
      <c r="I47" s="15">
        <f t="shared" si="11"/>
        <v>84.401558536649162</v>
      </c>
      <c r="J47" s="15">
        <f t="shared" si="11"/>
        <v>102.28100358422938</v>
      </c>
      <c r="K47" s="15">
        <f t="shared" si="11"/>
        <v>82.801194822436102</v>
      </c>
      <c r="L47" s="15">
        <f t="shared" si="11"/>
        <v>254.05500000000001</v>
      </c>
      <c r="M47" s="15" t="e">
        <f t="shared" si="11"/>
        <v>#DIV/0!</v>
      </c>
      <c r="N47" s="15" t="e">
        <f t="shared" si="11"/>
        <v>#DIV/0!</v>
      </c>
    </row>
    <row r="48" spans="1:16">
      <c r="A48" t="s">
        <v>19</v>
      </c>
      <c r="B48" s="15">
        <f>B21/B20*100</f>
        <v>54.794346631718213</v>
      </c>
      <c r="C48" s="15">
        <f>C21/C20*100</f>
        <v>59.220991555347325</v>
      </c>
      <c r="D48" s="15"/>
      <c r="E48" s="15"/>
      <c r="F48" s="58">
        <f>F21/F20*100</f>
        <v>59.434600891569424</v>
      </c>
      <c r="G48" s="58"/>
      <c r="H48" s="58"/>
      <c r="I48" s="58"/>
      <c r="J48" s="58"/>
      <c r="K48" s="15">
        <f>K21/K20*100</f>
        <v>28.538570439443482</v>
      </c>
      <c r="L48" s="15">
        <f>L21/L20*100</f>
        <v>11.615272286698126</v>
      </c>
      <c r="M48" s="15">
        <f t="shared" ref="M48:N48" si="12">M21/M20*100</f>
        <v>9.1934666666666658</v>
      </c>
      <c r="N48" s="15" t="e">
        <f t="shared" si="12"/>
        <v>#DIV/0!</v>
      </c>
    </row>
    <row r="49" spans="1:14">
      <c r="A49" s="13" t="s">
        <v>20</v>
      </c>
      <c r="B49" s="16">
        <f>AVERAGE(B47:B48)</f>
        <v>71.01873216960638</v>
      </c>
      <c r="C49" s="16">
        <f t="shared" ref="C49:N49" si="13">AVERAGE(C47:C48)</f>
        <v>60.696101895227471</v>
      </c>
      <c r="D49" s="16"/>
      <c r="E49" s="16"/>
      <c r="F49" s="59">
        <f>AVERAGE(F47:F48)</f>
        <v>74.691328800452041</v>
      </c>
      <c r="G49" s="59"/>
      <c r="H49" s="59"/>
      <c r="I49" s="59"/>
      <c r="J49" s="59"/>
      <c r="K49" s="16">
        <f t="shared" si="13"/>
        <v>55.669882630939796</v>
      </c>
      <c r="L49" s="16">
        <f t="shared" si="13"/>
        <v>132.83513614334908</v>
      </c>
      <c r="M49" s="16" t="e">
        <f t="shared" si="13"/>
        <v>#DIV/0!</v>
      </c>
      <c r="N49" s="16" t="e">
        <f t="shared" si="13"/>
        <v>#DIV/0!</v>
      </c>
    </row>
    <row r="50" spans="1:14">
      <c r="B50" s="15"/>
      <c r="C50" s="15"/>
      <c r="D50" s="15"/>
      <c r="E50" s="15"/>
      <c r="F50" s="15"/>
      <c r="G50" s="15"/>
      <c r="H50" s="15"/>
      <c r="I50" s="15"/>
      <c r="J50" s="15"/>
      <c r="K50" s="15"/>
      <c r="L50" s="15"/>
    </row>
    <row r="51" spans="1:14">
      <c r="A51" t="s">
        <v>21</v>
      </c>
    </row>
    <row r="52" spans="1:14">
      <c r="A52" t="s">
        <v>22</v>
      </c>
      <c r="B52" s="15">
        <f>((B14/B16)*100)</f>
        <v>86.376551193707641</v>
      </c>
      <c r="C52" s="15">
        <f t="shared" ref="C52:N52" si="14">((C14/C16)*100)</f>
        <v>61.270161969222492</v>
      </c>
      <c r="D52" s="15">
        <f t="shared" si="14"/>
        <v>61.322741337838536</v>
      </c>
      <c r="E52" s="15">
        <f t="shared" si="14"/>
        <v>61.112902936802307</v>
      </c>
      <c r="F52" s="15">
        <f t="shared" si="14"/>
        <v>88.241193828485663</v>
      </c>
      <c r="G52" s="15">
        <f t="shared" si="14"/>
        <v>95.550137320452407</v>
      </c>
      <c r="H52" s="15">
        <f t="shared" si="14"/>
        <v>33.495086393789506</v>
      </c>
      <c r="I52" s="15">
        <f t="shared" si="14"/>
        <v>81.232429548308843</v>
      </c>
      <c r="J52" s="15">
        <f t="shared" si="14"/>
        <v>74.915991095056071</v>
      </c>
      <c r="K52" s="15">
        <f t="shared" si="14"/>
        <v>81.601413011480716</v>
      </c>
      <c r="L52" s="15">
        <f t="shared" si="14"/>
        <v>84.685000000000002</v>
      </c>
      <c r="M52" s="15" t="e">
        <f t="shared" si="14"/>
        <v>#DIV/0!</v>
      </c>
      <c r="N52" s="15" t="e">
        <f t="shared" si="14"/>
        <v>#DIV/0!</v>
      </c>
    </row>
    <row r="53" spans="1:14">
      <c r="A53" t="s">
        <v>23</v>
      </c>
      <c r="B53" s="15">
        <f>B21/B22*100</f>
        <v>40.676774959716006</v>
      </c>
      <c r="C53" s="15">
        <f>C21/C22*100</f>
        <v>44.044578802281102</v>
      </c>
      <c r="D53" s="15"/>
      <c r="E53" s="15"/>
      <c r="F53" s="15">
        <f>F21/F22*100</f>
        <v>43.92992239961616</v>
      </c>
      <c r="G53" s="15"/>
      <c r="H53" s="15"/>
      <c r="I53" s="15"/>
      <c r="J53" s="15"/>
      <c r="K53" s="15">
        <f t="shared" ref="K53:N53" si="15">K21/K22*100</f>
        <v>21.05291810979076</v>
      </c>
      <c r="L53" s="15">
        <f t="shared" si="15"/>
        <v>11.615272286698126</v>
      </c>
      <c r="M53" s="15">
        <f t="shared" si="15"/>
        <v>9.1934666666666658</v>
      </c>
      <c r="N53" s="15" t="e">
        <f t="shared" si="15"/>
        <v>#DIV/0!</v>
      </c>
    </row>
    <row r="54" spans="1:14">
      <c r="A54" t="s">
        <v>24</v>
      </c>
      <c r="B54" s="15">
        <f>(B52+B53)/2</f>
        <v>63.526663076711827</v>
      </c>
      <c r="C54" s="15">
        <f t="shared" ref="C54:N54" si="16">(C52+C53)/2</f>
        <v>52.657370385751797</v>
      </c>
      <c r="D54" s="15"/>
      <c r="E54" s="15"/>
      <c r="F54" s="15">
        <f t="shared" ref="F54" si="17">(F52+F53)/2</f>
        <v>66.085558114050912</v>
      </c>
      <c r="G54" s="15"/>
      <c r="H54" s="15"/>
      <c r="I54" s="15"/>
      <c r="J54" s="15"/>
      <c r="K54" s="15">
        <f t="shared" si="16"/>
        <v>51.327165560635734</v>
      </c>
      <c r="L54" s="15">
        <f t="shared" si="16"/>
        <v>48.150136143349066</v>
      </c>
      <c r="M54" s="15" t="e">
        <f t="shared" si="16"/>
        <v>#DIV/0!</v>
      </c>
      <c r="N54" s="15" t="e">
        <f t="shared" si="16"/>
        <v>#DIV/0!</v>
      </c>
    </row>
    <row r="55" spans="1:14">
      <c r="B55" s="15"/>
      <c r="C55" s="15"/>
      <c r="D55" s="15"/>
      <c r="E55" s="15"/>
      <c r="F55" s="15"/>
      <c r="G55" s="15"/>
      <c r="H55" s="15"/>
      <c r="I55" s="15"/>
      <c r="J55" s="15"/>
      <c r="K55" s="15"/>
      <c r="L55" s="15"/>
    </row>
    <row r="56" spans="1:14">
      <c r="A56" t="s">
        <v>40</v>
      </c>
    </row>
    <row r="57" spans="1:14">
      <c r="A57" t="s">
        <v>25</v>
      </c>
      <c r="B57" s="15">
        <f>B23/B21*100</f>
        <v>99.989069678298961</v>
      </c>
      <c r="C57" s="15"/>
      <c r="D57" s="15"/>
      <c r="E57" s="15"/>
      <c r="F57" s="15"/>
      <c r="G57" s="15"/>
      <c r="H57" s="15"/>
      <c r="I57" s="15"/>
      <c r="J57" s="15"/>
      <c r="K57" s="15"/>
      <c r="L57" s="15"/>
    </row>
    <row r="59" spans="1:14">
      <c r="A59" t="s">
        <v>26</v>
      </c>
    </row>
    <row r="60" spans="1:14">
      <c r="A60" t="s">
        <v>27</v>
      </c>
      <c r="B60" s="15">
        <f>((B14/B10)-1)*100</f>
        <v>-1.1122406211856006</v>
      </c>
      <c r="C60" s="15">
        <f t="shared" ref="C60:N60" si="18">((C14/C10)-1)*100</f>
        <v>5.9124158404315397</v>
      </c>
      <c r="D60" s="15">
        <f t="shared" si="18"/>
        <v>-3.202500342804171</v>
      </c>
      <c r="E60" s="15">
        <f t="shared" si="18"/>
        <v>47.634403947710126</v>
      </c>
      <c r="F60" s="15">
        <f t="shared" si="18"/>
        <v>-0.92653674558387245</v>
      </c>
      <c r="G60" s="15">
        <f t="shared" si="18"/>
        <v>-0.60787707374730937</v>
      </c>
      <c r="H60" s="15">
        <f t="shared" si="18"/>
        <v>1.7605855997980591</v>
      </c>
      <c r="I60" s="15">
        <f t="shared" si="18"/>
        <v>-3.1146438691705303</v>
      </c>
      <c r="J60" s="15">
        <f t="shared" si="18"/>
        <v>-4.9247253552723302</v>
      </c>
      <c r="K60" s="15">
        <f t="shared" si="18"/>
        <v>19.444621768273219</v>
      </c>
      <c r="L60" s="15" t="e">
        <f t="shared" si="18"/>
        <v>#DIV/0!</v>
      </c>
      <c r="M60" s="15" t="e">
        <f t="shared" si="18"/>
        <v>#DIV/0!</v>
      </c>
      <c r="N60" s="15">
        <f t="shared" si="18"/>
        <v>-100</v>
      </c>
    </row>
    <row r="61" spans="1:14">
      <c r="A61" t="s">
        <v>28</v>
      </c>
      <c r="B61" s="15">
        <f>((B36/B35)-1)*100</f>
        <v>1.6522587883122108</v>
      </c>
      <c r="C61" s="15">
        <f t="shared" ref="C61:N61" si="19">((C36/C35)-1)*100</f>
        <v>70.583602100384951</v>
      </c>
      <c r="D61" s="15"/>
      <c r="E61" s="15"/>
      <c r="F61" s="15">
        <f t="shared" si="19"/>
        <v>-21.822387541200307</v>
      </c>
      <c r="G61" s="15"/>
      <c r="H61" s="15"/>
      <c r="I61" s="15"/>
      <c r="J61" s="15"/>
      <c r="K61" s="15">
        <f t="shared" si="19"/>
        <v>-49.134244912305036</v>
      </c>
      <c r="L61" s="15">
        <f t="shared" si="19"/>
        <v>3.5282449429644869</v>
      </c>
      <c r="M61" s="15">
        <f t="shared" si="19"/>
        <v>95.155846453210671</v>
      </c>
      <c r="N61" s="15">
        <f t="shared" si="19"/>
        <v>-100</v>
      </c>
    </row>
    <row r="62" spans="1:14">
      <c r="A62" s="13" t="s">
        <v>29</v>
      </c>
      <c r="B62" s="16">
        <f>((B38/B37)-1)*100</f>
        <v>2.7955931319140204</v>
      </c>
      <c r="C62" s="16">
        <f t="shared" ref="C62:N62" si="20">((C38/C37)-1)*100</f>
        <v>61.061005687366745</v>
      </c>
      <c r="D62" s="16"/>
      <c r="E62" s="16"/>
      <c r="F62" s="16">
        <f t="shared" si="20"/>
        <v>-21.091269154442337</v>
      </c>
      <c r="G62" s="16"/>
      <c r="H62" s="16"/>
      <c r="I62" s="16"/>
      <c r="J62" s="16"/>
      <c r="K62" s="16">
        <f t="shared" si="20"/>
        <v>-57.414779891574916</v>
      </c>
      <c r="L62" s="16" t="e">
        <f t="shared" si="20"/>
        <v>#DIV/0!</v>
      </c>
      <c r="M62" s="16" t="e">
        <f t="shared" si="20"/>
        <v>#DIV/0!</v>
      </c>
      <c r="N62" s="16" t="e">
        <f t="shared" si="20"/>
        <v>#DIV/0!</v>
      </c>
    </row>
    <row r="63" spans="1:14">
      <c r="B63" s="17"/>
      <c r="C63" s="17"/>
      <c r="D63" s="17"/>
      <c r="E63" s="17"/>
      <c r="F63" s="17"/>
      <c r="G63" s="17"/>
      <c r="H63" s="17"/>
      <c r="I63" s="17"/>
      <c r="J63" s="17"/>
      <c r="K63" s="17"/>
      <c r="L63" s="17"/>
    </row>
    <row r="64" spans="1:14">
      <c r="A64" t="s">
        <v>30</v>
      </c>
    </row>
    <row r="65" spans="1:16">
      <c r="A65" t="s">
        <v>31</v>
      </c>
      <c r="B65" s="4">
        <f>B20/(B12*9)</f>
        <v>14936.814465581849</v>
      </c>
      <c r="C65" s="4">
        <f>C20/(C12*9)</f>
        <v>22582.871171118841</v>
      </c>
      <c r="D65" s="4"/>
      <c r="E65" s="4"/>
      <c r="F65" s="4">
        <f>F20/(F12*9)</f>
        <v>4949.1339049882963</v>
      </c>
      <c r="G65" s="4"/>
      <c r="H65" s="40"/>
      <c r="I65" s="40"/>
      <c r="J65" s="40"/>
      <c r="K65" s="4">
        <f>K20/(K12*9)</f>
        <v>28289.484456245158</v>
      </c>
      <c r="L65" s="4">
        <f>L20/(L12*9)</f>
        <v>1306.8333333333333</v>
      </c>
      <c r="M65" s="4" t="e">
        <f t="shared" ref="M65:N65" si="21">M20/(M12*9)</f>
        <v>#DIV/0!</v>
      </c>
      <c r="N65" s="4" t="e">
        <f t="shared" si="21"/>
        <v>#DIV/0!</v>
      </c>
    </row>
    <row r="66" spans="1:16">
      <c r="A66" t="s">
        <v>32</v>
      </c>
      <c r="B66" s="4">
        <f>B21/(B14*9)</f>
        <v>9381.2900192864836</v>
      </c>
      <c r="C66" s="4">
        <f>C21/(C14*9)</f>
        <v>21511.242500192351</v>
      </c>
      <c r="D66" s="4"/>
      <c r="E66" s="44"/>
      <c r="F66" s="4">
        <f>F21/(F14*9)</f>
        <v>3270.218492351124</v>
      </c>
      <c r="G66" s="40"/>
      <c r="H66" s="40"/>
      <c r="I66" s="40"/>
      <c r="J66" s="40"/>
      <c r="K66" s="4">
        <f>K21/(K14*9)</f>
        <v>9750.3598418042857</v>
      </c>
      <c r="L66" s="4">
        <f>L21/(L14*9)</f>
        <v>59.74779083269371</v>
      </c>
      <c r="M66" s="4" t="e">
        <f t="shared" ref="M66:N66" si="22">M21/(M14*9)</f>
        <v>#DIV/0!</v>
      </c>
      <c r="N66" s="4" t="e">
        <f t="shared" si="22"/>
        <v>#DIV/0!</v>
      </c>
    </row>
    <row r="67" spans="1:16">
      <c r="A67" s="13" t="s">
        <v>33</v>
      </c>
      <c r="B67" s="16">
        <f>(B66/B65)*B49</f>
        <v>44.604378317767051</v>
      </c>
      <c r="C67" s="16">
        <f t="shared" ref="C67:P67" si="23">(C66/C65)*C49</f>
        <v>57.815879867145163</v>
      </c>
      <c r="D67" s="16"/>
      <c r="E67" s="16"/>
      <c r="F67" s="16">
        <f t="shared" si="23"/>
        <v>49.353476658880986</v>
      </c>
      <c r="G67" s="16"/>
      <c r="H67" s="16"/>
      <c r="I67" s="16"/>
      <c r="J67" s="16"/>
      <c r="K67" s="16">
        <f t="shared" si="23"/>
        <v>19.187390595336389</v>
      </c>
      <c r="L67" s="16">
        <f t="shared" si="23"/>
        <v>6.0731584717703457</v>
      </c>
      <c r="M67" s="16" t="e">
        <f t="shared" si="23"/>
        <v>#DIV/0!</v>
      </c>
      <c r="N67" s="16" t="e">
        <f t="shared" si="23"/>
        <v>#DIV/0!</v>
      </c>
      <c r="O67" s="16" t="e">
        <f t="shared" si="23"/>
        <v>#DIV/0!</v>
      </c>
      <c r="P67" s="16" t="e">
        <f t="shared" si="23"/>
        <v>#DIV/0!</v>
      </c>
    </row>
    <row r="68" spans="1:16">
      <c r="A68" t="s">
        <v>41</v>
      </c>
      <c r="B68" s="30">
        <f>B20/B12</f>
        <v>134431.33019023662</v>
      </c>
      <c r="C68" s="30">
        <f>C20/C12</f>
        <v>203245.84054006959</v>
      </c>
      <c r="D68" s="30"/>
      <c r="E68" s="30"/>
      <c r="F68" s="30">
        <f t="shared" ref="F68" si="24">F20/F12</f>
        <v>44542.205144894666</v>
      </c>
      <c r="G68" s="60"/>
      <c r="H68" s="60"/>
      <c r="I68" s="60"/>
      <c r="J68" s="60"/>
      <c r="K68" s="30">
        <f t="shared" ref="K68:N68" si="25">K20/K12</f>
        <v>254605.36010620641</v>
      </c>
      <c r="L68" s="30">
        <f t="shared" si="25"/>
        <v>11761.5</v>
      </c>
      <c r="M68" s="30" t="e">
        <f t="shared" si="25"/>
        <v>#DIV/0!</v>
      </c>
      <c r="N68" s="30" t="e">
        <f t="shared" si="25"/>
        <v>#DIV/0!</v>
      </c>
    </row>
    <row r="69" spans="1:16">
      <c r="A69" t="s">
        <v>42</v>
      </c>
      <c r="B69" s="17">
        <f>B21/B14</f>
        <v>84431.610173578345</v>
      </c>
      <c r="C69" s="17">
        <f>C21/C14</f>
        <v>193601.18250173118</v>
      </c>
      <c r="D69" s="17"/>
      <c r="E69" s="17"/>
      <c r="F69" s="17">
        <f t="shared" ref="F69" si="26">F21/F14</f>
        <v>29431.966431160115</v>
      </c>
      <c r="G69" s="60"/>
      <c r="H69" s="60"/>
      <c r="I69" s="60"/>
      <c r="J69" s="60"/>
      <c r="K69" s="30">
        <f>K21/K14</f>
        <v>87753.238576238582</v>
      </c>
      <c r="L69" s="30">
        <f>L21/L14</f>
        <v>537.73011749424336</v>
      </c>
      <c r="M69" s="30" t="e">
        <f t="shared" ref="M69:N69" si="27">M21/M14</f>
        <v>#DIV/0!</v>
      </c>
      <c r="N69" s="30" t="e">
        <f t="shared" si="27"/>
        <v>#DIV/0!</v>
      </c>
    </row>
    <row r="70" spans="1:16">
      <c r="B70" s="15"/>
      <c r="C70" s="15"/>
      <c r="D70" s="15"/>
      <c r="E70" s="15"/>
      <c r="F70" s="15"/>
      <c r="G70" s="15"/>
      <c r="H70" s="15"/>
      <c r="I70" s="17"/>
      <c r="J70" s="17"/>
      <c r="K70" s="15"/>
      <c r="L70" s="15"/>
    </row>
    <row r="71" spans="1:16">
      <c r="A71" t="s">
        <v>34</v>
      </c>
      <c r="B71" s="15"/>
      <c r="C71" s="15"/>
      <c r="D71" s="15"/>
      <c r="E71" s="15"/>
      <c r="F71" s="15"/>
      <c r="G71" s="15"/>
      <c r="H71" s="15"/>
      <c r="I71" s="17"/>
      <c r="J71" s="17"/>
      <c r="K71" s="15"/>
      <c r="L71" s="15"/>
    </row>
    <row r="72" spans="1:16">
      <c r="A72" s="18" t="s">
        <v>35</v>
      </c>
      <c r="B72" s="19">
        <f>(B27/B26)*100</f>
        <v>84.166539663754861</v>
      </c>
      <c r="C72" s="19"/>
      <c r="D72" s="19"/>
      <c r="E72" s="19"/>
      <c r="F72" s="19"/>
      <c r="G72" s="19"/>
      <c r="H72" s="19"/>
      <c r="I72" s="19"/>
      <c r="J72" s="19"/>
      <c r="K72" s="19"/>
      <c r="L72" s="19"/>
    </row>
    <row r="73" spans="1:16">
      <c r="A73" s="18" t="s">
        <v>36</v>
      </c>
      <c r="B73" s="19">
        <f>(B21/B27)*100</f>
        <v>65.102292253693108</v>
      </c>
      <c r="C73" s="19"/>
      <c r="D73" s="19"/>
      <c r="E73" s="19"/>
      <c r="F73" s="19"/>
      <c r="G73" s="19"/>
      <c r="H73" s="19"/>
      <c r="I73" s="19"/>
      <c r="J73" s="19"/>
      <c r="K73" s="19"/>
      <c r="L73" s="19"/>
    </row>
    <row r="74" spans="1:16" ht="15.75" thickBot="1">
      <c r="A74" s="20"/>
      <c r="B74" s="20"/>
      <c r="C74" s="20"/>
      <c r="D74" s="20"/>
      <c r="E74" s="20"/>
      <c r="F74" s="20"/>
      <c r="G74" s="20"/>
      <c r="H74" s="20"/>
      <c r="I74" s="49"/>
      <c r="J74" s="49"/>
      <c r="K74" s="20"/>
      <c r="L74" s="20"/>
      <c r="M74" s="20"/>
      <c r="N74" s="20"/>
    </row>
    <row r="75" spans="1:16" ht="15.75" thickTop="1">
      <c r="A75" s="33" t="s">
        <v>97</v>
      </c>
    </row>
    <row r="76" spans="1:16">
      <c r="A76" t="s">
        <v>98</v>
      </c>
    </row>
    <row r="77" spans="1:16">
      <c r="A77" t="s">
        <v>99</v>
      </c>
    </row>
    <row r="78" spans="1:16">
      <c r="A78" t="s">
        <v>54</v>
      </c>
      <c r="B78" s="21"/>
      <c r="C78" s="21"/>
      <c r="D78" s="21"/>
      <c r="E78" s="21"/>
      <c r="F78" s="21"/>
      <c r="G78" s="21"/>
      <c r="H78" s="21"/>
      <c r="I78" s="21"/>
      <c r="J78" s="21"/>
    </row>
    <row r="80" spans="1:16">
      <c r="A80" t="s">
        <v>43</v>
      </c>
    </row>
    <row r="81" spans="1:1">
      <c r="A81" t="s">
        <v>52</v>
      </c>
    </row>
    <row r="82" spans="1:1">
      <c r="A82" t="s">
        <v>60</v>
      </c>
    </row>
    <row r="83" spans="1:1">
      <c r="A83" t="s">
        <v>50</v>
      </c>
    </row>
    <row r="84" spans="1:1">
      <c r="A84" t="s">
        <v>53</v>
      </c>
    </row>
    <row r="86" spans="1:1">
      <c r="A86" s="95" t="s">
        <v>140</v>
      </c>
    </row>
    <row r="87" spans="1:1">
      <c r="A87" s="42"/>
    </row>
  </sheetData>
  <mergeCells count="6">
    <mergeCell ref="G34:J34"/>
    <mergeCell ref="A2:K2"/>
    <mergeCell ref="A4:A5"/>
    <mergeCell ref="D5:E5"/>
    <mergeCell ref="G5:H5"/>
    <mergeCell ref="D4:N4"/>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R88"/>
  <sheetViews>
    <sheetView tabSelected="1" zoomScale="60" zoomScaleNormal="60" workbookViewId="0">
      <pane xSplit="1" ySplit="6" topLeftCell="J99" activePane="bottomRight" state="frozen"/>
      <selection pane="topRight" activeCell="B1" sqref="B1"/>
      <selection pane="bottomLeft" activeCell="A7" sqref="A7"/>
      <selection pane="bottomRight" activeCell="Q105" sqref="Q105"/>
    </sheetView>
  </sheetViews>
  <sheetFormatPr baseColWidth="10" defaultColWidth="11.42578125" defaultRowHeight="15"/>
  <cols>
    <col min="1" max="1" width="55.140625" customWidth="1"/>
    <col min="2" max="3" width="26.7109375" customWidth="1"/>
    <col min="4" max="4" width="20.85546875" customWidth="1"/>
    <col min="5" max="6" width="16.5703125" customWidth="1"/>
    <col min="7" max="7" width="16.140625" customWidth="1"/>
    <col min="8" max="10" width="17.42578125" customWidth="1"/>
    <col min="11" max="11" width="16.42578125" bestFit="1" customWidth="1"/>
    <col min="12" max="12" width="16.42578125" customWidth="1"/>
    <col min="13" max="13" width="17.42578125" customWidth="1"/>
    <col min="14" max="14" width="26" customWidth="1"/>
    <col min="15" max="15" width="15.42578125" customWidth="1"/>
    <col min="16" max="16" width="23.140625" customWidth="1"/>
  </cols>
  <sheetData>
    <row r="1" spans="1:17">
      <c r="G1" s="38"/>
      <c r="H1" s="38"/>
    </row>
    <row r="2" spans="1:17" ht="15.75">
      <c r="A2" s="102" t="s">
        <v>130</v>
      </c>
      <c r="B2" s="102"/>
      <c r="C2" s="102"/>
      <c r="D2" s="102"/>
      <c r="E2" s="102"/>
      <c r="F2" s="102"/>
      <c r="G2" s="102"/>
      <c r="H2" s="102"/>
      <c r="I2" s="102"/>
      <c r="J2" s="102"/>
      <c r="K2" s="102"/>
    </row>
    <row r="4" spans="1:17">
      <c r="A4" s="100" t="s">
        <v>0</v>
      </c>
      <c r="B4" s="25" t="s">
        <v>1</v>
      </c>
      <c r="C4" s="25"/>
      <c r="D4" s="108" t="s">
        <v>2</v>
      </c>
      <c r="E4" s="108"/>
      <c r="F4" s="108"/>
      <c r="G4" s="108"/>
      <c r="H4" s="108"/>
      <c r="I4" s="108"/>
      <c r="J4" s="108"/>
      <c r="K4" s="108"/>
      <c r="L4" s="108"/>
      <c r="M4" s="108"/>
      <c r="N4" s="108"/>
      <c r="O4" s="108"/>
    </row>
    <row r="5" spans="1:17" ht="15.75" thickBot="1">
      <c r="A5" s="101"/>
      <c r="B5" s="1" t="s">
        <v>3</v>
      </c>
      <c r="C5" s="57" t="s">
        <v>55</v>
      </c>
      <c r="D5" s="103" t="s">
        <v>4</v>
      </c>
      <c r="E5" s="103"/>
      <c r="F5" s="57" t="s">
        <v>56</v>
      </c>
      <c r="G5" s="103" t="s">
        <v>51</v>
      </c>
      <c r="H5" s="103"/>
      <c r="I5" s="48"/>
      <c r="J5" s="48"/>
      <c r="K5" s="1" t="s">
        <v>5</v>
      </c>
      <c r="L5" s="20" t="s">
        <v>100</v>
      </c>
      <c r="M5" s="20" t="s">
        <v>61</v>
      </c>
      <c r="N5" s="20" t="s">
        <v>141</v>
      </c>
      <c r="O5" s="20" t="s">
        <v>62</v>
      </c>
      <c r="P5" s="20" t="s">
        <v>142</v>
      </c>
    </row>
    <row r="6" spans="1:17" ht="15.75" thickTop="1">
      <c r="B6" s="36" t="s">
        <v>1</v>
      </c>
      <c r="C6" s="36" t="s">
        <v>58</v>
      </c>
      <c r="D6" s="36" t="s">
        <v>48</v>
      </c>
      <c r="E6" s="36" t="s">
        <v>49</v>
      </c>
      <c r="F6" s="36" t="s">
        <v>59</v>
      </c>
      <c r="G6" s="36">
        <v>1600</v>
      </c>
      <c r="H6" s="36">
        <v>640</v>
      </c>
      <c r="I6" s="47">
        <v>320</v>
      </c>
      <c r="J6" s="47">
        <v>800</v>
      </c>
      <c r="K6" s="36" t="s">
        <v>5</v>
      </c>
      <c r="M6" s="67" t="s">
        <v>61</v>
      </c>
      <c r="N6" s="33" t="s">
        <v>141</v>
      </c>
      <c r="O6" s="33" t="s">
        <v>62</v>
      </c>
      <c r="P6" s="33" t="s">
        <v>142</v>
      </c>
    </row>
    <row r="7" spans="1:17">
      <c r="A7" s="2" t="s">
        <v>6</v>
      </c>
      <c r="I7" s="32"/>
      <c r="J7" s="32"/>
    </row>
    <row r="8" spans="1:17">
      <c r="I8" s="32"/>
      <c r="J8" s="32"/>
    </row>
    <row r="9" spans="1:17">
      <c r="A9" t="s">
        <v>7</v>
      </c>
      <c r="I9" s="32"/>
      <c r="J9" s="32"/>
      <c r="O9" s="76"/>
    </row>
    <row r="10" spans="1:17">
      <c r="A10" s="3" t="s">
        <v>85</v>
      </c>
      <c r="B10" s="24">
        <f>+D10+G10</f>
        <v>122210.41666666666</v>
      </c>
      <c r="C10" s="24">
        <f>+D10+E10</f>
        <v>29279</v>
      </c>
      <c r="D10" s="24">
        <f>(+'I Trimestre'!D10+'II Trimestre'!D10+'III Trimestre'!D10+'IV Trimestre'!D10)/4</f>
        <v>23901</v>
      </c>
      <c r="E10" s="24">
        <f>(+'I Trimestre'!E10+'II Trimestre'!E10+'III Trimestre'!E10+'IV Trimestre'!E10)/4</f>
        <v>5378</v>
      </c>
      <c r="F10" s="24">
        <f>G10+I10+H10</f>
        <v>120721.99999999999</v>
      </c>
      <c r="G10" s="24">
        <f>(+'I Trimestre'!G10+'II Trimestre'!G10+'III Trimestre'!G10+'IV Trimestre'!G10)/4</f>
        <v>98309.416666666657</v>
      </c>
      <c r="H10" s="64">
        <f>(+'I Trimestre'!H10+'II Trimestre'!H10+'III Trimestre'!H10+'IV Trimestre'!H10)/4</f>
        <v>3603.333333333333</v>
      </c>
      <c r="I10" s="64">
        <f>(+'I Trimestre'!I10+'II Trimestre'!I10+'III Trimestre'!I10+'IV Trimestre'!I10)/4</f>
        <v>18809.25</v>
      </c>
      <c r="J10" s="37">
        <f>(+'I Trimestre'!J10+'II Trimestre'!J10+'III Trimestre'!J10+'IV Trimestre'!J10)/4</f>
        <v>25351.25</v>
      </c>
      <c r="K10" s="24">
        <f>(+'I Trimestre'!K10+'II Trimestre'!K10+'III Trimestre'!K10+'IV Trimestre'!K10)/4</f>
        <v>7444.5</v>
      </c>
      <c r="L10" s="24">
        <f>(+'I Trimestre'!L10+'II Trimestre'!L10+'III Trimestre'!L10+'IV Trimestre'!L10)/4</f>
        <v>0</v>
      </c>
      <c r="M10" s="86">
        <f>(+'I Trimestre'!M10+'II Trimestre'!M10+'III Trimestre'!M10+'IV Trimestre'!M10)/4</f>
        <v>0</v>
      </c>
      <c r="N10" s="88">
        <f>(+'I Trimestre'!N10+'II Trimestre'!N10+'III Trimestre'!N10+'IV Trimestre'!N10)/4</f>
        <v>10704.083333333332</v>
      </c>
      <c r="O10" s="86">
        <f>(+'I Trimestre'!O10+'II Trimestre'!O10+'III Trimestre'!O10+'IV Trimestre'!O10)/4</f>
        <v>0</v>
      </c>
      <c r="P10" s="91">
        <f>(+'I Trimestre'!P10+'II Trimestre'!P10+'III Trimestre'!P10+'IV Trimestre'!P10)/4</f>
        <v>0</v>
      </c>
      <c r="Q10" s="90"/>
    </row>
    <row r="11" spans="1:17" hidden="1">
      <c r="A11" s="27" t="s">
        <v>37</v>
      </c>
      <c r="B11" s="24">
        <f t="shared" ref="B11:B17" si="0">+D11+G11</f>
        <v>25708.083333333336</v>
      </c>
      <c r="C11" s="24">
        <f t="shared" ref="C11:C17" si="1">+D11+E11</f>
        <v>6085.916666666667</v>
      </c>
      <c r="D11" s="24">
        <f>(+'I Trimestre'!D11+'II Trimestre'!D11+'III Trimestre'!D11+'IV Trimestre'!D11)/4</f>
        <v>4563.666666666667</v>
      </c>
      <c r="E11" s="24">
        <f>(+'I Trimestre'!E11+'II Trimestre'!E11+'III Trimestre'!E11+'IV Trimestre'!E11)/4</f>
        <v>1522.25</v>
      </c>
      <c r="F11" s="24">
        <f>G11+I11</f>
        <v>26095.666666666668</v>
      </c>
      <c r="G11" s="24">
        <f>(+'I Trimestre'!G11+'II Trimestre'!G11+'III Trimestre'!G11+'IV Trimestre'!G11)/4</f>
        <v>21144.416666666668</v>
      </c>
      <c r="H11" s="64">
        <f>(+'I Trimestre'!H11+'II Trimestre'!H11+'III Trimestre'!H11+'IV Trimestre'!H11)/4</f>
        <v>902.16666666666663</v>
      </c>
      <c r="I11" s="64">
        <f>(+'I Trimestre'!I11+'II Trimestre'!I11+'III Trimestre'!I11+'IV Trimestre'!I11)/4</f>
        <v>4951.25</v>
      </c>
      <c r="J11" s="37">
        <f>(+'I Trimestre'!J11+'II Trimestre'!J11+'III Trimestre'!J11+'IV Trimestre'!J11)/4</f>
        <v>6543.5</v>
      </c>
      <c r="K11" s="24">
        <f>(+'I Trimestre'!K11+'II Trimestre'!K11+'III Trimestre'!K11+'IV Trimestre'!K11)/4</f>
        <v>1267.75</v>
      </c>
      <c r="L11" s="24">
        <f>(+'I Trimestre'!L11+'II Trimestre'!L11+'III Trimestre'!L11+'IV Trimestre'!L11)/4</f>
        <v>0</v>
      </c>
      <c r="M11" s="86">
        <f>(+'I Trimestre'!M11+'II Trimestre'!M11+'III Trimestre'!M11+'IV Trimestre'!M11)/4</f>
        <v>0</v>
      </c>
      <c r="N11" s="88">
        <f>(+'I Trimestre'!N11+'II Trimestre'!N11+'III Trimestre'!N11+'IV Trimestre'!N11)/4</f>
        <v>606.5</v>
      </c>
      <c r="O11" s="86">
        <f>(+'I Trimestre'!O11+'II Trimestre'!O11+'III Trimestre'!O11+'IV Trimestre'!O11)/4</f>
        <v>0</v>
      </c>
      <c r="P11" s="91">
        <f>(+'I Trimestre'!P11+'II Trimestre'!P11+'III Trimestre'!P11+'IV Trimestre'!P11)/4</f>
        <v>0</v>
      </c>
    </row>
    <row r="12" spans="1:17">
      <c r="A12" s="3" t="s">
        <v>131</v>
      </c>
      <c r="B12" s="24">
        <f t="shared" si="0"/>
        <v>138397.25</v>
      </c>
      <c r="C12" s="24">
        <f t="shared" si="1"/>
        <v>49495</v>
      </c>
      <c r="D12" s="24">
        <f>(+'I Trimestre'!D12+'II Trimestre'!D12+'III Trimestre'!D12+'IV Trimestre'!D12)/4</f>
        <v>37093.25</v>
      </c>
      <c r="E12" s="24">
        <f>(+'I Trimestre'!E12+'II Trimestre'!E12+'III Trimestre'!E12+'IV Trimestre'!E12)/4</f>
        <v>12401.75</v>
      </c>
      <c r="F12" s="24">
        <f>SUM(G12:I12)</f>
        <v>134076.5</v>
      </c>
      <c r="G12" s="24">
        <f>(+'I Trimestre'!G12+'II Trimestre'!G12+'III Trimestre'!G12+'IV Trimestre'!G12)/4</f>
        <v>101304</v>
      </c>
      <c r="H12" s="24">
        <f>(+'I Trimestre'!H12+'II Trimestre'!H12+'III Trimestre'!H12+'IV Trimestre'!H12)/4</f>
        <v>10698.75</v>
      </c>
      <c r="I12" s="37">
        <f>(+'I Trimestre'!I12+'II Trimestre'!I12+'III Trimestre'!I12+'IV Trimestre'!I12)/4</f>
        <v>22073.75</v>
      </c>
      <c r="J12" s="37">
        <f>(+'I Trimestre'!J12+'II Trimestre'!J12+'III Trimestre'!J12+'IV Trimestre'!J12)/4</f>
        <v>26256.75</v>
      </c>
      <c r="K12" s="24">
        <f>(+'I Trimestre'!K12+'II Trimestre'!K12+'III Trimestre'!K12+'IV Trimestre'!K12)/4</f>
        <v>10191</v>
      </c>
      <c r="L12" s="24">
        <f>(+'I Trimestre'!L12+'II Trimestre'!L12+'III Trimestre'!L12+'IV Trimestre'!L12)</f>
        <v>20000</v>
      </c>
      <c r="M12" s="86">
        <f>(+'I Trimestre'!M12+'II Trimestre'!M12+'III Trimestre'!M12+'IV Trimestre'!M12)/4</f>
        <v>0</v>
      </c>
      <c r="N12" s="88">
        <f>(+'I Trimestre'!N12+'II Trimestre'!N12+'III Trimestre'!N12+'IV Trimestre'!N12)/4</f>
        <v>0</v>
      </c>
      <c r="O12" s="86">
        <f>(+'I Trimestre'!O12+'II Trimestre'!O12+'III Trimestre'!O12+'IV Trimestre'!O12)/4</f>
        <v>0</v>
      </c>
      <c r="P12" s="91">
        <f>(+'I Trimestre'!P12+'II Trimestre'!P12+'III Trimestre'!P12+'IV Trimestre'!P12)/4</f>
        <v>0</v>
      </c>
    </row>
    <row r="13" spans="1:17" hidden="1">
      <c r="A13" s="3"/>
      <c r="B13" s="24"/>
      <c r="C13" s="24"/>
      <c r="D13" s="24"/>
      <c r="E13" s="24"/>
      <c r="F13" s="24"/>
      <c r="G13" s="24"/>
      <c r="H13" s="24"/>
      <c r="I13" s="37"/>
      <c r="J13" s="37"/>
      <c r="K13" s="24"/>
      <c r="L13" s="24"/>
      <c r="M13" s="86"/>
      <c r="N13" s="88"/>
      <c r="O13" s="86"/>
      <c r="P13" s="91"/>
    </row>
    <row r="14" spans="1:17" hidden="1">
      <c r="A14" s="27" t="s">
        <v>37</v>
      </c>
      <c r="B14" s="24">
        <f t="shared" si="0"/>
        <v>0</v>
      </c>
      <c r="C14" s="24">
        <f t="shared" si="1"/>
        <v>0</v>
      </c>
      <c r="D14" s="24">
        <f>(+'I Trimestre'!D13+'II Trimestre'!D13+'III Trimestre'!D13+'IV Trimestre'!D13)/4</f>
        <v>0</v>
      </c>
      <c r="E14" s="24">
        <f>(+'I Trimestre'!E13+'II Trimestre'!E13+'III Trimestre'!E13+'IV Trimestre'!E13)/4</f>
        <v>0</v>
      </c>
      <c r="F14" s="24">
        <f t="shared" ref="F14:F17" si="2">SUM(G14:I14)</f>
        <v>0</v>
      </c>
      <c r="G14" s="24">
        <f>(+'I Trimestre'!G13+'II Trimestre'!G13+'III Trimestre'!G13+'IV Trimestre'!G13)/4</f>
        <v>0</v>
      </c>
      <c r="H14" s="24">
        <f>(+'I Trimestre'!H13+'II Trimestre'!H13+'III Trimestre'!H13+'IV Trimestre'!H13)/4</f>
        <v>0</v>
      </c>
      <c r="I14" s="37">
        <f>(+'I Trimestre'!I13+'II Trimestre'!I13+'III Trimestre'!I13+'IV Trimestre'!I13)/4</f>
        <v>0</v>
      </c>
      <c r="J14" s="37">
        <f>(+'I Trimestre'!J13+'II Trimestre'!J13+'III Trimestre'!J13+'IV Trimestre'!J13)/4</f>
        <v>0</v>
      </c>
      <c r="K14" s="24">
        <f>(+'I Trimestre'!K13+'II Trimestre'!K13+'III Trimestre'!K13+'IV Trimestre'!K13)/4</f>
        <v>0</v>
      </c>
      <c r="L14" s="24">
        <f>(+'I Trimestre'!L13+'II Trimestre'!L13+'III Trimestre'!L13+'IV Trimestre'!L13)/4</f>
        <v>0</v>
      </c>
      <c r="M14" s="86">
        <f>(+'I Trimestre'!M13+'II Trimestre'!M13+'III Trimestre'!M13+'IV Trimestre'!M13)/4</f>
        <v>0</v>
      </c>
      <c r="N14" s="88">
        <f>(+'I Trimestre'!N13+'II Trimestre'!N13+'III Trimestre'!N13+'IV Trimestre'!N13)/4</f>
        <v>0</v>
      </c>
      <c r="O14" s="86">
        <f>(+'I Trimestre'!O13+'II Trimestre'!O13+'III Trimestre'!O13+'IV Trimestre'!O13)/4</f>
        <v>0</v>
      </c>
      <c r="P14" s="91">
        <f>(+'I Trimestre'!P13+'II Trimestre'!P13+'III Trimestre'!P13+'IV Trimestre'!P13)/4</f>
        <v>0</v>
      </c>
    </row>
    <row r="15" spans="1:17">
      <c r="A15" s="3" t="s">
        <v>132</v>
      </c>
      <c r="B15" s="24">
        <f t="shared" si="0"/>
        <v>120877.66666666667</v>
      </c>
      <c r="C15" s="24">
        <f t="shared" si="1"/>
        <v>31393</v>
      </c>
      <c r="D15" s="24">
        <f>(+'I Trimestre'!D14+'II Trimestre'!D14+'III Trimestre'!D14+'IV Trimestre'!D14)/4</f>
        <v>23293.666666666668</v>
      </c>
      <c r="E15" s="24">
        <f>(+'I Trimestre'!E14+'II Trimestre'!E14+'III Trimestre'!E14+'IV Trimestre'!E14)/4</f>
        <v>8099.3333333333321</v>
      </c>
      <c r="F15" s="24">
        <f t="shared" si="2"/>
        <v>119518.08333333334</v>
      </c>
      <c r="G15" s="24">
        <f>(+'I Trimestre'!G14+'II Trimestre'!G14+'III Trimestre'!G14+'IV Trimestre'!G14)/4</f>
        <v>97584</v>
      </c>
      <c r="H15" s="24">
        <f>(+'I Trimestre'!H14+'II Trimestre'!H14+'III Trimestre'!H14+'IV Trimestre'!H14)/4</f>
        <v>3681</v>
      </c>
      <c r="I15" s="37">
        <f>(+'I Trimestre'!I14+'II Trimestre'!I14+'III Trimestre'!I14+'IV Trimestre'!I14)/4</f>
        <v>18253.083333333336</v>
      </c>
      <c r="J15" s="37">
        <f>(+'I Trimestre'!J14+'II Trimestre'!J14+'III Trimestre'!J14+'IV Trimestre'!J14)/4</f>
        <v>24197.333333333332</v>
      </c>
      <c r="K15" s="24">
        <f>(+'I Trimestre'!K14+'II Trimestre'!K14+'III Trimestre'!K14+'IV Trimestre'!K14)/4</f>
        <v>9212.9166666666661</v>
      </c>
      <c r="L15" s="24">
        <f>'IV Trimestre'!L14</f>
        <v>18630</v>
      </c>
      <c r="M15" s="86">
        <f>(+'I Trimestre'!M14+'II Trimestre'!M14+'III Trimestre'!M14+'IV Trimestre'!M14)/4</f>
        <v>0</v>
      </c>
      <c r="N15" s="88">
        <f>(+'I Trimestre'!N14+'II Trimestre'!N14+'III Trimestre'!N14+'IV Trimestre'!N14)/4</f>
        <v>0</v>
      </c>
      <c r="O15" s="86">
        <f>(+'I Trimestre'!O14+'II Trimestre'!O14+'III Trimestre'!O14+'IV Trimestre'!O14)/4</f>
        <v>0</v>
      </c>
      <c r="P15" s="91">
        <f>(+'I Trimestre'!P14+'II Trimestre'!P14+'III Trimestre'!P14+'IV Trimestre'!P14)/4</f>
        <v>0</v>
      </c>
    </row>
    <row r="16" spans="1:17" hidden="1">
      <c r="A16" s="27" t="s">
        <v>37</v>
      </c>
      <c r="B16" s="24">
        <f t="shared" si="0"/>
        <v>0</v>
      </c>
      <c r="C16" s="24">
        <f t="shared" si="1"/>
        <v>0</v>
      </c>
      <c r="D16" s="24">
        <f>(+'I Trimestre'!D15+'II Trimestre'!D15+'III Trimestre'!D15+'IV Trimestre'!D15)/4</f>
        <v>0</v>
      </c>
      <c r="E16" s="24">
        <f>(+'I Trimestre'!E15+'II Trimestre'!E15+'III Trimestre'!E15+'IV Trimestre'!E15)/4</f>
        <v>0</v>
      </c>
      <c r="F16" s="24">
        <f t="shared" si="2"/>
        <v>0</v>
      </c>
      <c r="G16" s="24">
        <f>(+'I Trimestre'!G15+'II Trimestre'!G15+'III Trimestre'!G15+'IV Trimestre'!G15)/4</f>
        <v>0</v>
      </c>
      <c r="H16" s="24">
        <f>(+'I Trimestre'!H15+'II Trimestre'!H15+'III Trimestre'!H15+'IV Trimestre'!H15)/4</f>
        <v>0</v>
      </c>
      <c r="I16" s="37">
        <f>(+'I Trimestre'!I15+'II Trimestre'!I15+'III Trimestre'!I15+'IV Trimestre'!I15)/4</f>
        <v>0</v>
      </c>
      <c r="J16" s="37">
        <f>(+'I Trimestre'!J15+'II Trimestre'!J15+'III Trimestre'!J15+'IV Trimestre'!J15)/4</f>
        <v>0</v>
      </c>
      <c r="K16" s="24">
        <f>(+'I Trimestre'!K15+'II Trimestre'!K15+'III Trimestre'!K15+'IV Trimestre'!K15)/4</f>
        <v>0</v>
      </c>
      <c r="L16" s="24">
        <f>(+'I Trimestre'!L15+'II Trimestre'!L15+'III Trimestre'!L15+'IV Trimestre'!L15)/4</f>
        <v>0</v>
      </c>
      <c r="M16" s="86">
        <f>(+'I Trimestre'!M15+'II Trimestre'!M15+'III Trimestre'!M15+'IV Trimestre'!M15)/4</f>
        <v>0</v>
      </c>
      <c r="N16" s="88">
        <f>(+'I Trimestre'!N15+'II Trimestre'!N15+'III Trimestre'!N15+'IV Trimestre'!N15)/4</f>
        <v>0</v>
      </c>
      <c r="O16" s="86">
        <f>(+'I Trimestre'!O15+'II Trimestre'!O15+'III Trimestre'!O15+'IV Trimestre'!O15)/4</f>
        <v>0</v>
      </c>
      <c r="P16" s="91">
        <f>(+'I Trimestre'!P15+'II Trimestre'!P15+'III Trimestre'!P15+'IV Trimestre'!P15)/4</f>
        <v>0</v>
      </c>
    </row>
    <row r="17" spans="1:18">
      <c r="A17" s="3" t="s">
        <v>92</v>
      </c>
      <c r="B17" s="24">
        <f t="shared" si="0"/>
        <v>138397</v>
      </c>
      <c r="C17" s="24">
        <f t="shared" si="1"/>
        <v>49495</v>
      </c>
      <c r="D17" s="4">
        <f>+'IV Trimestre'!D16</f>
        <v>37093</v>
      </c>
      <c r="E17" s="4">
        <f>+'IV Trimestre'!E16</f>
        <v>12402</v>
      </c>
      <c r="F17" s="24">
        <f t="shared" si="2"/>
        <v>134076.58333333334</v>
      </c>
      <c r="G17" s="4">
        <f>+'IV Trimestre'!G16</f>
        <v>101304</v>
      </c>
      <c r="H17" s="4">
        <f>+'IV Trimestre'!H16</f>
        <v>10698.75</v>
      </c>
      <c r="I17" s="5">
        <f>'IV Trimestre'!I16</f>
        <v>22073.833333333332</v>
      </c>
      <c r="J17" s="5">
        <f>'IV Trimestre'!J16</f>
        <v>31742.666666666668</v>
      </c>
      <c r="K17" s="4">
        <f>+'IV Trimestre'!K16</f>
        <v>10191</v>
      </c>
      <c r="L17" s="4">
        <f>+'IV Trimestre'!L16</f>
        <v>20000</v>
      </c>
      <c r="M17" s="87">
        <f>+'IV Trimestre'!M16</f>
        <v>0</v>
      </c>
      <c r="N17" s="89">
        <f>+'IV Trimestre'!N16</f>
        <v>0</v>
      </c>
      <c r="O17" s="87">
        <f>+'IV Trimestre'!O16</f>
        <v>0</v>
      </c>
      <c r="P17" s="92">
        <f>+'IV Trimestre'!P16</f>
        <v>0</v>
      </c>
    </row>
    <row r="18" spans="1:18">
      <c r="B18" s="22"/>
      <c r="C18" s="22"/>
      <c r="D18" s="22"/>
      <c r="E18" s="22"/>
      <c r="F18" s="22"/>
      <c r="G18" s="22"/>
      <c r="H18" s="22"/>
      <c r="I18" s="45"/>
      <c r="J18" s="45"/>
      <c r="K18" s="22"/>
    </row>
    <row r="19" spans="1:18">
      <c r="A19" s="6" t="s">
        <v>8</v>
      </c>
      <c r="B19" s="24"/>
      <c r="C19" s="24"/>
      <c r="D19" s="22"/>
      <c r="E19" s="24"/>
      <c r="F19" s="24"/>
      <c r="G19" s="24"/>
      <c r="H19" s="24"/>
      <c r="I19" s="37"/>
      <c r="J19" s="37"/>
      <c r="K19" s="24"/>
      <c r="L19" s="24"/>
      <c r="P19" s="111"/>
      <c r="Q19" s="111"/>
      <c r="R19" s="111"/>
    </row>
    <row r="20" spans="1:18">
      <c r="A20" s="3" t="s">
        <v>85</v>
      </c>
      <c r="B20" s="24">
        <f>C20+F20+K20+L20+M20+N20+O20+P20</f>
        <v>15934824934.66</v>
      </c>
      <c r="C20" s="24">
        <f>+'I Trimestre'!C19+'II Trimestre'!C19+'III Trimestre'!C19+'IV Trimestre'!C19</f>
        <v>4780755120</v>
      </c>
      <c r="D20" s="40"/>
      <c r="E20" s="40"/>
      <c r="F20" s="54">
        <f>+'I Trimestre'!F19+'II Trimestre'!F19+'III Trimestre'!F19+'IV Trimestre'!F19</f>
        <v>7376709440</v>
      </c>
      <c r="G20" s="40"/>
      <c r="H20" s="40"/>
      <c r="I20" s="40"/>
      <c r="J20" s="40"/>
      <c r="K20" s="52">
        <f>+'I Trimestre'!K19+'II Trimestre'!K19+'III Trimestre'!K19+'IV Trimestre'!K19</f>
        <v>2453008902.4299998</v>
      </c>
      <c r="L20" s="52">
        <f>+'I Trimestre'!L19+'II Trimestre'!L19+'III Trimestre'!L19+'IV Trimestre'!L19</f>
        <v>31297130</v>
      </c>
      <c r="M20" s="52">
        <f>+'I Trimestre'!M19+'II Trimestre'!M19+'III Trimestre'!M19+'IV Trimestre'!M19</f>
        <v>565300</v>
      </c>
      <c r="N20" s="52">
        <f>+'I Trimestre'!N19+'II Trimestre'!N19+'III Trimestre'!N19+'IV Trimestre'!N19</f>
        <v>913151161</v>
      </c>
      <c r="O20" s="52">
        <f>+'I Trimestre'!O19+'II Trimestre'!O19+'III Trimestre'!O19+'IV Trimestre'!O19</f>
        <v>285410855.60000002</v>
      </c>
      <c r="P20" s="52">
        <f>+'I Trimestre'!P19+'II Trimestre'!P19+'III Trimestre'!P19+'IV Trimestre'!P19</f>
        <v>93927025.629999995</v>
      </c>
      <c r="Q20" s="39"/>
      <c r="R20" s="39"/>
    </row>
    <row r="21" spans="1:18">
      <c r="A21" s="61" t="s">
        <v>133</v>
      </c>
      <c r="B21" s="24">
        <f>C21+F21+K21+L21+M21+N21+O21+P21</f>
        <v>24813103939.279999</v>
      </c>
      <c r="C21" s="24">
        <f>'IV Trimestre'!C22</f>
        <v>13329869615</v>
      </c>
      <c r="D21" s="40"/>
      <c r="E21" s="40"/>
      <c r="F21" s="55">
        <f>+'I Trimestre'!F20+'II Trimestre'!F20+'III Trimestre'!F20+'IV Trimestre'!F20</f>
        <v>7926530824.2800007</v>
      </c>
      <c r="G21" s="40"/>
      <c r="H21" s="40"/>
      <c r="I21" s="40"/>
      <c r="J21" s="40"/>
      <c r="K21" s="52">
        <f>'IV Trimestre'!K22</f>
        <v>3466293500</v>
      </c>
      <c r="L21" s="52">
        <f>'IV Trimestre'!L22</f>
        <v>78410000</v>
      </c>
      <c r="M21" s="52">
        <f>+'I Trimestre'!M20+'II Trimestre'!M20+'III Trimestre'!M20+'IV Trimestre'!M20</f>
        <v>12000000</v>
      </c>
      <c r="N21" s="52">
        <f>+'I Trimestre'!N20+'II Trimestre'!N20+'III Trimestre'!N20+'IV Trimestre'!N20</f>
        <v>0</v>
      </c>
      <c r="O21" s="52">
        <f>+'I Trimestre'!O20+'II Trimestre'!O20+'III Trimestre'!O20+'IV Trimestre'!O20</f>
        <v>0</v>
      </c>
      <c r="P21" s="52">
        <f>+'I Trimestre'!P20+'II Trimestre'!P20+'III Trimestre'!P20+'IV Trimestre'!P20</f>
        <v>0</v>
      </c>
      <c r="Q21" s="39"/>
      <c r="R21" s="39"/>
    </row>
    <row r="22" spans="1:18">
      <c r="A22" s="3" t="s">
        <v>132</v>
      </c>
      <c r="B22" s="24">
        <f>C22+F22+K22+L22+M22+N22+O22+P22</f>
        <v>18288583807</v>
      </c>
      <c r="C22" s="24">
        <f>+'I Trimestre'!C21+'II Trimestre'!C21+'III Trimestre'!C21+'IV Trimestre'!C21</f>
        <v>9410014374</v>
      </c>
      <c r="D22" s="40"/>
      <c r="E22" s="40"/>
      <c r="F22" s="55">
        <f>+'I Trimestre'!F21+'II Trimestre'!F21+'III Trimestre'!F21+'IV Trimestre'!F21</f>
        <v>6719072350</v>
      </c>
      <c r="G22" s="40"/>
      <c r="H22" s="40"/>
      <c r="I22" s="40"/>
      <c r="J22" s="40"/>
      <c r="K22" s="52">
        <f>+'I Trimestre'!K21+'II Trimestre'!K21+'III Trimestre'!K21+'IV Trimestre'!K21</f>
        <v>2149286332</v>
      </c>
      <c r="L22" s="52">
        <f>+'I Trimestre'!L21+'II Trimestre'!L21+'III Trimestre'!L21+'IV Trimestre'!L21</f>
        <v>9107535</v>
      </c>
      <c r="M22" s="52">
        <f>+'I Trimestre'!M21+'II Trimestre'!M21+'III Trimestre'!M21+'IV Trimestre'!M21</f>
        <v>1103216</v>
      </c>
      <c r="N22" s="52">
        <f>+'I Trimestre'!N21+'II Trimestre'!N21+'III Trimestre'!N21+'IV Trimestre'!N21</f>
        <v>0</v>
      </c>
      <c r="O22" s="52">
        <f>+'I Trimestre'!O21+'II Trimestre'!O21+'III Trimestre'!O21+'IV Trimestre'!O21</f>
        <v>0</v>
      </c>
      <c r="P22" s="52">
        <f>+'I Trimestre'!P21+'II Trimestre'!P21+'III Trimestre'!P21+'IV Trimestre'!P21</f>
        <v>0</v>
      </c>
      <c r="Q22" s="39"/>
      <c r="R22" s="39"/>
    </row>
    <row r="23" spans="1:18">
      <c r="A23" s="3" t="s">
        <v>92</v>
      </c>
      <c r="B23" s="24">
        <f t="shared" ref="B23" si="3">C23+F23+K23+L23+M23+N23+O23+P23</f>
        <v>24813103939.080002</v>
      </c>
      <c r="C23" s="24">
        <f>+'IV Trimestre'!C22</f>
        <v>13329869615</v>
      </c>
      <c r="D23" s="40"/>
      <c r="E23" s="40"/>
      <c r="F23" s="55">
        <f>+'IV Trimestre'!F22</f>
        <v>7926530824.0800009</v>
      </c>
      <c r="G23" s="40"/>
      <c r="H23" s="40"/>
      <c r="I23" s="40"/>
      <c r="J23" s="40"/>
      <c r="K23" s="24">
        <f>+'IV Trimestre'!K22</f>
        <v>3466293500</v>
      </c>
      <c r="L23" s="24">
        <f>+'IV Trimestre'!L22</f>
        <v>78410000</v>
      </c>
      <c r="M23" s="24">
        <f>+'IV Trimestre'!M22</f>
        <v>12000000</v>
      </c>
      <c r="N23" s="24">
        <f>+'IV Trimestre'!N22</f>
        <v>0</v>
      </c>
      <c r="O23" s="24">
        <f>+'IV Trimestre'!O22</f>
        <v>0</v>
      </c>
      <c r="P23" s="24">
        <f>+'IV Trimestre'!P22</f>
        <v>0</v>
      </c>
      <c r="Q23" s="39"/>
      <c r="R23" s="39"/>
    </row>
    <row r="24" spans="1:18">
      <c r="A24" s="3" t="s">
        <v>134</v>
      </c>
      <c r="B24" s="52">
        <f>C24+F24+K24+L24+N24+O24+P24+M24</f>
        <v>18288583807</v>
      </c>
      <c r="C24" s="4">
        <f>C22</f>
        <v>9410014374</v>
      </c>
      <c r="D24" s="40"/>
      <c r="E24" s="40"/>
      <c r="F24" s="40">
        <f>F22</f>
        <v>6719072350</v>
      </c>
      <c r="G24" s="40"/>
      <c r="H24" s="40"/>
      <c r="I24" s="40"/>
      <c r="J24" s="40"/>
      <c r="K24" s="4">
        <f t="shared" ref="K24:P24" si="4">K22</f>
        <v>2149286332</v>
      </c>
      <c r="L24" s="4">
        <f t="shared" si="4"/>
        <v>9107535</v>
      </c>
      <c r="M24" s="66">
        <f t="shared" si="4"/>
        <v>1103216</v>
      </c>
      <c r="N24" s="4">
        <f t="shared" si="4"/>
        <v>0</v>
      </c>
      <c r="O24" s="66">
        <f t="shared" si="4"/>
        <v>0</v>
      </c>
      <c r="P24" s="66">
        <f t="shared" si="4"/>
        <v>0</v>
      </c>
      <c r="Q24" s="74"/>
    </row>
    <row r="25" spans="1:18">
      <c r="B25" s="22"/>
      <c r="C25" s="22"/>
      <c r="D25" s="22"/>
      <c r="E25" s="22"/>
      <c r="F25" s="22"/>
      <c r="G25" s="22"/>
      <c r="H25" s="22"/>
      <c r="I25" s="45"/>
      <c r="J25" s="45"/>
      <c r="K25" s="22"/>
    </row>
    <row r="26" spans="1:18">
      <c r="A26" s="7" t="s">
        <v>9</v>
      </c>
      <c r="B26" s="23"/>
      <c r="C26" s="23" t="s">
        <v>57</v>
      </c>
      <c r="D26" s="43"/>
      <c r="E26" s="43"/>
      <c r="F26" s="43"/>
      <c r="G26" s="23"/>
      <c r="H26" s="23"/>
      <c r="I26" s="23"/>
      <c r="J26" s="23"/>
      <c r="K26" s="23"/>
      <c r="L26" s="23"/>
    </row>
    <row r="27" spans="1:18">
      <c r="A27" s="9" t="s">
        <v>131</v>
      </c>
      <c r="B27" s="23">
        <f>+B21</f>
        <v>24813103939.279999</v>
      </c>
      <c r="C27" s="43"/>
      <c r="D27" s="43"/>
      <c r="E27" s="43"/>
      <c r="F27" s="43"/>
      <c r="G27" s="23"/>
      <c r="H27" s="23"/>
      <c r="I27" s="23"/>
      <c r="J27" s="23"/>
      <c r="K27" s="23"/>
      <c r="L27" s="23"/>
      <c r="M27" s="74"/>
    </row>
    <row r="28" spans="1:18">
      <c r="A28" s="9" t="s">
        <v>132</v>
      </c>
      <c r="B28" s="23">
        <f>+'I Trimestre'!B27+'II Trimestre'!B27+'III Trimestre'!B27+'IV Trimestre'!B27</f>
        <v>20079260471.119999</v>
      </c>
      <c r="C28" s="43"/>
      <c r="D28" s="43"/>
      <c r="E28" s="43"/>
      <c r="F28" s="43"/>
      <c r="G28" s="23"/>
      <c r="H28" s="23"/>
      <c r="I28" s="23"/>
      <c r="J28" s="23"/>
      <c r="K28" s="23"/>
      <c r="L28" s="23"/>
    </row>
    <row r="29" spans="1:18">
      <c r="I29" s="32"/>
      <c r="J29" s="32"/>
    </row>
    <row r="30" spans="1:18">
      <c r="A30" t="s">
        <v>10</v>
      </c>
      <c r="I30" s="32"/>
      <c r="J30" s="32"/>
    </row>
    <row r="31" spans="1:18">
      <c r="A31" s="10" t="s">
        <v>86</v>
      </c>
      <c r="B31" s="11">
        <v>0.99</v>
      </c>
      <c r="C31" s="11">
        <v>0.99</v>
      </c>
      <c r="D31" s="11">
        <v>0.99</v>
      </c>
      <c r="E31" s="11">
        <v>0.99</v>
      </c>
      <c r="F31" s="11">
        <v>0.99</v>
      </c>
      <c r="G31" s="11">
        <v>0.99</v>
      </c>
      <c r="H31" s="11">
        <v>0.99</v>
      </c>
      <c r="I31" s="11">
        <v>0.99</v>
      </c>
      <c r="J31" s="11">
        <v>0.99</v>
      </c>
      <c r="K31" s="11">
        <v>0.99</v>
      </c>
      <c r="L31" s="11">
        <v>0.99</v>
      </c>
      <c r="M31" s="11">
        <v>0.99</v>
      </c>
      <c r="N31" s="11">
        <v>0.99</v>
      </c>
      <c r="O31" s="11">
        <v>0.99</v>
      </c>
      <c r="P31" s="11">
        <v>0.99</v>
      </c>
    </row>
    <row r="32" spans="1:18">
      <c r="A32" s="10" t="s">
        <v>135</v>
      </c>
      <c r="B32">
        <v>0.99</v>
      </c>
      <c r="C32">
        <v>0.99</v>
      </c>
      <c r="D32">
        <v>0.99</v>
      </c>
      <c r="E32">
        <v>0.99</v>
      </c>
      <c r="F32">
        <v>0.99</v>
      </c>
      <c r="G32">
        <v>0.99</v>
      </c>
      <c r="H32">
        <v>0.99</v>
      </c>
      <c r="I32">
        <v>0.99</v>
      </c>
      <c r="J32">
        <v>0.99</v>
      </c>
      <c r="K32">
        <v>0.99</v>
      </c>
      <c r="L32">
        <v>0.99</v>
      </c>
      <c r="M32">
        <v>0.99</v>
      </c>
      <c r="N32">
        <v>0.99</v>
      </c>
      <c r="O32">
        <v>0.99</v>
      </c>
      <c r="P32">
        <v>0.99</v>
      </c>
    </row>
    <row r="33" spans="1:16">
      <c r="A33" s="3" t="s">
        <v>11</v>
      </c>
      <c r="B33" s="4">
        <v>126597</v>
      </c>
      <c r="C33" s="4">
        <v>126597</v>
      </c>
      <c r="D33" s="4">
        <v>126597</v>
      </c>
      <c r="E33" s="4">
        <v>126597</v>
      </c>
      <c r="F33" s="4">
        <v>126597</v>
      </c>
      <c r="G33" s="4">
        <v>126597</v>
      </c>
      <c r="H33" s="4">
        <v>126597</v>
      </c>
      <c r="I33" s="4">
        <v>126597</v>
      </c>
      <c r="J33" s="4">
        <v>126597</v>
      </c>
      <c r="K33" s="4">
        <v>126597</v>
      </c>
      <c r="L33" s="4">
        <v>126597</v>
      </c>
      <c r="M33" s="4">
        <v>126597</v>
      </c>
      <c r="N33" s="4">
        <v>126597</v>
      </c>
      <c r="O33" s="4">
        <v>126597</v>
      </c>
      <c r="P33" s="4">
        <v>126597</v>
      </c>
    </row>
    <row r="34" spans="1:16">
      <c r="I34" s="32"/>
      <c r="J34" s="32"/>
    </row>
    <row r="35" spans="1:16">
      <c r="A35" s="12" t="s">
        <v>12</v>
      </c>
      <c r="B35" s="13"/>
      <c r="C35" s="13"/>
      <c r="D35" s="51"/>
      <c r="E35" s="51"/>
      <c r="F35" s="51"/>
      <c r="G35" s="99"/>
      <c r="H35" s="99"/>
      <c r="I35" s="99"/>
      <c r="J35" s="99"/>
      <c r="K35" s="13"/>
      <c r="L35" s="13"/>
      <c r="M35" s="13"/>
      <c r="N35" s="13"/>
      <c r="O35" s="13"/>
      <c r="P35" s="13"/>
    </row>
    <row r="36" spans="1:16">
      <c r="A36" s="13" t="s">
        <v>87</v>
      </c>
      <c r="B36" s="14">
        <f>B20/B31</f>
        <v>16095782762.282827</v>
      </c>
      <c r="C36" s="50">
        <f>C20/C31</f>
        <v>4829045575.757576</v>
      </c>
      <c r="D36" s="50"/>
      <c r="E36" s="50"/>
      <c r="F36" s="50">
        <f>F20/F31</f>
        <v>7451221656.5656567</v>
      </c>
      <c r="G36" s="50"/>
      <c r="H36" s="50"/>
      <c r="I36" s="50"/>
      <c r="J36" s="50"/>
      <c r="K36" s="14">
        <f>K20/K31</f>
        <v>2477786770.1313128</v>
      </c>
      <c r="L36" s="14">
        <f>L20/L31</f>
        <v>31613262.626262628</v>
      </c>
      <c r="M36" s="14">
        <f t="shared" ref="M36:P36" si="5">M20/M31</f>
        <v>571010.10101010103</v>
      </c>
      <c r="N36" s="14">
        <f t="shared" si="5"/>
        <v>922374910.10101008</v>
      </c>
      <c r="O36" s="14">
        <f t="shared" si="5"/>
        <v>288293793.53535354</v>
      </c>
      <c r="P36" s="14">
        <f t="shared" si="5"/>
        <v>94875783.464646459</v>
      </c>
    </row>
    <row r="37" spans="1:16">
      <c r="A37" s="13" t="s">
        <v>136</v>
      </c>
      <c r="B37" s="14">
        <f>B22/B32</f>
        <v>18473316976.767677</v>
      </c>
      <c r="C37" s="50">
        <f>C22/C32</f>
        <v>9505065024.242424</v>
      </c>
      <c r="D37" s="50"/>
      <c r="E37" s="50"/>
      <c r="F37" s="50">
        <f>F22/F32</f>
        <v>6786941767.6767673</v>
      </c>
      <c r="G37" s="50"/>
      <c r="H37" s="50"/>
      <c r="I37" s="50"/>
      <c r="J37" s="50"/>
      <c r="K37" s="14">
        <f>K22/K32</f>
        <v>2170996294.9494948</v>
      </c>
      <c r="L37" s="14">
        <f>L22/L32</f>
        <v>9199530.3030303027</v>
      </c>
      <c r="M37" s="14">
        <f t="shared" ref="M37:P37" si="6">M22/M32</f>
        <v>1114359.5959595959</v>
      </c>
      <c r="N37" s="14">
        <f t="shared" si="6"/>
        <v>0</v>
      </c>
      <c r="O37" s="14">
        <f t="shared" si="6"/>
        <v>0</v>
      </c>
      <c r="P37" s="14">
        <f t="shared" si="6"/>
        <v>0</v>
      </c>
    </row>
    <row r="38" spans="1:16">
      <c r="A38" s="13" t="s">
        <v>88</v>
      </c>
      <c r="B38" s="14">
        <f>B36/B10</f>
        <v>131705.48960801482</v>
      </c>
      <c r="C38" s="50">
        <f>C36/C10</f>
        <v>164932.05286237836</v>
      </c>
      <c r="D38" s="50"/>
      <c r="E38" s="50"/>
      <c r="F38" s="50">
        <f>F36/F10</f>
        <v>61722.152189043074</v>
      </c>
      <c r="G38" s="50"/>
      <c r="H38" s="50"/>
      <c r="I38" s="50"/>
      <c r="J38" s="50"/>
      <c r="K38" s="14">
        <f>K36/K10</f>
        <v>332834.54498372122</v>
      </c>
      <c r="L38" s="14" t="e">
        <f>L36/L10</f>
        <v>#DIV/0!</v>
      </c>
      <c r="M38" s="14" t="e">
        <f t="shared" ref="M38:P38" si="7">M36/M10</f>
        <v>#DIV/0!</v>
      </c>
      <c r="N38" s="14">
        <f t="shared" si="7"/>
        <v>86170.378291867761</v>
      </c>
      <c r="O38" s="14" t="e">
        <f t="shared" si="7"/>
        <v>#DIV/0!</v>
      </c>
      <c r="P38" s="14" t="e">
        <f t="shared" si="7"/>
        <v>#DIV/0!</v>
      </c>
    </row>
    <row r="39" spans="1:16">
      <c r="A39" s="13" t="s">
        <v>137</v>
      </c>
      <c r="B39" s="14">
        <f>B37/B15</f>
        <v>152826.55172116996</v>
      </c>
      <c r="C39" s="50">
        <f>C37/C15</f>
        <v>302776.57516778976</v>
      </c>
      <c r="D39" s="50"/>
      <c r="E39" s="50"/>
      <c r="F39" s="50">
        <f>F37/F15</f>
        <v>56785.898655587822</v>
      </c>
      <c r="G39" s="50"/>
      <c r="H39" s="50"/>
      <c r="I39" s="50"/>
      <c r="J39" s="50"/>
      <c r="K39" s="34">
        <f>K37/K15</f>
        <v>235647.01315538818</v>
      </c>
      <c r="L39" s="34">
        <f>L37/L15</f>
        <v>493.80194863286647</v>
      </c>
      <c r="M39" s="34" t="e">
        <f t="shared" ref="M39:P39" si="8">M37/M15</f>
        <v>#DIV/0!</v>
      </c>
      <c r="N39" s="34" t="e">
        <f t="shared" si="8"/>
        <v>#DIV/0!</v>
      </c>
      <c r="O39" s="34" t="e">
        <f t="shared" si="8"/>
        <v>#DIV/0!</v>
      </c>
      <c r="P39" s="34" t="e">
        <f t="shared" si="8"/>
        <v>#DIV/0!</v>
      </c>
    </row>
    <row r="40" spans="1:16">
      <c r="I40" s="32"/>
      <c r="J40" s="32"/>
    </row>
    <row r="41" spans="1:16">
      <c r="A41" s="2" t="s">
        <v>13</v>
      </c>
      <c r="I41" s="32"/>
      <c r="J41" s="32"/>
    </row>
    <row r="42" spans="1:16">
      <c r="I42" s="32"/>
      <c r="J42" s="32"/>
    </row>
    <row r="43" spans="1:16">
      <c r="A43" t="s">
        <v>14</v>
      </c>
      <c r="I43" s="32"/>
      <c r="J43" s="32"/>
    </row>
    <row r="44" spans="1:16">
      <c r="A44" t="s">
        <v>15</v>
      </c>
      <c r="B44" s="17">
        <f>(B12/B33)*100</f>
        <v>109.32111345450524</v>
      </c>
      <c r="C44" s="17">
        <f t="shared" ref="C44:P44" si="9">(C12/C33)*100</f>
        <v>39.09650307669218</v>
      </c>
      <c r="D44" s="17">
        <f t="shared" si="9"/>
        <v>29.300259879775979</v>
      </c>
      <c r="E44" s="17">
        <f t="shared" si="9"/>
        <v>9.7962431969161994</v>
      </c>
      <c r="F44" s="17">
        <f t="shared" si="9"/>
        <v>105.90811788588988</v>
      </c>
      <c r="G44" s="17">
        <f t="shared" si="9"/>
        <v>80.020853574729259</v>
      </c>
      <c r="H44" s="17">
        <f t="shared" si="9"/>
        <v>8.4510296452522571</v>
      </c>
      <c r="I44" s="17">
        <f t="shared" si="9"/>
        <v>17.436234665908355</v>
      </c>
      <c r="J44" s="17">
        <f t="shared" si="9"/>
        <v>20.740420389108746</v>
      </c>
      <c r="K44" s="17">
        <f t="shared" si="9"/>
        <v>8.0499537903741807</v>
      </c>
      <c r="L44" s="17">
        <f t="shared" si="9"/>
        <v>15.798162673681052</v>
      </c>
      <c r="M44" s="17">
        <f t="shared" si="9"/>
        <v>0</v>
      </c>
      <c r="N44" s="17">
        <f t="shared" si="9"/>
        <v>0</v>
      </c>
      <c r="O44" s="17">
        <f t="shared" si="9"/>
        <v>0</v>
      </c>
      <c r="P44" s="17">
        <f t="shared" si="9"/>
        <v>0</v>
      </c>
    </row>
    <row r="45" spans="1:16">
      <c r="A45" t="s">
        <v>16</v>
      </c>
      <c r="B45" s="17">
        <f>(B15/B33)*100</f>
        <v>95.482252080749674</v>
      </c>
      <c r="C45" s="17">
        <f t="shared" ref="C45:P45" si="10">(C15/C33)*100</f>
        <v>24.797586040743461</v>
      </c>
      <c r="D45" s="17">
        <f t="shared" si="10"/>
        <v>18.399856763325094</v>
      </c>
      <c r="E45" s="17">
        <f t="shared" si="10"/>
        <v>6.3977292774183683</v>
      </c>
      <c r="F45" s="17">
        <f t="shared" si="10"/>
        <v>94.408306147328403</v>
      </c>
      <c r="G45" s="17">
        <f t="shared" si="10"/>
        <v>77.082395317424584</v>
      </c>
      <c r="H45" s="17">
        <f t="shared" si="10"/>
        <v>2.9076518400909976</v>
      </c>
      <c r="I45" s="17">
        <f t="shared" si="10"/>
        <v>14.418258989812822</v>
      </c>
      <c r="J45" s="17">
        <f t="shared" si="10"/>
        <v>19.113670413464245</v>
      </c>
      <c r="K45" s="17">
        <f t="shared" si="10"/>
        <v>7.2773578099533696</v>
      </c>
      <c r="L45" s="17">
        <f t="shared" si="10"/>
        <v>14.715988530533899</v>
      </c>
      <c r="M45" s="17">
        <f t="shared" si="10"/>
        <v>0</v>
      </c>
      <c r="N45" s="17">
        <f t="shared" si="10"/>
        <v>0</v>
      </c>
      <c r="O45" s="17">
        <f t="shared" si="10"/>
        <v>0</v>
      </c>
      <c r="P45" s="17">
        <f t="shared" si="10"/>
        <v>0</v>
      </c>
    </row>
    <row r="46" spans="1:16">
      <c r="I46" s="32"/>
      <c r="J46" s="32"/>
    </row>
    <row r="47" spans="1:16">
      <c r="A47" t="s">
        <v>17</v>
      </c>
      <c r="I47" s="32"/>
      <c r="J47" s="32"/>
    </row>
    <row r="48" spans="1:16">
      <c r="A48" t="s">
        <v>18</v>
      </c>
      <c r="B48" s="15">
        <f>B15/B12*100</f>
        <v>87.341089990347839</v>
      </c>
      <c r="C48" s="15">
        <f t="shared" ref="C48:P48" si="11">C15/C12*100</f>
        <v>63.426608748358419</v>
      </c>
      <c r="D48" s="15">
        <f t="shared" si="11"/>
        <v>62.797588959356943</v>
      </c>
      <c r="E48" s="15">
        <f t="shared" si="11"/>
        <v>65.307987448007992</v>
      </c>
      <c r="F48" s="15">
        <f t="shared" si="11"/>
        <v>89.141708900018529</v>
      </c>
      <c r="G48" s="15">
        <f t="shared" si="11"/>
        <v>96.327884387585883</v>
      </c>
      <c r="H48" s="15">
        <f t="shared" si="11"/>
        <v>34.405888538380651</v>
      </c>
      <c r="I48" s="15">
        <f t="shared" si="11"/>
        <v>82.691356626460561</v>
      </c>
      <c r="J48" s="15">
        <f t="shared" si="11"/>
        <v>92.156620043734776</v>
      </c>
      <c r="K48" s="15">
        <f t="shared" si="11"/>
        <v>90.402479311811064</v>
      </c>
      <c r="L48" s="15">
        <f t="shared" si="11"/>
        <v>93.15</v>
      </c>
      <c r="M48" s="15" t="e">
        <f t="shared" si="11"/>
        <v>#DIV/0!</v>
      </c>
      <c r="N48" s="15" t="e">
        <f t="shared" si="11"/>
        <v>#DIV/0!</v>
      </c>
      <c r="O48" s="15" t="e">
        <f t="shared" si="11"/>
        <v>#DIV/0!</v>
      </c>
      <c r="P48" s="15" t="e">
        <f t="shared" si="11"/>
        <v>#DIV/0!</v>
      </c>
    </row>
    <row r="49" spans="1:16">
      <c r="A49" t="s">
        <v>19</v>
      </c>
      <c r="B49" s="15">
        <f>B22/B21*100</f>
        <v>73.70534477167341</v>
      </c>
      <c r="C49" s="15">
        <f>C22/C21*100</f>
        <v>70.593446491111834</v>
      </c>
      <c r="D49" s="15"/>
      <c r="E49" s="15"/>
      <c r="F49" s="58">
        <f>F22/F21*100</f>
        <v>84.766873414768057</v>
      </c>
      <c r="G49" s="58"/>
      <c r="H49" s="58"/>
      <c r="I49" s="58"/>
      <c r="J49" s="58"/>
      <c r="K49" s="15">
        <f>K22/K21*100</f>
        <v>62.005318707143516</v>
      </c>
      <c r="L49" s="15">
        <f>L22/L21*100</f>
        <v>11.615272286698126</v>
      </c>
      <c r="M49" s="15">
        <f t="shared" ref="M49:P49" si="12">M22/M21*100</f>
        <v>9.1934666666666658</v>
      </c>
      <c r="N49" s="15" t="e">
        <f t="shared" si="12"/>
        <v>#DIV/0!</v>
      </c>
      <c r="O49" s="15" t="e">
        <f t="shared" si="12"/>
        <v>#DIV/0!</v>
      </c>
      <c r="P49" s="15" t="e">
        <f t="shared" si="12"/>
        <v>#DIV/0!</v>
      </c>
    </row>
    <row r="50" spans="1:16">
      <c r="A50" s="13" t="s">
        <v>20</v>
      </c>
      <c r="B50" s="16">
        <f>AVERAGE(B48:B49)</f>
        <v>80.523217381010625</v>
      </c>
      <c r="C50" s="16">
        <f t="shared" ref="C50:P50" si="13">AVERAGE(C48:C49)</f>
        <v>67.010027619735126</v>
      </c>
      <c r="D50" s="16"/>
      <c r="E50" s="16"/>
      <c r="F50" s="59">
        <f>AVERAGE(F48:F49)</f>
        <v>86.9542911573933</v>
      </c>
      <c r="G50" s="59"/>
      <c r="H50" s="59"/>
      <c r="I50" s="59"/>
      <c r="J50" s="59"/>
      <c r="K50" s="16">
        <f t="shared" si="13"/>
        <v>76.203899009477283</v>
      </c>
      <c r="L50" s="16">
        <f t="shared" si="13"/>
        <v>52.382636143349067</v>
      </c>
      <c r="M50" s="16" t="e">
        <f t="shared" si="13"/>
        <v>#DIV/0!</v>
      </c>
      <c r="N50" s="16" t="e">
        <f t="shared" si="13"/>
        <v>#DIV/0!</v>
      </c>
      <c r="O50" s="16" t="e">
        <f t="shared" si="13"/>
        <v>#DIV/0!</v>
      </c>
      <c r="P50" s="16" t="e">
        <f t="shared" si="13"/>
        <v>#DIV/0!</v>
      </c>
    </row>
    <row r="51" spans="1:16">
      <c r="B51" s="15"/>
      <c r="C51" s="15"/>
      <c r="D51" s="15"/>
      <c r="E51" s="15"/>
      <c r="F51" s="15"/>
      <c r="G51" s="15"/>
      <c r="H51" s="15"/>
      <c r="I51" s="15"/>
      <c r="J51" s="15"/>
      <c r="K51" s="15"/>
      <c r="L51" s="15"/>
    </row>
    <row r="52" spans="1:16">
      <c r="A52" t="s">
        <v>21</v>
      </c>
    </row>
    <row r="53" spans="1:16">
      <c r="A53" t="s">
        <v>22</v>
      </c>
      <c r="B53" s="15">
        <f>((B15/B17)*100)</f>
        <v>87.341247763077718</v>
      </c>
      <c r="C53" s="15">
        <f t="shared" ref="C53:P53" si="14">((C15/C17)*100)</f>
        <v>63.426608748358419</v>
      </c>
      <c r="D53" s="15">
        <f t="shared" si="14"/>
        <v>62.798012203560425</v>
      </c>
      <c r="E53" s="15">
        <f t="shared" si="14"/>
        <v>65.306670967048319</v>
      </c>
      <c r="F53" s="15">
        <f t="shared" si="14"/>
        <v>89.141653495297163</v>
      </c>
      <c r="G53" s="15">
        <f t="shared" si="14"/>
        <v>96.327884387585883</v>
      </c>
      <c r="H53" s="15">
        <f t="shared" si="14"/>
        <v>34.405888538380651</v>
      </c>
      <c r="I53" s="15">
        <f t="shared" si="14"/>
        <v>82.691044449310283</v>
      </c>
      <c r="J53" s="15">
        <f t="shared" si="14"/>
        <v>76.22968034611668</v>
      </c>
      <c r="K53" s="15">
        <f t="shared" si="14"/>
        <v>90.402479311811064</v>
      </c>
      <c r="L53" s="15">
        <f t="shared" si="14"/>
        <v>93.15</v>
      </c>
      <c r="M53" s="15" t="e">
        <f t="shared" si="14"/>
        <v>#DIV/0!</v>
      </c>
      <c r="N53" s="15" t="e">
        <f t="shared" si="14"/>
        <v>#DIV/0!</v>
      </c>
      <c r="O53" s="15" t="e">
        <f t="shared" si="14"/>
        <v>#DIV/0!</v>
      </c>
      <c r="P53" s="15" t="e">
        <f t="shared" si="14"/>
        <v>#DIV/0!</v>
      </c>
    </row>
    <row r="54" spans="1:16">
      <c r="A54" t="s">
        <v>23</v>
      </c>
      <c r="B54" s="15">
        <f>B22/B23*100</f>
        <v>73.705344772267495</v>
      </c>
      <c r="C54" s="15">
        <f>C22/C23*100</f>
        <v>70.593446491111834</v>
      </c>
      <c r="D54" s="15"/>
      <c r="E54" s="15"/>
      <c r="F54" s="15">
        <f>F22/F23*100</f>
        <v>84.766873416906876</v>
      </c>
      <c r="G54" s="15"/>
      <c r="H54" s="15"/>
      <c r="I54" s="15"/>
      <c r="J54" s="15"/>
      <c r="K54" s="15">
        <f t="shared" ref="K54:P54" si="15">K22/K23*100</f>
        <v>62.005318707143516</v>
      </c>
      <c r="L54" s="15">
        <f t="shared" si="15"/>
        <v>11.615272286698126</v>
      </c>
      <c r="M54" s="15">
        <f t="shared" si="15"/>
        <v>9.1934666666666658</v>
      </c>
      <c r="N54" s="15" t="e">
        <f t="shared" si="15"/>
        <v>#DIV/0!</v>
      </c>
      <c r="O54" s="15" t="e">
        <f t="shared" si="15"/>
        <v>#DIV/0!</v>
      </c>
      <c r="P54" s="15" t="e">
        <f t="shared" si="15"/>
        <v>#DIV/0!</v>
      </c>
    </row>
    <row r="55" spans="1:16">
      <c r="A55" t="s">
        <v>24</v>
      </c>
      <c r="B55" s="15">
        <f>(B53+B54)/2</f>
        <v>80.523296267672606</v>
      </c>
      <c r="C55" s="15">
        <f t="shared" ref="C55:P55" si="16">(C53+C54)/2</f>
        <v>67.010027619735126</v>
      </c>
      <c r="D55" s="15"/>
      <c r="E55" s="15"/>
      <c r="F55" s="15">
        <f t="shared" ref="F55" si="17">(F53+F54)/2</f>
        <v>86.954263456102012</v>
      </c>
      <c r="G55" s="15"/>
      <c r="H55" s="15"/>
      <c r="I55" s="15"/>
      <c r="J55" s="15"/>
      <c r="K55" s="15">
        <f t="shared" si="16"/>
        <v>76.203899009477283</v>
      </c>
      <c r="L55" s="15">
        <f t="shared" si="16"/>
        <v>52.382636143349067</v>
      </c>
      <c r="M55" s="15" t="e">
        <f t="shared" si="16"/>
        <v>#DIV/0!</v>
      </c>
      <c r="N55" s="15" t="e">
        <f t="shared" si="16"/>
        <v>#DIV/0!</v>
      </c>
      <c r="O55" s="15" t="e">
        <f t="shared" si="16"/>
        <v>#DIV/0!</v>
      </c>
      <c r="P55" s="15" t="e">
        <f t="shared" si="16"/>
        <v>#DIV/0!</v>
      </c>
    </row>
    <row r="56" spans="1:16">
      <c r="B56" s="15"/>
      <c r="C56" s="15"/>
      <c r="D56" s="15"/>
      <c r="E56" s="15"/>
      <c r="F56" s="15"/>
      <c r="G56" s="15"/>
      <c r="H56" s="15"/>
      <c r="I56" s="15"/>
      <c r="J56" s="15"/>
      <c r="K56" s="15"/>
      <c r="L56" s="15"/>
    </row>
    <row r="57" spans="1:16">
      <c r="A57" t="s">
        <v>40</v>
      </c>
    </row>
    <row r="58" spans="1:16">
      <c r="A58" t="s">
        <v>25</v>
      </c>
      <c r="B58" s="15">
        <f>B24/B22*100</f>
        <v>100</v>
      </c>
      <c r="C58" s="15"/>
      <c r="D58" s="15"/>
      <c r="E58" s="15"/>
      <c r="F58" s="15"/>
      <c r="G58" s="15"/>
      <c r="H58" s="15"/>
      <c r="I58" s="15"/>
      <c r="J58" s="15"/>
      <c r="K58" s="15"/>
      <c r="L58" s="15"/>
    </row>
    <row r="60" spans="1:16">
      <c r="A60" t="s">
        <v>26</v>
      </c>
    </row>
    <row r="61" spans="1:16">
      <c r="A61" t="s">
        <v>27</v>
      </c>
      <c r="B61" s="15">
        <f>((B15/B10)-1)*100</f>
        <v>-1.0905371541569231</v>
      </c>
      <c r="C61" s="15">
        <f t="shared" ref="C61:P61" si="18">((C15/C10)-1)*100</f>
        <v>7.2201919464462527</v>
      </c>
      <c r="D61" s="15">
        <f t="shared" si="18"/>
        <v>-2.5410373345606141</v>
      </c>
      <c r="E61" s="15">
        <f t="shared" si="18"/>
        <v>50.601214825833615</v>
      </c>
      <c r="F61" s="15">
        <f t="shared" si="18"/>
        <v>-0.99726368571315671</v>
      </c>
      <c r="G61" s="15">
        <f t="shared" si="18"/>
        <v>-0.73789133458730394</v>
      </c>
      <c r="H61" s="15">
        <f t="shared" si="18"/>
        <v>2.1554116558742065</v>
      </c>
      <c r="I61" s="15">
        <f t="shared" si="18"/>
        <v>-2.956878486205794</v>
      </c>
      <c r="J61" s="15">
        <f t="shared" si="18"/>
        <v>-4.551715069934092</v>
      </c>
      <c r="K61" s="15">
        <f t="shared" si="18"/>
        <v>23.75467347258602</v>
      </c>
      <c r="L61" s="15" t="e">
        <f t="shared" si="18"/>
        <v>#DIV/0!</v>
      </c>
      <c r="M61" s="15" t="e">
        <f t="shared" si="18"/>
        <v>#DIV/0!</v>
      </c>
      <c r="N61" s="15">
        <f t="shared" si="18"/>
        <v>-100</v>
      </c>
      <c r="O61" s="15" t="e">
        <f t="shared" si="18"/>
        <v>#DIV/0!</v>
      </c>
      <c r="P61" s="15" t="e">
        <f t="shared" si="18"/>
        <v>#DIV/0!</v>
      </c>
    </row>
    <row r="62" spans="1:16">
      <c r="A62" t="s">
        <v>28</v>
      </c>
      <c r="B62" s="15">
        <f>((B37/B36)-1)*100</f>
        <v>14.77116241936438</v>
      </c>
      <c r="C62" s="15">
        <f t="shared" ref="C62:P62" si="19">((C37/C36)-1)*100</f>
        <v>96.831131020155638</v>
      </c>
      <c r="D62" s="15"/>
      <c r="E62" s="15"/>
      <c r="F62" s="15">
        <f t="shared" si="19"/>
        <v>-8.9150466796751093</v>
      </c>
      <c r="G62" s="15"/>
      <c r="H62" s="15"/>
      <c r="I62" s="15"/>
      <c r="J62" s="15"/>
      <c r="K62" s="15">
        <f t="shared" si="19"/>
        <v>-12.381633435130468</v>
      </c>
      <c r="L62" s="15">
        <f t="shared" si="19"/>
        <v>-70.899775794138307</v>
      </c>
      <c r="M62" s="15">
        <f t="shared" si="19"/>
        <v>95.155846453210671</v>
      </c>
      <c r="N62" s="15">
        <f t="shared" si="19"/>
        <v>-100</v>
      </c>
      <c r="O62" s="15">
        <f t="shared" si="19"/>
        <v>-100</v>
      </c>
      <c r="P62" s="15">
        <f t="shared" si="19"/>
        <v>-100</v>
      </c>
    </row>
    <row r="63" spans="1:16">
      <c r="A63" s="13" t="s">
        <v>29</v>
      </c>
      <c r="B63" s="16">
        <f>((B39/B38)-1)*100</f>
        <v>16.036584485594464</v>
      </c>
      <c r="C63" s="16">
        <f t="shared" ref="C63:P63" si="20">((C39/C38)-1)*100</f>
        <v>83.576551624219945</v>
      </c>
      <c r="D63" s="16"/>
      <c r="E63" s="16"/>
      <c r="F63" s="16">
        <f t="shared" si="20"/>
        <v>-7.9975395516612258</v>
      </c>
      <c r="G63" s="16"/>
      <c r="H63" s="16"/>
      <c r="I63" s="16"/>
      <c r="J63" s="16"/>
      <c r="K63" s="16">
        <f t="shared" si="20"/>
        <v>-29.199953338102702</v>
      </c>
      <c r="L63" s="16" t="e">
        <f t="shared" si="20"/>
        <v>#DIV/0!</v>
      </c>
      <c r="M63" s="16" t="e">
        <f t="shared" si="20"/>
        <v>#DIV/0!</v>
      </c>
      <c r="N63" s="16" t="e">
        <f t="shared" si="20"/>
        <v>#DIV/0!</v>
      </c>
      <c r="O63" s="16" t="e">
        <f t="shared" si="20"/>
        <v>#DIV/0!</v>
      </c>
      <c r="P63" s="16" t="e">
        <f t="shared" si="20"/>
        <v>#DIV/0!</v>
      </c>
    </row>
    <row r="64" spans="1:16">
      <c r="B64" s="17"/>
      <c r="C64" s="17"/>
      <c r="D64" s="17"/>
      <c r="E64" s="17"/>
      <c r="F64" s="17"/>
      <c r="G64" s="17"/>
      <c r="H64" s="17"/>
      <c r="I64" s="17"/>
      <c r="J64" s="17"/>
      <c r="K64" s="17"/>
      <c r="L64" s="17"/>
    </row>
    <row r="65" spans="1:16">
      <c r="A65" t="s">
        <v>30</v>
      </c>
    </row>
    <row r="66" spans="1:16">
      <c r="A66" t="s">
        <v>31</v>
      </c>
      <c r="B66" s="4">
        <f>B21/(B12*12)</f>
        <v>14940.749629105105</v>
      </c>
      <c r="C66" s="4">
        <f>C21/(C12*12)</f>
        <v>22443.124920025592</v>
      </c>
      <c r="D66" s="4"/>
      <c r="E66" s="4"/>
      <c r="F66" s="4">
        <f>F21/(F12*12)</f>
        <v>4926.6220057703376</v>
      </c>
      <c r="G66" s="4"/>
      <c r="H66" s="40"/>
      <c r="I66" s="40"/>
      <c r="J66" s="40"/>
      <c r="K66" s="4">
        <f>K21/(K12*12)</f>
        <v>28344.401105550649</v>
      </c>
      <c r="L66" s="4">
        <f>L21/L12</f>
        <v>3920.5</v>
      </c>
      <c r="M66" s="4" t="e">
        <f t="shared" ref="M66:P66" si="21">M21/(M12*12)</f>
        <v>#DIV/0!</v>
      </c>
      <c r="N66" s="4" t="e">
        <f t="shared" si="21"/>
        <v>#DIV/0!</v>
      </c>
      <c r="O66" s="4" t="e">
        <f t="shared" si="21"/>
        <v>#DIV/0!</v>
      </c>
      <c r="P66" s="4" t="e">
        <f t="shared" si="21"/>
        <v>#DIV/0!</v>
      </c>
    </row>
    <row r="67" spans="1:16">
      <c r="A67" t="s">
        <v>32</v>
      </c>
      <c r="B67" s="4">
        <f>B22/(B15*12)</f>
        <v>12608.190516996523</v>
      </c>
      <c r="C67" s="4">
        <f>C22/(C15*12)</f>
        <v>24979.067451342657</v>
      </c>
      <c r="D67" s="4"/>
      <c r="E67" s="44"/>
      <c r="F67" s="4">
        <f>F22/(F15*12)</f>
        <v>4684.8366390859965</v>
      </c>
      <c r="G67" s="40"/>
      <c r="H67" s="40"/>
      <c r="I67" s="40"/>
      <c r="J67" s="40"/>
      <c r="K67" s="4">
        <f>K22/(K15*12)</f>
        <v>19440.878585319526</v>
      </c>
      <c r="L67" s="4">
        <f>L22/L15</f>
        <v>488.86392914653783</v>
      </c>
      <c r="M67" s="4" t="e">
        <f t="shared" ref="M67:P67" si="22">M22/(M15*12)</f>
        <v>#DIV/0!</v>
      </c>
      <c r="N67" s="4" t="e">
        <f t="shared" si="22"/>
        <v>#DIV/0!</v>
      </c>
      <c r="O67" s="4" t="e">
        <f t="shared" si="22"/>
        <v>#DIV/0!</v>
      </c>
      <c r="P67" s="4" t="e">
        <f t="shared" si="22"/>
        <v>#DIV/0!</v>
      </c>
    </row>
    <row r="68" spans="1:16">
      <c r="A68" s="13" t="s">
        <v>33</v>
      </c>
      <c r="B68" s="16">
        <f>(B67/B66)*B50</f>
        <v>67.951882668829484</v>
      </c>
      <c r="C68" s="16">
        <f t="shared" ref="C68:P68" si="23">(C67/C66)*C50</f>
        <v>74.581770844939427</v>
      </c>
      <c r="D68" s="16"/>
      <c r="E68" s="16"/>
      <c r="F68" s="16">
        <f t="shared" si="23"/>
        <v>82.686808255794091</v>
      </c>
      <c r="G68" s="16"/>
      <c r="H68" s="16"/>
      <c r="I68" s="16"/>
      <c r="J68" s="16"/>
      <c r="K68" s="16">
        <f t="shared" si="23"/>
        <v>52.266786052540162</v>
      </c>
      <c r="L68" s="16">
        <f t="shared" si="23"/>
        <v>6.5318151572735799</v>
      </c>
      <c r="M68" s="16" t="e">
        <f t="shared" si="23"/>
        <v>#DIV/0!</v>
      </c>
      <c r="N68" s="16" t="e">
        <f t="shared" si="23"/>
        <v>#DIV/0!</v>
      </c>
      <c r="O68" s="16" t="e">
        <f t="shared" si="23"/>
        <v>#DIV/0!</v>
      </c>
      <c r="P68" s="16" t="e">
        <f t="shared" si="23"/>
        <v>#DIV/0!</v>
      </c>
    </row>
    <row r="69" spans="1:16">
      <c r="A69" t="s">
        <v>41</v>
      </c>
      <c r="B69" s="30">
        <f>B21/B12</f>
        <v>179288.99554926128</v>
      </c>
      <c r="C69" s="30">
        <f>C21/C12</f>
        <v>269317.49904030713</v>
      </c>
      <c r="D69" s="30"/>
      <c r="E69" s="30"/>
      <c r="F69" s="30">
        <f t="shared" ref="F69" si="24">F21/F12</f>
        <v>59119.464069244059</v>
      </c>
      <c r="G69" s="60"/>
      <c r="H69" s="60"/>
      <c r="I69" s="60"/>
      <c r="J69" s="60"/>
      <c r="K69" s="30">
        <f t="shared" ref="K69:P69" si="25">K21/K12</f>
        <v>340132.81326660782</v>
      </c>
      <c r="L69" s="30">
        <f t="shared" si="25"/>
        <v>3920.5</v>
      </c>
      <c r="M69" s="30" t="e">
        <f t="shared" si="25"/>
        <v>#DIV/0!</v>
      </c>
      <c r="N69" s="30" t="e">
        <f t="shared" si="25"/>
        <v>#DIV/0!</v>
      </c>
      <c r="O69" s="30" t="e">
        <f t="shared" si="25"/>
        <v>#DIV/0!</v>
      </c>
      <c r="P69" s="30" t="e">
        <f t="shared" si="25"/>
        <v>#DIV/0!</v>
      </c>
    </row>
    <row r="70" spans="1:16">
      <c r="A70" t="s">
        <v>42</v>
      </c>
      <c r="B70" s="17">
        <f>B22/B15</f>
        <v>151298.28620395827</v>
      </c>
      <c r="C70" s="17">
        <f>C22/C15</f>
        <v>299748.80941611185</v>
      </c>
      <c r="D70" s="17"/>
      <c r="E70" s="17"/>
      <c r="F70" s="17">
        <f t="shared" ref="F70" si="26">F22/F15</f>
        <v>56218.039669031947</v>
      </c>
      <c r="G70" s="60"/>
      <c r="H70" s="60"/>
      <c r="I70" s="60"/>
      <c r="J70" s="60"/>
      <c r="K70" s="30">
        <f>K22/K15</f>
        <v>233290.5430238343</v>
      </c>
      <c r="L70" s="30">
        <f>L22/L15</f>
        <v>488.86392914653783</v>
      </c>
      <c r="M70" s="30" t="e">
        <f t="shared" ref="M70:P70" si="27">M22/M15</f>
        <v>#DIV/0!</v>
      </c>
      <c r="N70" s="30" t="e">
        <f t="shared" si="27"/>
        <v>#DIV/0!</v>
      </c>
      <c r="O70" s="30" t="e">
        <f t="shared" si="27"/>
        <v>#DIV/0!</v>
      </c>
      <c r="P70" s="30" t="e">
        <f t="shared" si="27"/>
        <v>#DIV/0!</v>
      </c>
    </row>
    <row r="71" spans="1:16">
      <c r="B71" s="15"/>
      <c r="C71" s="15"/>
      <c r="D71" s="15"/>
      <c r="E71" s="15"/>
      <c r="F71" s="15"/>
      <c r="G71" s="15"/>
      <c r="H71" s="15"/>
      <c r="I71" s="17"/>
      <c r="J71" s="17"/>
      <c r="K71" s="15"/>
      <c r="L71" s="15"/>
    </row>
    <row r="72" spans="1:16">
      <c r="A72" t="s">
        <v>34</v>
      </c>
      <c r="B72" s="15"/>
      <c r="C72" s="15"/>
      <c r="D72" s="15"/>
      <c r="E72" s="15"/>
      <c r="F72" s="15"/>
      <c r="G72" s="15"/>
      <c r="H72" s="15"/>
      <c r="I72" s="17"/>
      <c r="J72" s="17"/>
      <c r="K72" s="15"/>
      <c r="L72" s="15"/>
    </row>
    <row r="73" spans="1:16">
      <c r="A73" s="18" t="s">
        <v>35</v>
      </c>
      <c r="B73" s="19">
        <f>(B28/B27)*100</f>
        <v>80.922002020609114</v>
      </c>
      <c r="C73" s="19"/>
      <c r="D73" s="19"/>
      <c r="E73" s="19"/>
      <c r="F73" s="19"/>
      <c r="G73" s="19"/>
      <c r="H73" s="19"/>
      <c r="I73" s="19"/>
      <c r="J73" s="19"/>
      <c r="K73" s="19"/>
      <c r="L73" s="19"/>
      <c r="M73" s="74"/>
    </row>
    <row r="74" spans="1:16">
      <c r="A74" s="18" t="s">
        <v>36</v>
      </c>
      <c r="B74" s="19">
        <f>(B22/B28)*100</f>
        <v>91.081959085617086</v>
      </c>
      <c r="C74" s="19"/>
      <c r="D74" s="19"/>
      <c r="E74" s="19"/>
      <c r="F74" s="19"/>
      <c r="G74" s="19"/>
      <c r="H74" s="19"/>
      <c r="I74" s="19"/>
      <c r="J74" s="19"/>
      <c r="K74" s="19"/>
      <c r="L74" s="19"/>
    </row>
    <row r="75" spans="1:16" ht="15.75" thickBot="1">
      <c r="A75" s="20"/>
      <c r="B75" s="20"/>
      <c r="C75" s="49"/>
      <c r="D75" s="20"/>
      <c r="E75" s="20"/>
      <c r="F75" s="20"/>
      <c r="G75" s="20"/>
      <c r="H75" s="20"/>
      <c r="I75" s="49"/>
      <c r="J75" s="49"/>
      <c r="K75" s="20"/>
      <c r="L75" s="20"/>
      <c r="M75" s="20"/>
      <c r="N75" s="20"/>
      <c r="O75" s="20"/>
      <c r="P75" s="20"/>
    </row>
    <row r="76" spans="1:16" ht="15.75" thickTop="1">
      <c r="A76" s="33" t="s">
        <v>97</v>
      </c>
    </row>
    <row r="77" spans="1:16">
      <c r="A77" t="s">
        <v>98</v>
      </c>
    </row>
    <row r="78" spans="1:16">
      <c r="A78" t="s">
        <v>99</v>
      </c>
    </row>
    <row r="79" spans="1:16">
      <c r="A79" t="s">
        <v>54</v>
      </c>
      <c r="B79" s="21"/>
      <c r="C79" s="21"/>
      <c r="D79" s="21"/>
      <c r="E79" s="21"/>
      <c r="F79" s="21"/>
      <c r="G79" s="21"/>
      <c r="H79" s="21"/>
      <c r="I79" s="21"/>
      <c r="J79" s="21"/>
    </row>
    <row r="81" spans="1:1">
      <c r="A81" t="s">
        <v>43</v>
      </c>
    </row>
    <row r="82" spans="1:1">
      <c r="A82" t="s">
        <v>52</v>
      </c>
    </row>
    <row r="83" spans="1:1">
      <c r="A83" t="s">
        <v>60</v>
      </c>
    </row>
    <row r="84" spans="1:1">
      <c r="A84" t="s">
        <v>50</v>
      </c>
    </row>
    <row r="85" spans="1:1">
      <c r="A85" t="s">
        <v>53</v>
      </c>
    </row>
    <row r="87" spans="1:1">
      <c r="A87" t="s">
        <v>143</v>
      </c>
    </row>
    <row r="88" spans="1:1">
      <c r="A88" s="42"/>
    </row>
  </sheetData>
  <mergeCells count="7">
    <mergeCell ref="P19:R19"/>
    <mergeCell ref="G35:J35"/>
    <mergeCell ref="A2:K2"/>
    <mergeCell ref="A4:A5"/>
    <mergeCell ref="D5:E5"/>
    <mergeCell ref="G5:H5"/>
    <mergeCell ref="D4:O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A1"/>
  <sheetViews>
    <sheetView topLeftCell="A16" workbookViewId="0">
      <selection activeCell="M28" sqref="M28"/>
    </sheetView>
  </sheetViews>
  <sheetFormatPr baseColWidth="10" defaultColWidth="11.4257812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 Trimestre</vt:lpstr>
      <vt:lpstr>Hoja2 (2)</vt:lpstr>
      <vt:lpstr>II Trimestre</vt:lpstr>
      <vt:lpstr>III Trimestre</vt:lpstr>
      <vt:lpstr>IV Trimestre</vt:lpstr>
      <vt:lpstr>I Semestre</vt:lpstr>
      <vt:lpstr>III T Acumulado</vt:lpstr>
      <vt:lpstr>Anual</vt:lpstr>
      <vt:lpstr>Observaciones</vt:lpstr>
      <vt:lpstr>Hoja1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catherine.mata</dc:creator>
  <cp:lastModifiedBy>horacio</cp:lastModifiedBy>
  <dcterms:created xsi:type="dcterms:W3CDTF">2012-02-08T21:16:28Z</dcterms:created>
  <dcterms:modified xsi:type="dcterms:W3CDTF">2017-03-31T17:12:16Z</dcterms:modified>
</cp:coreProperties>
</file>