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9240" tabRatio="670" firstSheet="2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  <sheet name="Hoja1" sheetId="8" r:id="rId8"/>
  </sheets>
  <calcPr calcId="125725"/>
</workbook>
</file>

<file path=xl/calcChain.xml><?xml version="1.0" encoding="utf-8"?>
<calcChain xmlns="http://schemas.openxmlformats.org/spreadsheetml/2006/main">
  <c r="C67" i="2"/>
  <c r="D67"/>
  <c r="E67"/>
  <c r="F67"/>
  <c r="G67"/>
  <c r="H67"/>
  <c r="B67"/>
  <c r="C67" i="3"/>
  <c r="D67"/>
  <c r="E67"/>
  <c r="F67"/>
  <c r="G67"/>
  <c r="H67"/>
  <c r="B67"/>
  <c r="C67" i="1"/>
  <c r="D67"/>
  <c r="E67"/>
  <c r="F67"/>
  <c r="G67"/>
  <c r="H67"/>
  <c r="B67"/>
  <c r="C67" i="4"/>
  <c r="D67"/>
  <c r="E67"/>
  <c r="F67"/>
  <c r="G67"/>
  <c r="H67"/>
  <c r="B67"/>
  <c r="C67" i="5"/>
  <c r="D67"/>
  <c r="E67"/>
  <c r="F67"/>
  <c r="G67"/>
  <c r="H67"/>
  <c r="B67"/>
  <c r="C67" i="6"/>
  <c r="D67"/>
  <c r="E67"/>
  <c r="F67"/>
  <c r="G67"/>
  <c r="H67"/>
  <c r="B67"/>
  <c r="C67" i="7"/>
  <c r="D67"/>
  <c r="E67"/>
  <c r="F67"/>
  <c r="G67"/>
  <c r="H67"/>
  <c r="B67"/>
  <c r="D20" l="1"/>
  <c r="G23" i="4" l="1"/>
  <c r="F23" s="1"/>
  <c r="G23" i="1"/>
  <c r="G23" i="3"/>
  <c r="G23" i="2"/>
  <c r="E21" i="7" l="1"/>
  <c r="E21" i="6"/>
  <c r="E21" i="5"/>
  <c r="F14" i="3" l="1"/>
  <c r="F13" l="1"/>
  <c r="C22" i="2"/>
  <c r="C20"/>
  <c r="F20"/>
  <c r="E23" i="4" l="1"/>
  <c r="D23"/>
  <c r="F22" i="1" l="1"/>
  <c r="C22"/>
  <c r="F16"/>
  <c r="C16"/>
  <c r="F22" i="3"/>
  <c r="C22"/>
  <c r="F16"/>
  <c r="C16"/>
  <c r="B22" i="1" l="1"/>
  <c r="B22" i="3"/>
  <c r="B16"/>
  <c r="B16" i="1"/>
  <c r="F16" i="2"/>
  <c r="F12" i="3"/>
  <c r="C12"/>
  <c r="F11"/>
  <c r="C11"/>
  <c r="B11" l="1"/>
  <c r="B12"/>
  <c r="E36" i="2"/>
  <c r="D69"/>
  <c r="E69"/>
  <c r="G69"/>
  <c r="H69"/>
  <c r="H66"/>
  <c r="G66"/>
  <c r="E66"/>
  <c r="D66"/>
  <c r="D65"/>
  <c r="E65"/>
  <c r="G65"/>
  <c r="H65"/>
  <c r="D53"/>
  <c r="E53"/>
  <c r="G53"/>
  <c r="H53"/>
  <c r="F27" i="7" l="1"/>
  <c r="E20"/>
  <c r="G20"/>
  <c r="G15"/>
  <c r="G14"/>
  <c r="F27" i="6"/>
  <c r="G20"/>
  <c r="E20"/>
  <c r="D20"/>
  <c r="G15"/>
  <c r="G14"/>
  <c r="C20" l="1"/>
  <c r="C20" i="7"/>
  <c r="F27" i="5"/>
  <c r="G20"/>
  <c r="E20"/>
  <c r="D20"/>
  <c r="C20" l="1"/>
  <c r="E23" i="2"/>
  <c r="H68" l="1"/>
  <c r="G68"/>
  <c r="E68"/>
  <c r="D68"/>
  <c r="G69" i="1" l="1"/>
  <c r="G66"/>
  <c r="G60"/>
  <c r="G52"/>
  <c r="G47"/>
  <c r="G48" i="2"/>
  <c r="E48"/>
  <c r="D48"/>
  <c r="F20" i="1" l="1"/>
  <c r="C20"/>
  <c r="F19"/>
  <c r="C19"/>
  <c r="F15"/>
  <c r="F14"/>
  <c r="F13"/>
  <c r="F12"/>
  <c r="C12"/>
  <c r="F11"/>
  <c r="C11"/>
  <c r="B11" s="1"/>
  <c r="F60" l="1"/>
  <c r="F47"/>
  <c r="F52"/>
  <c r="B20"/>
  <c r="B12"/>
  <c r="B19"/>
  <c r="B27" i="3" l="1"/>
  <c r="B27" i="5" s="1"/>
  <c r="C20" i="3" l="1"/>
  <c r="F20"/>
  <c r="F19"/>
  <c r="C19"/>
  <c r="B19" l="1"/>
  <c r="C21" i="2"/>
  <c r="C53" l="1"/>
  <c r="F14"/>
  <c r="F15"/>
  <c r="F19" l="1"/>
  <c r="C19"/>
  <c r="B19" l="1"/>
  <c r="F11"/>
  <c r="F12"/>
  <c r="C11"/>
  <c r="B11" s="1"/>
  <c r="C23" i="4" l="1"/>
  <c r="H23" i="1"/>
  <c r="F23" s="1"/>
  <c r="E23"/>
  <c r="D23"/>
  <c r="H23" i="3"/>
  <c r="F23" s="1"/>
  <c r="E23"/>
  <c r="D23"/>
  <c r="H23" i="2"/>
  <c r="F23" s="1"/>
  <c r="C23" i="3" l="1"/>
  <c r="B23" s="1"/>
  <c r="C23" i="1"/>
  <c r="B23" s="1"/>
  <c r="B23" i="4"/>
  <c r="H52"/>
  <c r="G52"/>
  <c r="E52"/>
  <c r="D52"/>
  <c r="H52" i="1"/>
  <c r="E52"/>
  <c r="D52"/>
  <c r="H52" i="3"/>
  <c r="G52"/>
  <c r="E52"/>
  <c r="D52"/>
  <c r="D52" i="2"/>
  <c r="E52"/>
  <c r="G52"/>
  <c r="H52"/>
  <c r="C27" i="5" l="1"/>
  <c r="H47" i="4"/>
  <c r="G47"/>
  <c r="E47"/>
  <c r="D47"/>
  <c r="H47" i="1"/>
  <c r="E47"/>
  <c r="D47"/>
  <c r="H47" i="3"/>
  <c r="G47"/>
  <c r="E47"/>
  <c r="D47"/>
  <c r="D47" i="2"/>
  <c r="E47"/>
  <c r="G47"/>
  <c r="H47"/>
  <c r="C27" i="7" l="1"/>
  <c r="D14"/>
  <c r="D14" i="6"/>
  <c r="D14" i="5"/>
  <c r="D12" i="7" l="1"/>
  <c r="D13"/>
  <c r="D15"/>
  <c r="D11"/>
  <c r="D15" i="5"/>
  <c r="D15" i="6"/>
  <c r="D16" i="5" l="1"/>
  <c r="D52" s="1"/>
  <c r="D11"/>
  <c r="D12"/>
  <c r="D13"/>
  <c r="C27" i="6"/>
  <c r="D11"/>
  <c r="D12"/>
  <c r="D13"/>
  <c r="B27" i="1" l="1"/>
  <c r="B27" i="6" s="1"/>
  <c r="B27" i="4"/>
  <c r="D22" i="7"/>
  <c r="E22"/>
  <c r="G22"/>
  <c r="H22"/>
  <c r="E19"/>
  <c r="G19"/>
  <c r="H19"/>
  <c r="H20"/>
  <c r="F20" s="1"/>
  <c r="B20" s="1"/>
  <c r="E23"/>
  <c r="G21"/>
  <c r="H21"/>
  <c r="H23" s="1"/>
  <c r="E16"/>
  <c r="G16"/>
  <c r="H16"/>
  <c r="E11"/>
  <c r="G11"/>
  <c r="H11"/>
  <c r="E12"/>
  <c r="G12"/>
  <c r="H12"/>
  <c r="E13"/>
  <c r="G13"/>
  <c r="H13"/>
  <c r="E14"/>
  <c r="G52"/>
  <c r="H14"/>
  <c r="H15"/>
  <c r="F15" s="1"/>
  <c r="D22" i="6"/>
  <c r="E22"/>
  <c r="G22"/>
  <c r="H22"/>
  <c r="E19"/>
  <c r="E23"/>
  <c r="E16"/>
  <c r="G16"/>
  <c r="H16"/>
  <c r="E11"/>
  <c r="E12"/>
  <c r="E13"/>
  <c r="E14"/>
  <c r="E22" i="5"/>
  <c r="G22"/>
  <c r="H22"/>
  <c r="D22"/>
  <c r="E16"/>
  <c r="F16"/>
  <c r="G16"/>
  <c r="H16"/>
  <c r="E12"/>
  <c r="E13"/>
  <c r="E14"/>
  <c r="E11"/>
  <c r="F19" i="7" l="1"/>
  <c r="E52"/>
  <c r="F13"/>
  <c r="G23"/>
  <c r="F23" s="1"/>
  <c r="F21"/>
  <c r="H52"/>
  <c r="F14"/>
  <c r="F11"/>
  <c r="F12"/>
  <c r="E23" i="5"/>
  <c r="E36"/>
  <c r="B27" i="7"/>
  <c r="E52" i="5"/>
  <c r="E52" i="6"/>
  <c r="H20" i="5"/>
  <c r="G21"/>
  <c r="H21"/>
  <c r="H19"/>
  <c r="G19"/>
  <c r="H20" i="6"/>
  <c r="F20" s="1"/>
  <c r="B20" s="1"/>
  <c r="G21"/>
  <c r="G23" s="1"/>
  <c r="H21"/>
  <c r="H23" s="1"/>
  <c r="H19"/>
  <c r="G19"/>
  <c r="E19" i="5"/>
  <c r="G12"/>
  <c r="H12"/>
  <c r="G13"/>
  <c r="H13"/>
  <c r="G14"/>
  <c r="G52" s="1"/>
  <c r="H14"/>
  <c r="H52" s="1"/>
  <c r="G15"/>
  <c r="H15"/>
  <c r="H11"/>
  <c r="G11"/>
  <c r="G12" i="6"/>
  <c r="H12"/>
  <c r="G13"/>
  <c r="H13"/>
  <c r="G52"/>
  <c r="H14"/>
  <c r="H52" s="1"/>
  <c r="H15"/>
  <c r="H11"/>
  <c r="G11"/>
  <c r="F23" l="1"/>
  <c r="G36" i="5"/>
  <c r="G23"/>
  <c r="H23"/>
  <c r="H36"/>
  <c r="C14" i="7"/>
  <c r="C13"/>
  <c r="C12"/>
  <c r="C11"/>
  <c r="F21" i="6"/>
  <c r="F26"/>
  <c r="F19"/>
  <c r="F15"/>
  <c r="F14"/>
  <c r="F13"/>
  <c r="F12"/>
  <c r="F11"/>
  <c r="C14"/>
  <c r="C13"/>
  <c r="C12"/>
  <c r="C11"/>
  <c r="F21" i="5"/>
  <c r="F36" s="1"/>
  <c r="F20"/>
  <c r="F19"/>
  <c r="F15"/>
  <c r="F14"/>
  <c r="F52" s="1"/>
  <c r="F13"/>
  <c r="F12"/>
  <c r="F11"/>
  <c r="C14"/>
  <c r="C13"/>
  <c r="C12"/>
  <c r="C11"/>
  <c r="F22" i="4"/>
  <c r="F22" i="7" s="1"/>
  <c r="F21" i="4"/>
  <c r="F20"/>
  <c r="F26" s="1"/>
  <c r="F19"/>
  <c r="C22"/>
  <c r="C21"/>
  <c r="C20"/>
  <c r="C26" s="1"/>
  <c r="C19"/>
  <c r="F16"/>
  <c r="F16" i="7" s="1"/>
  <c r="F15" i="4"/>
  <c r="F14"/>
  <c r="F13"/>
  <c r="F12"/>
  <c r="F11"/>
  <c r="C15"/>
  <c r="C14"/>
  <c r="C13"/>
  <c r="C12"/>
  <c r="C11"/>
  <c r="F22" i="6"/>
  <c r="F21" i="1"/>
  <c r="F26"/>
  <c r="C21"/>
  <c r="C26"/>
  <c r="F16" i="6"/>
  <c r="C15" i="1"/>
  <c r="B15" s="1"/>
  <c r="C14"/>
  <c r="B14" s="1"/>
  <c r="C13"/>
  <c r="F22" i="5"/>
  <c r="F21" i="3"/>
  <c r="F73" s="1"/>
  <c r="F26"/>
  <c r="F72" s="1"/>
  <c r="C21"/>
  <c r="C26"/>
  <c r="F15"/>
  <c r="C14"/>
  <c r="B14" s="1"/>
  <c r="C13"/>
  <c r="F22" i="2"/>
  <c r="B22" s="1"/>
  <c r="F21"/>
  <c r="F13"/>
  <c r="C16"/>
  <c r="C15"/>
  <c r="C14"/>
  <c r="C13"/>
  <c r="C65" s="1"/>
  <c r="C12"/>
  <c r="F23" i="5" l="1"/>
  <c r="F26"/>
  <c r="B20"/>
  <c r="B21" i="4"/>
  <c r="F65" i="2"/>
  <c r="F68"/>
  <c r="F69" i="1"/>
  <c r="F66"/>
  <c r="C66" i="2"/>
  <c r="C69"/>
  <c r="F66"/>
  <c r="F53"/>
  <c r="F69"/>
  <c r="C52" i="3"/>
  <c r="F47" i="2"/>
  <c r="F52"/>
  <c r="F47" i="4"/>
  <c r="F52"/>
  <c r="C52" i="2"/>
  <c r="C47"/>
  <c r="F52" i="6"/>
  <c r="B21" i="3"/>
  <c r="F47"/>
  <c r="F52"/>
  <c r="B14" i="5"/>
  <c r="C47" i="1"/>
  <c r="C47" i="3"/>
  <c r="C47" i="4"/>
  <c r="B13" i="5"/>
  <c r="B13" i="3"/>
  <c r="B12" i="5"/>
  <c r="B19" i="4"/>
  <c r="B16" i="5"/>
  <c r="C16"/>
  <c r="C52" s="1"/>
  <c r="B11"/>
  <c r="B11" i="4"/>
  <c r="B13"/>
  <c r="B15"/>
  <c r="B13" i="1"/>
  <c r="B12" i="4"/>
  <c r="B14"/>
  <c r="B12" i="7"/>
  <c r="B14" i="6"/>
  <c r="B13"/>
  <c r="B22" i="4"/>
  <c r="B22" i="7" s="1"/>
  <c r="C22"/>
  <c r="C16" i="4"/>
  <c r="C52" s="1"/>
  <c r="D16" i="7"/>
  <c r="D52" s="1"/>
  <c r="B22" i="6"/>
  <c r="C22"/>
  <c r="C52" i="1"/>
  <c r="D16" i="6"/>
  <c r="D52" s="1"/>
  <c r="B22" i="5"/>
  <c r="C22"/>
  <c r="B11" i="7"/>
  <c r="B13"/>
  <c r="D19"/>
  <c r="C19" s="1"/>
  <c r="B19" s="1"/>
  <c r="D19" i="6"/>
  <c r="C19" s="1"/>
  <c r="B19" s="1"/>
  <c r="D19" i="5"/>
  <c r="C19" s="1"/>
  <c r="B19" s="1"/>
  <c r="C26" i="7"/>
  <c r="C26" i="6"/>
  <c r="C26" i="5"/>
  <c r="C26" i="2"/>
  <c r="B12"/>
  <c r="B12" i="6"/>
  <c r="B11"/>
  <c r="B14" i="2"/>
  <c r="B13"/>
  <c r="B16"/>
  <c r="B26" i="1"/>
  <c r="B20" i="3"/>
  <c r="B26" s="1"/>
  <c r="B72" s="1"/>
  <c r="B20" i="4"/>
  <c r="B26" s="1"/>
  <c r="B21" i="1"/>
  <c r="B15" i="2"/>
  <c r="B52" l="1"/>
  <c r="B47"/>
  <c r="B47" i="1"/>
  <c r="B52" i="5"/>
  <c r="B14" i="7"/>
  <c r="F52"/>
  <c r="B52" i="3"/>
  <c r="B47" i="4"/>
  <c r="B47" i="3"/>
  <c r="B16" i="4"/>
  <c r="B16" i="7" s="1"/>
  <c r="C16"/>
  <c r="C52" s="1"/>
  <c r="B16" i="6"/>
  <c r="B52" s="1"/>
  <c r="C16"/>
  <c r="C52" s="1"/>
  <c r="D60" i="2"/>
  <c r="B52" i="7" l="1"/>
  <c r="B52" i="1"/>
  <c r="B52" i="4"/>
  <c r="B65" i="3"/>
  <c r="B66" l="1"/>
  <c r="C69" i="4" l="1"/>
  <c r="D69"/>
  <c r="E69"/>
  <c r="G69"/>
  <c r="H69"/>
  <c r="C68"/>
  <c r="D68"/>
  <c r="E68"/>
  <c r="G68"/>
  <c r="H68"/>
  <c r="D69" i="1"/>
  <c r="E69"/>
  <c r="H69"/>
  <c r="D68"/>
  <c r="E68"/>
  <c r="G68"/>
  <c r="H68"/>
  <c r="D69" i="3"/>
  <c r="E69"/>
  <c r="G69"/>
  <c r="H69"/>
  <c r="D68"/>
  <c r="E68"/>
  <c r="G68"/>
  <c r="H68"/>
  <c r="H35" i="5" l="1"/>
  <c r="G35"/>
  <c r="E35"/>
  <c r="H66"/>
  <c r="G66"/>
  <c r="E69" i="6"/>
  <c r="H35"/>
  <c r="E35"/>
  <c r="G35"/>
  <c r="G37" s="1"/>
  <c r="E35" i="7"/>
  <c r="H36"/>
  <c r="G35"/>
  <c r="G37" s="1"/>
  <c r="H66" i="4"/>
  <c r="G66"/>
  <c r="E66"/>
  <c r="H65"/>
  <c r="G65"/>
  <c r="H60"/>
  <c r="G60"/>
  <c r="E60"/>
  <c r="H53"/>
  <c r="H54" s="1"/>
  <c r="G53"/>
  <c r="G54" s="1"/>
  <c r="E53"/>
  <c r="E54" s="1"/>
  <c r="H48"/>
  <c r="G48"/>
  <c r="G49" s="1"/>
  <c r="H49"/>
  <c r="H36"/>
  <c r="G36"/>
  <c r="E36"/>
  <c r="H35"/>
  <c r="H37" s="1"/>
  <c r="G35"/>
  <c r="G37" s="1"/>
  <c r="E35"/>
  <c r="E37" s="1"/>
  <c r="F73"/>
  <c r="F68"/>
  <c r="D65"/>
  <c r="F35"/>
  <c r="D35"/>
  <c r="H66" i="3"/>
  <c r="G66"/>
  <c r="E66"/>
  <c r="H65"/>
  <c r="G65"/>
  <c r="H60"/>
  <c r="G60"/>
  <c r="E60"/>
  <c r="H53"/>
  <c r="H54" s="1"/>
  <c r="G53"/>
  <c r="G54" s="1"/>
  <c r="E53"/>
  <c r="E54" s="1"/>
  <c r="H48"/>
  <c r="G48"/>
  <c r="H49"/>
  <c r="H36"/>
  <c r="G36"/>
  <c r="E36"/>
  <c r="H35"/>
  <c r="H37" s="1"/>
  <c r="G35"/>
  <c r="G37" s="1"/>
  <c r="E35"/>
  <c r="E37" s="1"/>
  <c r="D65"/>
  <c r="F35"/>
  <c r="D35"/>
  <c r="H60" i="2"/>
  <c r="G60"/>
  <c r="E60"/>
  <c r="H54"/>
  <c r="G54"/>
  <c r="E54"/>
  <c r="H48"/>
  <c r="H49"/>
  <c r="G49"/>
  <c r="H36"/>
  <c r="G36"/>
  <c r="H35"/>
  <c r="H37" s="1"/>
  <c r="G35"/>
  <c r="G37" s="1"/>
  <c r="E35"/>
  <c r="E37" s="1"/>
  <c r="F73"/>
  <c r="F35"/>
  <c r="H66" i="1"/>
  <c r="E66"/>
  <c r="H65"/>
  <c r="G65"/>
  <c r="H60"/>
  <c r="E60"/>
  <c r="H53"/>
  <c r="G53"/>
  <c r="G54" s="1"/>
  <c r="E53"/>
  <c r="E54" s="1"/>
  <c r="H48"/>
  <c r="G48"/>
  <c r="G49" s="1"/>
  <c r="H36"/>
  <c r="G36"/>
  <c r="G38" s="1"/>
  <c r="E36"/>
  <c r="H35"/>
  <c r="H37" s="1"/>
  <c r="G35"/>
  <c r="G37" s="1"/>
  <c r="E35"/>
  <c r="E37" s="1"/>
  <c r="F72"/>
  <c r="F73"/>
  <c r="F35"/>
  <c r="H49" l="1"/>
  <c r="G49" i="3"/>
  <c r="C68" i="1"/>
  <c r="C68" i="3"/>
  <c r="C69"/>
  <c r="F69" i="4"/>
  <c r="F68" i="1"/>
  <c r="F69" i="3"/>
  <c r="F68"/>
  <c r="G68" i="6"/>
  <c r="E69" i="7"/>
  <c r="G68"/>
  <c r="H69"/>
  <c r="H69" i="6"/>
  <c r="G68" i="5"/>
  <c r="G69"/>
  <c r="E36" i="7"/>
  <c r="E38" s="1"/>
  <c r="H68"/>
  <c r="G69"/>
  <c r="G69" i="6"/>
  <c r="H68"/>
  <c r="G60" i="5"/>
  <c r="H60"/>
  <c r="E69"/>
  <c r="H68"/>
  <c r="H69"/>
  <c r="H37"/>
  <c r="F35"/>
  <c r="F37" s="1"/>
  <c r="G60" i="6"/>
  <c r="G65"/>
  <c r="G37" i="5"/>
  <c r="G65"/>
  <c r="H54" i="1"/>
  <c r="F73" i="5"/>
  <c r="G66" i="7"/>
  <c r="G66" i="6"/>
  <c r="G36" i="7"/>
  <c r="G61" s="1"/>
  <c r="G47"/>
  <c r="G53"/>
  <c r="E60"/>
  <c r="G48"/>
  <c r="E60" i="5"/>
  <c r="E66"/>
  <c r="H47" i="7"/>
  <c r="H60"/>
  <c r="G60"/>
  <c r="H66" i="6"/>
  <c r="H48" i="7"/>
  <c r="E53"/>
  <c r="H53"/>
  <c r="G65"/>
  <c r="E60" i="6"/>
  <c r="H60"/>
  <c r="F35"/>
  <c r="F37" s="1"/>
  <c r="E66"/>
  <c r="E66" i="7"/>
  <c r="E37" i="6"/>
  <c r="H65" i="7"/>
  <c r="E37"/>
  <c r="C72" i="1"/>
  <c r="F35" i="7"/>
  <c r="F37" s="1"/>
  <c r="F72" i="4"/>
  <c r="F37" i="2"/>
  <c r="E68" i="6"/>
  <c r="D35" i="1"/>
  <c r="D37" s="1"/>
  <c r="D65"/>
  <c r="D66"/>
  <c r="F60" i="2"/>
  <c r="F60" i="3"/>
  <c r="F37"/>
  <c r="F65"/>
  <c r="F60" i="4"/>
  <c r="F37"/>
  <c r="F65"/>
  <c r="H66" i="7"/>
  <c r="H37" i="6"/>
  <c r="D60" i="3"/>
  <c r="E65"/>
  <c r="E65" i="4"/>
  <c r="E37" i="5"/>
  <c r="H47"/>
  <c r="H48"/>
  <c r="H53"/>
  <c r="H65"/>
  <c r="E47"/>
  <c r="G47"/>
  <c r="G48"/>
  <c r="E53"/>
  <c r="G53"/>
  <c r="H35" i="7"/>
  <c r="H37" s="1"/>
  <c r="F72" i="6"/>
  <c r="H36"/>
  <c r="H47"/>
  <c r="H48"/>
  <c r="H53"/>
  <c r="H65"/>
  <c r="E36"/>
  <c r="G36"/>
  <c r="G47"/>
  <c r="E48"/>
  <c r="G48"/>
  <c r="E53"/>
  <c r="G53"/>
  <c r="C60" i="4"/>
  <c r="C60" i="3"/>
  <c r="F36" i="7"/>
  <c r="H38"/>
  <c r="F53"/>
  <c r="F57"/>
  <c r="G61" i="2"/>
  <c r="E61"/>
  <c r="H61"/>
  <c r="E61" i="3"/>
  <c r="H61"/>
  <c r="G61"/>
  <c r="E61" i="4"/>
  <c r="H61"/>
  <c r="G61"/>
  <c r="D66"/>
  <c r="F36"/>
  <c r="H38"/>
  <c r="H62" s="1"/>
  <c r="F48"/>
  <c r="F53"/>
  <c r="F57"/>
  <c r="F66"/>
  <c r="D36"/>
  <c r="E38"/>
  <c r="E62" s="1"/>
  <c r="G38"/>
  <c r="G62" s="1"/>
  <c r="D48"/>
  <c r="E48"/>
  <c r="E49" s="1"/>
  <c r="D53"/>
  <c r="D66" i="3"/>
  <c r="F36"/>
  <c r="H38"/>
  <c r="H62" s="1"/>
  <c r="F48"/>
  <c r="F53"/>
  <c r="F57"/>
  <c r="F66"/>
  <c r="D36"/>
  <c r="E38"/>
  <c r="E62" s="1"/>
  <c r="G38"/>
  <c r="G62" s="1"/>
  <c r="D48"/>
  <c r="E48"/>
  <c r="E49" s="1"/>
  <c r="D53"/>
  <c r="D35" i="2"/>
  <c r="D37" s="1"/>
  <c r="F36"/>
  <c r="H38"/>
  <c r="H62" s="1"/>
  <c r="F54"/>
  <c r="F57"/>
  <c r="E38"/>
  <c r="E62" s="1"/>
  <c r="G38"/>
  <c r="G62" s="1"/>
  <c r="E49"/>
  <c r="F37" i="1"/>
  <c r="G61"/>
  <c r="E65"/>
  <c r="E61"/>
  <c r="H61"/>
  <c r="F65"/>
  <c r="B72"/>
  <c r="F36"/>
  <c r="F38" s="1"/>
  <c r="H38"/>
  <c r="H62" s="1"/>
  <c r="F48"/>
  <c r="F53"/>
  <c r="F57"/>
  <c r="D36"/>
  <c r="E38"/>
  <c r="E62" s="1"/>
  <c r="G62"/>
  <c r="D48"/>
  <c r="E48"/>
  <c r="E49" s="1"/>
  <c r="D53"/>
  <c r="G38" i="7" l="1"/>
  <c r="G62" s="1"/>
  <c r="F49" i="3"/>
  <c r="E61" i="7"/>
  <c r="G49" i="6"/>
  <c r="G49" i="5"/>
  <c r="F49" i="4"/>
  <c r="H49" i="5"/>
  <c r="G49" i="7"/>
  <c r="F72" i="5"/>
  <c r="B69" i="4"/>
  <c r="F49" i="1"/>
  <c r="B69" i="3"/>
  <c r="E48" i="7"/>
  <c r="E68"/>
  <c r="E68" i="5"/>
  <c r="F68" i="6"/>
  <c r="F73"/>
  <c r="F69"/>
  <c r="F48" i="5"/>
  <c r="F68"/>
  <c r="F61"/>
  <c r="F69"/>
  <c r="F66" i="6"/>
  <c r="E48" i="5"/>
  <c r="E49" s="1"/>
  <c r="F57"/>
  <c r="F53"/>
  <c r="F54" s="1"/>
  <c r="F73" i="7"/>
  <c r="F69"/>
  <c r="F47"/>
  <c r="E62"/>
  <c r="F66"/>
  <c r="F57" i="6"/>
  <c r="F53"/>
  <c r="F54" s="1"/>
  <c r="F48"/>
  <c r="F36"/>
  <c r="F38" s="1"/>
  <c r="F62" s="1"/>
  <c r="C72" i="5"/>
  <c r="D68"/>
  <c r="E54" i="7"/>
  <c r="G54"/>
  <c r="H49" i="6"/>
  <c r="H49" i="7"/>
  <c r="C72" i="4"/>
  <c r="H61" i="7"/>
  <c r="E47" i="6"/>
  <c r="E49" s="1"/>
  <c r="F60" i="7"/>
  <c r="E65" i="6"/>
  <c r="H54" i="7"/>
  <c r="F66" i="5"/>
  <c r="E65" i="7"/>
  <c r="E65" i="5"/>
  <c r="D37" i="4"/>
  <c r="G54" i="6"/>
  <c r="H62" i="7"/>
  <c r="D60" i="4"/>
  <c r="F54" i="3"/>
  <c r="D37"/>
  <c r="D68" i="7"/>
  <c r="D60" i="1"/>
  <c r="D49"/>
  <c r="D54"/>
  <c r="E47" i="7"/>
  <c r="G54" i="5"/>
  <c r="G61"/>
  <c r="G38"/>
  <c r="G62" s="1"/>
  <c r="H61"/>
  <c r="H38"/>
  <c r="H62" s="1"/>
  <c r="D35"/>
  <c r="E54"/>
  <c r="F65"/>
  <c r="E61"/>
  <c r="E38"/>
  <c r="E62" s="1"/>
  <c r="C68"/>
  <c r="F60"/>
  <c r="F47"/>
  <c r="H54"/>
  <c r="G61" i="6"/>
  <c r="G38"/>
  <c r="G62" s="1"/>
  <c r="H61"/>
  <c r="H38"/>
  <c r="H62" s="1"/>
  <c r="D35"/>
  <c r="D37" s="1"/>
  <c r="E54"/>
  <c r="F65"/>
  <c r="E61"/>
  <c r="E38"/>
  <c r="E62" s="1"/>
  <c r="F60"/>
  <c r="F47"/>
  <c r="H54"/>
  <c r="F54" i="7"/>
  <c r="F61"/>
  <c r="F38"/>
  <c r="F62" s="1"/>
  <c r="F54" i="4"/>
  <c r="D61"/>
  <c r="D38"/>
  <c r="F61"/>
  <c r="F38"/>
  <c r="F62" s="1"/>
  <c r="C65"/>
  <c r="C73"/>
  <c r="C66"/>
  <c r="C57"/>
  <c r="C53"/>
  <c r="C54" s="1"/>
  <c r="C48"/>
  <c r="C49" s="1"/>
  <c r="C36"/>
  <c r="B35"/>
  <c r="B37" s="1"/>
  <c r="C35"/>
  <c r="C37" s="1"/>
  <c r="D54"/>
  <c r="D49"/>
  <c r="B60"/>
  <c r="D61" i="3"/>
  <c r="D38"/>
  <c r="C73"/>
  <c r="C66"/>
  <c r="C57"/>
  <c r="C53"/>
  <c r="C54" s="1"/>
  <c r="C48"/>
  <c r="C49" s="1"/>
  <c r="C36"/>
  <c r="B35"/>
  <c r="B37" s="1"/>
  <c r="C35"/>
  <c r="C37" s="1"/>
  <c r="D54"/>
  <c r="D49"/>
  <c r="F61"/>
  <c r="F38"/>
  <c r="F62" s="1"/>
  <c r="C65"/>
  <c r="B60"/>
  <c r="C68" i="2"/>
  <c r="F61"/>
  <c r="F38"/>
  <c r="F62" s="1"/>
  <c r="B35"/>
  <c r="C35"/>
  <c r="C37" s="1"/>
  <c r="F54" i="1"/>
  <c r="D61"/>
  <c r="D38"/>
  <c r="D62" s="1"/>
  <c r="C73"/>
  <c r="C66"/>
  <c r="C57"/>
  <c r="C53"/>
  <c r="C48"/>
  <c r="C36"/>
  <c r="B35"/>
  <c r="B37" s="1"/>
  <c r="C35"/>
  <c r="C37" s="1"/>
  <c r="F61"/>
  <c r="F62"/>
  <c r="C65"/>
  <c r="D62" i="4" l="1"/>
  <c r="F38" i="5"/>
  <c r="F62" s="1"/>
  <c r="F49"/>
  <c r="D62" i="3"/>
  <c r="F49" i="6"/>
  <c r="B72" i="4"/>
  <c r="C69" i="1"/>
  <c r="C54"/>
  <c r="B65" i="4"/>
  <c r="B68"/>
  <c r="B65" i="1"/>
  <c r="B68"/>
  <c r="B68" i="3"/>
  <c r="D68" i="6"/>
  <c r="F61"/>
  <c r="D37" i="5"/>
  <c r="E49" i="7"/>
  <c r="D65" i="6"/>
  <c r="C72"/>
  <c r="B47" i="5"/>
  <c r="C47"/>
  <c r="D65"/>
  <c r="D47"/>
  <c r="D60" i="7"/>
  <c r="D47"/>
  <c r="B60" i="2"/>
  <c r="C60"/>
  <c r="D60" i="5"/>
  <c r="C72" i="2"/>
  <c r="D35" i="7"/>
  <c r="D47" i="6"/>
  <c r="D60"/>
  <c r="C60" i="1"/>
  <c r="C49"/>
  <c r="D65" i="7"/>
  <c r="C72" i="3"/>
  <c r="C65" i="5"/>
  <c r="C35"/>
  <c r="B35"/>
  <c r="C35" i="6"/>
  <c r="C37" s="1"/>
  <c r="B35"/>
  <c r="B37" s="1"/>
  <c r="C61" i="4"/>
  <c r="C38"/>
  <c r="C62" s="1"/>
  <c r="B66"/>
  <c r="B57"/>
  <c r="B53"/>
  <c r="B54" s="1"/>
  <c r="B48"/>
  <c r="B49" s="1"/>
  <c r="B36"/>
  <c r="B73"/>
  <c r="B57" i="3"/>
  <c r="B53"/>
  <c r="B54" s="1"/>
  <c r="B48"/>
  <c r="B49" s="1"/>
  <c r="B36"/>
  <c r="B73"/>
  <c r="C61"/>
  <c r="C38"/>
  <c r="C62" s="1"/>
  <c r="B66" i="1"/>
  <c r="B57"/>
  <c r="B53"/>
  <c r="B48"/>
  <c r="B36"/>
  <c r="B73"/>
  <c r="C61"/>
  <c r="C38"/>
  <c r="C62" s="1"/>
  <c r="C68" i="7" l="1"/>
  <c r="B54" i="1"/>
  <c r="B69"/>
  <c r="C68" i="6"/>
  <c r="C65"/>
  <c r="C72" i="7"/>
  <c r="C37" i="5"/>
  <c r="C65" i="7"/>
  <c r="B60" i="1"/>
  <c r="B49"/>
  <c r="C60" i="6"/>
  <c r="C47"/>
  <c r="C35" i="7"/>
  <c r="B35"/>
  <c r="B37" s="1"/>
  <c r="B60" i="5"/>
  <c r="C60"/>
  <c r="D37" i="7"/>
  <c r="C47"/>
  <c r="C60"/>
  <c r="B37" i="2"/>
  <c r="B61" i="4"/>
  <c r="B38"/>
  <c r="B62" s="1"/>
  <c r="B61" i="3"/>
  <c r="B38"/>
  <c r="B62" s="1"/>
  <c r="B61" i="1"/>
  <c r="B38"/>
  <c r="B62" s="1"/>
  <c r="B60" i="7" l="1"/>
  <c r="B47"/>
  <c r="C37"/>
  <c r="B37" i="5"/>
  <c r="B60" i="6"/>
  <c r="B47"/>
  <c r="D36" i="2" l="1"/>
  <c r="D38" s="1"/>
  <c r="D62" s="1"/>
  <c r="D49"/>
  <c r="D54"/>
  <c r="D21" i="6"/>
  <c r="D21" i="7"/>
  <c r="D21" i="5"/>
  <c r="C21" s="1"/>
  <c r="B21" s="1"/>
  <c r="C73" i="2"/>
  <c r="D23"/>
  <c r="C23" s="1"/>
  <c r="D48" i="6" l="1"/>
  <c r="D49" s="1"/>
  <c r="C21"/>
  <c r="B21" s="1"/>
  <c r="D48" i="7"/>
  <c r="D49" s="1"/>
  <c r="C21"/>
  <c r="B21" s="1"/>
  <c r="D66" i="5"/>
  <c r="D36"/>
  <c r="B21" i="2"/>
  <c r="D61"/>
  <c r="C54"/>
  <c r="D69" i="5"/>
  <c r="D48"/>
  <c r="D49" s="1"/>
  <c r="D23" i="7"/>
  <c r="C57" i="2"/>
  <c r="B23"/>
  <c r="B57" s="1"/>
  <c r="C36" i="5"/>
  <c r="C36" i="2"/>
  <c r="D53" i="6"/>
  <c r="D54" s="1"/>
  <c r="B53" i="2"/>
  <c r="B54" s="1"/>
  <c r="D66" i="7"/>
  <c r="D66" i="6"/>
  <c r="D69"/>
  <c r="D53" i="7"/>
  <c r="D54" s="1"/>
  <c r="D36" i="6"/>
  <c r="C48" i="2"/>
  <c r="C49" s="1"/>
  <c r="D69" i="7"/>
  <c r="D53" i="5"/>
  <c r="D54" s="1"/>
  <c r="D23"/>
  <c r="C23" s="1"/>
  <c r="D23" i="6"/>
  <c r="C23" s="1"/>
  <c r="D36" i="7"/>
  <c r="C23" l="1"/>
  <c r="B69" i="6"/>
  <c r="B69" i="2"/>
  <c r="B36"/>
  <c r="B61" s="1"/>
  <c r="B23" i="7"/>
  <c r="B73" i="5"/>
  <c r="B73" i="2"/>
  <c r="B36" i="7"/>
  <c r="B66" i="2"/>
  <c r="B36" i="6"/>
  <c r="B61" s="1"/>
  <c r="B66"/>
  <c r="B53"/>
  <c r="B54" s="1"/>
  <c r="B73"/>
  <c r="D61" i="7"/>
  <c r="D38"/>
  <c r="D62" s="1"/>
  <c r="D61" i="5"/>
  <c r="D38"/>
  <c r="D62" s="1"/>
  <c r="C57" i="6"/>
  <c r="B23"/>
  <c r="B57" s="1"/>
  <c r="C48" i="5"/>
  <c r="C49" s="1"/>
  <c r="C73"/>
  <c r="C66"/>
  <c r="C53"/>
  <c r="C54" s="1"/>
  <c r="C69"/>
  <c r="C69" i="7"/>
  <c r="C73"/>
  <c r="C48"/>
  <c r="C49" s="1"/>
  <c r="C53"/>
  <c r="C54" s="1"/>
  <c r="C66"/>
  <c r="C36"/>
  <c r="C73" i="6"/>
  <c r="C69"/>
  <c r="C48"/>
  <c r="C49" s="1"/>
  <c r="C53"/>
  <c r="C54" s="1"/>
  <c r="C66"/>
  <c r="C36"/>
  <c r="C57" i="5"/>
  <c r="B23"/>
  <c r="C38" i="2"/>
  <c r="C62" s="1"/>
  <c r="C61"/>
  <c r="D38" i="6"/>
  <c r="D62" s="1"/>
  <c r="D61"/>
  <c r="C57" i="7"/>
  <c r="B38" i="2" l="1"/>
  <c r="B62" s="1"/>
  <c r="B57" i="5"/>
  <c r="B66"/>
  <c r="B53"/>
  <c r="B54" s="1"/>
  <c r="B36"/>
  <c r="B69"/>
  <c r="B73" i="7"/>
  <c r="B69"/>
  <c r="B53"/>
  <c r="B54" s="1"/>
  <c r="B66"/>
  <c r="B57"/>
  <c r="B38" i="6"/>
  <c r="B62" s="1"/>
  <c r="C38" i="7"/>
  <c r="C62" s="1"/>
  <c r="C61"/>
  <c r="B61"/>
  <c r="B38"/>
  <c r="B62" s="1"/>
  <c r="C38" i="6"/>
  <c r="C62" s="1"/>
  <c r="C61"/>
  <c r="C61" i="5"/>
  <c r="C38"/>
  <c r="C62" s="1"/>
  <c r="F48" i="2"/>
  <c r="F49" s="1"/>
  <c r="F68" i="7"/>
  <c r="F26" i="2"/>
  <c r="F72" s="1"/>
  <c r="B20"/>
  <c r="B48" l="1"/>
  <c r="B49" s="1"/>
  <c r="B26"/>
  <c r="B72" s="1"/>
  <c r="B38" i="5"/>
  <c r="B62" s="1"/>
  <c r="B61"/>
  <c r="F48" i="7"/>
  <c r="F49" s="1"/>
  <c r="F26"/>
  <c r="F72" s="1"/>
  <c r="B68" i="2"/>
  <c r="F65" i="7"/>
  <c r="B65" i="2"/>
  <c r="B26" i="6" l="1"/>
  <c r="B72" s="1"/>
  <c r="B68"/>
  <c r="B65"/>
  <c r="B48"/>
  <c r="B49" s="1"/>
  <c r="B68" i="7"/>
  <c r="B48"/>
  <c r="B49" s="1"/>
  <c r="B65"/>
  <c r="B26"/>
  <c r="B72" s="1"/>
  <c r="B68" i="5"/>
  <c r="B26"/>
  <c r="B72" s="1"/>
  <c r="B48"/>
  <c r="B49" s="1"/>
  <c r="B65"/>
  <c r="E15" i="6" l="1"/>
  <c r="C15"/>
  <c r="B15" s="1"/>
  <c r="E15" i="5"/>
  <c r="C15" s="1"/>
  <c r="B15" s="1"/>
  <c r="C15" i="3"/>
  <c r="B15" s="1"/>
  <c r="E15" i="7"/>
  <c r="C15" s="1"/>
  <c r="B15" s="1"/>
</calcChain>
</file>

<file path=xl/sharedStrings.xml><?xml version="1.0" encoding="utf-8"?>
<sst xmlns="http://schemas.openxmlformats.org/spreadsheetml/2006/main" count="604" uniqueCount="145">
  <si>
    <t>Indicador</t>
  </si>
  <si>
    <t>Total IAFA</t>
  </si>
  <si>
    <t>Atención adicciones a menores de edad</t>
  </si>
  <si>
    <t>Prevención para el Consumo de Drogas</t>
  </si>
  <si>
    <t>Total</t>
  </si>
  <si>
    <t xml:space="preserve">Atención integral </t>
  </si>
  <si>
    <t>Capacitación socioeducativa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</si>
  <si>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</si>
  <si>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</si>
  <si>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</si>
  <si>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</si>
  <si>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</si>
  <si>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</si>
  <si>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</si>
  <si>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</si>
  <si>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</si>
  <si>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</si>
  <si>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</si>
  <si>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</si>
  <si>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</si>
  <si>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</si>
  <si>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</si>
  <si>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</si>
  <si>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</si>
  <si>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</si>
  <si>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</si>
  <si>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</si>
  <si>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</si>
  <si>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</si>
  <si>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</si>
  <si>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</si>
  <si>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</si>
  <si>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</si>
  <si>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</si>
  <si>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</si>
  <si>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</si>
  <si>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Fuentes:</t>
  </si>
  <si>
    <t>Notas:</t>
  </si>
  <si>
    <t xml:space="preserve">Gasto programado trimestral por beneficiario (GPB) </t>
  </si>
  <si>
    <t xml:space="preserve">Gasto efectivo trimestral por beneficiario (GEB) </t>
  </si>
  <si>
    <t xml:space="preserve">Gasto programado mensual por beneficiario (GPB) </t>
  </si>
  <si>
    <t xml:space="preserve">Gasto efectivo mensual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</si>
  <si>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</si>
  <si>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</si>
  <si>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al 3°T por beneficiario (GPB) </t>
  </si>
  <si>
    <t xml:space="preserve">Gasto efectivo acumulado al 3°T por beneficiario (GEB) </t>
  </si>
  <si>
    <t xml:space="preserve">Gasto programado anual por beneficiario (GPB) </t>
  </si>
  <si>
    <t xml:space="preserve">Gasto efectivo anual por beneficiario (GEB) </t>
  </si>
  <si>
    <t xml:space="preserve">Beneficiarios </t>
  </si>
  <si>
    <t>Personas diferentes</t>
  </si>
  <si>
    <t>Beneficiarios</t>
  </si>
  <si>
    <t>na</t>
  </si>
  <si>
    <t>Los beneficiarios efectivos se refieren a la cantidad de personas en tratamiento al finalizar el trimestre.</t>
  </si>
  <si>
    <t>Los beneficiarios, personas distintas, se refiere a los ingresos nuevos de personas en el trimestre, continuen o no en el tratamiento, pero que fueron atendidas por el IAFA</t>
  </si>
  <si>
    <t>Divulgación y Movilización</t>
  </si>
  <si>
    <t>Total Prevención Consumo drogas</t>
  </si>
  <si>
    <t>En el primer trimestre el IAFA suele utilizar los recursos del superávit del año anterior, que debe devolver a la DESAF, mientras le llega la primer transferencia de la DESAF.</t>
  </si>
  <si>
    <t>IPC, BCCR</t>
  </si>
  <si>
    <t>na.</t>
  </si>
  <si>
    <t xml:space="preserve"> </t>
  </si>
  <si>
    <t>Apoyo Economico</t>
  </si>
  <si>
    <t>Efectivos 1T 2015</t>
  </si>
  <si>
    <t>IPC (1T 2015)</t>
  </si>
  <si>
    <t>Gasto efectivo real 1T 2015</t>
  </si>
  <si>
    <t>Gasto efectivo real por beneficiario 1T 2015</t>
  </si>
  <si>
    <t>Efectivos 2T 2015</t>
  </si>
  <si>
    <t>IPC (2T 2015)</t>
  </si>
  <si>
    <t>Gasto efectivo real 2T 2015</t>
  </si>
  <si>
    <t>Gasto efectivo real por beneficiario 2T 2015</t>
  </si>
  <si>
    <t>Efectivos 3T 2015</t>
  </si>
  <si>
    <t>IPC (3T 2015)</t>
  </si>
  <si>
    <t>Gasto efectivo real 3T 2015</t>
  </si>
  <si>
    <t>Gasto efectivo real por beneficiario 3T 2015</t>
  </si>
  <si>
    <t>Efectivos 4T 2015</t>
  </si>
  <si>
    <t>IPC (4T 2015)</t>
  </si>
  <si>
    <t>Gasto efectivo real 4T 2015</t>
  </si>
  <si>
    <t>Gasto efectivo real por beneficiario 4T 2015</t>
  </si>
  <si>
    <t>Efectivos 1S 2015</t>
  </si>
  <si>
    <t>IPC (1S 2015)</t>
  </si>
  <si>
    <t>Gasto efectivo real 1S 2015</t>
  </si>
  <si>
    <t>Gasto efectivo real por beneficiario 1S 2015</t>
  </si>
  <si>
    <t>Efectivos 3TA 2015</t>
  </si>
  <si>
    <t>IPC (3TA 2015)</t>
  </si>
  <si>
    <t>Gasto efectivo real 3TA 2015</t>
  </si>
  <si>
    <t>Gasto efectivo real por beneficiario 3TA 2015</t>
  </si>
  <si>
    <t>Efectivos  2015</t>
  </si>
  <si>
    <t>IPC ( 2015)</t>
  </si>
  <si>
    <t>Gasto efectivo real  2015</t>
  </si>
  <si>
    <t>Gasto efectivo real por beneficiario  2015</t>
  </si>
  <si>
    <t>Indicadores propuestos aplicado a IAFA. Primer Trimestre 2016</t>
  </si>
  <si>
    <t>Programados 1T 2016</t>
  </si>
  <si>
    <t>Efectivos 1T 2016</t>
  </si>
  <si>
    <t>Programados año 2016</t>
  </si>
  <si>
    <t>En transferencias 1T 2016</t>
  </si>
  <si>
    <t>IPC (1T 2016)</t>
  </si>
  <si>
    <t>Gasto efectivo real 1T 2016</t>
  </si>
  <si>
    <t>Gasto efectivo real por beneficiario 1T 2016</t>
  </si>
  <si>
    <t>Informes trimestrales IAFA, 2015 y 2016</t>
  </si>
  <si>
    <t>Metas y modificaciones, DESAF 2016</t>
  </si>
  <si>
    <t>Indicadores propuestos aplicado a IAFA. Segundo Trimestre 2016</t>
  </si>
  <si>
    <t>Programados 2T 2016</t>
  </si>
  <si>
    <t>Efectivos 2T 2016</t>
  </si>
  <si>
    <t>En transferencias 2T 2016</t>
  </si>
  <si>
    <t>IPC (2T 2016)</t>
  </si>
  <si>
    <t>Gasto efectivo real 2T 2016</t>
  </si>
  <si>
    <t>Gasto efectivo real por beneficiario 2T 2016</t>
  </si>
  <si>
    <t>Indicadores propuestos aplicado a IAFA. Tercer Trimestre 2016</t>
  </si>
  <si>
    <t>Programados 3T 2016</t>
  </si>
  <si>
    <t>Efectivos 3T 2016</t>
  </si>
  <si>
    <t>En transferencias 3T 2016</t>
  </si>
  <si>
    <t>IPC (3T 2016)</t>
  </si>
  <si>
    <t>Gasto efectivo real 3T 2016</t>
  </si>
  <si>
    <t>Gasto efectivo real por beneficiario 3T 2016</t>
  </si>
  <si>
    <t>Indicadores propuestos aplicado a IAFA. Cuarto Trimestre 2016</t>
  </si>
  <si>
    <t>Programados 4T 2016</t>
  </si>
  <si>
    <t>Efectivos 4T 2016</t>
  </si>
  <si>
    <t>En transferencias 4T 2016</t>
  </si>
  <si>
    <t>IPC (4T 2016)</t>
  </si>
  <si>
    <t>Gasto efectivo real 4T 2016</t>
  </si>
  <si>
    <t>Gasto efectivo real por beneficiario 4T 2016</t>
  </si>
  <si>
    <t>Indicadores propuestos aplicado a IAFA. Primer Semestre 2016</t>
  </si>
  <si>
    <t>Programados 1S 2016</t>
  </si>
  <si>
    <t>Efectivos 1S 2016</t>
  </si>
  <si>
    <t>En transferencias 1S 2016</t>
  </si>
  <si>
    <t>IPC (1S 2016)</t>
  </si>
  <si>
    <t>Gasto efectivo real 1S 2016</t>
  </si>
  <si>
    <t>Gasto efectivo real por beneficiario 1S 2016</t>
  </si>
  <si>
    <t>Indicadores propuestos aplicado a IAFA.Tercer Trimestre Acumulado 2016</t>
  </si>
  <si>
    <t>Programados 3TA 2016</t>
  </si>
  <si>
    <t>Efectivos 3TA 2016</t>
  </si>
  <si>
    <t>En transferencias 3TA 2016</t>
  </si>
  <si>
    <t>IPC (3TA 2016)</t>
  </si>
  <si>
    <t>Gasto efectivo real 3TA 2016</t>
  </si>
  <si>
    <t>Gasto efectivo real por beneficiario 3TA 2016</t>
  </si>
  <si>
    <t>Indicadores propuestos aplicado a IAFA. Anual 2016</t>
  </si>
  <si>
    <t>Programados  2016</t>
  </si>
  <si>
    <t>Efectivos  2016</t>
  </si>
  <si>
    <t>En transferencias  2016</t>
  </si>
  <si>
    <t>IPC ( 2016)</t>
  </si>
  <si>
    <t>Gasto efectivo real  2016</t>
  </si>
  <si>
    <t>Gasto efectivo real por beneficiario  2016</t>
  </si>
  <si>
    <t>Fecha de actualización: 29/04/2016</t>
  </si>
  <si>
    <t>Fecha de actualización: 18/08/2016</t>
  </si>
  <si>
    <t>Fecha de actualización: 09/11/2016</t>
  </si>
  <si>
    <t>Fecha de actualización: 02/02/2017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</si>
</sst>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#,##0.0____"/>
    <numFmt numFmtId="166" formatCode="#,##0.0"/>
    <numFmt numFmtId="167" formatCode="_(* #,##0_);_(* \(#,##0\);_(* &quot;-&quot;??_);_(@_)"/>
    <numFmt numFmtId="168" formatCode="#,##0____"/>
  </numFmts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3" fontId="0" fillId="0" borderId="0" xfId="0" applyNumberFormat="1" applyFill="1"/>
    <xf numFmtId="0" fontId="0" fillId="0" borderId="0" xfId="0" applyFill="1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3" fontId="0" fillId="2" borderId="0" xfId="0" applyNumberFormat="1" applyFill="1"/>
    <xf numFmtId="0" fontId="0" fillId="2" borderId="0" xfId="0" applyFill="1" applyAlignment="1">
      <alignment horizontal="left" indent="1"/>
    </xf>
    <xf numFmtId="0" fontId="0" fillId="3" borderId="0" xfId="0" applyFill="1" applyAlignment="1">
      <alignment horizontal="left" indent="1"/>
    </xf>
    <xf numFmtId="0" fontId="2" fillId="3" borderId="0" xfId="0" applyFont="1" applyFill="1"/>
    <xf numFmtId="0" fontId="0" fillId="3" borderId="0" xfId="0" applyFill="1"/>
    <xf numFmtId="3" fontId="0" fillId="3" borderId="0" xfId="0" applyNumberFormat="1" applyFill="1"/>
    <xf numFmtId="165" fontId="0" fillId="0" borderId="0" xfId="0" applyNumberFormat="1"/>
    <xf numFmtId="165" fontId="0" fillId="3" borderId="0" xfId="0" applyNumberFormat="1" applyFill="1"/>
    <xf numFmtId="165" fontId="0" fillId="0" borderId="0" xfId="0" applyNumberFormat="1" applyFill="1"/>
    <xf numFmtId="0" fontId="0" fillId="2" borderId="0" xfId="0" applyFill="1"/>
    <xf numFmtId="165" fontId="0" fillId="2" borderId="0" xfId="0" applyNumberFormat="1" applyFill="1"/>
    <xf numFmtId="0" fontId="0" fillId="0" borderId="10" xfId="0" applyBorder="1"/>
    <xf numFmtId="166" fontId="0" fillId="0" borderId="0" xfId="0" applyNumberFormat="1"/>
    <xf numFmtId="2" fontId="0" fillId="3" borderId="0" xfId="0" applyNumberFormat="1" applyFill="1"/>
    <xf numFmtId="0" fontId="0" fillId="0" borderId="0" xfId="0" applyFill="1" applyBorder="1"/>
    <xf numFmtId="167" fontId="0" fillId="0" borderId="0" xfId="1" applyNumberFormat="1" applyFont="1" applyFill="1"/>
    <xf numFmtId="167" fontId="0" fillId="0" borderId="0" xfId="1" applyNumberFormat="1" applyFont="1"/>
    <xf numFmtId="168" fontId="0" fillId="0" borderId="0" xfId="0" applyNumberFormat="1"/>
    <xf numFmtId="168" fontId="0" fillId="0" borderId="0" xfId="0" applyNumberFormat="1" applyFill="1"/>
    <xf numFmtId="0" fontId="0" fillId="0" borderId="0" xfId="0" applyAlignment="1">
      <alignment horizontal="left" indent="2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4" fontId="0" fillId="0" borderId="0" xfId="0" applyNumberFormat="1"/>
    <xf numFmtId="4" fontId="0" fillId="0" borderId="0" xfId="0" applyNumberFormat="1" applyFill="1"/>
    <xf numFmtId="4" fontId="0" fillId="2" borderId="0" xfId="0" applyNumberFormat="1" applyFill="1"/>
    <xf numFmtId="164" fontId="0" fillId="0" borderId="0" xfId="1" applyNumberFormat="1" applyFont="1" applyFill="1"/>
    <xf numFmtId="0" fontId="1" fillId="0" borderId="0" xfId="0" applyFont="1"/>
    <xf numFmtId="0" fontId="0" fillId="0" borderId="0" xfId="0" applyFill="1" applyAlignment="1">
      <alignment horizontal="left" indent="1"/>
    </xf>
    <xf numFmtId="3" fontId="1" fillId="0" borderId="0" xfId="0" applyNumberFormat="1" applyFont="1" applyFill="1"/>
    <xf numFmtId="0" fontId="1" fillId="0" borderId="0" xfId="0" applyFont="1" applyFill="1"/>
    <xf numFmtId="0" fontId="5" fillId="0" borderId="0" xfId="0" applyFont="1" applyFill="1"/>
    <xf numFmtId="3" fontId="0" fillId="0" borderId="0" xfId="1" applyNumberFormat="1" applyFont="1" applyFill="1"/>
    <xf numFmtId="167" fontId="0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Indicadores de resultado 2016</a:t>
            </a:r>
          </a:p>
        </c:rich>
      </c:tx>
      <c:layout>
        <c:manualLayout>
          <c:xMode val="edge"/>
          <c:yMode val="edge"/>
          <c:x val="0.17223600174978126"/>
          <c:y val="1.8518518518518521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Anual!$A$47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(Anual!$B$47:$C$47,Anual!$F$47)</c:f>
              <c:numCache>
                <c:formatCode>#,##0.0____</c:formatCode>
                <c:ptCount val="3"/>
                <c:pt idx="0">
                  <c:v>105.70355191256829</c:v>
                </c:pt>
                <c:pt idx="1">
                  <c:v>165.03831417624519</c:v>
                </c:pt>
                <c:pt idx="2">
                  <c:v>92.830423940149629</c:v>
                </c:pt>
              </c:numCache>
            </c:numRef>
          </c:val>
        </c:ser>
        <c:ser>
          <c:idx val="1"/>
          <c:order val="1"/>
          <c:tx>
            <c:strRef>
              <c:f>Anual!$A$48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(Anual!$B$48:$C$48,Anual!$F$48)</c:f>
              <c:numCache>
                <c:formatCode>#,##0.0____</c:formatCode>
                <c:ptCount val="3"/>
                <c:pt idx="0">
                  <c:v>91.279804383473078</c:v>
                </c:pt>
                <c:pt idx="1">
                  <c:v>93.907267103686181</c:v>
                </c:pt>
                <c:pt idx="2">
                  <c:v>74.263583333333344</c:v>
                </c:pt>
              </c:numCache>
            </c:numRef>
          </c:val>
        </c:ser>
        <c:ser>
          <c:idx val="2"/>
          <c:order val="2"/>
          <c:tx>
            <c:strRef>
              <c:f>Anual!$A$49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(Anual!$B$49:$C$49,Anual!$F$49)</c:f>
              <c:numCache>
                <c:formatCode>#,##0.0____</c:formatCode>
                <c:ptCount val="3"/>
                <c:pt idx="0">
                  <c:v>98.491678148020682</c:v>
                </c:pt>
                <c:pt idx="1">
                  <c:v>129.47279063996569</c:v>
                </c:pt>
                <c:pt idx="2">
                  <c:v>83.547003636741493</c:v>
                </c:pt>
              </c:numCache>
            </c:numRef>
          </c:val>
        </c:ser>
        <c:dLbls/>
        <c:gapWidth val="100"/>
        <c:axId val="51535872"/>
        <c:axId val="51537408"/>
      </c:barChart>
      <c:catAx>
        <c:axId val="5153587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537408"/>
        <c:crosses val="autoZero"/>
        <c:auto val="1"/>
        <c:lblAlgn val="ctr"/>
        <c:lblOffset val="100"/>
      </c:catAx>
      <c:valAx>
        <c:axId val="5153740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53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Indicadores de avance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Anual!$A$52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(Anual!$B$52:$C$52,Anual!$F$52)</c:f>
              <c:numCache>
                <c:formatCode>#,##0.0____</c:formatCode>
                <c:ptCount val="3"/>
                <c:pt idx="0">
                  <c:v>105.70355191256829</c:v>
                </c:pt>
                <c:pt idx="1">
                  <c:v>165.03831417624519</c:v>
                </c:pt>
                <c:pt idx="2">
                  <c:v>92.830423940149629</c:v>
                </c:pt>
              </c:numCache>
            </c:numRef>
          </c:val>
        </c:ser>
        <c:ser>
          <c:idx val="1"/>
          <c:order val="1"/>
          <c:tx>
            <c:strRef>
              <c:f>Anual!$A$53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(Anual!$B$53:$C$53,Anual!$F$53)</c:f>
              <c:numCache>
                <c:formatCode>#,##0.0____</c:formatCode>
                <c:ptCount val="3"/>
                <c:pt idx="0">
                  <c:v>91.279804383473078</c:v>
                </c:pt>
                <c:pt idx="1">
                  <c:v>93.907267103686181</c:v>
                </c:pt>
                <c:pt idx="2">
                  <c:v>74.263583333333344</c:v>
                </c:pt>
              </c:numCache>
            </c:numRef>
          </c:val>
        </c:ser>
        <c:ser>
          <c:idx val="2"/>
          <c:order val="2"/>
          <c:tx>
            <c:strRef>
              <c:f>Anual!$A$54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(Anual!$B$54:$C$54,Anual!$F$54)</c:f>
              <c:numCache>
                <c:formatCode>#,##0.0____</c:formatCode>
                <c:ptCount val="3"/>
                <c:pt idx="0">
                  <c:v>98.491678148020682</c:v>
                </c:pt>
                <c:pt idx="1">
                  <c:v>129.47279063996569</c:v>
                </c:pt>
                <c:pt idx="2">
                  <c:v>83.547003636741493</c:v>
                </c:pt>
              </c:numCache>
            </c:numRef>
          </c:val>
        </c:ser>
        <c:dLbls/>
        <c:gapWidth val="100"/>
        <c:axId val="53567488"/>
        <c:axId val="53569024"/>
      </c:barChart>
      <c:catAx>
        <c:axId val="5356748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569024"/>
        <c:crosses val="autoZero"/>
        <c:auto val="1"/>
        <c:lblAlgn val="ctr"/>
        <c:lblOffset val="100"/>
      </c:catAx>
      <c:valAx>
        <c:axId val="535690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56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IAFA: Índice transferencia efectiva del gasto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Anual!$A$57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(Anual!$B$57:$C$57,Anual!$F$57)</c:f>
              <c:numCache>
                <c:formatCode>#,##0.0____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</c:ser>
        <c:dLbls/>
        <c:gapWidth val="100"/>
        <c:overlap val="18"/>
        <c:axId val="53593600"/>
        <c:axId val="53595136"/>
      </c:barChart>
      <c:catAx>
        <c:axId val="535936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595136"/>
        <c:crosses val="autoZero"/>
        <c:auto val="1"/>
        <c:lblAlgn val="ctr"/>
        <c:lblOffset val="100"/>
      </c:catAx>
      <c:valAx>
        <c:axId val="535951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59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Indicadores de expansión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Anual!$A$60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(Anual!$B$60:$C$60,Anual!$F$60)</c:f>
              <c:numCache>
                <c:formatCode>#,##0.0____</c:formatCode>
                <c:ptCount val="3"/>
                <c:pt idx="0">
                  <c:v>-7.279808268424226</c:v>
                </c:pt>
                <c:pt idx="1">
                  <c:v>32.233307751343034</c:v>
                </c:pt>
                <c:pt idx="2">
                  <c:v>-16.862088218872138</c:v>
                </c:pt>
              </c:numCache>
            </c:numRef>
          </c:val>
        </c:ser>
        <c:ser>
          <c:idx val="1"/>
          <c:order val="1"/>
          <c:tx>
            <c:strRef>
              <c:f>Anual!$A$61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(Anual!$B$61:$C$61,Anual!$F$61)</c:f>
              <c:numCache>
                <c:formatCode>#,##0.0____</c:formatCode>
                <c:ptCount val="3"/>
                <c:pt idx="0">
                  <c:v>10.970252021765425</c:v>
                </c:pt>
                <c:pt idx="1">
                  <c:v>12.090851705829596</c:v>
                </c:pt>
                <c:pt idx="2">
                  <c:v>2.5725343500467623</c:v>
                </c:pt>
              </c:numCache>
            </c:numRef>
          </c:val>
        </c:ser>
        <c:ser>
          <c:idx val="2"/>
          <c:order val="2"/>
          <c:tx>
            <c:strRef>
              <c:f>Anual!$A$62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(Anual!$B$62:$C$62,Anual!$F$62)</c:f>
              <c:numCache>
                <c:formatCode>#,##0.0____</c:formatCode>
                <c:ptCount val="3"/>
                <c:pt idx="0">
                  <c:v>19.682940629613267</c:v>
                </c:pt>
                <c:pt idx="1">
                  <c:v>-15.232513190542086</c:v>
                </c:pt>
                <c:pt idx="2">
                  <c:v>23.376366031520313</c:v>
                </c:pt>
              </c:numCache>
            </c:numRef>
          </c:val>
        </c:ser>
        <c:dLbls/>
        <c:gapWidth val="100"/>
        <c:axId val="53654656"/>
        <c:axId val="53656192"/>
      </c:barChart>
      <c:catAx>
        <c:axId val="5365465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656192"/>
        <c:crosses val="autoZero"/>
        <c:auto val="1"/>
        <c:lblAlgn val="ctr"/>
        <c:lblOffset val="100"/>
      </c:catAx>
      <c:valAx>
        <c:axId val="53656192"/>
        <c:scaling>
          <c:orientation val="minMax"/>
          <c:max val="100"/>
          <c:min val="-1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654656"/>
        <c:crosses val="autoZero"/>
        <c:crossBetween val="between"/>
        <c:majorUnit val="50"/>
        <c:minorUnit val="20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Indicadores de gasto medio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(Anual!$B$65:$C$65,Anual!$F$65)</c:f>
              <c:numCache>
                <c:formatCode>#,##0</c:formatCode>
                <c:ptCount val="3"/>
                <c:pt idx="0">
                  <c:v>45960.823770491799</c:v>
                </c:pt>
                <c:pt idx="1">
                  <c:v>223320.48275862064</c:v>
                </c:pt>
                <c:pt idx="2">
                  <c:v>7481.2967581047378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(Anual!$B$66:$C$66,Anual!$F$66)</c:f>
              <c:numCache>
                <c:formatCode>#,##0</c:formatCode>
                <c:ptCount val="3"/>
                <c:pt idx="0">
                  <c:v>39689.252888529896</c:v>
                </c:pt>
                <c:pt idx="1">
                  <c:v>127069.98571096927</c:v>
                </c:pt>
                <c:pt idx="2">
                  <c:v>5984.9764942914708</c:v>
                </c:pt>
              </c:numCache>
            </c:numRef>
          </c:val>
        </c:ser>
        <c:dLbls/>
        <c:gapWidth val="100"/>
        <c:axId val="54755328"/>
        <c:axId val="54756864"/>
      </c:barChart>
      <c:catAx>
        <c:axId val="547553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756864"/>
        <c:crosses val="autoZero"/>
        <c:auto val="1"/>
        <c:lblAlgn val="ctr"/>
        <c:lblOffset val="100"/>
      </c:catAx>
      <c:valAx>
        <c:axId val="547568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75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 Indicadores de giro de recursos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Anual!$A$72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(Anual!$B$72:$C$72,Anual!$F$72)</c:f>
              <c:numCache>
                <c:formatCode>#,##0.0____</c:formatCode>
                <c:ptCount val="3"/>
                <c:pt idx="0">
                  <c:v>100.00000000000003</c:v>
                </c:pt>
                <c:pt idx="1">
                  <c:v>100.00000000000003</c:v>
                </c:pt>
                <c:pt idx="2">
                  <c:v>100</c:v>
                </c:pt>
              </c:numCache>
            </c:numRef>
          </c:val>
        </c:ser>
        <c:ser>
          <c:idx val="1"/>
          <c:order val="1"/>
          <c:tx>
            <c:strRef>
              <c:f>Anual!$A$73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(Anual!$B$73:$C$73,Anual!$F$73)</c:f>
              <c:numCache>
                <c:formatCode>#,##0.0____</c:formatCode>
                <c:ptCount val="3"/>
                <c:pt idx="0">
                  <c:v>91.279804383473078</c:v>
                </c:pt>
                <c:pt idx="1">
                  <c:v>93.907267103686166</c:v>
                </c:pt>
                <c:pt idx="2">
                  <c:v>74.263583333333344</c:v>
                </c:pt>
              </c:numCache>
            </c:numRef>
          </c:val>
        </c:ser>
        <c:dLbls/>
        <c:gapWidth val="100"/>
        <c:axId val="54864512"/>
        <c:axId val="54874496"/>
      </c:barChart>
      <c:catAx>
        <c:axId val="5486451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874496"/>
        <c:crosses val="autoZero"/>
        <c:auto val="1"/>
        <c:lblAlgn val="ctr"/>
        <c:lblOffset val="100"/>
      </c:catAx>
      <c:valAx>
        <c:axId val="548744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86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IAFA: Índice de eficiencia (IE) 2016 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Anual!$A$67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(Anual!$B$67:$C$67,Anual!$F$67)</c:f>
              <c:numCache>
                <c:formatCode>#,##0.0____</c:formatCode>
                <c:ptCount val="3"/>
                <c:pt idx="0">
                  <c:v>85.0520247624939</c:v>
                </c:pt>
                <c:pt idx="1">
                  <c:v>73.670383716491727</c:v>
                </c:pt>
                <c:pt idx="2">
                  <c:v>66.836922675562377</c:v>
                </c:pt>
              </c:numCache>
            </c:numRef>
          </c:val>
        </c:ser>
        <c:dLbls/>
        <c:gapWidth val="100"/>
        <c:overlap val="-24"/>
        <c:axId val="54793728"/>
        <c:axId val="54795264"/>
      </c:barChart>
      <c:catAx>
        <c:axId val="547937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795264"/>
        <c:crosses val="autoZero"/>
        <c:auto val="1"/>
        <c:lblAlgn val="ctr"/>
        <c:lblOffset val="100"/>
      </c:catAx>
      <c:valAx>
        <c:axId val="54795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479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11907</xdr:colOff>
      <xdr:row>35</xdr:row>
      <xdr:rowOff>188120</xdr:rowOff>
    </xdr:from>
    <xdr:to>
      <xdr:col>15</xdr:col>
      <xdr:colOff>11907</xdr:colOff>
      <xdr:row>50</xdr:row>
      <xdr:rowOff>73820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35718</xdr:colOff>
      <xdr:row>51</xdr:row>
      <xdr:rowOff>33338</xdr:rowOff>
    </xdr:from>
    <xdr:to>
      <xdr:col>15</xdr:col>
      <xdr:colOff>35718</xdr:colOff>
      <xdr:row>65</xdr:row>
      <xdr:rowOff>109538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83344</xdr:colOff>
      <xdr:row>66</xdr:row>
      <xdr:rowOff>33337</xdr:rowOff>
    </xdr:from>
    <xdr:to>
      <xdr:col>15</xdr:col>
      <xdr:colOff>83344</xdr:colOff>
      <xdr:row>80</xdr:row>
      <xdr:rowOff>85725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47625</xdr:colOff>
      <xdr:row>81</xdr:row>
      <xdr:rowOff>188118</xdr:rowOff>
    </xdr:from>
    <xdr:to>
      <xdr:col>19</xdr:col>
      <xdr:colOff>47626</xdr:colOff>
      <xdr:row>101</xdr:row>
      <xdr:rowOff>23811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119062</xdr:colOff>
      <xdr:row>87</xdr:row>
      <xdr:rowOff>9526</xdr:rowOff>
    </xdr:from>
    <xdr:to>
      <xdr:col>8</xdr:col>
      <xdr:colOff>119063</xdr:colOff>
      <xdr:row>104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102</xdr:row>
      <xdr:rowOff>45243</xdr:rowOff>
    </xdr:from>
    <xdr:to>
      <xdr:col>16</xdr:col>
      <xdr:colOff>0</xdr:colOff>
      <xdr:row>116</xdr:row>
      <xdr:rowOff>121443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95249</xdr:colOff>
      <xdr:row>105</xdr:row>
      <xdr:rowOff>188119</xdr:rowOff>
    </xdr:from>
    <xdr:to>
      <xdr:col>8</xdr:col>
      <xdr:colOff>35719</xdr:colOff>
      <xdr:row>120</xdr:row>
      <xdr:rowOff>73819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90"/>
  <sheetViews>
    <sheetView topLeftCell="A55" zoomScale="80" zoomScaleNormal="80" workbookViewId="0">
      <selection activeCell="I66" sqref="I66"/>
    </sheetView>
  </sheetViews>
  <sheetFormatPr baseColWidth="10" defaultColWidth="11.42578125" defaultRowHeight="15"/>
  <cols>
    <col min="1" max="1" width="50.85546875" customWidth="1"/>
    <col min="2" max="7" width="13.7109375" customWidth="1"/>
    <col min="8" max="8" width="16.140625" customWidth="1"/>
  </cols>
  <sheetData>
    <row r="2" spans="1:9" ht="15.75">
      <c r="A2" s="42" t="s">
        <v>89</v>
      </c>
      <c r="B2" s="42"/>
      <c r="C2" s="42"/>
      <c r="D2" s="42"/>
      <c r="E2" s="42"/>
      <c r="F2" s="42"/>
      <c r="G2" s="42"/>
      <c r="H2" s="42"/>
    </row>
    <row r="4" spans="1:9" ht="20.100000000000001" customHeight="1">
      <c r="A4" s="43" t="s">
        <v>0</v>
      </c>
      <c r="B4" s="46" t="s">
        <v>1</v>
      </c>
      <c r="C4" s="28" t="s">
        <v>2</v>
      </c>
      <c r="D4" s="29"/>
      <c r="E4" s="30"/>
      <c r="F4" s="49" t="s">
        <v>3</v>
      </c>
      <c r="G4" s="50"/>
      <c r="H4" s="51"/>
    </row>
    <row r="5" spans="1:9" ht="20.100000000000001" customHeight="1">
      <c r="A5" s="44"/>
      <c r="B5" s="47"/>
      <c r="C5" s="52" t="s">
        <v>4</v>
      </c>
      <c r="D5" s="58" t="s">
        <v>5</v>
      </c>
      <c r="E5" s="54" t="s">
        <v>60</v>
      </c>
      <c r="F5" s="56" t="s">
        <v>55</v>
      </c>
      <c r="G5" s="58" t="s">
        <v>54</v>
      </c>
      <c r="H5" s="59" t="s">
        <v>6</v>
      </c>
    </row>
    <row r="6" spans="1:9" ht="39" customHeight="1" thickBot="1">
      <c r="A6" s="45"/>
      <c r="B6" s="48"/>
      <c r="C6" s="53"/>
      <c r="D6" s="55"/>
      <c r="E6" s="55"/>
      <c r="F6" s="57"/>
      <c r="G6" s="55"/>
      <c r="H6" s="60"/>
    </row>
    <row r="7" spans="1:9" ht="15.75" thickTop="1"/>
    <row r="8" spans="1:9">
      <c r="A8" s="1" t="s">
        <v>7</v>
      </c>
    </row>
    <row r="10" spans="1:9">
      <c r="A10" t="s">
        <v>48</v>
      </c>
    </row>
    <row r="11" spans="1:9">
      <c r="A11" s="2" t="s">
        <v>61</v>
      </c>
      <c r="B11" s="4">
        <f>C11+F11</f>
        <v>112</v>
      </c>
      <c r="C11" s="4">
        <f>D11+E11</f>
        <v>112</v>
      </c>
      <c r="D11" s="4">
        <v>18</v>
      </c>
      <c r="E11" s="4">
        <v>94</v>
      </c>
      <c r="F11" s="5">
        <f t="shared" ref="F11:F15" si="0">SUM(G11:H11)</f>
        <v>0</v>
      </c>
      <c r="G11" s="5">
        <v>0</v>
      </c>
      <c r="H11" s="5">
        <v>0</v>
      </c>
    </row>
    <row r="12" spans="1:9">
      <c r="A12" s="27" t="s">
        <v>49</v>
      </c>
      <c r="B12" s="4">
        <f>C12+F12</f>
        <v>133</v>
      </c>
      <c r="C12" s="4">
        <f>D12+E12</f>
        <v>133</v>
      </c>
      <c r="D12" s="4">
        <v>39</v>
      </c>
      <c r="E12" s="4">
        <v>94</v>
      </c>
      <c r="F12" s="5">
        <f t="shared" si="0"/>
        <v>0</v>
      </c>
      <c r="G12" s="5">
        <v>0</v>
      </c>
      <c r="H12" s="5">
        <v>0</v>
      </c>
    </row>
    <row r="13" spans="1:9">
      <c r="A13" s="2" t="s">
        <v>90</v>
      </c>
      <c r="B13" s="4">
        <f t="shared" ref="B13:B16" si="1">C13+F13</f>
        <v>162</v>
      </c>
      <c r="C13" s="4">
        <f t="shared" ref="C13:C16" si="2">D13+E13</f>
        <v>87</v>
      </c>
      <c r="D13" s="4">
        <v>24</v>
      </c>
      <c r="E13" s="5">
        <v>63</v>
      </c>
      <c r="F13" s="5">
        <f t="shared" si="0"/>
        <v>75</v>
      </c>
      <c r="G13" s="5">
        <v>75</v>
      </c>
      <c r="H13" s="5">
        <v>0</v>
      </c>
      <c r="I13" s="35"/>
    </row>
    <row r="14" spans="1:9">
      <c r="A14" s="2" t="s">
        <v>91</v>
      </c>
      <c r="B14" s="4">
        <f>C14+F14</f>
        <v>202.33333333333331</v>
      </c>
      <c r="C14" s="4">
        <f>D14+E14</f>
        <v>136.33333333333331</v>
      </c>
      <c r="D14" s="4">
        <v>26</v>
      </c>
      <c r="E14" s="4">
        <v>110.33333333333333</v>
      </c>
      <c r="F14" s="5">
        <f t="shared" si="0"/>
        <v>66</v>
      </c>
      <c r="G14" s="4">
        <v>66</v>
      </c>
      <c r="H14" s="4">
        <v>0</v>
      </c>
    </row>
    <row r="15" spans="1:9">
      <c r="A15" s="27" t="s">
        <v>49</v>
      </c>
      <c r="B15" s="4">
        <f>C15+F15</f>
        <v>169.33333333333331</v>
      </c>
      <c r="C15" s="4">
        <f>D15+E15</f>
        <v>169.33333333333331</v>
      </c>
      <c r="D15" s="4">
        <v>59</v>
      </c>
      <c r="E15" s="4">
        <v>110.33333333333333</v>
      </c>
      <c r="F15" s="5">
        <f t="shared" si="0"/>
        <v>0</v>
      </c>
      <c r="G15" s="4">
        <v>0</v>
      </c>
      <c r="H15" s="4">
        <v>0</v>
      </c>
    </row>
    <row r="16" spans="1:9">
      <c r="A16" s="2" t="s">
        <v>92</v>
      </c>
      <c r="B16" s="4">
        <f t="shared" si="1"/>
        <v>1952</v>
      </c>
      <c r="C16" s="4">
        <f t="shared" si="2"/>
        <v>348</v>
      </c>
      <c r="D16" s="4">
        <v>96</v>
      </c>
      <c r="E16" s="4">
        <v>252</v>
      </c>
      <c r="F16" s="23">
        <f>SUM(G16:H16)</f>
        <v>1604</v>
      </c>
      <c r="G16" s="5">
        <v>1604</v>
      </c>
      <c r="H16" s="4">
        <v>0</v>
      </c>
    </row>
    <row r="17" spans="1:10">
      <c r="F17" s="5"/>
    </row>
    <row r="18" spans="1:10">
      <c r="A18" s="6" t="s">
        <v>8</v>
      </c>
      <c r="F18" s="5"/>
    </row>
    <row r="19" spans="1:10">
      <c r="A19" s="2" t="s">
        <v>61</v>
      </c>
      <c r="B19" s="3">
        <f>C19+F19</f>
        <v>5351557.95</v>
      </c>
      <c r="C19" s="3">
        <f>D19+E19</f>
        <v>5351557.95</v>
      </c>
      <c r="D19" s="3">
        <v>4269127.95</v>
      </c>
      <c r="E19" s="4">
        <v>1082430</v>
      </c>
      <c r="F19" s="4">
        <f>SUM(G19:H19)</f>
        <v>0</v>
      </c>
      <c r="G19" s="4">
        <v>0</v>
      </c>
      <c r="H19" s="4">
        <v>0</v>
      </c>
    </row>
    <row r="20" spans="1:10">
      <c r="A20" s="2" t="s">
        <v>90</v>
      </c>
      <c r="B20" s="4">
        <f>C20+F20</f>
        <v>29688028.309999999</v>
      </c>
      <c r="C20" s="4">
        <f>D20+E20</f>
        <v>28840528.309999999</v>
      </c>
      <c r="D20" s="4">
        <v>26840528</v>
      </c>
      <c r="E20" s="4">
        <v>2000000.31</v>
      </c>
      <c r="F20" s="4">
        <f>SUM(G20:H20)</f>
        <v>847500</v>
      </c>
      <c r="G20" s="4">
        <v>847500</v>
      </c>
      <c r="H20" s="4">
        <v>0</v>
      </c>
      <c r="I20" s="35"/>
    </row>
    <row r="21" spans="1:10">
      <c r="A21" s="2" t="s">
        <v>91</v>
      </c>
      <c r="B21" s="32">
        <f>C21+F21</f>
        <v>9295340.1000000015</v>
      </c>
      <c r="C21" s="32">
        <f>D21+E21</f>
        <v>9295340.1000000015</v>
      </c>
      <c r="D21" s="32">
        <v>7778355.1000000006</v>
      </c>
      <c r="E21" s="32">
        <v>1516985</v>
      </c>
      <c r="F21" s="4">
        <f>SUM(G21:H21)</f>
        <v>0</v>
      </c>
      <c r="G21" s="4">
        <v>0</v>
      </c>
      <c r="H21" s="4">
        <v>0</v>
      </c>
      <c r="J21" s="4"/>
    </row>
    <row r="22" spans="1:10">
      <c r="A22" s="2" t="s">
        <v>92</v>
      </c>
      <c r="B22" s="32">
        <f>C22+F22</f>
        <v>89715527.980000004</v>
      </c>
      <c r="C22" s="32">
        <f>D22+E22</f>
        <v>77715527.980000004</v>
      </c>
      <c r="D22" s="23">
        <v>69715528</v>
      </c>
      <c r="E22" s="23">
        <v>7999999.9799999995</v>
      </c>
      <c r="F22" s="23">
        <f t="shared" ref="F22" si="3">SUM(G22:H22)</f>
        <v>12000000</v>
      </c>
      <c r="G22" s="32">
        <v>12000000</v>
      </c>
      <c r="H22" s="4">
        <v>0</v>
      </c>
      <c r="I22" s="35"/>
    </row>
    <row r="23" spans="1:10">
      <c r="A23" s="2" t="s">
        <v>93</v>
      </c>
      <c r="B23" s="31">
        <f>+C23+F23</f>
        <v>9295340.1000000015</v>
      </c>
      <c r="C23" s="31">
        <f>+D23+E23</f>
        <v>9295340.1000000015</v>
      </c>
      <c r="D23" s="31">
        <f>D21</f>
        <v>7778355.1000000006</v>
      </c>
      <c r="E23" s="31">
        <f>+E21</f>
        <v>1516985</v>
      </c>
      <c r="F23" s="31">
        <f>G23+H23</f>
        <v>0</v>
      </c>
      <c r="G23" s="31">
        <f>G21</f>
        <v>0</v>
      </c>
      <c r="H23" s="31">
        <f>H21</f>
        <v>0</v>
      </c>
    </row>
    <row r="24" spans="1:10">
      <c r="B24" s="3"/>
      <c r="C24" s="3"/>
      <c r="D24" s="3"/>
    </row>
    <row r="25" spans="1:10">
      <c r="A25" s="7" t="s">
        <v>9</v>
      </c>
      <c r="B25" s="8"/>
      <c r="C25" s="8"/>
      <c r="D25" s="8"/>
      <c r="E25" s="8"/>
      <c r="F25" s="8"/>
      <c r="G25" s="8"/>
      <c r="H25" s="8"/>
    </row>
    <row r="26" spans="1:10">
      <c r="A26" s="9" t="s">
        <v>90</v>
      </c>
      <c r="B26" s="33">
        <f>B20</f>
        <v>29688028.309999999</v>
      </c>
      <c r="C26" s="33">
        <f>C20</f>
        <v>28840528.309999999</v>
      </c>
      <c r="D26" s="8"/>
      <c r="E26" s="8"/>
      <c r="F26" s="8">
        <f>F20</f>
        <v>847500</v>
      </c>
      <c r="G26" s="8"/>
      <c r="H26" s="8"/>
    </row>
    <row r="27" spans="1:10">
      <c r="A27" s="9" t="s">
        <v>91</v>
      </c>
      <c r="B27" s="33">
        <v>0</v>
      </c>
      <c r="C27" s="8">
        <v>0</v>
      </c>
      <c r="D27" s="8"/>
      <c r="E27" s="8"/>
      <c r="F27" s="8">
        <v>0</v>
      </c>
      <c r="G27" s="8"/>
      <c r="H27" s="8"/>
    </row>
    <row r="29" spans="1:10">
      <c r="A29" t="s">
        <v>10</v>
      </c>
    </row>
    <row r="30" spans="1:10">
      <c r="A30" s="10" t="s">
        <v>62</v>
      </c>
      <c r="B30" s="21">
        <v>1</v>
      </c>
      <c r="C30" s="21">
        <v>1</v>
      </c>
      <c r="D30" s="21">
        <v>1</v>
      </c>
      <c r="E30" s="21">
        <v>1</v>
      </c>
      <c r="F30" s="21">
        <v>1</v>
      </c>
      <c r="G30" s="21">
        <v>1</v>
      </c>
      <c r="H30" s="21">
        <v>1</v>
      </c>
    </row>
    <row r="31" spans="1:10">
      <c r="A31" s="10" t="s">
        <v>94</v>
      </c>
      <c r="B31" s="21">
        <v>0.99</v>
      </c>
      <c r="C31" s="21">
        <v>0.99</v>
      </c>
      <c r="D31" s="21">
        <v>0.99</v>
      </c>
      <c r="E31" s="21">
        <v>0.99</v>
      </c>
      <c r="F31" s="21">
        <v>0.99</v>
      </c>
      <c r="G31" s="21">
        <v>0.99</v>
      </c>
      <c r="H31" s="21">
        <v>0.99</v>
      </c>
    </row>
    <row r="32" spans="1:10">
      <c r="A32" s="36" t="s">
        <v>11</v>
      </c>
      <c r="B32" s="4"/>
      <c r="C32" s="37"/>
      <c r="D32" s="37"/>
      <c r="E32" s="37"/>
      <c r="F32" s="37"/>
      <c r="G32" s="37"/>
      <c r="H32" s="37"/>
      <c r="I32" s="35"/>
    </row>
    <row r="34" spans="1:9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9">
      <c r="A35" s="12" t="s">
        <v>63</v>
      </c>
      <c r="B35" s="13">
        <f>B19/B30</f>
        <v>5351557.95</v>
      </c>
      <c r="C35" s="13">
        <f t="shared" ref="C35:H35" si="4">C19/C30</f>
        <v>5351557.95</v>
      </c>
      <c r="D35" s="13">
        <f>D19/D30</f>
        <v>4269127.95</v>
      </c>
      <c r="E35" s="13">
        <f t="shared" si="4"/>
        <v>1082430</v>
      </c>
      <c r="F35" s="13">
        <f t="shared" si="4"/>
        <v>0</v>
      </c>
      <c r="G35" s="13">
        <f t="shared" si="4"/>
        <v>0</v>
      </c>
      <c r="H35" s="13">
        <f t="shared" si="4"/>
        <v>0</v>
      </c>
    </row>
    <row r="36" spans="1:9">
      <c r="A36" s="12" t="s">
        <v>95</v>
      </c>
      <c r="B36" s="13">
        <f>B21/B31</f>
        <v>9389232.4242424257</v>
      </c>
      <c r="C36" s="13">
        <f>C21/C31</f>
        <v>9389232.4242424257</v>
      </c>
      <c r="D36" s="13">
        <f t="shared" ref="D36:F36" si="5">D21/D31</f>
        <v>7856924.343434344</v>
      </c>
      <c r="E36" s="13">
        <f>E21/E31</f>
        <v>1532308.0808080807</v>
      </c>
      <c r="F36" s="13">
        <f t="shared" si="5"/>
        <v>0</v>
      </c>
      <c r="G36" s="13">
        <f>G21/G31</f>
        <v>0</v>
      </c>
      <c r="H36" s="13">
        <f>H21/H31</f>
        <v>0</v>
      </c>
      <c r="I36" s="35"/>
    </row>
    <row r="37" spans="1:9">
      <c r="A37" s="12" t="s">
        <v>64</v>
      </c>
      <c r="B37" s="13">
        <f t="shared" ref="B37:C37" si="6">B35/B11</f>
        <v>47781.767410714288</v>
      </c>
      <c r="C37" s="13">
        <f t="shared" si="6"/>
        <v>47781.767410714288</v>
      </c>
      <c r="D37" s="13">
        <f>D35/D11</f>
        <v>237173.77500000002</v>
      </c>
      <c r="E37" s="13">
        <f>E35/E11</f>
        <v>11515.212765957447</v>
      </c>
      <c r="F37" s="13" t="e">
        <f>F35/F11</f>
        <v>#DIV/0!</v>
      </c>
      <c r="G37" s="13" t="e">
        <f>G35/G11</f>
        <v>#DIV/0!</v>
      </c>
      <c r="H37" s="13" t="e">
        <f>H35/H11</f>
        <v>#DIV/0!</v>
      </c>
    </row>
    <row r="38" spans="1:9">
      <c r="A38" s="12" t="s">
        <v>96</v>
      </c>
      <c r="B38" s="13">
        <f t="shared" ref="B38:C38" si="7">B36/B14</f>
        <v>46404.773101692386</v>
      </c>
      <c r="C38" s="13">
        <f t="shared" si="7"/>
        <v>68869.675483440791</v>
      </c>
      <c r="D38" s="13">
        <f>D36/D14</f>
        <v>302189.39782439783</v>
      </c>
      <c r="E38" s="13">
        <f>E36/E14</f>
        <v>13887.988647807379</v>
      </c>
      <c r="F38" s="13">
        <f>F36/F14</f>
        <v>0</v>
      </c>
      <c r="G38" s="13">
        <f>G36/G14</f>
        <v>0</v>
      </c>
      <c r="H38" s="13" t="e">
        <f>H36/H14</f>
        <v>#DIV/0!</v>
      </c>
    </row>
    <row r="40" spans="1:9">
      <c r="A40" s="1" t="s">
        <v>13</v>
      </c>
    </row>
    <row r="42" spans="1:9">
      <c r="A42" t="s">
        <v>14</v>
      </c>
    </row>
    <row r="43" spans="1:9">
      <c r="A43" t="s">
        <v>15</v>
      </c>
      <c r="B43" s="14" t="s">
        <v>51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</row>
    <row r="44" spans="1:9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</row>
    <row r="46" spans="1:9">
      <c r="A46" t="s">
        <v>17</v>
      </c>
    </row>
    <row r="47" spans="1:9">
      <c r="A47" t="s">
        <v>18</v>
      </c>
      <c r="B47" s="16">
        <f>B14/B13*100</f>
        <v>124.89711934156378</v>
      </c>
      <c r="C47" s="16">
        <f t="shared" ref="C47" si="8">C14/C13*100</f>
        <v>156.70498084291185</v>
      </c>
      <c r="D47" s="16">
        <f>D14/D13*100</f>
        <v>108.33333333333333</v>
      </c>
      <c r="E47" s="16">
        <f>E14/E13*100</f>
        <v>175.13227513227511</v>
      </c>
      <c r="F47" s="16">
        <f>F14/F13*100</f>
        <v>88</v>
      </c>
      <c r="G47" s="16">
        <f>G14/G13*100</f>
        <v>88</v>
      </c>
      <c r="H47" s="16" t="e">
        <f>H14/H13*100</f>
        <v>#DIV/0!</v>
      </c>
    </row>
    <row r="48" spans="1:9">
      <c r="A48" t="s">
        <v>19</v>
      </c>
      <c r="B48" s="14">
        <f>B21/B20*100</f>
        <v>31.310062099573639</v>
      </c>
      <c r="C48" s="14">
        <f t="shared" ref="C48:F48" si="9">C21/C20*100</f>
        <v>32.230131154625866</v>
      </c>
      <c r="D48" s="14">
        <f>D21/D20*100</f>
        <v>28.979888547647054</v>
      </c>
      <c r="E48" s="14">
        <f>E21/E20*100</f>
        <v>75.849238243368063</v>
      </c>
      <c r="F48" s="14">
        <f t="shared" si="9"/>
        <v>0</v>
      </c>
      <c r="G48" s="14">
        <f>G21/G20*100</f>
        <v>0</v>
      </c>
      <c r="H48" s="14" t="e">
        <f>H21/H20*100</f>
        <v>#DIV/0!</v>
      </c>
    </row>
    <row r="49" spans="1:9">
      <c r="A49" s="12" t="s">
        <v>20</v>
      </c>
      <c r="B49" s="15">
        <f t="shared" ref="B49:H49" si="10">AVERAGE(B47:B48)</f>
        <v>78.103590720568704</v>
      </c>
      <c r="C49" s="15">
        <f t="shared" si="10"/>
        <v>94.467555998768859</v>
      </c>
      <c r="D49" s="15">
        <f>AVERAGE(D47:D48)</f>
        <v>68.656610940490197</v>
      </c>
      <c r="E49" s="15">
        <f t="shared" si="10"/>
        <v>125.49075668782159</v>
      </c>
      <c r="F49" s="15">
        <f t="shared" si="10"/>
        <v>44</v>
      </c>
      <c r="G49" s="15">
        <f t="shared" si="10"/>
        <v>44</v>
      </c>
      <c r="H49" s="15" t="e">
        <f t="shared" si="10"/>
        <v>#DIV/0!</v>
      </c>
    </row>
    <row r="50" spans="1:9">
      <c r="B50" s="14"/>
      <c r="C50" s="14"/>
      <c r="D50" s="14"/>
      <c r="E50" s="14"/>
      <c r="F50" s="14"/>
      <c r="G50" s="14"/>
      <c r="H50" s="14"/>
    </row>
    <row r="51" spans="1:9">
      <c r="A51" t="s">
        <v>21</v>
      </c>
    </row>
    <row r="52" spans="1:9">
      <c r="A52" t="s">
        <v>22</v>
      </c>
      <c r="B52" s="14">
        <f>(B14/B16)*100</f>
        <v>10.365437158469945</v>
      </c>
      <c r="C52" s="14">
        <f t="shared" ref="C52" si="11">(C14/C16)*100</f>
        <v>39.176245210727963</v>
      </c>
      <c r="D52" s="14">
        <f>(D14/D16)*100</f>
        <v>27.083333333333332</v>
      </c>
      <c r="E52" s="14">
        <f>(E14/E16)*100</f>
        <v>43.783068783068778</v>
      </c>
      <c r="F52" s="14">
        <f>(F14/F16)*100</f>
        <v>4.1147132169576057</v>
      </c>
      <c r="G52" s="14">
        <f>(G14/G16)*100</f>
        <v>4.1147132169576057</v>
      </c>
      <c r="H52" s="14" t="e">
        <f>(H14/H16)*100</f>
        <v>#DIV/0!</v>
      </c>
    </row>
    <row r="53" spans="1:9">
      <c r="A53" t="s">
        <v>23</v>
      </c>
      <c r="B53" s="16">
        <f>B21/B22*100</f>
        <v>10.360904415646065</v>
      </c>
      <c r="C53" s="16">
        <f t="shared" ref="C53:H53" si="12">C21/C22*100</f>
        <v>11.96072437723404</v>
      </c>
      <c r="D53" s="16">
        <f t="shared" si="12"/>
        <v>11.157277758837314</v>
      </c>
      <c r="E53" s="16">
        <f t="shared" si="12"/>
        <v>18.962312547405784</v>
      </c>
      <c r="F53" s="16">
        <f t="shared" si="12"/>
        <v>0</v>
      </c>
      <c r="G53" s="16">
        <f t="shared" si="12"/>
        <v>0</v>
      </c>
      <c r="H53" s="16" t="e">
        <f t="shared" si="12"/>
        <v>#DIV/0!</v>
      </c>
      <c r="I53" s="35"/>
    </row>
    <row r="54" spans="1:9">
      <c r="A54" t="s">
        <v>24</v>
      </c>
      <c r="B54" s="14">
        <f t="shared" ref="B54:H54" si="13">(B52+B53)/2</f>
        <v>10.363170787058005</v>
      </c>
      <c r="C54" s="14">
        <f t="shared" si="13"/>
        <v>25.568484793981</v>
      </c>
      <c r="D54" s="14">
        <f t="shared" si="13"/>
        <v>19.120305546085323</v>
      </c>
      <c r="E54" s="14">
        <f t="shared" si="13"/>
        <v>31.372690665237279</v>
      </c>
      <c r="F54" s="14">
        <f t="shared" si="13"/>
        <v>2.0573566084788029</v>
      </c>
      <c r="G54" s="14">
        <f t="shared" si="13"/>
        <v>2.0573566084788029</v>
      </c>
      <c r="H54" s="14" t="e">
        <f t="shared" si="13"/>
        <v>#DIV/0!</v>
      </c>
    </row>
    <row r="56" spans="1:9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9">
      <c r="A57" t="s">
        <v>25</v>
      </c>
      <c r="B57" s="14">
        <f t="shared" ref="B57:F57" si="14">B23/B21*100</f>
        <v>100</v>
      </c>
      <c r="C57" s="14">
        <f t="shared" si="14"/>
        <v>100</v>
      </c>
      <c r="D57" s="14"/>
      <c r="E57" s="14"/>
      <c r="F57" s="14" t="e">
        <f t="shared" si="14"/>
        <v>#DIV/0!</v>
      </c>
      <c r="G57" s="14"/>
      <c r="H57" s="14"/>
    </row>
    <row r="59" spans="1:9">
      <c r="A59" t="s">
        <v>26</v>
      </c>
    </row>
    <row r="60" spans="1:9">
      <c r="A60" t="s">
        <v>27</v>
      </c>
      <c r="B60" s="14">
        <f t="shared" ref="B60:C60" si="15">((B14/B11)-1)*100</f>
        <v>80.654761904761884</v>
      </c>
      <c r="C60" s="14">
        <f t="shared" si="15"/>
        <v>21.726190476190467</v>
      </c>
      <c r="D60" s="14">
        <f>((D14/D11)-1)*100</f>
        <v>44.444444444444443</v>
      </c>
      <c r="E60" s="14">
        <f>((E14/E11)-1)*100</f>
        <v>17.375886524822693</v>
      </c>
      <c r="F60" s="14" t="e">
        <f>((F14/F11)-1)*100</f>
        <v>#DIV/0!</v>
      </c>
      <c r="G60" s="14" t="e">
        <f>((G14/G11)-1)*100</f>
        <v>#DIV/0!</v>
      </c>
      <c r="H60" s="14" t="e">
        <f>((H14/H11)-1)*100</f>
        <v>#DIV/0!</v>
      </c>
    </row>
    <row r="61" spans="1:9">
      <c r="A61" t="s">
        <v>28</v>
      </c>
      <c r="B61" s="14">
        <f>((B36/B35)-1)*100</f>
        <v>75.448579870884629</v>
      </c>
      <c r="C61" s="14">
        <f>((C36/C35)-1)*100</f>
        <v>75.448579870884629</v>
      </c>
      <c r="D61" s="14">
        <f>((D36/D35)-1)*100</f>
        <v>84.040498093629253</v>
      </c>
      <c r="E61" s="14">
        <f t="shared" ref="E61:H61" si="16">((E36/E35)-1)*100</f>
        <v>41.561863659366495</v>
      </c>
      <c r="F61" s="14" t="e">
        <f t="shared" si="16"/>
        <v>#DIV/0!</v>
      </c>
      <c r="G61" s="14" t="e">
        <f t="shared" si="16"/>
        <v>#DIV/0!</v>
      </c>
      <c r="H61" s="14" t="e">
        <f t="shared" si="16"/>
        <v>#DIV/0!</v>
      </c>
    </row>
    <row r="62" spans="1:9">
      <c r="A62" s="12" t="s">
        <v>29</v>
      </c>
      <c r="B62" s="15">
        <f t="shared" ref="B62:H62" si="17">((B38/B37)-1)*100</f>
        <v>-2.8818404668579323</v>
      </c>
      <c r="C62" s="15">
        <f t="shared" si="17"/>
        <v>44.13379666654582</v>
      </c>
      <c r="D62" s="15">
        <f t="shared" si="17"/>
        <v>27.412652526358695</v>
      </c>
      <c r="E62" s="15">
        <f t="shared" si="17"/>
        <v>20.605575685623421</v>
      </c>
      <c r="F62" s="15" t="e">
        <f t="shared" si="17"/>
        <v>#DIV/0!</v>
      </c>
      <c r="G62" s="15" t="e">
        <f t="shared" si="17"/>
        <v>#DIV/0!</v>
      </c>
      <c r="H62" s="15" t="e">
        <f t="shared" si="17"/>
        <v>#DIV/0!</v>
      </c>
    </row>
    <row r="63" spans="1:9">
      <c r="B63" s="16"/>
      <c r="C63" s="16"/>
      <c r="D63" s="16"/>
      <c r="E63" s="16"/>
      <c r="F63" s="16"/>
      <c r="G63" s="16"/>
      <c r="H63" s="16"/>
    </row>
    <row r="64" spans="1:9">
      <c r="A64" t="s">
        <v>30</v>
      </c>
    </row>
    <row r="65" spans="1:9">
      <c r="A65" t="s">
        <v>38</v>
      </c>
      <c r="B65" s="4">
        <f t="shared" ref="B65:H65" si="18">B20/B13</f>
        <v>183259.43401234568</v>
      </c>
      <c r="C65" s="4">
        <f t="shared" si="18"/>
        <v>331500.32540229883</v>
      </c>
      <c r="D65" s="4">
        <f t="shared" si="18"/>
        <v>1118355.3333333333</v>
      </c>
      <c r="E65" s="4">
        <f t="shared" si="18"/>
        <v>31746.036666666667</v>
      </c>
      <c r="F65" s="4">
        <f t="shared" si="18"/>
        <v>11300</v>
      </c>
      <c r="G65" s="4">
        <f t="shared" si="18"/>
        <v>11300</v>
      </c>
      <c r="H65" s="4" t="e">
        <f t="shared" si="18"/>
        <v>#DIV/0!</v>
      </c>
      <c r="I65" s="35"/>
    </row>
    <row r="66" spans="1:9">
      <c r="A66" t="s">
        <v>39</v>
      </c>
      <c r="B66" s="4">
        <f t="shared" ref="B66:H66" si="19">B21/B14</f>
        <v>45940.725370675464</v>
      </c>
      <c r="C66" s="4">
        <f t="shared" si="19"/>
        <v>68180.97872860638</v>
      </c>
      <c r="D66" s="4">
        <f t="shared" si="19"/>
        <v>299167.50384615385</v>
      </c>
      <c r="E66" s="4">
        <f t="shared" si="19"/>
        <v>13749.108761329306</v>
      </c>
      <c r="F66" s="4">
        <f t="shared" si="19"/>
        <v>0</v>
      </c>
      <c r="G66" s="4">
        <f t="shared" si="19"/>
        <v>0</v>
      </c>
      <c r="H66" s="4" t="e">
        <f t="shared" si="19"/>
        <v>#DIV/0!</v>
      </c>
      <c r="I66" s="35"/>
    </row>
    <row r="67" spans="1:9">
      <c r="A67" s="12" t="s">
        <v>31</v>
      </c>
      <c r="B67" s="15">
        <f>(B66/B65)*B49</f>
        <v>19.579541053889542</v>
      </c>
      <c r="C67" s="15">
        <f t="shared" ref="C67:H67" si="20">(C66/C65)*C49</f>
        <v>19.429514641589027</v>
      </c>
      <c r="D67" s="15">
        <f t="shared" si="20"/>
        <v>18.36610092105758</v>
      </c>
      <c r="E67" s="15">
        <f t="shared" si="20"/>
        <v>54.349652536438569</v>
      </c>
      <c r="F67" s="15">
        <f t="shared" si="20"/>
        <v>0</v>
      </c>
      <c r="G67" s="15">
        <f t="shared" si="20"/>
        <v>0</v>
      </c>
      <c r="H67" s="15" t="e">
        <f t="shared" si="20"/>
        <v>#DIV/0!</v>
      </c>
    </row>
    <row r="68" spans="1:9">
      <c r="A68" t="s">
        <v>40</v>
      </c>
      <c r="B68" s="24">
        <f t="shared" ref="B68:H68" si="21">B20/(B13*3)</f>
        <v>61086.478004115226</v>
      </c>
      <c r="C68" s="24">
        <f t="shared" si="21"/>
        <v>110500.10846743295</v>
      </c>
      <c r="D68" s="24">
        <f t="shared" si="21"/>
        <v>372785.11111111112</v>
      </c>
      <c r="E68" s="24">
        <f t="shared" si="21"/>
        <v>10582.012222222222</v>
      </c>
      <c r="F68" s="24">
        <f t="shared" si="21"/>
        <v>3766.6666666666665</v>
      </c>
      <c r="G68" s="24">
        <f t="shared" si="21"/>
        <v>3766.6666666666665</v>
      </c>
      <c r="H68" s="24" t="e">
        <f t="shared" si="21"/>
        <v>#DIV/0!</v>
      </c>
    </row>
    <row r="69" spans="1:9">
      <c r="A69" t="s">
        <v>41</v>
      </c>
      <c r="B69" s="23">
        <f>B21/(B14*3)</f>
        <v>15313.575123558487</v>
      </c>
      <c r="C69" s="23">
        <f t="shared" ref="C69:H69" si="22">C21/(C14*3)</f>
        <v>22726.99290953546</v>
      </c>
      <c r="D69" s="23">
        <f t="shared" si="22"/>
        <v>99722.501282051293</v>
      </c>
      <c r="E69" s="23">
        <f t="shared" si="22"/>
        <v>4583.0362537764349</v>
      </c>
      <c r="F69" s="23">
        <f t="shared" si="22"/>
        <v>0</v>
      </c>
      <c r="G69" s="23">
        <f t="shared" si="22"/>
        <v>0</v>
      </c>
      <c r="H69" s="23" t="e">
        <f t="shared" si="22"/>
        <v>#DIV/0!</v>
      </c>
      <c r="I69" s="35"/>
    </row>
    <row r="70" spans="1:9">
      <c r="B70" s="14"/>
      <c r="C70" s="14"/>
      <c r="D70" s="14"/>
    </row>
    <row r="71" spans="1:9">
      <c r="A71" t="s">
        <v>32</v>
      </c>
      <c r="B71" s="14"/>
      <c r="C71" s="14"/>
      <c r="D71" s="14"/>
    </row>
    <row r="72" spans="1:9">
      <c r="A72" s="17" t="s">
        <v>33</v>
      </c>
      <c r="B72" s="18">
        <f>(B27/B26)*100</f>
        <v>0</v>
      </c>
      <c r="C72" s="18">
        <f>(C27/C26)*100</f>
        <v>0</v>
      </c>
      <c r="D72" s="18"/>
      <c r="E72" s="18"/>
      <c r="F72" s="18">
        <f>(F27/F26)*100</f>
        <v>0</v>
      </c>
      <c r="G72" s="18"/>
      <c r="H72" s="18"/>
    </row>
    <row r="73" spans="1:9">
      <c r="A73" s="17" t="s">
        <v>34</v>
      </c>
      <c r="B73" s="18" t="e">
        <f>(B21/B27)*100</f>
        <v>#DIV/0!</v>
      </c>
      <c r="C73" s="18" t="e">
        <f>(C21/C27)*100</f>
        <v>#DIV/0!</v>
      </c>
      <c r="D73" s="18"/>
      <c r="E73" s="18"/>
      <c r="F73" s="18" t="e">
        <f>(F21/F27)*100</f>
        <v>#DIV/0!</v>
      </c>
      <c r="G73" s="18"/>
      <c r="H73" s="18"/>
    </row>
    <row r="74" spans="1:9" ht="15.75" thickBot="1">
      <c r="A74" s="19"/>
      <c r="B74" s="19"/>
      <c r="C74" s="19"/>
      <c r="D74" s="19"/>
      <c r="E74" s="19"/>
      <c r="F74" s="19"/>
      <c r="G74" s="19"/>
      <c r="H74" s="19"/>
    </row>
    <row r="75" spans="1:9" ht="15.75" thickTop="1">
      <c r="A75" s="22" t="s">
        <v>36</v>
      </c>
    </row>
    <row r="76" spans="1:9">
      <c r="A76" s="22" t="s">
        <v>97</v>
      </c>
    </row>
    <row r="77" spans="1:9">
      <c r="A77" s="22" t="s">
        <v>98</v>
      </c>
    </row>
    <row r="78" spans="1:9">
      <c r="A78" s="22" t="s">
        <v>57</v>
      </c>
      <c r="B78" s="20"/>
      <c r="C78" s="20"/>
      <c r="D78" s="20"/>
    </row>
    <row r="79" spans="1:9">
      <c r="A79" s="22"/>
    </row>
    <row r="80" spans="1:9">
      <c r="A80" s="22"/>
    </row>
    <row r="82" spans="1:1">
      <c r="A82" t="s">
        <v>37</v>
      </c>
    </row>
    <row r="84" spans="1:1">
      <c r="A84" t="s">
        <v>52</v>
      </c>
    </row>
    <row r="85" spans="1:1">
      <c r="A85" t="s">
        <v>53</v>
      </c>
    </row>
    <row r="87" spans="1:1">
      <c r="A87" t="s">
        <v>56</v>
      </c>
    </row>
    <row r="90" spans="1:1">
      <c r="A90" s="39" t="s">
        <v>141</v>
      </c>
    </row>
  </sheetData>
  <mergeCells count="10">
    <mergeCell ref="A2:H2"/>
    <mergeCell ref="A4:A6"/>
    <mergeCell ref="B4:B6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88"/>
  <sheetViews>
    <sheetView topLeftCell="A55" zoomScale="80" zoomScaleNormal="80" workbookViewId="0">
      <selection activeCell="D67" sqref="D67"/>
    </sheetView>
  </sheetViews>
  <sheetFormatPr baseColWidth="10" defaultColWidth="11.42578125" defaultRowHeight="15"/>
  <cols>
    <col min="1" max="1" width="50.85546875" customWidth="1"/>
    <col min="2" max="2" width="15.28515625" customWidth="1"/>
    <col min="3" max="7" width="13.7109375" customWidth="1"/>
    <col min="8" max="8" width="15.140625" customWidth="1"/>
  </cols>
  <sheetData>
    <row r="2" spans="1:10" ht="15.75">
      <c r="A2" s="42" t="s">
        <v>99</v>
      </c>
      <c r="B2" s="42"/>
      <c r="C2" s="42"/>
      <c r="D2" s="42"/>
      <c r="E2" s="42"/>
      <c r="F2" s="42"/>
      <c r="G2" s="42"/>
      <c r="H2" s="42"/>
    </row>
    <row r="4" spans="1:10" ht="20.100000000000001" customHeight="1">
      <c r="A4" s="43" t="s">
        <v>0</v>
      </c>
      <c r="B4" s="46" t="s">
        <v>1</v>
      </c>
      <c r="C4" s="49" t="s">
        <v>2</v>
      </c>
      <c r="D4" s="50"/>
      <c r="E4" s="51"/>
      <c r="F4" s="49" t="s">
        <v>3</v>
      </c>
      <c r="G4" s="50"/>
      <c r="H4" s="51"/>
    </row>
    <row r="5" spans="1:10" ht="20.100000000000001" customHeight="1">
      <c r="A5" s="44"/>
      <c r="B5" s="47"/>
      <c r="C5" s="52" t="s">
        <v>4</v>
      </c>
      <c r="D5" s="58" t="s">
        <v>5</v>
      </c>
      <c r="E5" s="54" t="s">
        <v>60</v>
      </c>
      <c r="F5" s="56" t="s">
        <v>4</v>
      </c>
      <c r="G5" s="58" t="s">
        <v>54</v>
      </c>
      <c r="H5" s="59" t="s">
        <v>6</v>
      </c>
    </row>
    <row r="6" spans="1:10" ht="15.75" thickBot="1">
      <c r="A6" s="45"/>
      <c r="B6" s="48"/>
      <c r="C6" s="53"/>
      <c r="D6" s="55"/>
      <c r="E6" s="55"/>
      <c r="F6" s="57"/>
      <c r="G6" s="55"/>
      <c r="H6" s="60"/>
    </row>
    <row r="7" spans="1:10" ht="15.75" thickTop="1"/>
    <row r="8" spans="1:10">
      <c r="A8" s="1" t="s">
        <v>7</v>
      </c>
    </row>
    <row r="10" spans="1:10">
      <c r="A10" t="s">
        <v>48</v>
      </c>
    </row>
    <row r="11" spans="1:10">
      <c r="A11" s="2" t="s">
        <v>65</v>
      </c>
      <c r="B11" s="4">
        <f>C11+F11</f>
        <v>134.66666666666669</v>
      </c>
      <c r="C11" s="4">
        <f>D11+E11</f>
        <v>92.666666666666671</v>
      </c>
      <c r="D11" s="4">
        <v>18</v>
      </c>
      <c r="E11" s="4">
        <v>74.666666666666671</v>
      </c>
      <c r="F11" s="40">
        <f>G11+H11</f>
        <v>42</v>
      </c>
      <c r="G11" s="4">
        <v>42</v>
      </c>
      <c r="H11" s="4">
        <v>0</v>
      </c>
      <c r="I11" s="35"/>
      <c r="J11" s="35"/>
    </row>
    <row r="12" spans="1:10">
      <c r="A12" s="27" t="s">
        <v>49</v>
      </c>
      <c r="B12" s="4">
        <f>C12+F12</f>
        <v>95</v>
      </c>
      <c r="C12" s="4">
        <f>D12+E12</f>
        <v>95</v>
      </c>
      <c r="D12" s="4">
        <v>20</v>
      </c>
      <c r="E12" s="4">
        <v>75</v>
      </c>
      <c r="F12" s="40">
        <f>G12+H12</f>
        <v>0</v>
      </c>
      <c r="G12" s="4">
        <v>0</v>
      </c>
      <c r="H12" s="4">
        <v>0</v>
      </c>
      <c r="I12" s="35"/>
    </row>
    <row r="13" spans="1:10">
      <c r="A13" s="2" t="s">
        <v>100</v>
      </c>
      <c r="B13" s="4">
        <f t="shared" ref="B13:B15" si="0">C13+F13</f>
        <v>147</v>
      </c>
      <c r="C13" s="4">
        <f t="shared" ref="C13:C15" si="1">D13+E13</f>
        <v>87</v>
      </c>
      <c r="D13" s="3">
        <v>24</v>
      </c>
      <c r="E13" s="4">
        <v>63</v>
      </c>
      <c r="F13" s="40">
        <f>G13+H13</f>
        <v>60</v>
      </c>
      <c r="G13" s="4">
        <v>60</v>
      </c>
      <c r="H13" s="4">
        <v>0</v>
      </c>
      <c r="I13" s="35"/>
    </row>
    <row r="14" spans="1:10" ht="16.5" customHeight="1">
      <c r="A14" s="2" t="s">
        <v>101</v>
      </c>
      <c r="B14" s="4">
        <f>C14+F14</f>
        <v>228.66666666666666</v>
      </c>
      <c r="C14" s="4">
        <f t="shared" si="1"/>
        <v>160.66666666666666</v>
      </c>
      <c r="D14" s="3">
        <v>28</v>
      </c>
      <c r="E14" s="3">
        <v>132.66666666666666</v>
      </c>
      <c r="F14" s="40">
        <f>G14+H14</f>
        <v>68</v>
      </c>
      <c r="G14" s="4">
        <v>68</v>
      </c>
      <c r="H14" s="4">
        <v>0</v>
      </c>
      <c r="I14" s="35"/>
      <c r="J14" s="35"/>
    </row>
    <row r="15" spans="1:10">
      <c r="A15" s="27" t="s">
        <v>49</v>
      </c>
      <c r="B15" s="4">
        <f t="shared" si="0"/>
        <v>166</v>
      </c>
      <c r="C15" s="4">
        <f t="shared" si="1"/>
        <v>166</v>
      </c>
      <c r="D15" s="3">
        <v>33</v>
      </c>
      <c r="E15" s="41">
        <v>133</v>
      </c>
      <c r="F15" s="40">
        <f t="shared" ref="F15" si="2">SUM(G15:H15)</f>
        <v>0</v>
      </c>
      <c r="G15" s="4">
        <v>0</v>
      </c>
      <c r="H15" s="4">
        <v>0</v>
      </c>
    </row>
    <row r="16" spans="1:10">
      <c r="A16" s="2" t="s">
        <v>92</v>
      </c>
      <c r="B16" s="4">
        <f>C16+F16</f>
        <v>1952</v>
      </c>
      <c r="C16" s="4">
        <f>D16+E16</f>
        <v>348</v>
      </c>
      <c r="D16" s="4">
        <v>96</v>
      </c>
      <c r="E16" s="4">
        <v>252</v>
      </c>
      <c r="F16" s="40">
        <f>G16+H16</f>
        <v>1604</v>
      </c>
      <c r="G16" s="4">
        <v>1604</v>
      </c>
      <c r="H16" s="4">
        <v>0</v>
      </c>
      <c r="I16" s="35"/>
    </row>
    <row r="17" spans="1:14">
      <c r="F17" s="5"/>
    </row>
    <row r="18" spans="1:14">
      <c r="A18" s="6" t="s">
        <v>8</v>
      </c>
      <c r="F18" s="5"/>
    </row>
    <row r="19" spans="1:14">
      <c r="A19" s="2" t="s">
        <v>65</v>
      </c>
      <c r="B19" s="3">
        <f>C19+F19</f>
        <v>19184752.130000003</v>
      </c>
      <c r="C19" s="3">
        <f>D19+E19</f>
        <v>19184752.130000003</v>
      </c>
      <c r="D19" s="3">
        <v>17221422.130000003</v>
      </c>
      <c r="E19" s="4">
        <v>1963330</v>
      </c>
      <c r="F19" s="4">
        <f>SUM(G19:H19)</f>
        <v>0</v>
      </c>
      <c r="G19" s="4">
        <v>0</v>
      </c>
      <c r="H19" s="4">
        <v>0</v>
      </c>
    </row>
    <row r="20" spans="1:14">
      <c r="A20" s="2" t="s">
        <v>100</v>
      </c>
      <c r="B20" s="3">
        <f>C20+F20</f>
        <v>18372799.890000001</v>
      </c>
      <c r="C20" s="3">
        <f>D20+E20</f>
        <v>17899999.890000001</v>
      </c>
      <c r="D20" s="3">
        <v>15900000</v>
      </c>
      <c r="E20" s="3">
        <v>1999999.8900000001</v>
      </c>
      <c r="F20" s="34">
        <f>SUM(G20:H20)</f>
        <v>472800</v>
      </c>
      <c r="G20" s="31">
        <v>472800</v>
      </c>
      <c r="H20" s="3">
        <v>0</v>
      </c>
    </row>
    <row r="21" spans="1:14">
      <c r="A21" s="2" t="s">
        <v>101</v>
      </c>
      <c r="B21" s="3">
        <f>C21+F21</f>
        <v>23271579.370000001</v>
      </c>
      <c r="C21" s="3">
        <f>D21+E21</f>
        <v>19504409.370000001</v>
      </c>
      <c r="D21" s="3">
        <v>17514389.370000001</v>
      </c>
      <c r="E21" s="4">
        <v>1990020</v>
      </c>
      <c r="F21" s="32">
        <f>SUM(G21:H21)</f>
        <v>3767170</v>
      </c>
      <c r="G21" s="32">
        <v>3767170</v>
      </c>
      <c r="H21" s="4">
        <v>0</v>
      </c>
      <c r="J21" s="4"/>
    </row>
    <row r="22" spans="1:14">
      <c r="A22" s="2" t="s">
        <v>92</v>
      </c>
      <c r="B22" s="4">
        <f>C22+F22</f>
        <v>89715527.980000004</v>
      </c>
      <c r="C22" s="4">
        <f>D22+E22</f>
        <v>77715527.980000004</v>
      </c>
      <c r="D22" s="4">
        <v>69715528</v>
      </c>
      <c r="E22" s="4">
        <v>7999999.9799999995</v>
      </c>
      <c r="F22" s="32">
        <f>SUM(G22:H22)</f>
        <v>12000000</v>
      </c>
      <c r="G22" s="4">
        <v>12000000</v>
      </c>
      <c r="H22" s="4">
        <v>0</v>
      </c>
      <c r="I22" s="35"/>
    </row>
    <row r="23" spans="1:14">
      <c r="A23" s="2" t="s">
        <v>102</v>
      </c>
      <c r="B23" s="3">
        <f>+C23+F23</f>
        <v>23271579.370000001</v>
      </c>
      <c r="C23" s="3">
        <f>+D23+E23</f>
        <v>19504409.370000001</v>
      </c>
      <c r="D23" s="3">
        <f>D21</f>
        <v>17514389.370000001</v>
      </c>
      <c r="E23" s="3">
        <f>+E21</f>
        <v>1990020</v>
      </c>
      <c r="F23" s="3">
        <f>H23+G23</f>
        <v>3767170</v>
      </c>
      <c r="G23" s="3">
        <f>G21</f>
        <v>3767170</v>
      </c>
      <c r="H23" s="3">
        <f>H21</f>
        <v>0</v>
      </c>
    </row>
    <row r="24" spans="1:14">
      <c r="B24" s="3"/>
      <c r="C24" s="3"/>
      <c r="D24" s="3"/>
    </row>
    <row r="25" spans="1:14">
      <c r="A25" s="7" t="s">
        <v>9</v>
      </c>
      <c r="B25" s="8"/>
      <c r="C25" s="8"/>
      <c r="D25" s="8"/>
      <c r="E25" s="8"/>
      <c r="F25" s="8"/>
      <c r="G25" s="8"/>
      <c r="H25" s="8"/>
    </row>
    <row r="26" spans="1:14">
      <c r="A26" s="9" t="s">
        <v>100</v>
      </c>
      <c r="B26" s="8">
        <f>B20</f>
        <v>18372799.890000001</v>
      </c>
      <c r="C26" s="8">
        <f>C20</f>
        <v>17899999.890000001</v>
      </c>
      <c r="D26" s="8"/>
      <c r="E26" s="8"/>
      <c r="F26" s="8">
        <f>F20</f>
        <v>472800</v>
      </c>
      <c r="G26" s="8"/>
      <c r="H26" s="8"/>
      <c r="I26" s="35"/>
      <c r="J26" s="35"/>
      <c r="K26" s="35"/>
      <c r="L26" s="35"/>
      <c r="M26" s="35"/>
      <c r="N26" s="35"/>
    </row>
    <row r="27" spans="1:14">
      <c r="A27" s="9" t="s">
        <v>101</v>
      </c>
      <c r="B27" s="8">
        <f>SUM(C27+ F27)</f>
        <v>43058367</v>
      </c>
      <c r="C27" s="8">
        <v>41963867</v>
      </c>
      <c r="D27" s="8"/>
      <c r="E27" s="8"/>
      <c r="F27" s="8">
        <v>1094500</v>
      </c>
      <c r="G27" s="8"/>
      <c r="H27" s="8"/>
    </row>
    <row r="29" spans="1:14">
      <c r="A29" t="s">
        <v>10</v>
      </c>
    </row>
    <row r="30" spans="1:14">
      <c r="A30" s="10" t="s">
        <v>66</v>
      </c>
      <c r="B30" s="21">
        <v>1</v>
      </c>
      <c r="C30" s="21">
        <v>1</v>
      </c>
      <c r="D30" s="21">
        <v>1</v>
      </c>
      <c r="E30" s="21">
        <v>1</v>
      </c>
      <c r="F30" s="21">
        <v>1</v>
      </c>
      <c r="G30" s="21">
        <v>1</v>
      </c>
      <c r="H30" s="21">
        <v>1</v>
      </c>
    </row>
    <row r="31" spans="1:14">
      <c r="A31" s="10" t="s">
        <v>103</v>
      </c>
      <c r="B31" s="21">
        <v>0.99</v>
      </c>
      <c r="C31" s="21">
        <v>0.99</v>
      </c>
      <c r="D31" s="21">
        <v>0.99</v>
      </c>
      <c r="E31" s="21">
        <v>0.99</v>
      </c>
      <c r="F31" s="21">
        <v>0.99</v>
      </c>
      <c r="G31" s="21">
        <v>0.99</v>
      </c>
      <c r="H31" s="21">
        <v>0.99</v>
      </c>
    </row>
    <row r="32" spans="1:14">
      <c r="A32" s="36" t="s">
        <v>11</v>
      </c>
      <c r="B32" s="4"/>
      <c r="C32" s="37"/>
      <c r="D32" s="37"/>
      <c r="E32" s="37"/>
      <c r="F32" s="37"/>
      <c r="G32" s="37"/>
      <c r="H32" s="37"/>
    </row>
    <row r="34" spans="1:8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8">
      <c r="A35" s="12" t="s">
        <v>67</v>
      </c>
      <c r="B35" s="13">
        <f>B19/B30</f>
        <v>19184752.130000003</v>
      </c>
      <c r="C35" s="13">
        <f t="shared" ref="C35:H35" si="3">C19/C30</f>
        <v>19184752.130000003</v>
      </c>
      <c r="D35" s="13">
        <f>D19/D30</f>
        <v>17221422.130000003</v>
      </c>
      <c r="E35" s="13">
        <f t="shared" si="3"/>
        <v>1963330</v>
      </c>
      <c r="F35" s="13">
        <f t="shared" si="3"/>
        <v>0</v>
      </c>
      <c r="G35" s="13">
        <f t="shared" si="3"/>
        <v>0</v>
      </c>
      <c r="H35" s="13">
        <f t="shared" si="3"/>
        <v>0</v>
      </c>
    </row>
    <row r="36" spans="1:8">
      <c r="A36" s="12" t="s">
        <v>104</v>
      </c>
      <c r="B36" s="13">
        <f t="shared" ref="B36:F36" si="4">B21/B31</f>
        <v>23506645.828282829</v>
      </c>
      <c r="C36" s="13">
        <f t="shared" si="4"/>
        <v>19701423.606060605</v>
      </c>
      <c r="D36" s="13">
        <f t="shared" si="4"/>
        <v>17691302.393939395</v>
      </c>
      <c r="E36" s="13">
        <f t="shared" si="4"/>
        <v>2010121.2121212122</v>
      </c>
      <c r="F36" s="13">
        <f t="shared" si="4"/>
        <v>3805222.2222222225</v>
      </c>
      <c r="G36" s="13">
        <f>G21/G31</f>
        <v>3805222.2222222225</v>
      </c>
      <c r="H36" s="13">
        <f>H21/H31</f>
        <v>0</v>
      </c>
    </row>
    <row r="37" spans="1:8">
      <c r="A37" s="12" t="s">
        <v>68</v>
      </c>
      <c r="B37" s="13">
        <f t="shared" ref="B37:H37" si="5">B35/B11</f>
        <v>142461.03066831685</v>
      </c>
      <c r="C37" s="13">
        <f t="shared" si="5"/>
        <v>207029.69924460433</v>
      </c>
      <c r="D37" s="13">
        <f t="shared" si="5"/>
        <v>956745.67388888902</v>
      </c>
      <c r="E37" s="13">
        <f t="shared" si="5"/>
        <v>26294.598214285714</v>
      </c>
      <c r="F37" s="13">
        <f t="shared" si="5"/>
        <v>0</v>
      </c>
      <c r="G37" s="13">
        <f t="shared" si="5"/>
        <v>0</v>
      </c>
      <c r="H37" s="13" t="e">
        <f t="shared" si="5"/>
        <v>#DIV/0!</v>
      </c>
    </row>
    <row r="38" spans="1:8">
      <c r="A38" s="12" t="s">
        <v>105</v>
      </c>
      <c r="B38" s="13">
        <f t="shared" ref="B38:H38" si="6">B36/B14</f>
        <v>102798.74268928352</v>
      </c>
      <c r="C38" s="13">
        <f t="shared" si="6"/>
        <v>122622.96850245191</v>
      </c>
      <c r="D38" s="13">
        <f t="shared" si="6"/>
        <v>631832.22835497838</v>
      </c>
      <c r="E38" s="13">
        <f t="shared" si="6"/>
        <v>15151.667428049339</v>
      </c>
      <c r="F38" s="13">
        <f t="shared" si="6"/>
        <v>55959.150326797389</v>
      </c>
      <c r="G38" s="13">
        <f t="shared" si="6"/>
        <v>55959.150326797389</v>
      </c>
      <c r="H38" s="13" t="e">
        <f t="shared" si="6"/>
        <v>#DIV/0!</v>
      </c>
    </row>
    <row r="40" spans="1:8">
      <c r="A40" s="1" t="s">
        <v>13</v>
      </c>
    </row>
    <row r="42" spans="1:8">
      <c r="A42" t="s">
        <v>14</v>
      </c>
    </row>
    <row r="43" spans="1:8">
      <c r="A43" t="s">
        <v>15</v>
      </c>
      <c r="B43" s="14" t="s">
        <v>51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</row>
    <row r="44" spans="1:8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</row>
    <row r="46" spans="1:8">
      <c r="A46" t="s">
        <v>17</v>
      </c>
    </row>
    <row r="47" spans="1:8">
      <c r="A47" t="s">
        <v>18</v>
      </c>
      <c r="B47" s="16">
        <f>B14/B13*100</f>
        <v>155.55555555555557</v>
      </c>
      <c r="C47" s="16">
        <f t="shared" ref="C47:H47" si="7">C14/C13*100</f>
        <v>184.67432950191568</v>
      </c>
      <c r="D47" s="16">
        <f t="shared" si="7"/>
        <v>116.66666666666667</v>
      </c>
      <c r="E47" s="16">
        <f t="shared" si="7"/>
        <v>210.58201058201055</v>
      </c>
      <c r="F47" s="16">
        <f t="shared" si="7"/>
        <v>113.33333333333333</v>
      </c>
      <c r="G47" s="16">
        <f t="shared" si="7"/>
        <v>113.33333333333333</v>
      </c>
      <c r="H47" s="16" t="e">
        <f t="shared" si="7"/>
        <v>#DIV/0!</v>
      </c>
    </row>
    <row r="48" spans="1:8">
      <c r="A48" t="s">
        <v>19</v>
      </c>
      <c r="B48" s="14">
        <f>B21/B20*100</f>
        <v>126.66321687129636</v>
      </c>
      <c r="C48" s="14">
        <f t="shared" ref="C48:F48" si="8">C21/C20*100</f>
        <v>108.96318150759497</v>
      </c>
      <c r="D48" s="14">
        <f t="shared" si="8"/>
        <v>110.15339226415095</v>
      </c>
      <c r="E48" s="14">
        <f t="shared" si="8"/>
        <v>99.501005472555292</v>
      </c>
      <c r="F48" s="14">
        <f t="shared" si="8"/>
        <v>796.77876480541454</v>
      </c>
      <c r="G48" s="14">
        <f>G21/G20*100</f>
        <v>796.77876480541454</v>
      </c>
      <c r="H48" s="14" t="e">
        <f>H21/H20*100</f>
        <v>#DIV/0!</v>
      </c>
    </row>
    <row r="49" spans="1:8">
      <c r="A49" s="12" t="s">
        <v>20</v>
      </c>
      <c r="B49" s="15">
        <f t="shared" ref="B49:H49" si="9">AVERAGE(B47:B48)</f>
        <v>141.10938621342598</v>
      </c>
      <c r="C49" s="15">
        <f t="shared" si="9"/>
        <v>146.81875550475533</v>
      </c>
      <c r="D49" s="15">
        <f t="shared" si="9"/>
        <v>113.41002946540881</v>
      </c>
      <c r="E49" s="15">
        <f t="shared" si="9"/>
        <v>155.04150802728293</v>
      </c>
      <c r="F49" s="15">
        <f t="shared" si="9"/>
        <v>455.05604906937396</v>
      </c>
      <c r="G49" s="15">
        <f t="shared" si="9"/>
        <v>455.05604906937396</v>
      </c>
      <c r="H49" s="15" t="e">
        <f t="shared" si="9"/>
        <v>#DIV/0!</v>
      </c>
    </row>
    <row r="50" spans="1:8">
      <c r="B50" s="14"/>
      <c r="C50" s="14"/>
      <c r="D50" s="14"/>
      <c r="E50" s="14"/>
      <c r="F50" s="14"/>
      <c r="G50" s="14"/>
      <c r="H50" s="14"/>
    </row>
    <row r="51" spans="1:8">
      <c r="A51" t="s">
        <v>21</v>
      </c>
    </row>
    <row r="52" spans="1:8">
      <c r="A52" t="s">
        <v>22</v>
      </c>
      <c r="B52" s="14">
        <f>(B14/B16)*100</f>
        <v>11.714480874316939</v>
      </c>
      <c r="C52" s="14">
        <f t="shared" ref="C52:H52" si="10">(C14/C16)*100</f>
        <v>46.16858237547892</v>
      </c>
      <c r="D52" s="14">
        <f t="shared" si="10"/>
        <v>29.166666666666668</v>
      </c>
      <c r="E52" s="14">
        <f t="shared" si="10"/>
        <v>52.645502645502638</v>
      </c>
      <c r="F52" s="14">
        <f t="shared" si="10"/>
        <v>4.2394014962593518</v>
      </c>
      <c r="G52" s="14">
        <f t="shared" si="10"/>
        <v>4.2394014962593518</v>
      </c>
      <c r="H52" s="14" t="e">
        <f t="shared" si="10"/>
        <v>#DIV/0!</v>
      </c>
    </row>
    <row r="53" spans="1:8">
      <c r="A53" t="s">
        <v>23</v>
      </c>
      <c r="B53" s="14">
        <f>B21/B22*100</f>
        <v>25.939299354274393</v>
      </c>
      <c r="C53" s="14">
        <f t="shared" ref="C53:F53" si="11">C21/C22*100</f>
        <v>25.097184406981622</v>
      </c>
      <c r="D53" s="14">
        <f t="shared" si="11"/>
        <v>25.122651828728888</v>
      </c>
      <c r="E53" s="14">
        <f t="shared" si="11"/>
        <v>24.875250062188126</v>
      </c>
      <c r="F53" s="14">
        <f t="shared" si="11"/>
        <v>31.393083333333333</v>
      </c>
      <c r="G53" s="14">
        <f>G21/G22*100</f>
        <v>31.393083333333333</v>
      </c>
      <c r="H53" s="14" t="e">
        <f>H21/H22*100</f>
        <v>#DIV/0!</v>
      </c>
    </row>
    <row r="54" spans="1:8">
      <c r="A54" t="s">
        <v>24</v>
      </c>
      <c r="B54" s="14">
        <f t="shared" ref="B54:H54" si="12">(B52+B53)/2</f>
        <v>18.826890114295665</v>
      </c>
      <c r="C54" s="14">
        <f t="shared" si="12"/>
        <v>35.632883391230273</v>
      </c>
      <c r="D54" s="14">
        <f t="shared" si="12"/>
        <v>27.144659247697778</v>
      </c>
      <c r="E54" s="14">
        <f t="shared" si="12"/>
        <v>38.76037635384538</v>
      </c>
      <c r="F54" s="14">
        <f t="shared" si="12"/>
        <v>17.816242414796342</v>
      </c>
      <c r="G54" s="14">
        <f t="shared" si="12"/>
        <v>17.816242414796342</v>
      </c>
      <c r="H54" s="14" t="e">
        <f t="shared" si="12"/>
        <v>#DIV/0!</v>
      </c>
    </row>
    <row r="56" spans="1:8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8">
      <c r="A57" t="s">
        <v>25</v>
      </c>
      <c r="B57" s="14">
        <f t="shared" ref="B57:F57" si="13">B23/B21*100</f>
        <v>100</v>
      </c>
      <c r="C57" s="14">
        <f t="shared" si="13"/>
        <v>100</v>
      </c>
      <c r="D57" s="14"/>
      <c r="E57" s="14"/>
      <c r="F57" s="14">
        <f t="shared" si="13"/>
        <v>100</v>
      </c>
      <c r="G57" s="14"/>
      <c r="H57" s="14"/>
    </row>
    <row r="59" spans="1:8">
      <c r="A59" t="s">
        <v>26</v>
      </c>
    </row>
    <row r="60" spans="1:8">
      <c r="A60" t="s">
        <v>27</v>
      </c>
      <c r="B60" s="14">
        <f>((B14/B11)-1)*100</f>
        <v>69.801980198019777</v>
      </c>
      <c r="C60" s="14">
        <f t="shared" ref="C60:H60" si="14">((C14/C11)-1)*100</f>
        <v>73.381294964028768</v>
      </c>
      <c r="D60" s="14">
        <f t="shared" si="14"/>
        <v>55.555555555555557</v>
      </c>
      <c r="E60" s="14">
        <f t="shared" si="14"/>
        <v>77.678571428571402</v>
      </c>
      <c r="F60" s="14">
        <f t="shared" si="14"/>
        <v>61.904761904761905</v>
      </c>
      <c r="G60" s="14">
        <f t="shared" si="14"/>
        <v>61.904761904761905</v>
      </c>
      <c r="H60" s="14" t="e">
        <f t="shared" si="14"/>
        <v>#DIV/0!</v>
      </c>
    </row>
    <row r="61" spans="1:8">
      <c r="A61" t="s">
        <v>28</v>
      </c>
      <c r="B61" s="14">
        <f>((B36/B35)-1)*100</f>
        <v>22.527753650382067</v>
      </c>
      <c r="C61" s="14">
        <f>((C36/C35)-1)*100</f>
        <v>2.6931360517953307</v>
      </c>
      <c r="D61" s="14">
        <f t="shared" ref="D61:H61" si="15">((D36/D35)-1)*100</f>
        <v>2.7284637725757399</v>
      </c>
      <c r="E61" s="14">
        <f t="shared" si="15"/>
        <v>2.3832576347945666</v>
      </c>
      <c r="F61" s="14" t="e">
        <f t="shared" si="15"/>
        <v>#DIV/0!</v>
      </c>
      <c r="G61" s="14" t="e">
        <f t="shared" si="15"/>
        <v>#DIV/0!</v>
      </c>
      <c r="H61" s="14" t="e">
        <f t="shared" si="15"/>
        <v>#DIV/0!</v>
      </c>
    </row>
    <row r="62" spans="1:8">
      <c r="A62" s="12" t="s">
        <v>29</v>
      </c>
      <c r="B62" s="15">
        <f t="shared" ref="B62:H62" si="16">((B38/B37)-1)*100</f>
        <v>-27.840798141757496</v>
      </c>
      <c r="C62" s="15">
        <f t="shared" si="16"/>
        <v>-40.770348916184432</v>
      </c>
      <c r="D62" s="15">
        <f t="shared" si="16"/>
        <v>-33.960273289058449</v>
      </c>
      <c r="E62" s="15">
        <f t="shared" si="16"/>
        <v>-42.377262034688478</v>
      </c>
      <c r="F62" s="15" t="e">
        <f t="shared" si="16"/>
        <v>#DIV/0!</v>
      </c>
      <c r="G62" s="15" t="e">
        <f t="shared" si="16"/>
        <v>#DIV/0!</v>
      </c>
      <c r="H62" s="15" t="e">
        <f t="shared" si="16"/>
        <v>#DIV/0!</v>
      </c>
    </row>
    <row r="63" spans="1:8">
      <c r="B63" s="16"/>
      <c r="C63" s="16"/>
      <c r="D63" s="16"/>
      <c r="E63" s="16"/>
      <c r="F63" s="16"/>
      <c r="G63" s="16"/>
      <c r="H63" s="16"/>
    </row>
    <row r="64" spans="1:8">
      <c r="A64" t="s">
        <v>30</v>
      </c>
    </row>
    <row r="65" spans="1:9">
      <c r="A65" t="s">
        <v>38</v>
      </c>
      <c r="B65" s="3">
        <f>B20/B13</f>
        <v>124985.03326530612</v>
      </c>
      <c r="C65" s="3">
        <f t="shared" ref="C65:H65" si="17">C20/C13</f>
        <v>205747.1251724138</v>
      </c>
      <c r="D65" s="3">
        <f t="shared" si="17"/>
        <v>662500</v>
      </c>
      <c r="E65" s="3">
        <f t="shared" si="17"/>
        <v>31746.030000000002</v>
      </c>
      <c r="F65" s="3">
        <f t="shared" si="17"/>
        <v>7880</v>
      </c>
      <c r="G65" s="3">
        <f t="shared" si="17"/>
        <v>7880</v>
      </c>
      <c r="H65" s="3" t="e">
        <f t="shared" si="17"/>
        <v>#DIV/0!</v>
      </c>
    </row>
    <row r="66" spans="1:9">
      <c r="A66" t="s">
        <v>39</v>
      </c>
      <c r="B66" s="3">
        <f>B21/B14</f>
        <v>101770.75526239068</v>
      </c>
      <c r="C66" s="3">
        <f t="shared" ref="C66:H66" si="18">C21/C14</f>
        <v>121396.73881742739</v>
      </c>
      <c r="D66" s="3">
        <f t="shared" si="18"/>
        <v>625513.90607142856</v>
      </c>
      <c r="E66" s="3">
        <f t="shared" si="18"/>
        <v>15000.150753768845</v>
      </c>
      <c r="F66" s="3">
        <f t="shared" si="18"/>
        <v>55399.558823529413</v>
      </c>
      <c r="G66" s="3">
        <f t="shared" si="18"/>
        <v>55399.558823529413</v>
      </c>
      <c r="H66" s="3" t="e">
        <f t="shared" si="18"/>
        <v>#DIV/0!</v>
      </c>
    </row>
    <row r="67" spans="1:9">
      <c r="A67" s="12" t="s">
        <v>31</v>
      </c>
      <c r="B67" s="15">
        <f>(B66/B65)*B49</f>
        <v>114.90022792624303</v>
      </c>
      <c r="C67" s="15">
        <f t="shared" ref="C67:H67" si="19">(C66/C65)*C49</f>
        <v>86.627300870302676</v>
      </c>
      <c r="D67" s="15">
        <f t="shared" si="19"/>
        <v>107.07856682050365</v>
      </c>
      <c r="E67" s="15">
        <f t="shared" si="19"/>
        <v>73.257852824460457</v>
      </c>
      <c r="F67" s="15">
        <f t="shared" si="19"/>
        <v>3199.2264414240699</v>
      </c>
      <c r="G67" s="15">
        <f t="shared" si="19"/>
        <v>3199.2264414240699</v>
      </c>
      <c r="H67" s="15" t="e">
        <f t="shared" si="19"/>
        <v>#DIV/0!</v>
      </c>
    </row>
    <row r="68" spans="1:9">
      <c r="A68" t="s">
        <v>40</v>
      </c>
      <c r="B68" s="25">
        <f>B20/(B13*3)</f>
        <v>41661.677755102042</v>
      </c>
      <c r="C68" s="25">
        <f t="shared" ref="C68:H68" si="20">C20/(C13*3)</f>
        <v>68582.375057471261</v>
      </c>
      <c r="D68" s="25">
        <f t="shared" si="20"/>
        <v>220833.33333333334</v>
      </c>
      <c r="E68" s="25">
        <f t="shared" si="20"/>
        <v>10582.01</v>
      </c>
      <c r="F68" s="25">
        <f t="shared" si="20"/>
        <v>2626.6666666666665</v>
      </c>
      <c r="G68" s="25">
        <f t="shared" si="20"/>
        <v>2626.6666666666665</v>
      </c>
      <c r="H68" s="25" t="e">
        <f t="shared" si="20"/>
        <v>#DIV/0!</v>
      </c>
    </row>
    <row r="69" spans="1:9">
      <c r="A69" t="s">
        <v>41</v>
      </c>
      <c r="B69" s="25">
        <f>B21/(B14*3)</f>
        <v>33923.585087463558</v>
      </c>
      <c r="C69" s="25">
        <f t="shared" ref="C69:H69" si="21">C21/(C14*3)</f>
        <v>40465.579605809129</v>
      </c>
      <c r="D69" s="25">
        <f t="shared" si="21"/>
        <v>208504.63535714286</v>
      </c>
      <c r="E69" s="25">
        <f t="shared" si="21"/>
        <v>5000.0502512562816</v>
      </c>
      <c r="F69" s="25">
        <f t="shared" si="21"/>
        <v>18466.519607843136</v>
      </c>
      <c r="G69" s="25">
        <f t="shared" si="21"/>
        <v>18466.519607843136</v>
      </c>
      <c r="H69" s="25" t="e">
        <f t="shared" si="21"/>
        <v>#DIV/0!</v>
      </c>
    </row>
    <row r="70" spans="1:9">
      <c r="B70" s="25"/>
      <c r="C70" s="25"/>
      <c r="D70" s="25"/>
      <c r="E70" s="25"/>
      <c r="F70" s="25"/>
      <c r="G70" s="25"/>
      <c r="H70" s="25"/>
    </row>
    <row r="71" spans="1:9">
      <c r="A71" t="s">
        <v>32</v>
      </c>
      <c r="B71" s="14"/>
      <c r="C71" s="14"/>
      <c r="D71" s="14"/>
    </row>
    <row r="72" spans="1:9">
      <c r="A72" s="17" t="s">
        <v>33</v>
      </c>
      <c r="B72" s="18">
        <f>(B27/B26)*100</f>
        <v>234.35930972848581</v>
      </c>
      <c r="C72" s="18">
        <f>(C27/C26)*100</f>
        <v>234.43501261384645</v>
      </c>
      <c r="D72" s="18"/>
      <c r="E72" s="18"/>
      <c r="F72" s="18">
        <f>(F27/F26)*100</f>
        <v>231.4932318104907</v>
      </c>
      <c r="G72" s="18"/>
      <c r="H72" s="18"/>
      <c r="I72" s="35"/>
    </row>
    <row r="73" spans="1:9">
      <c r="A73" s="17" t="s">
        <v>34</v>
      </c>
      <c r="B73" s="18">
        <f>(B21/B27)*100</f>
        <v>54.046590689331062</v>
      </c>
      <c r="C73" s="18">
        <f>(C21/C27)*100</f>
        <v>46.479056303366896</v>
      </c>
      <c r="D73" s="18"/>
      <c r="E73" s="18"/>
      <c r="F73" s="18">
        <f>(F21/F27)*100</f>
        <v>344.19095477386935</v>
      </c>
      <c r="G73" s="18"/>
      <c r="H73" s="18"/>
      <c r="I73" s="35"/>
    </row>
    <row r="74" spans="1:9" ht="15.75" thickBot="1">
      <c r="A74" s="19"/>
      <c r="B74" s="19"/>
      <c r="C74" s="19"/>
      <c r="D74" s="19"/>
      <c r="E74" s="19"/>
      <c r="F74" s="19"/>
      <c r="G74" s="19"/>
      <c r="H74" s="19"/>
    </row>
    <row r="75" spans="1:9" ht="15.75" thickTop="1">
      <c r="A75" s="22" t="s">
        <v>36</v>
      </c>
    </row>
    <row r="76" spans="1:9">
      <c r="A76" s="22" t="s">
        <v>97</v>
      </c>
    </row>
    <row r="77" spans="1:9">
      <c r="A77" s="22" t="s">
        <v>98</v>
      </c>
    </row>
    <row r="78" spans="1:9">
      <c r="A78" s="22" t="s">
        <v>57</v>
      </c>
      <c r="B78" s="20"/>
      <c r="C78" s="20"/>
      <c r="D78" s="20"/>
    </row>
    <row r="79" spans="1:9">
      <c r="A79" s="22"/>
    </row>
    <row r="80" spans="1:9">
      <c r="A80" s="22"/>
    </row>
    <row r="82" spans="1:1">
      <c r="A82" t="s">
        <v>37</v>
      </c>
    </row>
    <row r="84" spans="1:1">
      <c r="A84" t="s">
        <v>52</v>
      </c>
    </row>
    <row r="85" spans="1:1">
      <c r="A85" t="s">
        <v>53</v>
      </c>
    </row>
    <row r="88" spans="1:1">
      <c r="A88" s="39" t="s">
        <v>142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89"/>
  <sheetViews>
    <sheetView topLeftCell="A59" zoomScale="80" zoomScaleNormal="80" workbookViewId="0">
      <selection activeCell="E67" sqref="E67"/>
    </sheetView>
  </sheetViews>
  <sheetFormatPr baseColWidth="10" defaultColWidth="11.42578125" defaultRowHeight="15"/>
  <cols>
    <col min="1" max="1" width="50.85546875" customWidth="1"/>
    <col min="2" max="7" width="13.7109375" customWidth="1"/>
    <col min="8" max="8" width="15.42578125" customWidth="1"/>
  </cols>
  <sheetData>
    <row r="2" spans="1:9" ht="15.75">
      <c r="A2" s="42" t="s">
        <v>106</v>
      </c>
      <c r="B2" s="42"/>
      <c r="C2" s="42"/>
      <c r="D2" s="42"/>
      <c r="E2" s="42"/>
      <c r="F2" s="42"/>
      <c r="G2" s="42"/>
      <c r="H2" s="42"/>
    </row>
    <row r="4" spans="1:9" ht="20.100000000000001" customHeight="1">
      <c r="A4" s="43" t="s">
        <v>0</v>
      </c>
      <c r="B4" s="46" t="s">
        <v>1</v>
      </c>
      <c r="C4" s="49" t="s">
        <v>2</v>
      </c>
      <c r="D4" s="50"/>
      <c r="E4" s="51"/>
      <c r="F4" s="49" t="s">
        <v>3</v>
      </c>
      <c r="G4" s="50"/>
      <c r="H4" s="51"/>
    </row>
    <row r="5" spans="1:9" ht="20.100000000000001" customHeight="1">
      <c r="A5" s="44"/>
      <c r="B5" s="47"/>
      <c r="C5" s="52" t="s">
        <v>4</v>
      </c>
      <c r="D5" s="58" t="s">
        <v>5</v>
      </c>
      <c r="E5" s="54" t="s">
        <v>60</v>
      </c>
      <c r="F5" s="56" t="s">
        <v>4</v>
      </c>
      <c r="G5" s="58" t="s">
        <v>54</v>
      </c>
      <c r="H5" s="59" t="s">
        <v>6</v>
      </c>
    </row>
    <row r="6" spans="1:9" ht="15.75" thickBot="1">
      <c r="A6" s="45"/>
      <c r="B6" s="48"/>
      <c r="C6" s="53"/>
      <c r="D6" s="55"/>
      <c r="E6" s="55"/>
      <c r="F6" s="57"/>
      <c r="G6" s="55"/>
      <c r="H6" s="60"/>
    </row>
    <row r="7" spans="1:9" ht="15.75" thickTop="1"/>
    <row r="8" spans="1:9">
      <c r="A8" s="1" t="s">
        <v>7</v>
      </c>
    </row>
    <row r="10" spans="1:9">
      <c r="A10" t="s">
        <v>48</v>
      </c>
    </row>
    <row r="11" spans="1:9">
      <c r="A11" s="2" t="s">
        <v>69</v>
      </c>
      <c r="B11" s="4">
        <f t="shared" ref="B11:B12" si="0">C11+F11</f>
        <v>1178.6666666666667</v>
      </c>
      <c r="C11" s="4">
        <f t="shared" ref="C11:C12" si="1">D11+E11</f>
        <v>122.66666666666667</v>
      </c>
      <c r="D11">
        <v>22</v>
      </c>
      <c r="E11" s="4">
        <v>100.66666666666667</v>
      </c>
      <c r="F11" s="4">
        <f t="shared" ref="F11:F12" si="2">SUM(G11:H11)</f>
        <v>1056</v>
      </c>
      <c r="G11" s="4">
        <v>1056</v>
      </c>
      <c r="H11" s="5">
        <v>0</v>
      </c>
    </row>
    <row r="12" spans="1:9">
      <c r="A12" s="27" t="s">
        <v>49</v>
      </c>
      <c r="B12" s="4">
        <f t="shared" si="0"/>
        <v>136</v>
      </c>
      <c r="C12" s="4">
        <f t="shared" si="1"/>
        <v>136</v>
      </c>
      <c r="D12">
        <v>35</v>
      </c>
      <c r="E12">
        <v>101</v>
      </c>
      <c r="F12" s="4">
        <f t="shared" si="2"/>
        <v>0</v>
      </c>
      <c r="G12" s="4">
        <v>0</v>
      </c>
      <c r="H12" s="5">
        <v>0</v>
      </c>
    </row>
    <row r="13" spans="1:9" ht="15.75" customHeight="1">
      <c r="A13" s="2" t="s">
        <v>107</v>
      </c>
      <c r="B13" s="4">
        <f t="shared" ref="B13" si="3">C13+F13</f>
        <v>1061</v>
      </c>
      <c r="C13" s="4">
        <f t="shared" ref="C13:C16" si="4">D13+E13</f>
        <v>87</v>
      </c>
      <c r="D13">
        <v>24</v>
      </c>
      <c r="E13" s="5">
        <v>63</v>
      </c>
      <c r="F13" s="4">
        <f>SUM(G13:H13)</f>
        <v>974</v>
      </c>
      <c r="G13" s="5">
        <v>974</v>
      </c>
      <c r="H13" s="5">
        <v>0</v>
      </c>
      <c r="I13" s="35"/>
    </row>
    <row r="14" spans="1:9">
      <c r="A14" s="2" t="s">
        <v>108</v>
      </c>
      <c r="B14" s="4">
        <f>C14+F14</f>
        <v>868</v>
      </c>
      <c r="C14" s="4">
        <f t="shared" si="4"/>
        <v>144</v>
      </c>
      <c r="D14">
        <v>19</v>
      </c>
      <c r="E14" s="3">
        <v>125</v>
      </c>
      <c r="F14" s="4">
        <f>SUM(G14:H14)</f>
        <v>724</v>
      </c>
      <c r="G14" s="4">
        <v>724</v>
      </c>
      <c r="H14" s="4">
        <v>0</v>
      </c>
    </row>
    <row r="15" spans="1:9">
      <c r="A15" s="27" t="s">
        <v>49</v>
      </c>
      <c r="B15" s="4">
        <f>+C15+F15</f>
        <v>147</v>
      </c>
      <c r="C15" s="4">
        <f t="shared" si="4"/>
        <v>147</v>
      </c>
      <c r="D15">
        <v>22</v>
      </c>
      <c r="E15" s="5">
        <v>125</v>
      </c>
      <c r="F15" s="4">
        <f>SUM(G15:H15)</f>
        <v>0</v>
      </c>
      <c r="G15" s="4">
        <v>0</v>
      </c>
      <c r="H15" s="4">
        <v>0</v>
      </c>
    </row>
    <row r="16" spans="1:9">
      <c r="A16" s="2" t="s">
        <v>92</v>
      </c>
      <c r="B16" s="4">
        <f>+C16+F16</f>
        <v>1952</v>
      </c>
      <c r="C16" s="4">
        <f t="shared" si="4"/>
        <v>348</v>
      </c>
      <c r="D16" s="5">
        <v>96</v>
      </c>
      <c r="E16" s="5">
        <v>252</v>
      </c>
      <c r="F16" s="4">
        <f>SUM(G16:H16)</f>
        <v>1604</v>
      </c>
      <c r="G16" s="5">
        <v>1604</v>
      </c>
      <c r="H16" s="5">
        <v>0</v>
      </c>
      <c r="I16" s="35"/>
    </row>
    <row r="17" spans="1:10">
      <c r="F17" s="5"/>
    </row>
    <row r="18" spans="1:10">
      <c r="A18" s="6" t="s">
        <v>8</v>
      </c>
      <c r="F18" s="5"/>
    </row>
    <row r="19" spans="1:10">
      <c r="A19" s="2" t="s">
        <v>69</v>
      </c>
      <c r="B19" s="3">
        <f>C19+F19</f>
        <v>17907490.780000001</v>
      </c>
      <c r="C19" s="3">
        <f>D19+E19</f>
        <v>13558915.780000001</v>
      </c>
      <c r="D19" s="3">
        <v>12071180.780000001</v>
      </c>
      <c r="E19" s="4">
        <v>1487735</v>
      </c>
      <c r="F19" s="23">
        <f>SUM(G19:H19)</f>
        <v>4348575</v>
      </c>
      <c r="G19" s="4">
        <v>4348575</v>
      </c>
      <c r="H19" s="4">
        <v>0</v>
      </c>
    </row>
    <row r="20" spans="1:10">
      <c r="A20" s="2" t="s">
        <v>107</v>
      </c>
      <c r="B20" s="3">
        <f>C20+F20</f>
        <v>22354199.890000001</v>
      </c>
      <c r="C20" s="3">
        <f>D20+E20</f>
        <v>14674999.890000001</v>
      </c>
      <c r="D20" s="3">
        <v>12675000</v>
      </c>
      <c r="E20" s="3">
        <v>1999999.8900000001</v>
      </c>
      <c r="F20" s="23">
        <f t="shared" ref="F20" si="5">SUM(G20:H20)</f>
        <v>7679200</v>
      </c>
      <c r="G20" s="3">
        <v>7679200</v>
      </c>
      <c r="H20" s="3">
        <v>0</v>
      </c>
    </row>
    <row r="21" spans="1:10">
      <c r="A21" s="2" t="s">
        <v>108</v>
      </c>
      <c r="B21" s="3">
        <f>C21+F21</f>
        <v>19178248.059999999</v>
      </c>
      <c r="C21" s="3">
        <f>D21+E21</f>
        <v>19178248.059999999</v>
      </c>
      <c r="D21" s="3">
        <v>16730378.059999999</v>
      </c>
      <c r="E21" s="4">
        <v>2447870</v>
      </c>
      <c r="F21" s="23">
        <f>SUM(G21:H21)</f>
        <v>0</v>
      </c>
      <c r="G21" s="4">
        <v>0</v>
      </c>
      <c r="H21" s="4">
        <v>0</v>
      </c>
      <c r="J21" s="4"/>
    </row>
    <row r="22" spans="1:10">
      <c r="A22" s="2" t="s">
        <v>92</v>
      </c>
      <c r="B22" s="4">
        <f>C22+F22</f>
        <v>89715527.980000004</v>
      </c>
      <c r="C22" s="4">
        <f>D22+E22</f>
        <v>77715527.980000004</v>
      </c>
      <c r="D22" s="4">
        <v>69715528</v>
      </c>
      <c r="E22" s="4">
        <v>7999999.9799999995</v>
      </c>
      <c r="F22" s="23">
        <f>SUM(G22:H22)</f>
        <v>12000000</v>
      </c>
      <c r="G22" s="4">
        <v>12000000</v>
      </c>
      <c r="H22" s="4">
        <v>0</v>
      </c>
      <c r="I22" s="35"/>
    </row>
    <row r="23" spans="1:10">
      <c r="A23" s="2" t="s">
        <v>109</v>
      </c>
      <c r="B23" s="3">
        <f>+C23+F23</f>
        <v>19178248.059999999</v>
      </c>
      <c r="C23" s="3">
        <f>+D23+E23</f>
        <v>19178248.059999999</v>
      </c>
      <c r="D23" s="3">
        <f>D21</f>
        <v>16730378.059999999</v>
      </c>
      <c r="E23" s="3">
        <f>+E21</f>
        <v>2447870</v>
      </c>
      <c r="F23" s="3">
        <f>H23+G23</f>
        <v>0</v>
      </c>
      <c r="G23" s="3">
        <f>G21</f>
        <v>0</v>
      </c>
      <c r="H23" s="3">
        <f>H21</f>
        <v>0</v>
      </c>
    </row>
    <row r="24" spans="1:10">
      <c r="B24" s="3"/>
      <c r="C24" s="3"/>
      <c r="D24" s="3"/>
    </row>
    <row r="25" spans="1:10">
      <c r="A25" s="7" t="s">
        <v>9</v>
      </c>
      <c r="B25" s="8"/>
      <c r="C25" s="8"/>
      <c r="D25" s="8"/>
      <c r="E25" s="8"/>
      <c r="F25" s="8"/>
      <c r="G25" s="8"/>
      <c r="H25" s="8"/>
    </row>
    <row r="26" spans="1:10">
      <c r="A26" s="9" t="s">
        <v>107</v>
      </c>
      <c r="B26" s="8">
        <f>B20</f>
        <v>22354199.890000001</v>
      </c>
      <c r="C26" s="8">
        <f>C20</f>
        <v>14674999.890000001</v>
      </c>
      <c r="D26" s="8"/>
      <c r="E26" s="8"/>
      <c r="F26" s="8">
        <f>F20</f>
        <v>7679200</v>
      </c>
      <c r="G26" s="8"/>
      <c r="H26" s="8"/>
      <c r="I26" s="35"/>
    </row>
    <row r="27" spans="1:10">
      <c r="A27" s="9" t="s">
        <v>108</v>
      </c>
      <c r="B27" s="8">
        <f>+C27+F27</f>
        <v>18448896.43</v>
      </c>
      <c r="C27" s="8">
        <v>11655226.43</v>
      </c>
      <c r="D27" s="8"/>
      <c r="E27" s="8"/>
      <c r="F27" s="8">
        <v>6793670</v>
      </c>
      <c r="G27" s="8"/>
      <c r="H27" s="8"/>
    </row>
    <row r="29" spans="1:10">
      <c r="A29" t="s">
        <v>10</v>
      </c>
    </row>
    <row r="30" spans="1:10">
      <c r="A30" s="10" t="s">
        <v>70</v>
      </c>
      <c r="B30" s="21">
        <v>0.99</v>
      </c>
      <c r="C30" s="21">
        <v>0.99</v>
      </c>
      <c r="D30" s="21">
        <v>0.99</v>
      </c>
      <c r="E30" s="21">
        <v>0.99</v>
      </c>
      <c r="F30" s="21">
        <v>0.99</v>
      </c>
      <c r="G30" s="21">
        <v>0.99</v>
      </c>
      <c r="H30" s="21">
        <v>0.99</v>
      </c>
      <c r="I30" s="35"/>
      <c r="J30" s="35"/>
    </row>
    <row r="31" spans="1:10">
      <c r="A31" s="10" t="s">
        <v>110</v>
      </c>
      <c r="B31" s="21">
        <v>0.99</v>
      </c>
      <c r="C31" s="21">
        <v>0.99</v>
      </c>
      <c r="D31" s="21">
        <v>0.99</v>
      </c>
      <c r="E31" s="21">
        <v>0.99</v>
      </c>
      <c r="F31" s="21">
        <v>0.99</v>
      </c>
      <c r="G31" s="21">
        <v>0.99</v>
      </c>
      <c r="H31" s="21">
        <v>0.99</v>
      </c>
    </row>
    <row r="32" spans="1:10">
      <c r="A32" s="36" t="s">
        <v>11</v>
      </c>
      <c r="B32" s="4"/>
      <c r="C32" s="37"/>
      <c r="D32" s="37"/>
      <c r="E32" s="37"/>
      <c r="F32" s="37"/>
      <c r="G32" s="37"/>
      <c r="H32" s="37"/>
    </row>
    <row r="34" spans="1:9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9">
      <c r="A35" s="12" t="s">
        <v>71</v>
      </c>
      <c r="B35" s="13">
        <f>B19/B30</f>
        <v>18088374.525252525</v>
      </c>
      <c r="C35" s="13">
        <f t="shared" ref="C35:H35" si="6">C19/C30</f>
        <v>13695874.525252527</v>
      </c>
      <c r="D35" s="13">
        <f>D19/D30</f>
        <v>12193111.898989901</v>
      </c>
      <c r="E35" s="13">
        <f t="shared" si="6"/>
        <v>1502762.6262626264</v>
      </c>
      <c r="F35" s="13">
        <f t="shared" si="6"/>
        <v>4392500</v>
      </c>
      <c r="G35" s="13">
        <f t="shared" si="6"/>
        <v>4392500</v>
      </c>
      <c r="H35" s="13">
        <f t="shared" si="6"/>
        <v>0</v>
      </c>
    </row>
    <row r="36" spans="1:9">
      <c r="A36" s="12" t="s">
        <v>111</v>
      </c>
      <c r="B36" s="13">
        <f t="shared" ref="B36:F36" si="7">B21/B31</f>
        <v>19371967.737373736</v>
      </c>
      <c r="C36" s="13">
        <f t="shared" si="7"/>
        <v>19371967.737373736</v>
      </c>
      <c r="D36" s="13">
        <f t="shared" si="7"/>
        <v>16899371.777777776</v>
      </c>
      <c r="E36" s="13">
        <f>E21/E31</f>
        <v>2472595.9595959596</v>
      </c>
      <c r="F36" s="13">
        <f t="shared" si="7"/>
        <v>0</v>
      </c>
      <c r="G36" s="13">
        <f>G21/G31</f>
        <v>0</v>
      </c>
      <c r="H36" s="13">
        <f>H21/H31</f>
        <v>0</v>
      </c>
    </row>
    <row r="37" spans="1:9">
      <c r="A37" s="12" t="s">
        <v>72</v>
      </c>
      <c r="B37" s="13">
        <f t="shared" ref="B37:H37" si="8">B35/B11</f>
        <v>15346.471599478951</v>
      </c>
      <c r="C37" s="13">
        <f t="shared" si="8"/>
        <v>111651.15102108038</v>
      </c>
      <c r="D37" s="13">
        <f t="shared" si="8"/>
        <v>554232.35904499551</v>
      </c>
      <c r="E37" s="13">
        <f t="shared" si="8"/>
        <v>14928.105558900261</v>
      </c>
      <c r="F37" s="13">
        <f t="shared" si="8"/>
        <v>4159.564393939394</v>
      </c>
      <c r="G37" s="13">
        <f t="shared" si="8"/>
        <v>4159.564393939394</v>
      </c>
      <c r="H37" s="13" t="e">
        <f t="shared" si="8"/>
        <v>#DIV/0!</v>
      </c>
    </row>
    <row r="38" spans="1:9">
      <c r="A38" s="12" t="s">
        <v>112</v>
      </c>
      <c r="B38" s="13">
        <f t="shared" ref="B38:H38" si="9">B36/B14</f>
        <v>22317.935181306148</v>
      </c>
      <c r="C38" s="13">
        <f t="shared" si="9"/>
        <v>134527.55373176205</v>
      </c>
      <c r="D38" s="13">
        <f t="shared" si="9"/>
        <v>889440.6198830409</v>
      </c>
      <c r="E38" s="13">
        <f t="shared" si="9"/>
        <v>19780.767676767678</v>
      </c>
      <c r="F38" s="13">
        <f>F36/F14</f>
        <v>0</v>
      </c>
      <c r="G38" s="13">
        <f>G36/G14</f>
        <v>0</v>
      </c>
      <c r="H38" s="13" t="e">
        <f t="shared" si="9"/>
        <v>#DIV/0!</v>
      </c>
    </row>
    <row r="40" spans="1:9">
      <c r="A40" s="1" t="s">
        <v>13</v>
      </c>
    </row>
    <row r="42" spans="1:9">
      <c r="A42" t="s">
        <v>14</v>
      </c>
    </row>
    <row r="43" spans="1:9">
      <c r="A43" t="s">
        <v>15</v>
      </c>
      <c r="B43" s="14" t="s">
        <v>51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  <c r="I43" s="14"/>
    </row>
    <row r="44" spans="1:9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  <c r="I44" s="14"/>
    </row>
    <row r="46" spans="1:9">
      <c r="A46" t="s">
        <v>17</v>
      </c>
    </row>
    <row r="47" spans="1:9">
      <c r="A47" t="s">
        <v>18</v>
      </c>
      <c r="B47" s="16">
        <f>B14/B13*100</f>
        <v>81.809613572101796</v>
      </c>
      <c r="C47" s="16">
        <f t="shared" ref="C47:H47" si="10">C14/C13*100</f>
        <v>165.51724137931035</v>
      </c>
      <c r="D47" s="16">
        <f t="shared" si="10"/>
        <v>79.166666666666657</v>
      </c>
      <c r="E47" s="16">
        <f t="shared" si="10"/>
        <v>198.41269841269843</v>
      </c>
      <c r="F47" s="16">
        <f>F14/F13*100</f>
        <v>74.332648870636547</v>
      </c>
      <c r="G47" s="16">
        <f>G14/G13*100</f>
        <v>74.332648870636547</v>
      </c>
      <c r="H47" s="16" t="e">
        <f t="shared" si="10"/>
        <v>#DIV/0!</v>
      </c>
    </row>
    <row r="48" spans="1:9">
      <c r="A48" t="s">
        <v>19</v>
      </c>
      <c r="B48" s="14">
        <f>B21/B20*100</f>
        <v>85.792594476079898</v>
      </c>
      <c r="C48" s="14">
        <f t="shared" ref="C48:F48" si="11">C21/C20*100</f>
        <v>130.68652949747994</v>
      </c>
      <c r="D48" s="14">
        <f t="shared" si="11"/>
        <v>131.99509317554239</v>
      </c>
      <c r="E48" s="14">
        <f>E21/E20*100</f>
        <v>122.39350673164286</v>
      </c>
      <c r="F48" s="14">
        <f t="shared" si="11"/>
        <v>0</v>
      </c>
      <c r="G48" s="14">
        <f>G21/G20*100</f>
        <v>0</v>
      </c>
      <c r="H48" s="14" t="e">
        <f>H21/H20*100</f>
        <v>#DIV/0!</v>
      </c>
    </row>
    <row r="49" spans="1:8">
      <c r="A49" s="12" t="s">
        <v>20</v>
      </c>
      <c r="B49" s="15">
        <f t="shared" ref="B49:H49" si="12">AVERAGE(B47:B48)</f>
        <v>83.801104024090847</v>
      </c>
      <c r="C49" s="15">
        <f t="shared" si="12"/>
        <v>148.10188543839513</v>
      </c>
      <c r="D49" s="15">
        <f t="shared" si="12"/>
        <v>105.58087992110453</v>
      </c>
      <c r="E49" s="15">
        <f t="shared" si="12"/>
        <v>160.40310257217064</v>
      </c>
      <c r="F49" s="15">
        <f t="shared" si="12"/>
        <v>37.166324435318273</v>
      </c>
      <c r="G49" s="15">
        <f t="shared" si="12"/>
        <v>37.166324435318273</v>
      </c>
      <c r="H49" s="15" t="e">
        <f t="shared" si="12"/>
        <v>#DIV/0!</v>
      </c>
    </row>
    <row r="50" spans="1:8">
      <c r="B50" s="14"/>
      <c r="C50" s="14"/>
      <c r="D50" s="14"/>
      <c r="E50" s="14"/>
      <c r="F50" s="14"/>
      <c r="G50" s="14"/>
      <c r="H50" s="14"/>
    </row>
    <row r="51" spans="1:8">
      <c r="A51" t="s">
        <v>21</v>
      </c>
    </row>
    <row r="52" spans="1:8">
      <c r="A52" t="s">
        <v>22</v>
      </c>
      <c r="B52" s="14">
        <f>(B14/B16)*100</f>
        <v>44.467213114754102</v>
      </c>
      <c r="C52" s="14">
        <f t="shared" ref="C52:H52" si="13">(C14/C16)*100</f>
        <v>41.379310344827587</v>
      </c>
      <c r="D52" s="14">
        <f t="shared" si="13"/>
        <v>19.791666666666664</v>
      </c>
      <c r="E52" s="14">
        <f t="shared" si="13"/>
        <v>49.603174603174608</v>
      </c>
      <c r="F52" s="14">
        <f>(F14/F16)*100</f>
        <v>45.137157107231914</v>
      </c>
      <c r="G52" s="14">
        <f>(G14/G16)*100</f>
        <v>45.137157107231914</v>
      </c>
      <c r="H52" s="14" t="e">
        <f t="shared" si="13"/>
        <v>#DIV/0!</v>
      </c>
    </row>
    <row r="53" spans="1:8">
      <c r="A53" t="s">
        <v>23</v>
      </c>
      <c r="B53" s="14">
        <f>B21/B22*100</f>
        <v>21.376732090653633</v>
      </c>
      <c r="C53" s="14">
        <f t="shared" ref="C53:F53" si="14">C21/C22*100</f>
        <v>24.67749825354786</v>
      </c>
      <c r="D53" s="14">
        <f t="shared" si="14"/>
        <v>23.998065481193802</v>
      </c>
      <c r="E53" s="14">
        <f>E21/E22*100</f>
        <v>30.598375076495937</v>
      </c>
      <c r="F53" s="14">
        <f t="shared" si="14"/>
        <v>0</v>
      </c>
      <c r="G53" s="14">
        <f>G21/G22*100</f>
        <v>0</v>
      </c>
      <c r="H53" s="14" t="e">
        <f>H21/H22*100</f>
        <v>#DIV/0!</v>
      </c>
    </row>
    <row r="54" spans="1:8">
      <c r="A54" t="s">
        <v>24</v>
      </c>
      <c r="B54" s="14">
        <f t="shared" ref="B54:H54" si="15">(B52+B53)/2</f>
        <v>32.921972602703867</v>
      </c>
      <c r="C54" s="14">
        <f t="shared" si="15"/>
        <v>33.028404299187727</v>
      </c>
      <c r="D54" s="14">
        <f t="shared" si="15"/>
        <v>21.894866073930231</v>
      </c>
      <c r="E54" s="14">
        <f t="shared" si="15"/>
        <v>40.100774839835275</v>
      </c>
      <c r="F54" s="14">
        <f t="shared" si="15"/>
        <v>22.568578553615957</v>
      </c>
      <c r="G54" s="14">
        <f t="shared" si="15"/>
        <v>22.568578553615957</v>
      </c>
      <c r="H54" s="14" t="e">
        <f t="shared" si="15"/>
        <v>#DIV/0!</v>
      </c>
    </row>
    <row r="56" spans="1:8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8">
      <c r="A57" t="s">
        <v>25</v>
      </c>
      <c r="B57" s="14">
        <f t="shared" ref="B57:F57" si="16">B23/B21*100</f>
        <v>100</v>
      </c>
      <c r="C57" s="14">
        <f t="shared" si="16"/>
        <v>100</v>
      </c>
      <c r="D57" s="14"/>
      <c r="E57" s="14"/>
      <c r="F57" s="14" t="e">
        <f t="shared" si="16"/>
        <v>#DIV/0!</v>
      </c>
      <c r="G57" s="14"/>
      <c r="H57" s="14"/>
    </row>
    <row r="59" spans="1:8">
      <c r="A59" t="s">
        <v>26</v>
      </c>
    </row>
    <row r="60" spans="1:8">
      <c r="A60" t="s">
        <v>27</v>
      </c>
      <c r="B60" s="14">
        <f>((B14/B11)-1)*100</f>
        <v>-26.357466063348422</v>
      </c>
      <c r="C60" s="14">
        <f t="shared" ref="C60:H60" si="17">((C14/C11)-1)*100</f>
        <v>17.391304347826075</v>
      </c>
      <c r="D60" s="14">
        <f t="shared" si="17"/>
        <v>-13.636363636363635</v>
      </c>
      <c r="E60" s="14">
        <f t="shared" si="17"/>
        <v>24.172185430463578</v>
      </c>
      <c r="F60" s="14">
        <f>((F14/F11)-1)*100</f>
        <v>-31.439393939393945</v>
      </c>
      <c r="G60" s="14">
        <f>((G14/G11)-1)*100</f>
        <v>-31.439393939393945</v>
      </c>
      <c r="H60" s="14" t="e">
        <f t="shared" si="17"/>
        <v>#DIV/0!</v>
      </c>
    </row>
    <row r="61" spans="1:8">
      <c r="A61" t="s">
        <v>28</v>
      </c>
      <c r="B61" s="14">
        <f>((B36/B35)-1)*100</f>
        <v>7.0962330547127639</v>
      </c>
      <c r="C61" s="14">
        <f>((C36/C35)-1)*100</f>
        <v>41.443817272534147</v>
      </c>
      <c r="D61" s="14">
        <f t="shared" ref="D61:H61" si="18">((D36/D35)-1)*100</f>
        <v>38.597692843102259</v>
      </c>
      <c r="E61" s="14">
        <f t="shared" si="18"/>
        <v>64.536695043136035</v>
      </c>
      <c r="F61" s="14">
        <f t="shared" si="18"/>
        <v>-100</v>
      </c>
      <c r="G61" s="14">
        <f t="shared" si="18"/>
        <v>-100</v>
      </c>
      <c r="H61" s="14" t="e">
        <f t="shared" si="18"/>
        <v>#DIV/0!</v>
      </c>
    </row>
    <row r="62" spans="1:8">
      <c r="A62" s="12" t="s">
        <v>29</v>
      </c>
      <c r="B62" s="15">
        <f t="shared" ref="B62:H62" si="19">((B38/B37)-1)*100</f>
        <v>45.427142888427156</v>
      </c>
      <c r="C62" s="15">
        <f t="shared" si="19"/>
        <v>20.489177676603141</v>
      </c>
      <c r="D62" s="15">
        <f t="shared" si="19"/>
        <v>60.481539081486837</v>
      </c>
      <c r="E62" s="15">
        <f t="shared" si="19"/>
        <v>32.506885074738911</v>
      </c>
      <c r="F62" s="15">
        <f t="shared" si="19"/>
        <v>-100</v>
      </c>
      <c r="G62" s="15">
        <f t="shared" si="19"/>
        <v>-100</v>
      </c>
      <c r="H62" s="15" t="e">
        <f t="shared" si="19"/>
        <v>#DIV/0!</v>
      </c>
    </row>
    <row r="63" spans="1:8">
      <c r="B63" s="16"/>
      <c r="C63" s="16"/>
      <c r="D63" s="16"/>
      <c r="E63" s="16"/>
      <c r="F63" s="16"/>
      <c r="G63" s="16"/>
      <c r="H63" s="16"/>
    </row>
    <row r="64" spans="1:8">
      <c r="A64" t="s">
        <v>30</v>
      </c>
    </row>
    <row r="65" spans="1:8">
      <c r="A65" t="s">
        <v>38</v>
      </c>
      <c r="B65" s="3">
        <f t="shared" ref="B65:H65" si="20">B20/B13</f>
        <v>21068.991413760603</v>
      </c>
      <c r="C65" s="3">
        <f t="shared" si="20"/>
        <v>168678.15965517241</v>
      </c>
      <c r="D65" s="3">
        <f t="shared" si="20"/>
        <v>528125</v>
      </c>
      <c r="E65" s="3">
        <f t="shared" si="20"/>
        <v>31746.030000000002</v>
      </c>
      <c r="F65" s="3">
        <f t="shared" si="20"/>
        <v>7884.188911704312</v>
      </c>
      <c r="G65" s="3">
        <f t="shared" si="20"/>
        <v>7884.188911704312</v>
      </c>
      <c r="H65" s="3" t="e">
        <f t="shared" si="20"/>
        <v>#DIV/0!</v>
      </c>
    </row>
    <row r="66" spans="1:8">
      <c r="A66" t="s">
        <v>39</v>
      </c>
      <c r="B66" s="3">
        <f t="shared" ref="B66:H66" si="21">B21/B14</f>
        <v>22094.755829493086</v>
      </c>
      <c r="C66" s="3">
        <f t="shared" si="21"/>
        <v>133182.27819444443</v>
      </c>
      <c r="D66" s="3">
        <f t="shared" si="21"/>
        <v>880546.21368421044</v>
      </c>
      <c r="E66" s="3">
        <f>E21/E14</f>
        <v>19582.96</v>
      </c>
      <c r="F66" s="3">
        <f>F21/F14</f>
        <v>0</v>
      </c>
      <c r="G66" s="3">
        <f>G21/G14</f>
        <v>0</v>
      </c>
      <c r="H66" s="3" t="e">
        <f t="shared" si="21"/>
        <v>#DIV/0!</v>
      </c>
    </row>
    <row r="67" spans="1:8">
      <c r="A67" s="12" t="s">
        <v>31</v>
      </c>
      <c r="B67" s="15">
        <f>(B66/B65)*B49</f>
        <v>87.881042584930825</v>
      </c>
      <c r="C67" s="15">
        <f t="shared" ref="C67:H67" si="22">(C66/C65)*C49</f>
        <v>116.93598357902904</v>
      </c>
      <c r="D67" s="15">
        <f t="shared" si="22"/>
        <v>176.03568104516143</v>
      </c>
      <c r="E67" s="15">
        <f t="shared" si="22"/>
        <v>98.946783000794568</v>
      </c>
      <c r="F67" s="15">
        <f t="shared" si="22"/>
        <v>0</v>
      </c>
      <c r="G67" s="15">
        <f t="shared" si="22"/>
        <v>0</v>
      </c>
      <c r="H67" s="15" t="e">
        <f t="shared" si="22"/>
        <v>#DIV/0!</v>
      </c>
    </row>
    <row r="68" spans="1:8" s="5" customFormat="1">
      <c r="A68" t="s">
        <v>40</v>
      </c>
      <c r="B68" s="26">
        <f>B20/(B13*3)</f>
        <v>7022.9971379202016</v>
      </c>
      <c r="C68" s="26">
        <f t="shared" ref="C68:H68" si="23">C20/(C13*3)</f>
        <v>56226.053218390807</v>
      </c>
      <c r="D68" s="26">
        <f t="shared" si="23"/>
        <v>176041.66666666666</v>
      </c>
      <c r="E68" s="26">
        <f t="shared" si="23"/>
        <v>10582.01</v>
      </c>
      <c r="F68" s="26">
        <f t="shared" si="23"/>
        <v>2628.062970568104</v>
      </c>
      <c r="G68" s="26">
        <f t="shared" si="23"/>
        <v>2628.062970568104</v>
      </c>
      <c r="H68" s="26" t="e">
        <f t="shared" si="23"/>
        <v>#DIV/0!</v>
      </c>
    </row>
    <row r="69" spans="1:8" s="5" customFormat="1">
      <c r="A69" t="s">
        <v>41</v>
      </c>
      <c r="B69" s="26">
        <f>B21/(B14*3)</f>
        <v>7364.9186098310283</v>
      </c>
      <c r="C69" s="26">
        <f t="shared" ref="C69:H69" si="24">C21/(C14*3)</f>
        <v>44394.092731481476</v>
      </c>
      <c r="D69" s="26">
        <f t="shared" si="24"/>
        <v>293515.4045614035</v>
      </c>
      <c r="E69" s="26">
        <f>E21/(E14*3)</f>
        <v>6527.6533333333336</v>
      </c>
      <c r="F69" s="26">
        <f>F21/(F14*3)</f>
        <v>0</v>
      </c>
      <c r="G69" s="26">
        <f>G21/(G14*3)</f>
        <v>0</v>
      </c>
      <c r="H69" s="26" t="e">
        <f t="shared" si="24"/>
        <v>#DIV/0!</v>
      </c>
    </row>
    <row r="70" spans="1:8">
      <c r="B70" s="14"/>
      <c r="C70" s="14"/>
      <c r="D70" s="14"/>
    </row>
    <row r="71" spans="1:8">
      <c r="A71" t="s">
        <v>32</v>
      </c>
      <c r="B71" s="14"/>
      <c r="C71" s="14"/>
      <c r="D71" s="14"/>
    </row>
    <row r="72" spans="1:8">
      <c r="A72" s="17" t="s">
        <v>33</v>
      </c>
      <c r="B72" s="18">
        <f>(B27/B26)*100</f>
        <v>82.529889330787398</v>
      </c>
      <c r="C72" s="18">
        <f>(C27/C26)*100</f>
        <v>79.422327205209939</v>
      </c>
      <c r="D72" s="18"/>
      <c r="E72" s="18"/>
      <c r="F72" s="18">
        <f>(F27/F26)*100</f>
        <v>88.4684602562767</v>
      </c>
      <c r="G72" s="18"/>
      <c r="H72" s="18"/>
    </row>
    <row r="73" spans="1:8">
      <c r="A73" s="17" t="s">
        <v>34</v>
      </c>
      <c r="B73" s="18">
        <f>(B21/B27)*100</f>
        <v>103.95336183260258</v>
      </c>
      <c r="C73" s="18">
        <f>(C21/C27)*100</f>
        <v>164.54633614526867</v>
      </c>
      <c r="D73" s="18"/>
      <c r="E73" s="18"/>
      <c r="F73" s="18">
        <f>(F21/F27)*100</f>
        <v>0</v>
      </c>
      <c r="G73" s="18"/>
      <c r="H73" s="18"/>
    </row>
    <row r="74" spans="1:8" ht="15.75" thickBot="1">
      <c r="A74" s="19"/>
      <c r="B74" s="19"/>
      <c r="C74" s="19"/>
      <c r="D74" s="19"/>
      <c r="E74" s="19"/>
      <c r="F74" s="19"/>
      <c r="G74" s="19"/>
      <c r="H74" s="19"/>
    </row>
    <row r="75" spans="1:8" ht="15.75" thickTop="1">
      <c r="A75" s="22" t="s">
        <v>36</v>
      </c>
    </row>
    <row r="76" spans="1:8">
      <c r="A76" s="22" t="s">
        <v>97</v>
      </c>
    </row>
    <row r="77" spans="1:8">
      <c r="A77" s="22" t="s">
        <v>98</v>
      </c>
    </row>
    <row r="78" spans="1:8">
      <c r="A78" s="22" t="s">
        <v>57</v>
      </c>
      <c r="B78" s="20"/>
      <c r="C78" s="20"/>
      <c r="D78" s="20"/>
    </row>
    <row r="79" spans="1:8">
      <c r="A79" s="22"/>
    </row>
    <row r="80" spans="1:8">
      <c r="A80" s="22"/>
    </row>
    <row r="82" spans="1:1">
      <c r="A82" t="s">
        <v>37</v>
      </c>
    </row>
    <row r="85" spans="1:1">
      <c r="A85" t="s">
        <v>52</v>
      </c>
    </row>
    <row r="86" spans="1:1">
      <c r="A86" t="s">
        <v>53</v>
      </c>
    </row>
    <row r="89" spans="1:1">
      <c r="A89" s="39" t="s">
        <v>143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88"/>
  <sheetViews>
    <sheetView topLeftCell="A63" zoomScale="90" zoomScaleNormal="90" workbookViewId="0">
      <selection activeCell="D67" sqref="D67"/>
    </sheetView>
  </sheetViews>
  <sheetFormatPr baseColWidth="10" defaultColWidth="11.42578125" defaultRowHeight="15"/>
  <cols>
    <col min="1" max="1" width="50.85546875" customWidth="1"/>
    <col min="2" max="2" width="16.28515625" bestFit="1" customWidth="1"/>
    <col min="3" max="7" width="13.7109375" customWidth="1"/>
    <col min="8" max="8" width="15.42578125" customWidth="1"/>
  </cols>
  <sheetData>
    <row r="2" spans="1:9" ht="15.75">
      <c r="A2" s="42" t="s">
        <v>113</v>
      </c>
      <c r="B2" s="42"/>
      <c r="C2" s="42"/>
      <c r="D2" s="42"/>
      <c r="E2" s="42"/>
      <c r="F2" s="42"/>
      <c r="G2" s="42"/>
      <c r="H2" s="42"/>
    </row>
    <row r="4" spans="1:9" ht="20.100000000000001" customHeight="1">
      <c r="A4" s="43" t="s">
        <v>0</v>
      </c>
      <c r="B4" s="46" t="s">
        <v>1</v>
      </c>
      <c r="C4" s="49" t="s">
        <v>2</v>
      </c>
      <c r="D4" s="50"/>
      <c r="E4" s="51"/>
      <c r="F4" s="49" t="s">
        <v>3</v>
      </c>
      <c r="G4" s="50"/>
      <c r="H4" s="51"/>
    </row>
    <row r="5" spans="1:9" ht="20.100000000000001" customHeight="1">
      <c r="A5" s="44"/>
      <c r="B5" s="47"/>
      <c r="C5" s="52" t="s">
        <v>4</v>
      </c>
      <c r="D5" s="58" t="s">
        <v>5</v>
      </c>
      <c r="E5" s="54" t="s">
        <v>60</v>
      </c>
      <c r="F5" s="56" t="s">
        <v>4</v>
      </c>
      <c r="G5" s="58" t="s">
        <v>54</v>
      </c>
      <c r="H5" s="59" t="s">
        <v>6</v>
      </c>
    </row>
    <row r="6" spans="1:9" ht="15.75" thickBot="1">
      <c r="A6" s="45"/>
      <c r="B6" s="48"/>
      <c r="C6" s="53"/>
      <c r="D6" s="55"/>
      <c r="E6" s="55"/>
      <c r="F6" s="57"/>
      <c r="G6" s="55"/>
      <c r="H6" s="60"/>
    </row>
    <row r="7" spans="1:9" ht="15.75" thickTop="1"/>
    <row r="8" spans="1:9">
      <c r="A8" s="1" t="s">
        <v>7</v>
      </c>
    </row>
    <row r="10" spans="1:9">
      <c r="A10" t="s">
        <v>48</v>
      </c>
    </row>
    <row r="11" spans="1:9">
      <c r="A11" s="2" t="s">
        <v>73</v>
      </c>
      <c r="B11" s="4">
        <f t="shared" ref="B11:B16" si="0">C11+F11</f>
        <v>800</v>
      </c>
      <c r="C11" s="4">
        <f t="shared" ref="C11:C16" si="1">D11+E11</f>
        <v>107</v>
      </c>
      <c r="D11" s="3">
        <v>21</v>
      </c>
      <c r="E11" s="3">
        <v>86</v>
      </c>
      <c r="F11" s="40">
        <f>SUM(G11:H11)</f>
        <v>693</v>
      </c>
      <c r="G11" s="40">
        <v>693</v>
      </c>
      <c r="H11" s="40">
        <v>0</v>
      </c>
    </row>
    <row r="12" spans="1:9">
      <c r="A12" s="27" t="s">
        <v>49</v>
      </c>
      <c r="B12" s="4">
        <f t="shared" si="0"/>
        <v>114</v>
      </c>
      <c r="C12" s="4">
        <f t="shared" si="1"/>
        <v>114</v>
      </c>
      <c r="D12" s="3">
        <v>28</v>
      </c>
      <c r="E12" s="3">
        <v>86</v>
      </c>
      <c r="F12" s="40">
        <f t="shared" ref="F12:F16" si="2">SUM(G12:H12)</f>
        <v>0</v>
      </c>
      <c r="G12" s="40">
        <v>0</v>
      </c>
      <c r="H12" s="40">
        <v>0</v>
      </c>
    </row>
    <row r="13" spans="1:9">
      <c r="A13" s="2" t="s">
        <v>114</v>
      </c>
      <c r="B13" s="4">
        <f t="shared" si="0"/>
        <v>582</v>
      </c>
      <c r="C13" s="4">
        <f t="shared" si="1"/>
        <v>87</v>
      </c>
      <c r="D13" s="3">
        <v>24</v>
      </c>
      <c r="E13" s="4">
        <v>63</v>
      </c>
      <c r="F13" s="4">
        <f t="shared" si="2"/>
        <v>495</v>
      </c>
      <c r="G13" s="4">
        <v>495</v>
      </c>
      <c r="H13" s="4">
        <v>0</v>
      </c>
      <c r="I13" s="38"/>
    </row>
    <row r="14" spans="1:9">
      <c r="A14" s="2" t="s">
        <v>115</v>
      </c>
      <c r="B14" s="4">
        <f t="shared" si="0"/>
        <v>764.33333333333326</v>
      </c>
      <c r="C14" s="4">
        <f t="shared" si="1"/>
        <v>133.33333333333331</v>
      </c>
      <c r="D14" s="3">
        <v>25</v>
      </c>
      <c r="E14" s="3">
        <v>108.33333333333333</v>
      </c>
      <c r="F14" s="4">
        <f t="shared" si="2"/>
        <v>631</v>
      </c>
      <c r="G14" s="4">
        <v>631</v>
      </c>
      <c r="H14" s="4">
        <v>0</v>
      </c>
    </row>
    <row r="15" spans="1:9">
      <c r="A15" s="27" t="s">
        <v>49</v>
      </c>
      <c r="B15" s="4">
        <f t="shared" si="0"/>
        <v>156.33333333333331</v>
      </c>
      <c r="C15" s="4">
        <f t="shared" si="1"/>
        <v>156.33333333333331</v>
      </c>
      <c r="D15" s="3">
        <v>48</v>
      </c>
      <c r="E15" s="3">
        <v>108.33333333333333</v>
      </c>
      <c r="F15" s="4">
        <f t="shared" si="2"/>
        <v>0</v>
      </c>
      <c r="G15" s="4">
        <v>0</v>
      </c>
      <c r="H15" s="4">
        <v>0</v>
      </c>
    </row>
    <row r="16" spans="1:9">
      <c r="A16" s="2" t="s">
        <v>92</v>
      </c>
      <c r="B16" s="4">
        <f t="shared" si="0"/>
        <v>1952</v>
      </c>
      <c r="C16" s="4">
        <f t="shared" si="1"/>
        <v>348</v>
      </c>
      <c r="D16" s="3">
        <v>96</v>
      </c>
      <c r="E16" s="3">
        <v>252</v>
      </c>
      <c r="F16" s="4">
        <f t="shared" si="2"/>
        <v>1604</v>
      </c>
      <c r="G16" s="4">
        <v>1604</v>
      </c>
      <c r="H16" s="4">
        <v>0</v>
      </c>
    </row>
    <row r="17" spans="1:10">
      <c r="F17" s="5"/>
    </row>
    <row r="18" spans="1:10">
      <c r="A18" s="6" t="s">
        <v>8</v>
      </c>
      <c r="F18" s="5"/>
    </row>
    <row r="19" spans="1:10">
      <c r="A19" s="2" t="s">
        <v>73</v>
      </c>
      <c r="B19" s="4">
        <f>C19+F19</f>
        <v>31352695.920000002</v>
      </c>
      <c r="C19" s="4">
        <f>D19+E19</f>
        <v>27013145.920000002</v>
      </c>
      <c r="D19" s="3">
        <v>25557125.920000002</v>
      </c>
      <c r="E19" s="4">
        <v>1456020</v>
      </c>
      <c r="F19" s="23">
        <f t="shared" ref="F19:F22" si="3">SUM(G19:H19)</f>
        <v>4339550</v>
      </c>
      <c r="G19" s="4">
        <v>4339550</v>
      </c>
      <c r="H19" s="4">
        <v>0</v>
      </c>
    </row>
    <row r="20" spans="1:10">
      <c r="A20" s="2" t="s">
        <v>114</v>
      </c>
      <c r="B20" s="3">
        <f>C20+F20</f>
        <v>22429380.949999999</v>
      </c>
      <c r="C20" s="3">
        <f>D20+E20</f>
        <v>19428880.949999999</v>
      </c>
      <c r="D20" s="3">
        <v>17328881.039999999</v>
      </c>
      <c r="E20" s="3">
        <v>2099999.91</v>
      </c>
      <c r="F20" s="23">
        <f t="shared" si="3"/>
        <v>3000500</v>
      </c>
      <c r="G20" s="3">
        <v>3000500</v>
      </c>
      <c r="H20" s="3">
        <v>0</v>
      </c>
    </row>
    <row r="21" spans="1:10">
      <c r="A21" s="2" t="s">
        <v>115</v>
      </c>
      <c r="B21" s="3">
        <f>C21+F21</f>
        <v>30146990.93</v>
      </c>
      <c r="C21" s="3">
        <f>D21+E21</f>
        <v>25002530.93</v>
      </c>
      <c r="D21" s="3">
        <v>23130280.93</v>
      </c>
      <c r="E21" s="4">
        <v>1872250</v>
      </c>
      <c r="F21" s="4">
        <f>SUM(G21:H21)</f>
        <v>5144460</v>
      </c>
      <c r="G21" s="4">
        <v>5144460</v>
      </c>
      <c r="H21" s="4">
        <v>0</v>
      </c>
      <c r="J21" s="4"/>
    </row>
    <row r="22" spans="1:10">
      <c r="A22" s="2" t="s">
        <v>92</v>
      </c>
      <c r="B22" s="3">
        <f>C22+F22</f>
        <v>89715527.999999985</v>
      </c>
      <c r="C22" s="3">
        <f>D22+E22</f>
        <v>77715527.999999985</v>
      </c>
      <c r="D22" s="3">
        <v>69615527.999999985</v>
      </c>
      <c r="E22" s="3">
        <v>8100000</v>
      </c>
      <c r="F22" s="23">
        <f t="shared" si="3"/>
        <v>12000000</v>
      </c>
      <c r="G22" s="3">
        <v>12000000</v>
      </c>
      <c r="H22" s="3">
        <v>0</v>
      </c>
    </row>
    <row r="23" spans="1:10">
      <c r="A23" s="2" t="s">
        <v>116</v>
      </c>
      <c r="B23" s="3">
        <f>+C23+F23</f>
        <v>30146990.93</v>
      </c>
      <c r="C23" s="3">
        <f>+D23+E23</f>
        <v>25002530.93</v>
      </c>
      <c r="D23" s="3">
        <f>D21</f>
        <v>23130280.93</v>
      </c>
      <c r="E23" s="3">
        <f>E21</f>
        <v>1872250</v>
      </c>
      <c r="F23" s="3">
        <f>H23+G23</f>
        <v>5144460</v>
      </c>
      <c r="G23" s="3">
        <f>G21</f>
        <v>5144460</v>
      </c>
      <c r="H23" s="3"/>
    </row>
    <row r="24" spans="1:10">
      <c r="B24" s="3"/>
      <c r="C24" s="3"/>
      <c r="D24" s="3"/>
    </row>
    <row r="25" spans="1:10">
      <c r="A25" s="7" t="s">
        <v>9</v>
      </c>
      <c r="B25" s="8"/>
      <c r="C25" s="8"/>
      <c r="D25" s="8"/>
      <c r="E25" s="8"/>
      <c r="F25" s="8"/>
      <c r="G25" s="8"/>
      <c r="H25" s="8"/>
    </row>
    <row r="26" spans="1:10">
      <c r="A26" s="9" t="s">
        <v>114</v>
      </c>
      <c r="B26" s="8">
        <f>B20</f>
        <v>22429380.949999999</v>
      </c>
      <c r="C26" s="8">
        <f>C20</f>
        <v>19428880.949999999</v>
      </c>
      <c r="D26" s="8"/>
      <c r="E26" s="8"/>
      <c r="F26" s="8">
        <f>F20</f>
        <v>3000500</v>
      </c>
      <c r="G26" s="8"/>
      <c r="H26" s="8"/>
    </row>
    <row r="27" spans="1:10">
      <c r="A27" s="9" t="s">
        <v>115</v>
      </c>
      <c r="B27" s="8">
        <f>+C27+F27</f>
        <v>28208264.57</v>
      </c>
      <c r="C27" s="8">
        <v>24096434.57</v>
      </c>
      <c r="D27" s="8"/>
      <c r="E27" s="8"/>
      <c r="F27" s="8">
        <v>4111830</v>
      </c>
      <c r="G27" s="8"/>
      <c r="H27" s="8"/>
    </row>
    <row r="29" spans="1:10">
      <c r="A29" t="s">
        <v>10</v>
      </c>
    </row>
    <row r="30" spans="1:10">
      <c r="A30" s="10" t="s">
        <v>74</v>
      </c>
      <c r="B30" s="21">
        <v>0.99</v>
      </c>
      <c r="C30" s="21">
        <v>0.99</v>
      </c>
      <c r="D30" s="21">
        <v>0.99</v>
      </c>
      <c r="E30" s="21">
        <v>0.99</v>
      </c>
      <c r="F30" s="21">
        <v>0.99</v>
      </c>
      <c r="G30" s="21">
        <v>0.99</v>
      </c>
      <c r="H30" s="21">
        <v>0.99</v>
      </c>
    </row>
    <row r="31" spans="1:10">
      <c r="A31" s="10" t="s">
        <v>117</v>
      </c>
      <c r="B31" s="21">
        <v>0.99</v>
      </c>
      <c r="C31" s="21">
        <v>0.99</v>
      </c>
      <c r="D31" s="21">
        <v>0.99</v>
      </c>
      <c r="E31" s="21">
        <v>0.99</v>
      </c>
      <c r="F31" s="21">
        <v>0.99</v>
      </c>
      <c r="G31" s="21">
        <v>0.99</v>
      </c>
      <c r="H31" s="21">
        <v>0.99</v>
      </c>
    </row>
    <row r="32" spans="1:10">
      <c r="A32" s="36" t="s">
        <v>11</v>
      </c>
      <c r="B32" s="4"/>
      <c r="C32" s="37"/>
      <c r="D32" s="37"/>
      <c r="E32" s="37"/>
      <c r="F32" s="37"/>
      <c r="G32" s="37"/>
      <c r="H32" s="37"/>
    </row>
    <row r="34" spans="1:8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8">
      <c r="A35" s="12" t="s">
        <v>75</v>
      </c>
      <c r="B35" s="13">
        <f>B19/B30</f>
        <v>31669389.81818182</v>
      </c>
      <c r="C35" s="13">
        <f t="shared" ref="C35:H35" si="4">C19/C30</f>
        <v>27286005.979797982</v>
      </c>
      <c r="D35" s="13">
        <f>D19/D30</f>
        <v>25815278.707070708</v>
      </c>
      <c r="E35" s="13">
        <f t="shared" si="4"/>
        <v>1470727.2727272727</v>
      </c>
      <c r="F35" s="13">
        <f t="shared" si="4"/>
        <v>4383383.8383838385</v>
      </c>
      <c r="G35" s="13">
        <f t="shared" si="4"/>
        <v>4383383.8383838385</v>
      </c>
      <c r="H35" s="13">
        <f t="shared" si="4"/>
        <v>0</v>
      </c>
    </row>
    <row r="36" spans="1:8">
      <c r="A36" s="12" t="s">
        <v>118</v>
      </c>
      <c r="B36" s="13">
        <f t="shared" ref="B36:F36" si="5">B21/B31</f>
        <v>30451505.989898991</v>
      </c>
      <c r="C36" s="13">
        <f t="shared" si="5"/>
        <v>25255081.747474749</v>
      </c>
      <c r="D36" s="13">
        <f t="shared" si="5"/>
        <v>23363920.13131313</v>
      </c>
      <c r="E36" s="13">
        <f t="shared" si="5"/>
        <v>1891161.6161616163</v>
      </c>
      <c r="F36" s="13">
        <f t="shared" si="5"/>
        <v>5196424.2424242422</v>
      </c>
      <c r="G36" s="13">
        <f>G21/G31</f>
        <v>5196424.2424242422</v>
      </c>
      <c r="H36" s="13">
        <f>H21/H31</f>
        <v>0</v>
      </c>
    </row>
    <row r="37" spans="1:8">
      <c r="A37" s="12" t="s">
        <v>76</v>
      </c>
      <c r="B37" s="13">
        <f t="shared" ref="B37:H37" si="6">B35/B11</f>
        <v>39586.737272727274</v>
      </c>
      <c r="C37" s="13">
        <f t="shared" si="6"/>
        <v>255009.40168035496</v>
      </c>
      <c r="D37" s="13">
        <f t="shared" si="6"/>
        <v>1229298.9860509862</v>
      </c>
      <c r="E37" s="13">
        <f t="shared" si="6"/>
        <v>17101.479915433403</v>
      </c>
      <c r="F37" s="13">
        <f t="shared" si="6"/>
        <v>6325.2292040170832</v>
      </c>
      <c r="G37" s="13">
        <f t="shared" si="6"/>
        <v>6325.2292040170832</v>
      </c>
      <c r="H37" s="13" t="e">
        <f t="shared" si="6"/>
        <v>#DIV/0!</v>
      </c>
    </row>
    <row r="38" spans="1:8">
      <c r="A38" s="12" t="s">
        <v>119</v>
      </c>
      <c r="B38" s="13">
        <f t="shared" ref="B38:H38" si="7">B36/B14</f>
        <v>39840.609668424324</v>
      </c>
      <c r="C38" s="13">
        <f t="shared" si="7"/>
        <v>189413.11310606063</v>
      </c>
      <c r="D38" s="13">
        <f t="shared" si="7"/>
        <v>934556.80525252526</v>
      </c>
      <c r="E38" s="13">
        <f t="shared" si="7"/>
        <v>17456.87645687646</v>
      </c>
      <c r="F38" s="13">
        <f t="shared" si="7"/>
        <v>8235.2206694520482</v>
      </c>
      <c r="G38" s="13">
        <f t="shared" si="7"/>
        <v>8235.2206694520482</v>
      </c>
      <c r="H38" s="13" t="e">
        <f t="shared" si="7"/>
        <v>#DIV/0!</v>
      </c>
    </row>
    <row r="40" spans="1:8">
      <c r="A40" s="1" t="s">
        <v>13</v>
      </c>
    </row>
    <row r="42" spans="1:8">
      <c r="A42" t="s">
        <v>14</v>
      </c>
    </row>
    <row r="43" spans="1:8">
      <c r="A43" t="s">
        <v>15</v>
      </c>
      <c r="B43" s="14" t="s">
        <v>51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</row>
    <row r="44" spans="1:8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</row>
    <row r="46" spans="1:8">
      <c r="A46" t="s">
        <v>17</v>
      </c>
    </row>
    <row r="47" spans="1:8">
      <c r="A47" t="s">
        <v>18</v>
      </c>
      <c r="B47" s="16">
        <f>B14/B13*100</f>
        <v>131.32875143184418</v>
      </c>
      <c r="C47" s="16">
        <f t="shared" ref="C47:H47" si="8">C14/C13*100</f>
        <v>153.2567049808429</v>
      </c>
      <c r="D47" s="16">
        <f t="shared" si="8"/>
        <v>104.16666666666667</v>
      </c>
      <c r="E47" s="16">
        <f t="shared" si="8"/>
        <v>171.95767195767195</v>
      </c>
      <c r="F47" s="16">
        <f t="shared" si="8"/>
        <v>127.47474747474747</v>
      </c>
      <c r="G47" s="16">
        <f t="shared" si="8"/>
        <v>127.47474747474747</v>
      </c>
      <c r="H47" s="16" t="e">
        <f t="shared" si="8"/>
        <v>#DIV/0!</v>
      </c>
    </row>
    <row r="48" spans="1:8">
      <c r="A48" t="s">
        <v>19</v>
      </c>
      <c r="B48" s="14">
        <f>B21/B20*100</f>
        <v>134.40848410932179</v>
      </c>
      <c r="C48" s="14">
        <f t="shared" ref="C48:F48" si="9">C21/C20*100</f>
        <v>128.68744728192902</v>
      </c>
      <c r="D48" s="14">
        <f t="shared" si="9"/>
        <v>133.47821406707516</v>
      </c>
      <c r="E48" s="14">
        <f t="shared" si="9"/>
        <v>89.154765725680434</v>
      </c>
      <c r="F48" s="14">
        <f t="shared" si="9"/>
        <v>171.45342442926179</v>
      </c>
      <c r="G48" s="14">
        <f>G21/G20*100</f>
        <v>171.45342442926179</v>
      </c>
      <c r="H48" s="14" t="e">
        <f>H21/H20*100</f>
        <v>#DIV/0!</v>
      </c>
    </row>
    <row r="49" spans="1:8">
      <c r="A49" s="12" t="s">
        <v>20</v>
      </c>
      <c r="B49" s="15">
        <f t="shared" ref="B49:H49" si="10">AVERAGE(B47:B48)</f>
        <v>132.868617770583</v>
      </c>
      <c r="C49" s="15">
        <f t="shared" si="10"/>
        <v>140.97207613138596</v>
      </c>
      <c r="D49" s="15">
        <f t="shared" si="10"/>
        <v>118.82244036687092</v>
      </c>
      <c r="E49" s="15">
        <f t="shared" si="10"/>
        <v>130.55621884167618</v>
      </c>
      <c r="F49" s="15">
        <f t="shared" si="10"/>
        <v>149.46408595200464</v>
      </c>
      <c r="G49" s="15">
        <f t="shared" si="10"/>
        <v>149.46408595200464</v>
      </c>
      <c r="H49" s="15" t="e">
        <f t="shared" si="10"/>
        <v>#DIV/0!</v>
      </c>
    </row>
    <row r="50" spans="1:8">
      <c r="B50" s="14"/>
      <c r="C50" s="14"/>
      <c r="D50" s="14"/>
      <c r="E50" s="14"/>
      <c r="F50" s="14"/>
      <c r="G50" s="14"/>
      <c r="H50" s="14"/>
    </row>
    <row r="51" spans="1:8">
      <c r="A51" t="s">
        <v>21</v>
      </c>
    </row>
    <row r="52" spans="1:8">
      <c r="A52" t="s">
        <v>22</v>
      </c>
      <c r="B52" s="14">
        <f>(B14/B16)*100</f>
        <v>39.156420765027313</v>
      </c>
      <c r="C52" s="14">
        <f t="shared" ref="C52:H52" si="11">(C14/C16)*100</f>
        <v>38.314176245210724</v>
      </c>
      <c r="D52" s="14">
        <f t="shared" si="11"/>
        <v>26.041666666666668</v>
      </c>
      <c r="E52" s="14">
        <f t="shared" si="11"/>
        <v>42.989417989417987</v>
      </c>
      <c r="F52" s="14">
        <f t="shared" si="11"/>
        <v>39.339152119700749</v>
      </c>
      <c r="G52" s="14">
        <f t="shared" si="11"/>
        <v>39.339152119700749</v>
      </c>
      <c r="H52" s="14" t="e">
        <f t="shared" si="11"/>
        <v>#DIV/0!</v>
      </c>
    </row>
    <row r="53" spans="1:8">
      <c r="A53" t="s">
        <v>23</v>
      </c>
      <c r="B53" s="14">
        <f>B21/B22*100</f>
        <v>33.602868535756713</v>
      </c>
      <c r="C53" s="14">
        <f t="shared" ref="C53:F53" si="12">C21/C22*100</f>
        <v>32.171860081810166</v>
      </c>
      <c r="D53" s="14">
        <f t="shared" si="12"/>
        <v>33.225749476467378</v>
      </c>
      <c r="E53" s="14">
        <f t="shared" si="12"/>
        <v>23.114197530864196</v>
      </c>
      <c r="F53" s="14">
        <f t="shared" si="12"/>
        <v>42.8705</v>
      </c>
      <c r="G53" s="14">
        <f>G21/G22*100</f>
        <v>42.8705</v>
      </c>
      <c r="H53" s="14" t="e">
        <f>H21/H22*100</f>
        <v>#DIV/0!</v>
      </c>
    </row>
    <row r="54" spans="1:8">
      <c r="A54" t="s">
        <v>24</v>
      </c>
      <c r="B54" s="14">
        <f t="shared" ref="B54:H54" si="13">(B52+B53)/2</f>
        <v>36.379644650392009</v>
      </c>
      <c r="C54" s="14">
        <f t="shared" si="13"/>
        <v>35.243018163510442</v>
      </c>
      <c r="D54" s="14">
        <f t="shared" si="13"/>
        <v>29.633708071567021</v>
      </c>
      <c r="E54" s="14">
        <f t="shared" si="13"/>
        <v>33.051807760141088</v>
      </c>
      <c r="F54" s="14">
        <f t="shared" si="13"/>
        <v>41.104826059850375</v>
      </c>
      <c r="G54" s="14">
        <f t="shared" si="13"/>
        <v>41.104826059850375</v>
      </c>
      <c r="H54" s="14" t="e">
        <f t="shared" si="13"/>
        <v>#DIV/0!</v>
      </c>
    </row>
    <row r="56" spans="1:8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8">
      <c r="A57" t="s">
        <v>25</v>
      </c>
      <c r="B57" s="14">
        <f t="shared" ref="B57:F57" si="14">B23/B21*100</f>
        <v>100</v>
      </c>
      <c r="C57" s="14">
        <f t="shared" si="14"/>
        <v>100</v>
      </c>
      <c r="D57" s="14"/>
      <c r="E57" s="14"/>
      <c r="F57" s="14">
        <f t="shared" si="14"/>
        <v>100</v>
      </c>
      <c r="G57" s="14"/>
      <c r="H57" s="14"/>
    </row>
    <row r="59" spans="1:8">
      <c r="A59" t="s">
        <v>26</v>
      </c>
    </row>
    <row r="60" spans="1:8">
      <c r="A60" t="s">
        <v>27</v>
      </c>
      <c r="B60" s="14">
        <f>((B14/B11)-1)*100</f>
        <v>-4.4583333333333419</v>
      </c>
      <c r="C60" s="14">
        <f t="shared" ref="C60:H60" si="15">((C14/C11)-1)*100</f>
        <v>24.610591900311519</v>
      </c>
      <c r="D60" s="14">
        <f t="shared" si="15"/>
        <v>19.047619047619047</v>
      </c>
      <c r="E60" s="14">
        <f t="shared" si="15"/>
        <v>25.968992248062015</v>
      </c>
      <c r="F60" s="14">
        <f t="shared" si="15"/>
        <v>-8.9466089466089471</v>
      </c>
      <c r="G60" s="14">
        <f t="shared" si="15"/>
        <v>-8.9466089466089471</v>
      </c>
      <c r="H60" s="14" t="e">
        <f t="shared" si="15"/>
        <v>#DIV/0!</v>
      </c>
    </row>
    <row r="61" spans="1:8">
      <c r="A61" t="s">
        <v>28</v>
      </c>
      <c r="B61" s="14">
        <f>((B36/B35)-1)*100</f>
        <v>-3.8456182303317599</v>
      </c>
      <c r="C61" s="14">
        <f>((C36/C35)-1)*100</f>
        <v>-7.4430982454042116</v>
      </c>
      <c r="D61" s="14">
        <f t="shared" ref="D61:H61" si="16">((D36/D35)-1)*100</f>
        <v>-9.4957664551038157</v>
      </c>
      <c r="E61" s="14">
        <f t="shared" si="16"/>
        <v>28.586832598453338</v>
      </c>
      <c r="F61" s="14">
        <f t="shared" si="16"/>
        <v>18.548236568307775</v>
      </c>
      <c r="G61" s="14">
        <f t="shared" si="16"/>
        <v>18.548236568307775</v>
      </c>
      <c r="H61" s="14" t="e">
        <f t="shared" si="16"/>
        <v>#DIV/0!</v>
      </c>
    </row>
    <row r="62" spans="1:8">
      <c r="A62" s="12" t="s">
        <v>29</v>
      </c>
      <c r="B62" s="15">
        <f>((B38/B37)-1)*100</f>
        <v>0.64130669306750043</v>
      </c>
      <c r="C62" s="15">
        <f t="shared" ref="C62:H62" si="17">((C38/C37)-1)*100</f>
        <v>-25.723086341936874</v>
      </c>
      <c r="D62" s="15">
        <f t="shared" si="17"/>
        <v>-23.976443822287209</v>
      </c>
      <c r="E62" s="15">
        <f t="shared" si="17"/>
        <v>2.0781624935414245</v>
      </c>
      <c r="F62" s="15">
        <f t="shared" si="17"/>
        <v>30.196399273910114</v>
      </c>
      <c r="G62" s="15">
        <f t="shared" si="17"/>
        <v>30.196399273910114</v>
      </c>
      <c r="H62" s="15" t="e">
        <f t="shared" si="17"/>
        <v>#DIV/0!</v>
      </c>
    </row>
    <row r="63" spans="1:8">
      <c r="B63" s="16"/>
      <c r="C63" s="16"/>
      <c r="D63" s="16"/>
      <c r="E63" s="16"/>
      <c r="F63" s="16"/>
      <c r="G63" s="16"/>
      <c r="H63" s="16"/>
    </row>
    <row r="64" spans="1:8">
      <c r="A64" t="s">
        <v>30</v>
      </c>
    </row>
    <row r="65" spans="1:8">
      <c r="A65" t="s">
        <v>38</v>
      </c>
      <c r="B65" s="3">
        <f t="shared" ref="B65:H65" si="18">B20/B13</f>
        <v>38538.455240549825</v>
      </c>
      <c r="C65" s="3">
        <f t="shared" si="18"/>
        <v>223320.47068965517</v>
      </c>
      <c r="D65" s="3">
        <f t="shared" si="18"/>
        <v>722036.71</v>
      </c>
      <c r="E65" s="3">
        <f t="shared" si="18"/>
        <v>33333.331904761908</v>
      </c>
      <c r="F65" s="3">
        <f t="shared" si="18"/>
        <v>6061.6161616161617</v>
      </c>
      <c r="G65" s="3">
        <f t="shared" si="18"/>
        <v>6061.6161616161617</v>
      </c>
      <c r="H65" s="3" t="e">
        <f t="shared" si="18"/>
        <v>#DIV/0!</v>
      </c>
    </row>
    <row r="66" spans="1:8">
      <c r="A66" t="s">
        <v>39</v>
      </c>
      <c r="B66" s="3">
        <f t="shared" ref="B66:H66" si="19">B21/B14</f>
        <v>39442.203571740079</v>
      </c>
      <c r="C66" s="3">
        <f t="shared" si="19"/>
        <v>187518.98197500003</v>
      </c>
      <c r="D66" s="3">
        <f t="shared" si="19"/>
        <v>925211.23719999997</v>
      </c>
      <c r="E66" s="3">
        <f t="shared" si="19"/>
        <v>17282.307692307691</v>
      </c>
      <c r="F66" s="3">
        <f t="shared" si="19"/>
        <v>8152.8684627575276</v>
      </c>
      <c r="G66" s="3">
        <f t="shared" si="19"/>
        <v>8152.8684627575276</v>
      </c>
      <c r="H66" s="3" t="e">
        <f t="shared" si="19"/>
        <v>#DIV/0!</v>
      </c>
    </row>
    <row r="67" spans="1:8">
      <c r="A67" s="12" t="s">
        <v>31</v>
      </c>
      <c r="B67" s="15">
        <f>(B66/B65)*B49</f>
        <v>135.98446117500086</v>
      </c>
      <c r="C67" s="15">
        <f t="shared" ref="C67:H67" si="20">(C66/C65)*C49</f>
        <v>118.37222141536637</v>
      </c>
      <c r="D67" s="15">
        <f t="shared" si="20"/>
        <v>152.25798846011011</v>
      </c>
      <c r="E67" s="15">
        <f t="shared" si="20"/>
        <v>67.68938525595685</v>
      </c>
      <c r="F67" s="15">
        <f t="shared" si="20"/>
        <v>201.02906554678376</v>
      </c>
      <c r="G67" s="15">
        <f t="shared" si="20"/>
        <v>201.02906554678376</v>
      </c>
      <c r="H67" s="15" t="e">
        <f t="shared" si="20"/>
        <v>#DIV/0!</v>
      </c>
    </row>
    <row r="68" spans="1:8" s="5" customFormat="1">
      <c r="A68" t="s">
        <v>40</v>
      </c>
      <c r="B68" s="26">
        <f>B20/(B13*3)</f>
        <v>12846.151746849942</v>
      </c>
      <c r="C68" s="26">
        <f t="shared" ref="C68:H68" si="21">C20/(C13*3)</f>
        <v>74440.156896551722</v>
      </c>
      <c r="D68" s="26">
        <f t="shared" si="21"/>
        <v>240678.90333333332</v>
      </c>
      <c r="E68" s="26">
        <f t="shared" si="21"/>
        <v>11111.110634920637</v>
      </c>
      <c r="F68" s="26">
        <f t="shared" si="21"/>
        <v>2020.5387205387206</v>
      </c>
      <c r="G68" s="26">
        <f t="shared" si="21"/>
        <v>2020.5387205387206</v>
      </c>
      <c r="H68" s="26" t="e">
        <f t="shared" si="21"/>
        <v>#DIV/0!</v>
      </c>
    </row>
    <row r="69" spans="1:8" s="5" customFormat="1">
      <c r="A69" t="s">
        <v>41</v>
      </c>
      <c r="B69" s="26">
        <f>B21/(B14*3)</f>
        <v>13147.401190580025</v>
      </c>
      <c r="C69" s="26">
        <f t="shared" ref="C69:H69" si="22">C21/(C14*3)</f>
        <v>62506.327325000006</v>
      </c>
      <c r="D69" s="26">
        <f t="shared" si="22"/>
        <v>308403.74573333334</v>
      </c>
      <c r="E69" s="26">
        <f t="shared" si="22"/>
        <v>5760.7692307692305</v>
      </c>
      <c r="F69" s="26">
        <f t="shared" si="22"/>
        <v>2717.6228209191759</v>
      </c>
      <c r="G69" s="26">
        <f t="shared" si="22"/>
        <v>2717.6228209191759</v>
      </c>
      <c r="H69" s="26" t="e">
        <f t="shared" si="22"/>
        <v>#DIV/0!</v>
      </c>
    </row>
    <row r="70" spans="1:8">
      <c r="B70" s="14"/>
      <c r="C70" s="14"/>
      <c r="D70" s="14"/>
    </row>
    <row r="71" spans="1:8">
      <c r="A71" t="s">
        <v>32</v>
      </c>
      <c r="B71" s="14"/>
      <c r="C71" s="14"/>
      <c r="D71" s="14"/>
    </row>
    <row r="72" spans="1:8">
      <c r="A72" s="17" t="s">
        <v>33</v>
      </c>
      <c r="B72" s="18">
        <f>(B27/B26)*100</f>
        <v>125.76479320977425</v>
      </c>
      <c r="C72" s="18">
        <f>(C27/C26)*100</f>
        <v>124.0237903151082</v>
      </c>
      <c r="D72" s="18"/>
      <c r="E72" s="18"/>
      <c r="F72" s="18">
        <f>(F27/F26)*100</f>
        <v>137.03816030661557</v>
      </c>
      <c r="G72" s="18"/>
      <c r="H72" s="18"/>
    </row>
    <row r="73" spans="1:8">
      <c r="A73" s="17" t="s">
        <v>34</v>
      </c>
      <c r="B73" s="18">
        <f>(B21/B27)*100</f>
        <v>106.87290192981907</v>
      </c>
      <c r="C73" s="18">
        <f>(C21/C27)*100</f>
        <v>103.7602922431026</v>
      </c>
      <c r="D73" s="18"/>
      <c r="E73" s="18"/>
      <c r="F73" s="18">
        <f>(F21/F27)*100</f>
        <v>125.11363553454302</v>
      </c>
      <c r="G73" s="18"/>
      <c r="H73" s="18"/>
    </row>
    <row r="74" spans="1:8" ht="15.75" thickBot="1">
      <c r="A74" s="19"/>
      <c r="B74" s="19"/>
      <c r="C74" s="19"/>
      <c r="D74" s="19"/>
      <c r="E74" s="19"/>
      <c r="F74" s="19"/>
      <c r="G74" s="19"/>
      <c r="H74" s="19"/>
    </row>
    <row r="75" spans="1:8" ht="15.75" thickTop="1">
      <c r="A75" s="22" t="s">
        <v>36</v>
      </c>
    </row>
    <row r="76" spans="1:8">
      <c r="A76" s="22" t="s">
        <v>97</v>
      </c>
    </row>
    <row r="77" spans="1:8">
      <c r="A77" s="22" t="s">
        <v>98</v>
      </c>
    </row>
    <row r="78" spans="1:8">
      <c r="A78" s="22" t="s">
        <v>57</v>
      </c>
      <c r="B78" s="20"/>
      <c r="C78" s="20"/>
      <c r="D78" s="20"/>
    </row>
    <row r="79" spans="1:8">
      <c r="A79" s="22"/>
    </row>
    <row r="80" spans="1:8">
      <c r="A80" s="22"/>
    </row>
    <row r="82" spans="1:1">
      <c r="A82" t="s">
        <v>37</v>
      </c>
    </row>
    <row r="84" spans="1:1">
      <c r="A84" t="s">
        <v>52</v>
      </c>
    </row>
    <row r="85" spans="1:1">
      <c r="A85" t="s">
        <v>53</v>
      </c>
    </row>
    <row r="88" spans="1:1">
      <c r="A88" s="39" t="s">
        <v>144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87"/>
  <sheetViews>
    <sheetView topLeftCell="A51" zoomScale="80" zoomScaleNormal="80" workbookViewId="0">
      <selection activeCell="E67" sqref="E67"/>
    </sheetView>
  </sheetViews>
  <sheetFormatPr baseColWidth="10" defaultColWidth="11.42578125" defaultRowHeight="15"/>
  <cols>
    <col min="1" max="1" width="50.85546875" customWidth="1"/>
    <col min="2" max="2" width="15.5703125" bestFit="1" customWidth="1"/>
    <col min="3" max="7" width="13.7109375" customWidth="1"/>
    <col min="8" max="8" width="18.28515625" customWidth="1"/>
  </cols>
  <sheetData>
    <row r="2" spans="1:8" ht="15.75">
      <c r="A2" s="42" t="s">
        <v>120</v>
      </c>
      <c r="B2" s="42"/>
      <c r="C2" s="42"/>
      <c r="D2" s="42"/>
      <c r="E2" s="42"/>
      <c r="F2" s="42"/>
      <c r="G2" s="42"/>
      <c r="H2" s="42"/>
    </row>
    <row r="4" spans="1:8">
      <c r="A4" s="43" t="s">
        <v>0</v>
      </c>
      <c r="B4" s="46" t="s">
        <v>1</v>
      </c>
      <c r="C4" s="49" t="s">
        <v>2</v>
      </c>
      <c r="D4" s="50"/>
      <c r="E4" s="51"/>
      <c r="F4" s="49" t="s">
        <v>3</v>
      </c>
      <c r="G4" s="50"/>
      <c r="H4" s="51"/>
    </row>
    <row r="5" spans="1:8" ht="15" customHeight="1">
      <c r="A5" s="44"/>
      <c r="B5" s="47"/>
      <c r="C5" s="52" t="s">
        <v>4</v>
      </c>
      <c r="D5" s="58" t="s">
        <v>5</v>
      </c>
      <c r="E5" s="54" t="s">
        <v>60</v>
      </c>
      <c r="F5" s="56" t="s">
        <v>4</v>
      </c>
      <c r="G5" s="58" t="s">
        <v>54</v>
      </c>
      <c r="H5" s="59" t="s">
        <v>6</v>
      </c>
    </row>
    <row r="6" spans="1:8" ht="15.75" thickBot="1">
      <c r="A6" s="45"/>
      <c r="B6" s="48"/>
      <c r="C6" s="53"/>
      <c r="D6" s="55"/>
      <c r="E6" s="55"/>
      <c r="F6" s="57"/>
      <c r="G6" s="55"/>
      <c r="H6" s="60"/>
    </row>
    <row r="7" spans="1:8" ht="15.75" thickTop="1"/>
    <row r="8" spans="1:8">
      <c r="A8" s="1" t="s">
        <v>7</v>
      </c>
    </row>
    <row r="10" spans="1:8">
      <c r="A10" t="s">
        <v>50</v>
      </c>
    </row>
    <row r="11" spans="1:8">
      <c r="A11" s="2" t="s">
        <v>77</v>
      </c>
      <c r="B11" s="4">
        <f>C11+F11</f>
        <v>246.66666666666669</v>
      </c>
      <c r="C11" s="4">
        <f>D11+E11</f>
        <v>204.66666666666669</v>
      </c>
      <c r="D11" s="4">
        <f>+'I Trimestre'!D11+'II Trimestre'!D11</f>
        <v>36</v>
      </c>
      <c r="E11" s="4">
        <f>+'I Trimestre'!E11+'II Trimestre'!E11</f>
        <v>168.66666666666669</v>
      </c>
      <c r="F11" s="23">
        <f>SUM(G11:H11)</f>
        <v>42</v>
      </c>
      <c r="G11" s="23">
        <f>+'I Trimestre'!G11+'II Trimestre'!G11</f>
        <v>42</v>
      </c>
      <c r="H11" s="5">
        <f>+'I Trimestre'!H11+'II Trimestre'!H11</f>
        <v>0</v>
      </c>
    </row>
    <row r="12" spans="1:8">
      <c r="A12" s="27" t="s">
        <v>49</v>
      </c>
      <c r="B12" s="4">
        <f>C12+F12</f>
        <v>228</v>
      </c>
      <c r="C12" s="4">
        <f>D12+E12</f>
        <v>228</v>
      </c>
      <c r="D12" s="4">
        <f>+'I Trimestre'!D12+'II Trimestre'!D12</f>
        <v>59</v>
      </c>
      <c r="E12" s="4">
        <f>+'I Trimestre'!E12+'II Trimestre'!E12</f>
        <v>169</v>
      </c>
      <c r="F12" s="40">
        <f t="shared" ref="F12:F15" si="0">SUM(G12:H12)</f>
        <v>0</v>
      </c>
      <c r="G12" s="40">
        <f>+'I Trimestre'!G12+'II Trimestre'!G12</f>
        <v>0</v>
      </c>
      <c r="H12" s="4">
        <f>+'I Trimestre'!H12+'II Trimestre'!H12</f>
        <v>0</v>
      </c>
    </row>
    <row r="13" spans="1:8">
      <c r="A13" s="2" t="s">
        <v>121</v>
      </c>
      <c r="B13" s="4">
        <f>C13+F13</f>
        <v>309</v>
      </c>
      <c r="C13" s="4">
        <f>D13+E13</f>
        <v>174</v>
      </c>
      <c r="D13" s="4">
        <f>+'I Trimestre'!D13+'II Trimestre'!D13</f>
        <v>48</v>
      </c>
      <c r="E13" s="4">
        <f>+'I Trimestre'!E13+'II Trimestre'!E13</f>
        <v>126</v>
      </c>
      <c r="F13" s="40">
        <f t="shared" si="0"/>
        <v>135</v>
      </c>
      <c r="G13" s="4">
        <f>+'I Trimestre'!G13+'II Trimestre'!G13</f>
        <v>135</v>
      </c>
      <c r="H13" s="40">
        <f>+'I Trimestre'!H13+'II Trimestre'!H13</f>
        <v>0</v>
      </c>
    </row>
    <row r="14" spans="1:8">
      <c r="A14" s="2" t="s">
        <v>122</v>
      </c>
      <c r="B14" s="4">
        <f>C14+F14</f>
        <v>431</v>
      </c>
      <c r="C14" s="4">
        <f>D14+E14</f>
        <v>297</v>
      </c>
      <c r="D14" s="4">
        <f>(+'I Trimestre'!D14+'II Trimestre'!D14)</f>
        <v>54</v>
      </c>
      <c r="E14" s="4">
        <f>+'I Trimestre'!E14+'II Trimestre'!E14</f>
        <v>243</v>
      </c>
      <c r="F14" s="40">
        <f t="shared" si="0"/>
        <v>134</v>
      </c>
      <c r="G14" s="4">
        <f>+'I Trimestre'!G14+'II Trimestre'!G14</f>
        <v>134</v>
      </c>
      <c r="H14" s="40">
        <f>+'I Trimestre'!H14+'II Trimestre'!H14</f>
        <v>0</v>
      </c>
    </row>
    <row r="15" spans="1:8">
      <c r="A15" s="27" t="s">
        <v>49</v>
      </c>
      <c r="B15" s="4">
        <f>C15+F15</f>
        <v>335.33333333333331</v>
      </c>
      <c r="C15" s="4">
        <f>D15+E15</f>
        <v>335.33333333333331</v>
      </c>
      <c r="D15" s="4">
        <f>(+'I Trimestre'!D15+'II Trimestre'!D15)</f>
        <v>92</v>
      </c>
      <c r="E15" s="4">
        <f>+'I Trimestre'!E15+'II Trimestre'!E15</f>
        <v>243.33333333333331</v>
      </c>
      <c r="F15" s="40">
        <f t="shared" si="0"/>
        <v>0</v>
      </c>
      <c r="G15" s="4">
        <f>+'I Trimestre'!G15+'II Trimestre'!G15</f>
        <v>0</v>
      </c>
      <c r="H15" s="40">
        <f>+'I Trimestre'!H15+'II Trimestre'!H15</f>
        <v>0</v>
      </c>
    </row>
    <row r="16" spans="1:8">
      <c r="A16" s="2" t="s">
        <v>92</v>
      </c>
      <c r="B16" s="4">
        <f>+'II Trimestre'!B16</f>
        <v>1952</v>
      </c>
      <c r="C16" s="4">
        <f>+'II Trimestre'!C16</f>
        <v>348</v>
      </c>
      <c r="D16" s="4">
        <f>+'II Trimestre'!D16</f>
        <v>96</v>
      </c>
      <c r="E16" s="4">
        <f>+'II Trimestre'!E16</f>
        <v>252</v>
      </c>
      <c r="F16" s="40">
        <f>+'II Trimestre'!F16</f>
        <v>1604</v>
      </c>
      <c r="G16" s="4">
        <f>+'II Trimestre'!G16</f>
        <v>1604</v>
      </c>
      <c r="H16" s="40">
        <f>+'II Trimestre'!H16</f>
        <v>0</v>
      </c>
    </row>
    <row r="17" spans="1:14">
      <c r="F17" s="5"/>
    </row>
    <row r="18" spans="1:14">
      <c r="A18" s="6" t="s">
        <v>8</v>
      </c>
      <c r="F18" s="5"/>
    </row>
    <row r="19" spans="1:14">
      <c r="A19" s="2" t="s">
        <v>77</v>
      </c>
      <c r="B19" s="4">
        <f>C19+F19</f>
        <v>24536310.080000002</v>
      </c>
      <c r="C19" s="4">
        <f>D19+E19</f>
        <v>24536310.080000002</v>
      </c>
      <c r="D19" s="4">
        <f>+'I Trimestre'!D19+'II Trimestre'!D19</f>
        <v>21490550.080000002</v>
      </c>
      <c r="E19" s="4">
        <f>+'I Trimestre'!E19+'II Trimestre'!E19</f>
        <v>3045760</v>
      </c>
      <c r="F19" s="23">
        <f>SUM(G19:H19)</f>
        <v>0</v>
      </c>
      <c r="G19" s="4">
        <f>+'I Trimestre'!G19+'II Trimestre'!G19</f>
        <v>0</v>
      </c>
      <c r="H19" s="4">
        <f>+'I Trimestre'!H19+'II Trimestre'!H19</f>
        <v>0</v>
      </c>
      <c r="I19" s="35"/>
    </row>
    <row r="20" spans="1:14">
      <c r="A20" s="2" t="s">
        <v>121</v>
      </c>
      <c r="B20" s="4">
        <f t="shared" ref="B20:B21" si="1">C20+F20</f>
        <v>48060828.200000003</v>
      </c>
      <c r="C20" s="4">
        <f t="shared" ref="C20:C21" si="2">D20+E20</f>
        <v>46740528.200000003</v>
      </c>
      <c r="D20" s="4">
        <f>'I Trimestre'!D20+'II Trimestre'!D20</f>
        <v>42740528</v>
      </c>
      <c r="E20" s="4">
        <f>'I Trimestre'!E20+'II Trimestre'!E20</f>
        <v>4000000.2</v>
      </c>
      <c r="F20" s="23">
        <f t="shared" ref="F20" si="3">SUM(G20:H20)</f>
        <v>1320300</v>
      </c>
      <c r="G20" s="4">
        <f>'I Trimestre'!G20+'II Trimestre'!G20</f>
        <v>1320300</v>
      </c>
      <c r="H20" s="4">
        <f>+'I Trimestre'!H20+'II Trimestre'!H20</f>
        <v>0</v>
      </c>
    </row>
    <row r="21" spans="1:14">
      <c r="A21" s="2" t="s">
        <v>122</v>
      </c>
      <c r="B21" s="4">
        <f t="shared" si="1"/>
        <v>32566919.470000003</v>
      </c>
      <c r="C21" s="4">
        <f t="shared" si="2"/>
        <v>28799749.470000003</v>
      </c>
      <c r="D21" s="4">
        <f>+'I Trimestre'!D21+'II Trimestre'!D21</f>
        <v>25292744.470000003</v>
      </c>
      <c r="E21" s="4">
        <f>+'I Trimestre'!E21+'II Trimestre'!E21</f>
        <v>3507005</v>
      </c>
      <c r="F21" s="4">
        <f>SUM(G21:H21)</f>
        <v>3767170</v>
      </c>
      <c r="G21" s="4">
        <f>+'I Trimestre'!G21+'II Trimestre'!G21</f>
        <v>3767170</v>
      </c>
      <c r="H21" s="4">
        <f>+'I Trimestre'!H21+'II Trimestre'!H21</f>
        <v>0</v>
      </c>
      <c r="I21" s="35"/>
      <c r="J21" s="4"/>
    </row>
    <row r="22" spans="1:14">
      <c r="A22" s="2" t="s">
        <v>92</v>
      </c>
      <c r="B22" s="3">
        <f>+'II Trimestre'!B22</f>
        <v>89715527.980000004</v>
      </c>
      <c r="C22" s="3">
        <f>+'II Trimestre'!C22</f>
        <v>77715527.980000004</v>
      </c>
      <c r="D22" s="3">
        <f>+'II Trimestre'!D22</f>
        <v>69715528</v>
      </c>
      <c r="E22" s="3">
        <f>+'II Trimestre'!E22</f>
        <v>7999999.9799999995</v>
      </c>
      <c r="F22" s="3">
        <f>+'II Trimestre'!F22</f>
        <v>12000000</v>
      </c>
      <c r="G22" s="3">
        <f>+'II Trimestre'!G22</f>
        <v>12000000</v>
      </c>
      <c r="H22" s="3">
        <f>+'II Trimestre'!H22</f>
        <v>0</v>
      </c>
    </row>
    <row r="23" spans="1:14">
      <c r="A23" s="2" t="s">
        <v>123</v>
      </c>
      <c r="B23" s="3">
        <f>+C23+F23</f>
        <v>32566919.470000003</v>
      </c>
      <c r="C23" s="3">
        <f>+D23+E23</f>
        <v>28799749.470000003</v>
      </c>
      <c r="D23" s="3">
        <f>D21</f>
        <v>25292744.470000003</v>
      </c>
      <c r="E23" s="3">
        <f>+E21</f>
        <v>3507005</v>
      </c>
      <c r="F23" s="3">
        <f>H23+G23</f>
        <v>3767170</v>
      </c>
      <c r="G23" s="3">
        <f>G21</f>
        <v>3767170</v>
      </c>
      <c r="H23" s="3">
        <f>H21</f>
        <v>0</v>
      </c>
    </row>
    <row r="24" spans="1:14">
      <c r="B24" s="3"/>
      <c r="C24" s="3"/>
      <c r="D24" s="3"/>
    </row>
    <row r="25" spans="1:14">
      <c r="A25" s="7" t="s">
        <v>9</v>
      </c>
      <c r="B25" s="8"/>
      <c r="C25" s="8"/>
      <c r="D25" s="8"/>
      <c r="E25" s="8"/>
      <c r="F25" s="8"/>
      <c r="G25" s="8"/>
      <c r="H25" s="8"/>
    </row>
    <row r="26" spans="1:14">
      <c r="A26" s="9" t="s">
        <v>121</v>
      </c>
      <c r="B26" s="8">
        <f>+B20</f>
        <v>48060828.200000003</v>
      </c>
      <c r="C26" s="8">
        <f>+C20</f>
        <v>46740528.200000003</v>
      </c>
      <c r="D26" s="8"/>
      <c r="E26" s="8"/>
      <c r="F26" s="8">
        <f>F20</f>
        <v>1320300</v>
      </c>
      <c r="G26" s="8"/>
      <c r="H26" s="8"/>
    </row>
    <row r="27" spans="1:14">
      <c r="A27" s="9" t="s">
        <v>122</v>
      </c>
      <c r="B27" s="8">
        <f>'I Trimestre'!B27+'II Trimestre'!B27</f>
        <v>43058367</v>
      </c>
      <c r="C27" s="8">
        <f>+'I Trimestre'!C27+'II Trimestre'!C27</f>
        <v>41963867</v>
      </c>
      <c r="D27" s="8"/>
      <c r="E27" s="8"/>
      <c r="F27" s="8">
        <f>+'I Trimestre'!F27+'II Trimestre'!F27</f>
        <v>1094500</v>
      </c>
      <c r="G27" s="8"/>
      <c r="H27" s="8"/>
    </row>
    <row r="29" spans="1:14">
      <c r="A29" t="s">
        <v>10</v>
      </c>
    </row>
    <row r="30" spans="1:14">
      <c r="A30" s="10" t="s">
        <v>78</v>
      </c>
      <c r="B30" s="21">
        <v>1</v>
      </c>
      <c r="C30" s="21">
        <v>1</v>
      </c>
      <c r="D30" s="21">
        <v>1</v>
      </c>
      <c r="E30" s="21">
        <v>1</v>
      </c>
      <c r="F30" s="21">
        <v>1</v>
      </c>
      <c r="G30" s="21">
        <v>1</v>
      </c>
      <c r="H30" s="21">
        <v>1</v>
      </c>
      <c r="I30" s="35"/>
      <c r="J30" s="35"/>
      <c r="N30" t="s">
        <v>59</v>
      </c>
    </row>
    <row r="31" spans="1:14">
      <c r="A31" s="10" t="s">
        <v>124</v>
      </c>
      <c r="B31" s="21">
        <v>0.99</v>
      </c>
      <c r="C31" s="21">
        <v>0.99</v>
      </c>
      <c r="D31" s="21">
        <v>0.99</v>
      </c>
      <c r="E31" s="21">
        <v>0.99</v>
      </c>
      <c r="F31" s="21">
        <v>0.99</v>
      </c>
      <c r="G31" s="21">
        <v>0.99</v>
      </c>
      <c r="H31" s="21">
        <v>0.99</v>
      </c>
      <c r="I31" s="35"/>
      <c r="J31" s="35"/>
    </row>
    <row r="32" spans="1:14">
      <c r="A32" s="36" t="s">
        <v>11</v>
      </c>
      <c r="B32" s="4"/>
      <c r="C32" s="37"/>
      <c r="D32" s="37"/>
      <c r="E32" s="37"/>
      <c r="F32" s="37"/>
      <c r="G32" s="37"/>
      <c r="H32" s="37"/>
    </row>
    <row r="34" spans="1:9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9">
      <c r="A35" s="12" t="s">
        <v>79</v>
      </c>
      <c r="B35" s="13">
        <f>B19/B30</f>
        <v>24536310.080000002</v>
      </c>
      <c r="C35" s="13">
        <f t="shared" ref="C35:H35" si="4">C19/C30</f>
        <v>24536310.080000002</v>
      </c>
      <c r="D35" s="13">
        <f>D19/D30</f>
        <v>21490550.080000002</v>
      </c>
      <c r="E35" s="13">
        <f t="shared" si="4"/>
        <v>3045760</v>
      </c>
      <c r="F35" s="13">
        <f t="shared" si="4"/>
        <v>0</v>
      </c>
      <c r="G35" s="13">
        <f t="shared" si="4"/>
        <v>0</v>
      </c>
      <c r="H35" s="13">
        <f t="shared" si="4"/>
        <v>0</v>
      </c>
    </row>
    <row r="36" spans="1:9">
      <c r="A36" s="12" t="s">
        <v>125</v>
      </c>
      <c r="B36" s="13">
        <f t="shared" ref="B36:H36" si="5">B21/B31</f>
        <v>32895878.252525255</v>
      </c>
      <c r="C36" s="13">
        <f t="shared" si="5"/>
        <v>29090656.030303035</v>
      </c>
      <c r="D36" s="13">
        <f t="shared" si="5"/>
        <v>25548226.737373739</v>
      </c>
      <c r="E36" s="13">
        <f t="shared" si="5"/>
        <v>3542429.2929292931</v>
      </c>
      <c r="F36" s="13">
        <f t="shared" si="5"/>
        <v>3805222.2222222225</v>
      </c>
      <c r="G36" s="13">
        <f t="shared" si="5"/>
        <v>3805222.2222222225</v>
      </c>
      <c r="H36" s="12">
        <f t="shared" si="5"/>
        <v>0</v>
      </c>
      <c r="I36" s="35"/>
    </row>
    <row r="37" spans="1:9">
      <c r="A37" s="12" t="s">
        <v>80</v>
      </c>
      <c r="B37" s="13">
        <f t="shared" ref="B37:H37" si="6">B35/B11</f>
        <v>99471.527351351353</v>
      </c>
      <c r="C37" s="13">
        <f t="shared" si="6"/>
        <v>119884.25120521172</v>
      </c>
      <c r="D37" s="13">
        <f t="shared" si="6"/>
        <v>596959.72444444452</v>
      </c>
      <c r="E37" s="13">
        <f t="shared" si="6"/>
        <v>18057.86561264822</v>
      </c>
      <c r="F37" s="13">
        <f t="shared" si="6"/>
        <v>0</v>
      </c>
      <c r="G37" s="13">
        <f t="shared" si="6"/>
        <v>0</v>
      </c>
      <c r="H37" s="13" t="e">
        <f t="shared" si="6"/>
        <v>#DIV/0!</v>
      </c>
    </row>
    <row r="38" spans="1:9">
      <c r="A38" s="12" t="s">
        <v>126</v>
      </c>
      <c r="B38" s="13">
        <f t="shared" ref="B38:H38" si="7">B36/B14</f>
        <v>76324.543509339346</v>
      </c>
      <c r="C38" s="13">
        <f t="shared" si="7"/>
        <v>97948.336802367121</v>
      </c>
      <c r="D38" s="13">
        <f t="shared" si="7"/>
        <v>473115.30995136552</v>
      </c>
      <c r="E38" s="13">
        <f t="shared" si="7"/>
        <v>14577.898324811906</v>
      </c>
      <c r="F38" s="13">
        <f t="shared" si="7"/>
        <v>28397.180762852407</v>
      </c>
      <c r="G38" s="13">
        <f t="shared" si="7"/>
        <v>28397.180762852407</v>
      </c>
      <c r="H38" s="13" t="e">
        <f t="shared" si="7"/>
        <v>#DIV/0!</v>
      </c>
    </row>
    <row r="40" spans="1:9">
      <c r="A40" s="1" t="s">
        <v>13</v>
      </c>
    </row>
    <row r="42" spans="1:9">
      <c r="A42" t="s">
        <v>14</v>
      </c>
    </row>
    <row r="43" spans="1:9">
      <c r="A43" t="s">
        <v>15</v>
      </c>
      <c r="B43" s="14" t="s">
        <v>51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</row>
    <row r="44" spans="1:9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</row>
    <row r="46" spans="1:9">
      <c r="A46" t="s">
        <v>17</v>
      </c>
    </row>
    <row r="47" spans="1:9">
      <c r="A47" t="s">
        <v>18</v>
      </c>
      <c r="B47" s="14">
        <f>B14/B13*100</f>
        <v>139.48220064724919</v>
      </c>
      <c r="C47" s="14">
        <f t="shared" ref="C47:H47" si="8">C14/C13*100</f>
        <v>170.68965517241378</v>
      </c>
      <c r="D47" s="14">
        <f t="shared" si="8"/>
        <v>112.5</v>
      </c>
      <c r="E47" s="14">
        <f t="shared" si="8"/>
        <v>192.85714285714286</v>
      </c>
      <c r="F47" s="14">
        <f t="shared" si="8"/>
        <v>99.259259259259252</v>
      </c>
      <c r="G47" s="14">
        <f t="shared" si="8"/>
        <v>99.259259259259252</v>
      </c>
      <c r="H47" s="14" t="e">
        <f t="shared" si="8"/>
        <v>#DIV/0!</v>
      </c>
    </row>
    <row r="48" spans="1:9">
      <c r="A48" t="s">
        <v>19</v>
      </c>
      <c r="B48" s="14">
        <f>B21/B20*100</f>
        <v>67.761877374389485</v>
      </c>
      <c r="C48" s="14">
        <f t="shared" ref="C48:F48" si="9">C21/C20*100</f>
        <v>61.616225958695949</v>
      </c>
      <c r="D48" s="14">
        <f t="shared" si="9"/>
        <v>59.177426329408014</v>
      </c>
      <c r="E48" s="14">
        <f t="shared" si="9"/>
        <v>87.675120616243959</v>
      </c>
      <c r="F48" s="14">
        <f t="shared" si="9"/>
        <v>285.32681966219798</v>
      </c>
      <c r="G48" s="14">
        <f>G21/G20*100</f>
        <v>285.32681966219798</v>
      </c>
      <c r="H48" s="14" t="e">
        <f>H21/H20*100</f>
        <v>#DIV/0!</v>
      </c>
    </row>
    <row r="49" spans="1:8">
      <c r="A49" s="12" t="s">
        <v>20</v>
      </c>
      <c r="B49" s="15">
        <f t="shared" ref="B49:H49" si="10">AVERAGE(B47:B48)</f>
        <v>103.62203901081934</v>
      </c>
      <c r="C49" s="15">
        <f t="shared" si="10"/>
        <v>116.15294056555487</v>
      </c>
      <c r="D49" s="15">
        <f t="shared" si="10"/>
        <v>85.838713164704004</v>
      </c>
      <c r="E49" s="15">
        <f t="shared" si="10"/>
        <v>140.26613173669341</v>
      </c>
      <c r="F49" s="15">
        <f t="shared" si="10"/>
        <v>192.29303946072861</v>
      </c>
      <c r="G49" s="15">
        <f t="shared" si="10"/>
        <v>192.29303946072861</v>
      </c>
      <c r="H49" s="15" t="e">
        <f t="shared" si="10"/>
        <v>#DIV/0!</v>
      </c>
    </row>
    <row r="50" spans="1:8">
      <c r="B50" s="14"/>
      <c r="C50" s="14"/>
      <c r="D50" s="14"/>
      <c r="E50" s="14"/>
      <c r="F50" s="14"/>
      <c r="G50" s="14"/>
      <c r="H50" s="14"/>
    </row>
    <row r="51" spans="1:8">
      <c r="A51" t="s">
        <v>21</v>
      </c>
    </row>
    <row r="52" spans="1:8">
      <c r="A52" t="s">
        <v>22</v>
      </c>
      <c r="B52" s="14">
        <f>(B14/B16)*100</f>
        <v>22.079918032786885</v>
      </c>
      <c r="C52" s="14">
        <f t="shared" ref="C52:H52" si="11">(C14/C16)*100</f>
        <v>85.34482758620689</v>
      </c>
      <c r="D52" s="14">
        <f t="shared" si="11"/>
        <v>56.25</v>
      </c>
      <c r="E52" s="14">
        <f t="shared" si="11"/>
        <v>96.428571428571431</v>
      </c>
      <c r="F52" s="14">
        <f t="shared" si="11"/>
        <v>8.3541147132169584</v>
      </c>
      <c r="G52" s="14">
        <f t="shared" si="11"/>
        <v>8.3541147132169584</v>
      </c>
      <c r="H52" s="14" t="e">
        <f t="shared" si="11"/>
        <v>#DIV/0!</v>
      </c>
    </row>
    <row r="53" spans="1:8">
      <c r="A53" t="s">
        <v>23</v>
      </c>
      <c r="B53" s="14">
        <f>B21/B22*100</f>
        <v>36.300203769920451</v>
      </c>
      <c r="C53" s="14">
        <f t="shared" ref="C53:F53" si="12">C21/C22*100</f>
        <v>37.057908784215662</v>
      </c>
      <c r="D53" s="14">
        <f t="shared" si="12"/>
        <v>36.279929587566208</v>
      </c>
      <c r="E53" s="14">
        <f t="shared" si="12"/>
        <v>43.83756260959391</v>
      </c>
      <c r="F53" s="14">
        <f t="shared" si="12"/>
        <v>31.393083333333333</v>
      </c>
      <c r="G53" s="14">
        <f>G21/G22*100</f>
        <v>31.393083333333333</v>
      </c>
      <c r="H53" s="14" t="e">
        <f>H21/H22*100</f>
        <v>#DIV/0!</v>
      </c>
    </row>
    <row r="54" spans="1:8">
      <c r="A54" t="s">
        <v>24</v>
      </c>
      <c r="B54" s="14">
        <f t="shared" ref="B54:H54" si="13">(B52+B53)/2</f>
        <v>29.190060901353668</v>
      </c>
      <c r="C54" s="14">
        <f t="shared" si="13"/>
        <v>61.20136818521128</v>
      </c>
      <c r="D54" s="14">
        <f t="shared" si="13"/>
        <v>46.264964793783108</v>
      </c>
      <c r="E54" s="14">
        <f t="shared" si="13"/>
        <v>70.133067019082674</v>
      </c>
      <c r="F54" s="14">
        <f t="shared" si="13"/>
        <v>19.873599023275148</v>
      </c>
      <c r="G54" s="14">
        <f t="shared" si="13"/>
        <v>19.873599023275148</v>
      </c>
      <c r="H54" s="14" t="e">
        <f t="shared" si="13"/>
        <v>#DIV/0!</v>
      </c>
    </row>
    <row r="56" spans="1:8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8">
      <c r="A57" t="s">
        <v>25</v>
      </c>
      <c r="B57" s="14">
        <f t="shared" ref="B57:F57" si="14">B23/B21*100</f>
        <v>100</v>
      </c>
      <c r="C57" s="14">
        <f t="shared" si="14"/>
        <v>100</v>
      </c>
      <c r="D57" s="14"/>
      <c r="E57" s="14"/>
      <c r="F57" s="14">
        <f t="shared" si="14"/>
        <v>100</v>
      </c>
      <c r="G57" s="14"/>
      <c r="H57" s="14"/>
    </row>
    <row r="59" spans="1:8">
      <c r="A59" t="s">
        <v>26</v>
      </c>
    </row>
    <row r="60" spans="1:8">
      <c r="A60" t="s">
        <v>27</v>
      </c>
      <c r="B60" s="14">
        <f>((B14/B11)-1)*100</f>
        <v>74.729729729729712</v>
      </c>
      <c r="C60" s="14">
        <f t="shared" ref="C60:H60" si="15">((C14/C11)-1)*100</f>
        <v>45.114006514657959</v>
      </c>
      <c r="D60" s="14">
        <f t="shared" si="15"/>
        <v>50</v>
      </c>
      <c r="E60" s="14">
        <f t="shared" si="15"/>
        <v>44.071146245059282</v>
      </c>
      <c r="F60" s="14">
        <f t="shared" si="15"/>
        <v>219.04761904761907</v>
      </c>
      <c r="G60" s="14">
        <f t="shared" si="15"/>
        <v>219.04761904761907</v>
      </c>
      <c r="H60" s="14" t="e">
        <f t="shared" si="15"/>
        <v>#DIV/0!</v>
      </c>
    </row>
    <row r="61" spans="1:8">
      <c r="A61" t="s">
        <v>28</v>
      </c>
      <c r="B61" s="14">
        <f>((B36/B35)-1)*100</f>
        <v>34.070192890736628</v>
      </c>
      <c r="C61" s="14">
        <f>((C36/C35)-1)*100</f>
        <v>18.561657948785726</v>
      </c>
      <c r="D61" s="14">
        <f t="shared" ref="D61:H61" si="16">((D36/D35)-1)*100</f>
        <v>18.881213567213329</v>
      </c>
      <c r="E61" s="14">
        <f t="shared" si="16"/>
        <v>16.306908388359332</v>
      </c>
      <c r="F61" s="14" t="e">
        <f t="shared" si="16"/>
        <v>#DIV/0!</v>
      </c>
      <c r="G61" s="14" t="e">
        <f t="shared" si="16"/>
        <v>#DIV/0!</v>
      </c>
      <c r="H61" s="14" t="e">
        <f t="shared" si="16"/>
        <v>#DIV/0!</v>
      </c>
    </row>
    <row r="62" spans="1:8">
      <c r="A62" s="12" t="s">
        <v>29</v>
      </c>
      <c r="B62" s="15">
        <f t="shared" ref="B62:H62" si="17">((B38/B37)-1)*100</f>
        <v>-23.269959211798053</v>
      </c>
      <c r="C62" s="15">
        <f t="shared" si="17"/>
        <v>-18.297578024069093</v>
      </c>
      <c r="D62" s="15">
        <f t="shared" si="17"/>
        <v>-20.745857621857777</v>
      </c>
      <c r="E62" s="15">
        <f t="shared" si="17"/>
        <v>-19.271199390247151</v>
      </c>
      <c r="F62" s="15" t="e">
        <f t="shared" si="17"/>
        <v>#DIV/0!</v>
      </c>
      <c r="G62" s="15" t="e">
        <f t="shared" si="17"/>
        <v>#DIV/0!</v>
      </c>
      <c r="H62" s="15" t="e">
        <f t="shared" si="17"/>
        <v>#DIV/0!</v>
      </c>
    </row>
    <row r="63" spans="1:8">
      <c r="B63" s="16"/>
      <c r="C63" s="16"/>
      <c r="D63" s="16"/>
      <c r="E63" s="16"/>
      <c r="F63" s="16"/>
      <c r="G63" s="16"/>
      <c r="H63" s="16"/>
    </row>
    <row r="64" spans="1:8">
      <c r="A64" t="s">
        <v>30</v>
      </c>
    </row>
    <row r="65" spans="1:8">
      <c r="A65" t="s">
        <v>42</v>
      </c>
      <c r="B65" s="3">
        <f t="shared" ref="B65:H65" si="18">B20/B13</f>
        <v>155536.66084142396</v>
      </c>
      <c r="C65" s="3">
        <f t="shared" si="18"/>
        <v>268623.72528735636</v>
      </c>
      <c r="D65" s="3">
        <f t="shared" si="18"/>
        <v>890427.66666666663</v>
      </c>
      <c r="E65" s="3">
        <f t="shared" si="18"/>
        <v>31746.033333333336</v>
      </c>
      <c r="F65" s="3">
        <f t="shared" si="18"/>
        <v>9780</v>
      </c>
      <c r="G65" s="3">
        <f t="shared" si="18"/>
        <v>9780</v>
      </c>
      <c r="H65" s="3" t="e">
        <f t="shared" si="18"/>
        <v>#DIV/0!</v>
      </c>
    </row>
    <row r="66" spans="1:8">
      <c r="A66" t="s">
        <v>43</v>
      </c>
      <c r="B66" s="3">
        <f t="shared" ref="B66:H66" si="19">B21/B14</f>
        <v>75561.298074245948</v>
      </c>
      <c r="C66" s="3">
        <f t="shared" si="19"/>
        <v>96968.853434343444</v>
      </c>
      <c r="D66" s="3">
        <f t="shared" si="19"/>
        <v>468384.15685185191</v>
      </c>
      <c r="E66" s="3">
        <f t="shared" si="19"/>
        <v>14432.119341563786</v>
      </c>
      <c r="F66" s="3">
        <f t="shared" si="19"/>
        <v>28113.208955223879</v>
      </c>
      <c r="G66" s="3">
        <f t="shared" si="19"/>
        <v>28113.208955223879</v>
      </c>
      <c r="H66" s="3" t="e">
        <f t="shared" si="19"/>
        <v>#DIV/0!</v>
      </c>
    </row>
    <row r="67" spans="1:8">
      <c r="A67" s="12" t="s">
        <v>31</v>
      </c>
      <c r="B67" s="15">
        <f>(B66/B65)*B49</f>
        <v>50.340644671165222</v>
      </c>
      <c r="C67" s="15">
        <f t="shared" ref="C67:H67" si="20">(C66/C65)*C49</f>
        <v>41.92934729656001</v>
      </c>
      <c r="D67" s="15">
        <f t="shared" si="20"/>
        <v>45.153014440137397</v>
      </c>
      <c r="E67" s="15">
        <f t="shared" si="20"/>
        <v>63.766629724977712</v>
      </c>
      <c r="F67" s="15">
        <f t="shared" si="20"/>
        <v>552.75811850660273</v>
      </c>
      <c r="G67" s="15">
        <f t="shared" si="20"/>
        <v>552.75811850660273</v>
      </c>
      <c r="H67" s="15" t="e">
        <f t="shared" si="20"/>
        <v>#DIV/0!</v>
      </c>
    </row>
    <row r="68" spans="1:8" s="5" customFormat="1">
      <c r="A68" t="s">
        <v>40</v>
      </c>
      <c r="B68" s="26">
        <f>B20/(B13*6)</f>
        <v>25922.776806903992</v>
      </c>
      <c r="C68" s="26">
        <f t="shared" ref="C68:H68" si="21">C20/(C13*6)</f>
        <v>44770.620881226059</v>
      </c>
      <c r="D68" s="26">
        <f t="shared" si="21"/>
        <v>148404.61111111112</v>
      </c>
      <c r="E68" s="26">
        <f t="shared" si="21"/>
        <v>5291.0055555555555</v>
      </c>
      <c r="F68" s="26">
        <f t="shared" si="21"/>
        <v>1630</v>
      </c>
      <c r="G68" s="26">
        <f t="shared" si="21"/>
        <v>1630</v>
      </c>
      <c r="H68" s="26" t="e">
        <f t="shared" si="21"/>
        <v>#DIV/0!</v>
      </c>
    </row>
    <row r="69" spans="1:8" s="5" customFormat="1">
      <c r="A69" t="s">
        <v>41</v>
      </c>
      <c r="B69" s="26">
        <f>B21/(B14*6)</f>
        <v>12593.549679040991</v>
      </c>
      <c r="C69" s="26">
        <f t="shared" ref="C69:H69" si="22">C21/(C14*6)</f>
        <v>16161.475572390575</v>
      </c>
      <c r="D69" s="26">
        <f t="shared" si="22"/>
        <v>78064.026141975322</v>
      </c>
      <c r="E69" s="26">
        <f t="shared" si="22"/>
        <v>2405.3532235939642</v>
      </c>
      <c r="F69" s="26">
        <f t="shared" si="22"/>
        <v>4685.5348258706472</v>
      </c>
      <c r="G69" s="26">
        <f t="shared" si="22"/>
        <v>4685.5348258706472</v>
      </c>
      <c r="H69" s="26" t="e">
        <f t="shared" si="22"/>
        <v>#DIV/0!</v>
      </c>
    </row>
    <row r="70" spans="1:8">
      <c r="B70" s="14"/>
      <c r="C70" s="14"/>
      <c r="D70" s="14"/>
    </row>
    <row r="71" spans="1:8">
      <c r="A71" t="s">
        <v>32</v>
      </c>
      <c r="B71" s="14"/>
      <c r="C71" s="14"/>
      <c r="D71" s="14"/>
    </row>
    <row r="72" spans="1:8">
      <c r="A72" s="17" t="s">
        <v>33</v>
      </c>
      <c r="B72" s="18">
        <f>(B27/B26)*100</f>
        <v>89.59139617989355</v>
      </c>
      <c r="C72" s="18">
        <f>(C27/C26)*100</f>
        <v>89.780472356750124</v>
      </c>
      <c r="D72" s="18"/>
      <c r="E72" s="18"/>
      <c r="F72" s="18">
        <f>(F27/F26)*100</f>
        <v>82.897826251609487</v>
      </c>
      <c r="G72" s="18"/>
      <c r="H72" s="18"/>
    </row>
    <row r="73" spans="1:8">
      <c r="A73" s="17" t="s">
        <v>34</v>
      </c>
      <c r="B73" s="18">
        <f>(B21/B27)*100</f>
        <v>75.63435805635639</v>
      </c>
      <c r="C73" s="18">
        <f>(C21/C27)*100</f>
        <v>68.629875006514538</v>
      </c>
      <c r="D73" s="18"/>
      <c r="E73" s="18"/>
      <c r="F73" s="18">
        <f>(F21/F27)*100</f>
        <v>344.19095477386935</v>
      </c>
      <c r="G73" s="18"/>
      <c r="H73" s="18"/>
    </row>
    <row r="74" spans="1:8" ht="15.75" thickBot="1">
      <c r="A74" s="19"/>
      <c r="B74" s="19"/>
      <c r="C74" s="19"/>
      <c r="D74" s="19"/>
      <c r="E74" s="19"/>
      <c r="F74" s="19"/>
      <c r="G74" s="19"/>
      <c r="H74" s="19"/>
    </row>
    <row r="75" spans="1:8" ht="15.75" thickTop="1">
      <c r="A75" s="22" t="s">
        <v>36</v>
      </c>
    </row>
    <row r="76" spans="1:8">
      <c r="A76" s="22" t="s">
        <v>97</v>
      </c>
    </row>
    <row r="77" spans="1:8">
      <c r="A77" s="22" t="s">
        <v>98</v>
      </c>
    </row>
    <row r="78" spans="1:8">
      <c r="A78" s="22" t="s">
        <v>57</v>
      </c>
      <c r="B78" s="20"/>
      <c r="C78" s="20"/>
      <c r="D78" s="20"/>
    </row>
    <row r="79" spans="1:8">
      <c r="A79" s="22"/>
    </row>
    <row r="80" spans="1:8">
      <c r="A80" s="22"/>
    </row>
    <row r="82" spans="1:1">
      <c r="A82" t="s">
        <v>37</v>
      </c>
    </row>
    <row r="84" spans="1:1">
      <c r="A84" t="s">
        <v>52</v>
      </c>
    </row>
    <row r="85" spans="1:1">
      <c r="A85" t="s">
        <v>53</v>
      </c>
    </row>
    <row r="87" spans="1:1">
      <c r="A87" s="39" t="s">
        <v>142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J88"/>
  <sheetViews>
    <sheetView topLeftCell="A54" zoomScale="80" zoomScaleNormal="80" workbookViewId="0">
      <selection activeCell="F67" sqref="F67"/>
    </sheetView>
  </sheetViews>
  <sheetFormatPr baseColWidth="10" defaultColWidth="11.42578125" defaultRowHeight="15"/>
  <cols>
    <col min="1" max="1" width="50.85546875" customWidth="1"/>
    <col min="2" max="7" width="13.7109375" customWidth="1"/>
    <col min="8" max="8" width="15.140625" customWidth="1"/>
  </cols>
  <sheetData>
    <row r="2" spans="1:8" ht="15.75">
      <c r="A2" s="42" t="s">
        <v>127</v>
      </c>
      <c r="B2" s="42"/>
      <c r="C2" s="42"/>
      <c r="D2" s="42"/>
      <c r="E2" s="42"/>
      <c r="F2" s="42"/>
      <c r="G2" s="42"/>
      <c r="H2" s="42"/>
    </row>
    <row r="4" spans="1:8">
      <c r="A4" s="43" t="s">
        <v>0</v>
      </c>
      <c r="B4" s="46" t="s">
        <v>1</v>
      </c>
      <c r="C4" s="49" t="s">
        <v>2</v>
      </c>
      <c r="D4" s="50"/>
      <c r="E4" s="51"/>
      <c r="F4" s="49" t="s">
        <v>3</v>
      </c>
      <c r="G4" s="50"/>
      <c r="H4" s="51"/>
    </row>
    <row r="5" spans="1:8" ht="15" customHeight="1">
      <c r="A5" s="44"/>
      <c r="B5" s="47"/>
      <c r="C5" s="52" t="s">
        <v>4</v>
      </c>
      <c r="D5" s="58" t="s">
        <v>5</v>
      </c>
      <c r="E5" s="54" t="s">
        <v>60</v>
      </c>
      <c r="F5" s="56" t="s">
        <v>4</v>
      </c>
      <c r="G5" s="58" t="s">
        <v>54</v>
      </c>
      <c r="H5" s="59" t="s">
        <v>6</v>
      </c>
    </row>
    <row r="6" spans="1:8" ht="15.75" thickBot="1">
      <c r="A6" s="45"/>
      <c r="B6" s="48"/>
      <c r="C6" s="53"/>
      <c r="D6" s="55"/>
      <c r="E6" s="55"/>
      <c r="F6" s="57"/>
      <c r="G6" s="55"/>
      <c r="H6" s="60"/>
    </row>
    <row r="7" spans="1:8" ht="15.75" thickTop="1"/>
    <row r="8" spans="1:8">
      <c r="A8" s="1" t="s">
        <v>7</v>
      </c>
    </row>
    <row r="10" spans="1:8">
      <c r="A10" t="s">
        <v>48</v>
      </c>
    </row>
    <row r="11" spans="1:8">
      <c r="A11" s="2" t="s">
        <v>81</v>
      </c>
      <c r="B11" s="4">
        <f>C11+F11</f>
        <v>1425.3333333333335</v>
      </c>
      <c r="C11" s="4">
        <f>D11+E11</f>
        <v>327.33333333333337</v>
      </c>
      <c r="D11" s="4">
        <f>+'I Trimestre'!D11+'II Trimestre'!D11+'III Trimestre'!D11</f>
        <v>58</v>
      </c>
      <c r="E11" s="4">
        <f>+'I Trimestre'!E11+'II Trimestre'!E11+'III Trimestre'!E11</f>
        <v>269.33333333333337</v>
      </c>
      <c r="F11" s="40">
        <f>SUM(G11:H11)</f>
        <v>1098</v>
      </c>
      <c r="G11" s="40">
        <f>+'I Trimestre'!G11+'II Trimestre'!G11+'III Trimestre'!G11</f>
        <v>1098</v>
      </c>
      <c r="H11" s="4">
        <f>+'I Trimestre'!H11+'II Trimestre'!H11+'III Trimestre'!H11</f>
        <v>0</v>
      </c>
    </row>
    <row r="12" spans="1:8">
      <c r="A12" s="27" t="s">
        <v>49</v>
      </c>
      <c r="B12" s="4">
        <f>C12+F12</f>
        <v>364</v>
      </c>
      <c r="C12" s="4">
        <f>D12+E12</f>
        <v>364</v>
      </c>
      <c r="D12" s="4">
        <f>+'I Trimestre'!D12+'II Trimestre'!D12+'III Trimestre'!D12</f>
        <v>94</v>
      </c>
      <c r="E12" s="4">
        <f>+'I Trimestre'!E12+'II Trimestre'!E12+'III Trimestre'!E12</f>
        <v>270</v>
      </c>
      <c r="F12" s="40">
        <f t="shared" ref="F12:F15" si="0">SUM(G12:H12)</f>
        <v>0</v>
      </c>
      <c r="G12" s="40">
        <f>+'I Trimestre'!G12+'II Trimestre'!G12+'III Trimestre'!G12</f>
        <v>0</v>
      </c>
      <c r="H12" s="4">
        <f>+'I Trimestre'!H12+'II Trimestre'!H12+'III Trimestre'!H12</f>
        <v>0</v>
      </c>
    </row>
    <row r="13" spans="1:8">
      <c r="A13" s="2" t="s">
        <v>128</v>
      </c>
      <c r="B13" s="4">
        <f>C13+F13</f>
        <v>1370</v>
      </c>
      <c r="C13" s="4">
        <f>D13+E13</f>
        <v>261</v>
      </c>
      <c r="D13" s="4">
        <f>+'I Trimestre'!D13+'II Trimestre'!D13+'III Trimestre'!D13</f>
        <v>72</v>
      </c>
      <c r="E13" s="4">
        <f>+'I Trimestre'!E13+'II Trimestre'!E13+'III Trimestre'!E13</f>
        <v>189</v>
      </c>
      <c r="F13" s="40">
        <f t="shared" si="0"/>
        <v>1109</v>
      </c>
      <c r="G13" s="4">
        <f>+'I Trimestre'!G13+'II Trimestre'!G13+'III Trimestre'!G13</f>
        <v>1109</v>
      </c>
      <c r="H13" s="40">
        <f>+'I Trimestre'!H13+'II Trimestre'!H13+'III Trimestre'!H13</f>
        <v>0</v>
      </c>
    </row>
    <row r="14" spans="1:8">
      <c r="A14" s="2" t="s">
        <v>129</v>
      </c>
      <c r="B14" s="4">
        <f>C14+F14</f>
        <v>1299</v>
      </c>
      <c r="C14" s="4">
        <f>D14+E14</f>
        <v>441</v>
      </c>
      <c r="D14" s="4">
        <f>(+'I Trimestre'!D14+'II Trimestre'!D14+'III Trimestre'!D14)</f>
        <v>73</v>
      </c>
      <c r="E14" s="4">
        <f>+'I Trimestre'!E14+'II Trimestre'!E14+'III Trimestre'!E14</f>
        <v>368</v>
      </c>
      <c r="F14" s="40">
        <f t="shared" si="0"/>
        <v>858</v>
      </c>
      <c r="G14" s="4">
        <f>+'I Trimestre'!G14+'II Trimestre'!G14+'III Trimestre'!G14</f>
        <v>858</v>
      </c>
      <c r="H14" s="40">
        <f>+'I Trimestre'!H14+'II Trimestre'!H14+'III Trimestre'!H14</f>
        <v>0</v>
      </c>
    </row>
    <row r="15" spans="1:8">
      <c r="A15" s="27" t="s">
        <v>49</v>
      </c>
      <c r="B15" s="4">
        <f>C15+F15</f>
        <v>482.33333333333331</v>
      </c>
      <c r="C15" s="4">
        <f>D15+E15</f>
        <v>482.33333333333331</v>
      </c>
      <c r="D15" s="4">
        <f>(+'I Trimestre'!D15+'II Trimestre'!D15+'III Trimestre'!D15)</f>
        <v>114</v>
      </c>
      <c r="E15" s="4">
        <f>+'I Trimestre'!E15+'II Trimestre'!E15+'III Trimestre'!E15</f>
        <v>368.33333333333331</v>
      </c>
      <c r="F15" s="40">
        <f t="shared" si="0"/>
        <v>0</v>
      </c>
      <c r="G15" s="4">
        <f>+'I Trimestre'!G15+'II Trimestre'!G15+'III Trimestre'!G15</f>
        <v>0</v>
      </c>
      <c r="H15" s="40">
        <f>+'I Trimestre'!H15+'II Trimestre'!H15+'III Trimestre'!H15</f>
        <v>0</v>
      </c>
    </row>
    <row r="16" spans="1:8">
      <c r="A16" s="2" t="s">
        <v>92</v>
      </c>
      <c r="B16" s="4">
        <f>+'III Trimestre'!B16</f>
        <v>1952</v>
      </c>
      <c r="C16" s="4">
        <f>+'III Trimestre'!C16</f>
        <v>348</v>
      </c>
      <c r="D16" s="4">
        <f>+'III Trimestre'!D16</f>
        <v>96</v>
      </c>
      <c r="E16" s="4">
        <f>+'III Trimestre'!E16</f>
        <v>252</v>
      </c>
      <c r="F16" s="40">
        <f>+'III Trimestre'!F16</f>
        <v>1604</v>
      </c>
      <c r="G16" s="4">
        <f>+'III Trimestre'!G16</f>
        <v>1604</v>
      </c>
      <c r="H16" s="40">
        <f>+'III Trimestre'!H16</f>
        <v>0</v>
      </c>
    </row>
    <row r="17" spans="1:10">
      <c r="F17" s="5"/>
    </row>
    <row r="18" spans="1:10">
      <c r="A18" s="6" t="s">
        <v>8</v>
      </c>
      <c r="F18" s="5"/>
    </row>
    <row r="19" spans="1:10">
      <c r="A19" s="2" t="s">
        <v>81</v>
      </c>
      <c r="B19" s="4">
        <f>C19+F19</f>
        <v>42443800.859999999</v>
      </c>
      <c r="C19" s="4">
        <f>D19+E19</f>
        <v>38095225.859999999</v>
      </c>
      <c r="D19" s="4">
        <f>+'I Trimestre'!D19+'II Trimestre'!D19+'III Trimestre'!D19</f>
        <v>33561730.859999999</v>
      </c>
      <c r="E19" s="4">
        <f>+'I Trimestre'!E19+'II Trimestre'!E19+'III Trimestre'!E19</f>
        <v>4533495</v>
      </c>
      <c r="F19" s="23">
        <f>SUM(G19:H19)</f>
        <v>4348575</v>
      </c>
      <c r="G19" s="4">
        <f>+'I Trimestre'!G19+'II Trimestre'!G19+'III Trimestre'!G19</f>
        <v>4348575</v>
      </c>
      <c r="H19" s="4">
        <f>+'I Trimestre'!H19+'II Trimestre'!H19+'III Trimestre'!H19</f>
        <v>0</v>
      </c>
    </row>
    <row r="20" spans="1:10">
      <c r="A20" s="2" t="s">
        <v>128</v>
      </c>
      <c r="B20" s="4">
        <f t="shared" ref="B20:B21" si="1">C20+F20</f>
        <v>70415028.090000004</v>
      </c>
      <c r="C20" s="4">
        <f t="shared" ref="C20:C21" si="2">D20+E20</f>
        <v>61415528.090000004</v>
      </c>
      <c r="D20" s="4">
        <f>'I Trimestre'!D20+'II Trimestre'!D20+'III Trimestre'!D20</f>
        <v>55415528</v>
      </c>
      <c r="E20" s="4">
        <f>'I Trimestre'!E20+'II Trimestre'!E20+'III Trimestre'!E20</f>
        <v>6000000.0899999999</v>
      </c>
      <c r="F20" s="23">
        <f>SUM(G20:H20)</f>
        <v>8999500</v>
      </c>
      <c r="G20" s="4">
        <f>'I Trimestre'!G20+'II Trimestre'!G20+'III Trimestre'!G20</f>
        <v>8999500</v>
      </c>
      <c r="H20" s="4">
        <f>+'I Trimestre'!H20+'II Trimestre'!H20+'III Trimestre'!H20</f>
        <v>0</v>
      </c>
      <c r="I20" s="35"/>
    </row>
    <row r="21" spans="1:10">
      <c r="A21" s="2" t="s">
        <v>129</v>
      </c>
      <c r="B21" s="4">
        <f t="shared" si="1"/>
        <v>51745167.530000001</v>
      </c>
      <c r="C21" s="4">
        <f t="shared" si="2"/>
        <v>47977997.530000001</v>
      </c>
      <c r="D21" s="4">
        <f>+'I Trimestre'!D21+'II Trimestre'!D21+'III Trimestre'!D21</f>
        <v>42023122.530000001</v>
      </c>
      <c r="E21" s="4">
        <f>+'I Trimestre'!E21+'II Trimestre'!E21+'III Trimestre'!E21</f>
        <v>5954875</v>
      </c>
      <c r="F21" s="4">
        <f>SUM(G21:H21)</f>
        <v>3767170</v>
      </c>
      <c r="G21" s="4">
        <f>+'I Trimestre'!G21+'II Trimestre'!G21+'III Trimestre'!G21</f>
        <v>3767170</v>
      </c>
      <c r="H21" s="4">
        <f>+'I Trimestre'!H21+'II Trimestre'!H21+'III Trimestre'!H21</f>
        <v>0</v>
      </c>
      <c r="I21" s="35"/>
      <c r="J21" s="4"/>
    </row>
    <row r="22" spans="1:10">
      <c r="A22" s="2" t="s">
        <v>92</v>
      </c>
      <c r="B22" s="4">
        <f>+'III Trimestre'!B22</f>
        <v>89715527.980000004</v>
      </c>
      <c r="C22" s="4">
        <f>+'III Trimestre'!C22</f>
        <v>77715527.980000004</v>
      </c>
      <c r="D22" s="4">
        <f>+'III Trimestre'!D22</f>
        <v>69715528</v>
      </c>
      <c r="E22" s="4">
        <f>+'III Trimestre'!E22</f>
        <v>7999999.9799999995</v>
      </c>
      <c r="F22" s="4">
        <f>+'III Trimestre'!F22</f>
        <v>12000000</v>
      </c>
      <c r="G22" s="4">
        <f>+'III Trimestre'!G22</f>
        <v>12000000</v>
      </c>
      <c r="H22" s="4">
        <f>+'III Trimestre'!H22</f>
        <v>0</v>
      </c>
    </row>
    <row r="23" spans="1:10">
      <c r="A23" s="2" t="s">
        <v>130</v>
      </c>
      <c r="B23" s="3">
        <f>+C23+F23</f>
        <v>51745167.530000001</v>
      </c>
      <c r="C23" s="3">
        <f>+D23+E23</f>
        <v>47977997.530000001</v>
      </c>
      <c r="D23" s="3">
        <f>D21</f>
        <v>42023122.530000001</v>
      </c>
      <c r="E23" s="3">
        <f>+E21</f>
        <v>5954875</v>
      </c>
      <c r="F23" s="3">
        <f>H23+G23</f>
        <v>3767170</v>
      </c>
      <c r="G23" s="3">
        <f>G21</f>
        <v>3767170</v>
      </c>
      <c r="H23" s="3">
        <f>H21</f>
        <v>0</v>
      </c>
    </row>
    <row r="24" spans="1:10">
      <c r="B24" s="3"/>
      <c r="C24" s="3"/>
      <c r="D24" s="3"/>
    </row>
    <row r="25" spans="1:10">
      <c r="A25" s="7" t="s">
        <v>9</v>
      </c>
      <c r="B25" s="8"/>
      <c r="C25" s="8"/>
      <c r="D25" s="8"/>
      <c r="E25" s="8"/>
      <c r="F25" s="8"/>
      <c r="G25" s="8"/>
      <c r="H25" s="8"/>
    </row>
    <row r="26" spans="1:10">
      <c r="A26" s="9" t="s">
        <v>128</v>
      </c>
      <c r="B26" s="8">
        <f>+B20</f>
        <v>70415028.090000004</v>
      </c>
      <c r="C26" s="8">
        <f>+C20</f>
        <v>61415528.090000004</v>
      </c>
      <c r="D26" s="8"/>
      <c r="E26" s="8"/>
      <c r="F26" s="8">
        <f>F20</f>
        <v>8999500</v>
      </c>
      <c r="G26" s="8"/>
      <c r="H26" s="8"/>
    </row>
    <row r="27" spans="1:10">
      <c r="A27" s="9" t="s">
        <v>129</v>
      </c>
      <c r="B27" s="8">
        <f>'I Trimestre'!B27+'II Trimestre'!B27+'III Trimestre'!B27</f>
        <v>61507263.43</v>
      </c>
      <c r="C27" s="8">
        <f>+'I Trimestre'!C27+'II Trimestre'!C27+'III Trimestre'!C27</f>
        <v>53619093.43</v>
      </c>
      <c r="D27" s="8"/>
      <c r="E27" s="8"/>
      <c r="F27" s="8">
        <f>+'I Trimestre'!F27+'II Trimestre'!F27+'III Trimestre'!F27</f>
        <v>7888170</v>
      </c>
      <c r="G27" s="8"/>
      <c r="H27" s="8"/>
    </row>
    <row r="29" spans="1:10">
      <c r="A29" t="s">
        <v>10</v>
      </c>
    </row>
    <row r="30" spans="1:10">
      <c r="A30" s="10" t="s">
        <v>82</v>
      </c>
      <c r="B30" s="21">
        <v>0.99</v>
      </c>
      <c r="C30" s="21">
        <v>0.99</v>
      </c>
      <c r="D30" s="21">
        <v>0.99</v>
      </c>
      <c r="E30" s="21">
        <v>0.99</v>
      </c>
      <c r="F30" s="21">
        <v>0.99</v>
      </c>
      <c r="G30" s="21">
        <v>0.99</v>
      </c>
      <c r="H30" s="21">
        <v>0.99</v>
      </c>
      <c r="I30" s="35"/>
      <c r="J30" s="35"/>
    </row>
    <row r="31" spans="1:10">
      <c r="A31" s="10" t="s">
        <v>131</v>
      </c>
      <c r="B31" s="21">
        <v>0.99</v>
      </c>
      <c r="C31" s="21">
        <v>0.99</v>
      </c>
      <c r="D31" s="21">
        <v>0.99</v>
      </c>
      <c r="E31" s="21">
        <v>0.99</v>
      </c>
      <c r="F31" s="21">
        <v>0.99</v>
      </c>
      <c r="G31" s="21">
        <v>0.99</v>
      </c>
      <c r="H31" s="21">
        <v>0.99</v>
      </c>
      <c r="I31" s="35"/>
      <c r="J31" s="35"/>
    </row>
    <row r="32" spans="1:10">
      <c r="A32" s="36" t="s">
        <v>11</v>
      </c>
      <c r="B32" s="4"/>
      <c r="C32" s="37"/>
      <c r="D32" s="37"/>
      <c r="E32" s="37"/>
      <c r="F32" s="37"/>
      <c r="G32" s="37"/>
      <c r="H32" s="37"/>
    </row>
    <row r="34" spans="1:8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8">
      <c r="A35" s="12" t="s">
        <v>83</v>
      </c>
      <c r="B35" s="13">
        <f>B19/B30</f>
        <v>42872526.121212117</v>
      </c>
      <c r="C35" s="13">
        <f t="shared" ref="C35:H35" si="3">C19/C30</f>
        <v>38480026.121212117</v>
      </c>
      <c r="D35" s="13">
        <f>D19/D30</f>
        <v>33900738.242424242</v>
      </c>
      <c r="E35" s="13">
        <f t="shared" si="3"/>
        <v>4579287.8787878789</v>
      </c>
      <c r="F35" s="13">
        <f t="shared" si="3"/>
        <v>4392500</v>
      </c>
      <c r="G35" s="13">
        <f t="shared" si="3"/>
        <v>4392500</v>
      </c>
      <c r="H35" s="13">
        <f t="shared" si="3"/>
        <v>0</v>
      </c>
    </row>
    <row r="36" spans="1:8">
      <c r="A36" s="12" t="s">
        <v>132</v>
      </c>
      <c r="B36" s="13">
        <f t="shared" ref="B36:F36" si="4">B21/B31</f>
        <v>52267845.989898995</v>
      </c>
      <c r="C36" s="13">
        <f t="shared" si="4"/>
        <v>48462623.767676771</v>
      </c>
      <c r="D36" s="13">
        <f t="shared" si="4"/>
        <v>42447598.515151516</v>
      </c>
      <c r="E36" s="13">
        <f t="shared" si="4"/>
        <v>6015025.2525252523</v>
      </c>
      <c r="F36" s="13">
        <f t="shared" si="4"/>
        <v>3805222.2222222225</v>
      </c>
      <c r="G36" s="13">
        <f>G21/G31</f>
        <v>3805222.2222222225</v>
      </c>
      <c r="H36" s="13">
        <f>H21/H31</f>
        <v>0</v>
      </c>
    </row>
    <row r="37" spans="1:8">
      <c r="A37" s="12" t="s">
        <v>84</v>
      </c>
      <c r="B37" s="13">
        <f t="shared" ref="B37:H37" si="5">B35/B11</f>
        <v>30078.94723190747</v>
      </c>
      <c r="C37" s="13">
        <f t="shared" si="5"/>
        <v>117556.08794667652</v>
      </c>
      <c r="D37" s="13">
        <f t="shared" si="5"/>
        <v>584495.48693834897</v>
      </c>
      <c r="E37" s="13">
        <f t="shared" si="5"/>
        <v>17002.306480648062</v>
      </c>
      <c r="F37" s="13">
        <f t="shared" si="5"/>
        <v>4000.4553734061933</v>
      </c>
      <c r="G37" s="13">
        <f t="shared" si="5"/>
        <v>4000.4553734061933</v>
      </c>
      <c r="H37" s="13" t="e">
        <f t="shared" si="5"/>
        <v>#DIV/0!</v>
      </c>
    </row>
    <row r="38" spans="1:8">
      <c r="A38" s="12" t="s">
        <v>133</v>
      </c>
      <c r="B38" s="13">
        <f t="shared" ref="B38:H38" si="6">B36/B14</f>
        <v>40236.986905234022</v>
      </c>
      <c r="C38" s="13">
        <f t="shared" si="6"/>
        <v>109892.57090176138</v>
      </c>
      <c r="D38" s="13">
        <f t="shared" si="6"/>
        <v>581473.95226234954</v>
      </c>
      <c r="E38" s="13">
        <f t="shared" si="6"/>
        <v>16345.177316644707</v>
      </c>
      <c r="F38" s="13">
        <f t="shared" si="6"/>
        <v>4434.9909349909349</v>
      </c>
      <c r="G38" s="13">
        <f t="shared" si="6"/>
        <v>4434.9909349909349</v>
      </c>
      <c r="H38" s="13" t="e">
        <f t="shared" si="6"/>
        <v>#DIV/0!</v>
      </c>
    </row>
    <row r="40" spans="1:8">
      <c r="A40" s="1" t="s">
        <v>13</v>
      </c>
    </row>
    <row r="42" spans="1:8">
      <c r="A42" t="s">
        <v>14</v>
      </c>
    </row>
    <row r="43" spans="1:8">
      <c r="A43" t="s">
        <v>15</v>
      </c>
      <c r="B43" s="14" t="s">
        <v>51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</row>
    <row r="44" spans="1:8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</row>
    <row r="46" spans="1:8">
      <c r="A46" t="s">
        <v>17</v>
      </c>
    </row>
    <row r="47" spans="1:8">
      <c r="A47" t="s">
        <v>18</v>
      </c>
      <c r="B47" s="14">
        <f>B14/B13*100</f>
        <v>94.817518248175176</v>
      </c>
      <c r="C47" s="14">
        <f t="shared" ref="C47:H47" si="7">C14/C13*100</f>
        <v>168.9655172413793</v>
      </c>
      <c r="D47" s="14">
        <f t="shared" si="7"/>
        <v>101.38888888888889</v>
      </c>
      <c r="E47" s="14">
        <f t="shared" si="7"/>
        <v>194.70899470899471</v>
      </c>
      <c r="F47" s="14">
        <f t="shared" si="7"/>
        <v>77.366997294860226</v>
      </c>
      <c r="G47" s="14">
        <f t="shared" si="7"/>
        <v>77.366997294860226</v>
      </c>
      <c r="H47" s="14" t="e">
        <f t="shared" si="7"/>
        <v>#DIV/0!</v>
      </c>
    </row>
    <row r="48" spans="1:8">
      <c r="A48" t="s">
        <v>19</v>
      </c>
      <c r="B48" s="14">
        <f>B21/B20*100</f>
        <v>73.485971579621648</v>
      </c>
      <c r="C48" s="14">
        <f t="shared" ref="C48:F48" si="8">C21/C20*100</f>
        <v>78.120304460610882</v>
      </c>
      <c r="D48" s="14">
        <f t="shared" si="8"/>
        <v>75.832756713966532</v>
      </c>
      <c r="E48" s="14">
        <f t="shared" si="8"/>
        <v>99.247915177947945</v>
      </c>
      <c r="F48" s="14">
        <f t="shared" si="8"/>
        <v>41.859769987221512</v>
      </c>
      <c r="G48" s="14">
        <f>G21/G20*100</f>
        <v>41.859769987221512</v>
      </c>
      <c r="H48" s="14" t="e">
        <f>H21/H20*100</f>
        <v>#DIV/0!</v>
      </c>
    </row>
    <row r="49" spans="1:8">
      <c r="A49" s="12" t="s">
        <v>20</v>
      </c>
      <c r="B49" s="15">
        <f t="shared" ref="B49:H49" si="9">AVERAGE(B47:B48)</f>
        <v>84.151744913898412</v>
      </c>
      <c r="C49" s="15">
        <f t="shared" si="9"/>
        <v>123.5429108509951</v>
      </c>
      <c r="D49" s="15">
        <f t="shared" si="9"/>
        <v>88.610822801427702</v>
      </c>
      <c r="E49" s="15">
        <f t="shared" si="9"/>
        <v>146.97845494347132</v>
      </c>
      <c r="F49" s="15">
        <f t="shared" si="9"/>
        <v>59.613383641040869</v>
      </c>
      <c r="G49" s="15">
        <f t="shared" si="9"/>
        <v>59.613383641040869</v>
      </c>
      <c r="H49" s="15" t="e">
        <f t="shared" si="9"/>
        <v>#DIV/0!</v>
      </c>
    </row>
    <row r="50" spans="1:8">
      <c r="B50" s="14"/>
      <c r="C50" s="14"/>
      <c r="D50" s="14"/>
      <c r="E50" s="14"/>
      <c r="F50" s="14"/>
      <c r="G50" s="14"/>
      <c r="H50" s="14"/>
    </row>
    <row r="51" spans="1:8">
      <c r="A51" t="s">
        <v>21</v>
      </c>
    </row>
    <row r="52" spans="1:8">
      <c r="A52" t="s">
        <v>22</v>
      </c>
      <c r="B52" s="14">
        <f>(B14/B16)*100</f>
        <v>66.547131147540981</v>
      </c>
      <c r="C52" s="14">
        <f t="shared" ref="C52:H52" si="10">(C14/C16)*100</f>
        <v>126.72413793103448</v>
      </c>
      <c r="D52" s="14">
        <f t="shared" si="10"/>
        <v>76.041666666666657</v>
      </c>
      <c r="E52" s="14">
        <f t="shared" si="10"/>
        <v>146.03174603174602</v>
      </c>
      <c r="F52" s="14">
        <f t="shared" si="10"/>
        <v>53.49127182044888</v>
      </c>
      <c r="G52" s="14">
        <f t="shared" si="10"/>
        <v>53.49127182044888</v>
      </c>
      <c r="H52" s="14" t="e">
        <f t="shared" si="10"/>
        <v>#DIV/0!</v>
      </c>
    </row>
    <row r="53" spans="1:8">
      <c r="A53" t="s">
        <v>23</v>
      </c>
      <c r="B53" s="14">
        <f>B21/B22*100</f>
        <v>57.676935860574083</v>
      </c>
      <c r="C53" s="14">
        <f t="shared" ref="C53:F53" si="11">C21/C22*100</f>
        <v>61.735407037763522</v>
      </c>
      <c r="D53" s="14">
        <f t="shared" si="11"/>
        <v>60.277995068760006</v>
      </c>
      <c r="E53" s="14">
        <f t="shared" si="11"/>
        <v>74.435937686089844</v>
      </c>
      <c r="F53" s="14">
        <f t="shared" si="11"/>
        <v>31.393083333333333</v>
      </c>
      <c r="G53" s="14">
        <f>G21/G22*100</f>
        <v>31.393083333333333</v>
      </c>
      <c r="H53" s="14" t="e">
        <f>H21/H22*100</f>
        <v>#DIV/0!</v>
      </c>
    </row>
    <row r="54" spans="1:8">
      <c r="A54" t="s">
        <v>24</v>
      </c>
      <c r="B54" s="14">
        <f t="shared" ref="B54:H54" si="12">(B52+B53)/2</f>
        <v>62.112033504057536</v>
      </c>
      <c r="C54" s="14">
        <f t="shared" si="12"/>
        <v>94.229772484399007</v>
      </c>
      <c r="D54" s="14">
        <f t="shared" si="12"/>
        <v>68.159830867713339</v>
      </c>
      <c r="E54" s="14">
        <f t="shared" si="12"/>
        <v>110.23384185891794</v>
      </c>
      <c r="F54" s="14">
        <f t="shared" si="12"/>
        <v>42.442177576891105</v>
      </c>
      <c r="G54" s="14">
        <f t="shared" si="12"/>
        <v>42.442177576891105</v>
      </c>
      <c r="H54" s="14" t="e">
        <f t="shared" si="12"/>
        <v>#DIV/0!</v>
      </c>
    </row>
    <row r="56" spans="1:8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8">
      <c r="A57" t="s">
        <v>25</v>
      </c>
      <c r="B57" s="14">
        <f t="shared" ref="B57:F57" si="13">B23/B21*100</f>
        <v>100</v>
      </c>
      <c r="C57" s="14">
        <f t="shared" si="13"/>
        <v>100</v>
      </c>
      <c r="D57" s="14"/>
      <c r="E57" s="14"/>
      <c r="F57" s="14">
        <f t="shared" si="13"/>
        <v>100</v>
      </c>
      <c r="G57" s="14"/>
      <c r="H57" s="14"/>
    </row>
    <row r="59" spans="1:8">
      <c r="A59" t="s">
        <v>26</v>
      </c>
    </row>
    <row r="60" spans="1:8">
      <c r="A60" t="s">
        <v>27</v>
      </c>
      <c r="B60" s="14">
        <f>((B14/B11)-1)*100</f>
        <v>-8.8634237605238582</v>
      </c>
      <c r="C60" s="14">
        <f t="shared" ref="C60:H60" si="14">((C14/C11)-1)*100</f>
        <v>34.725050916496933</v>
      </c>
      <c r="D60" s="14">
        <f t="shared" si="14"/>
        <v>25.862068965517238</v>
      </c>
      <c r="E60" s="14">
        <f t="shared" si="14"/>
        <v>36.63366336633662</v>
      </c>
      <c r="F60" s="14">
        <f t="shared" si="14"/>
        <v>-21.857923497267763</v>
      </c>
      <c r="G60" s="14">
        <f t="shared" si="14"/>
        <v>-21.857923497267763</v>
      </c>
      <c r="H60" s="14" t="e">
        <f t="shared" si="14"/>
        <v>#DIV/0!</v>
      </c>
    </row>
    <row r="61" spans="1:8">
      <c r="A61" t="s">
        <v>28</v>
      </c>
      <c r="B61" s="14">
        <f>((B36/B35)-1)*100</f>
        <v>21.914546957470591</v>
      </c>
      <c r="C61" s="14">
        <f>((C36/C35)-1)*100</f>
        <v>25.942283965763082</v>
      </c>
      <c r="D61" s="14">
        <f t="shared" ref="D61:H61" si="15">((D36/D35)-1)*100</f>
        <v>25.211428174834015</v>
      </c>
      <c r="E61" s="14">
        <f t="shared" si="15"/>
        <v>31.352852490186933</v>
      </c>
      <c r="F61" s="14">
        <f t="shared" si="15"/>
        <v>-13.370012015430333</v>
      </c>
      <c r="G61" s="14">
        <f t="shared" si="15"/>
        <v>-13.370012015430333</v>
      </c>
      <c r="H61" s="14" t="e">
        <f t="shared" si="15"/>
        <v>#DIV/0!</v>
      </c>
    </row>
    <row r="62" spans="1:8">
      <c r="A62" s="12" t="s">
        <v>29</v>
      </c>
      <c r="B62" s="15">
        <f t="shared" ref="B62:H62" si="16">((B38/B37)-1)*100</f>
        <v>33.771260659518674</v>
      </c>
      <c r="C62" s="15">
        <f t="shared" si="16"/>
        <v>-6.5190303443844684</v>
      </c>
      <c r="D62" s="15">
        <f t="shared" si="16"/>
        <v>-0.51694747752913939</v>
      </c>
      <c r="E62" s="15">
        <f t="shared" si="16"/>
        <v>-3.8649412934138927</v>
      </c>
      <c r="F62" s="15">
        <f t="shared" si="16"/>
        <v>10.862152455777952</v>
      </c>
      <c r="G62" s="15">
        <f t="shared" si="16"/>
        <v>10.862152455777952</v>
      </c>
      <c r="H62" s="15" t="e">
        <f t="shared" si="16"/>
        <v>#DIV/0!</v>
      </c>
    </row>
    <row r="63" spans="1:8">
      <c r="B63" s="16"/>
      <c r="C63" s="16"/>
      <c r="D63" s="16"/>
      <c r="E63" s="16"/>
      <c r="F63" s="16"/>
      <c r="G63" s="16"/>
      <c r="H63" s="16"/>
    </row>
    <row r="64" spans="1:8">
      <c r="A64" t="s">
        <v>30</v>
      </c>
    </row>
    <row r="65" spans="1:8">
      <c r="A65" t="s">
        <v>44</v>
      </c>
      <c r="B65" s="3">
        <f t="shared" ref="B65:H65" si="17">B20/B13</f>
        <v>51397.830722627739</v>
      </c>
      <c r="C65" s="3">
        <f t="shared" si="17"/>
        <v>235308.53674329503</v>
      </c>
      <c r="D65" s="3">
        <f t="shared" si="17"/>
        <v>769660.11111111112</v>
      </c>
      <c r="E65" s="3">
        <f t="shared" si="17"/>
        <v>31746.03222222222</v>
      </c>
      <c r="F65" s="3">
        <f t="shared" si="17"/>
        <v>8114.9684400360684</v>
      </c>
      <c r="G65" s="3">
        <f t="shared" si="17"/>
        <v>8114.9684400360684</v>
      </c>
      <c r="H65" s="3" t="e">
        <f t="shared" si="17"/>
        <v>#DIV/0!</v>
      </c>
    </row>
    <row r="66" spans="1:8">
      <c r="A66" t="s">
        <v>45</v>
      </c>
      <c r="B66" s="3">
        <f t="shared" ref="B66:H66" si="18">B21/B14</f>
        <v>39834.617036181677</v>
      </c>
      <c r="C66" s="3">
        <f t="shared" si="18"/>
        <v>108793.64519274377</v>
      </c>
      <c r="D66" s="3">
        <f t="shared" si="18"/>
        <v>575659.21273972606</v>
      </c>
      <c r="E66" s="3">
        <f t="shared" si="18"/>
        <v>16181.72554347826</v>
      </c>
      <c r="F66" s="3">
        <f t="shared" si="18"/>
        <v>4390.6410256410254</v>
      </c>
      <c r="G66" s="3">
        <f t="shared" si="18"/>
        <v>4390.6410256410254</v>
      </c>
      <c r="H66" s="3" t="e">
        <f t="shared" si="18"/>
        <v>#DIV/0!</v>
      </c>
    </row>
    <row r="67" spans="1:8">
      <c r="A67" s="12" t="s">
        <v>31</v>
      </c>
      <c r="B67" s="15">
        <f>(B66/B65)*B49</f>
        <v>65.219727845358605</v>
      </c>
      <c r="C67" s="15">
        <f t="shared" ref="C67:H67" si="19">(C66/C65)*C49</f>
        <v>57.11940499576847</v>
      </c>
      <c r="D67" s="15">
        <f t="shared" si="19"/>
        <v>66.275536120028036</v>
      </c>
      <c r="E67" s="15">
        <f t="shared" si="19"/>
        <v>74.91849696526431</v>
      </c>
      <c r="F67" s="15">
        <f t="shared" si="19"/>
        <v>32.254095604402409</v>
      </c>
      <c r="G67" s="15">
        <f t="shared" si="19"/>
        <v>32.254095604402409</v>
      </c>
      <c r="H67" s="15" t="e">
        <f t="shared" si="19"/>
        <v>#DIV/0!</v>
      </c>
    </row>
    <row r="68" spans="1:8" s="5" customFormat="1">
      <c r="A68" t="s">
        <v>40</v>
      </c>
      <c r="B68" s="26">
        <f>B20/(B13*9)</f>
        <v>5710.8700802919711</v>
      </c>
      <c r="C68" s="26">
        <f t="shared" ref="C68:H68" si="20">C20/(C13*9)</f>
        <v>26145.392971477228</v>
      </c>
      <c r="D68" s="26">
        <f t="shared" si="20"/>
        <v>85517.790123456783</v>
      </c>
      <c r="E68" s="26">
        <f t="shared" si="20"/>
        <v>3527.3369135802468</v>
      </c>
      <c r="F68" s="26">
        <f t="shared" si="20"/>
        <v>901.66316000400764</v>
      </c>
      <c r="G68" s="26">
        <f t="shared" si="20"/>
        <v>901.66316000400764</v>
      </c>
      <c r="H68" s="26" t="e">
        <f t="shared" si="20"/>
        <v>#DIV/0!</v>
      </c>
    </row>
    <row r="69" spans="1:8" s="5" customFormat="1">
      <c r="A69" t="s">
        <v>41</v>
      </c>
      <c r="B69" s="26">
        <f>B21/(B14*9)</f>
        <v>4426.0685595757423</v>
      </c>
      <c r="C69" s="26">
        <f t="shared" ref="C69:H69" si="21">C21/(C14*9)</f>
        <v>12088.182799193752</v>
      </c>
      <c r="D69" s="26">
        <f t="shared" si="21"/>
        <v>63962.134748858451</v>
      </c>
      <c r="E69" s="26">
        <f t="shared" si="21"/>
        <v>1797.9695048309179</v>
      </c>
      <c r="F69" s="26">
        <f t="shared" si="21"/>
        <v>487.84900284900283</v>
      </c>
      <c r="G69" s="26">
        <f t="shared" si="21"/>
        <v>487.84900284900283</v>
      </c>
      <c r="H69" s="26" t="e">
        <f t="shared" si="21"/>
        <v>#DIV/0!</v>
      </c>
    </row>
    <row r="70" spans="1:8">
      <c r="B70" s="14"/>
      <c r="C70" s="14"/>
      <c r="D70" s="14"/>
    </row>
    <row r="71" spans="1:8">
      <c r="A71" t="s">
        <v>32</v>
      </c>
      <c r="B71" s="14"/>
      <c r="C71" s="14"/>
      <c r="D71" s="14"/>
    </row>
    <row r="72" spans="1:8">
      <c r="A72" s="17" t="s">
        <v>33</v>
      </c>
      <c r="B72" s="18">
        <f>(B27/B26)*100</f>
        <v>87.349625638699351</v>
      </c>
      <c r="C72" s="18">
        <f>(C27/C26)*100</f>
        <v>87.30543414268962</v>
      </c>
      <c r="D72" s="18"/>
      <c r="E72" s="18"/>
      <c r="F72" s="18">
        <f>(F27/F26)*100</f>
        <v>87.65120284460248</v>
      </c>
      <c r="G72" s="18"/>
      <c r="H72" s="18"/>
    </row>
    <row r="73" spans="1:8">
      <c r="A73" s="17" t="s">
        <v>34</v>
      </c>
      <c r="B73" s="18">
        <f>(B21/B27)*100</f>
        <v>84.128547824095577</v>
      </c>
      <c r="C73" s="18">
        <f>(C21/C27)*100</f>
        <v>89.479315036602628</v>
      </c>
      <c r="D73" s="18"/>
      <c r="E73" s="18"/>
      <c r="F73" s="18">
        <f>(F21/F27)*100</f>
        <v>47.757211114872014</v>
      </c>
      <c r="G73" s="18"/>
      <c r="H73" s="18"/>
    </row>
    <row r="74" spans="1:8" ht="15.75" thickBot="1">
      <c r="A74" s="19"/>
      <c r="B74" s="19"/>
      <c r="C74" s="19"/>
      <c r="D74" s="19"/>
      <c r="E74" s="19"/>
      <c r="F74" s="19"/>
      <c r="G74" s="19"/>
      <c r="H74" s="19"/>
    </row>
    <row r="75" spans="1:8" ht="15.75" thickTop="1">
      <c r="A75" s="22" t="s">
        <v>36</v>
      </c>
    </row>
    <row r="76" spans="1:8">
      <c r="A76" s="22" t="s">
        <v>97</v>
      </c>
    </row>
    <row r="77" spans="1:8">
      <c r="A77" s="22" t="s">
        <v>98</v>
      </c>
    </row>
    <row r="78" spans="1:8">
      <c r="A78" s="22" t="s">
        <v>57</v>
      </c>
      <c r="B78" s="20"/>
      <c r="C78" s="20"/>
      <c r="D78" s="20"/>
    </row>
    <row r="79" spans="1:8">
      <c r="A79" s="22"/>
    </row>
    <row r="80" spans="1:8">
      <c r="A80" s="22"/>
    </row>
    <row r="82" spans="1:1">
      <c r="A82" t="s">
        <v>37</v>
      </c>
    </row>
    <row r="84" spans="1:1">
      <c r="A84" t="s">
        <v>52</v>
      </c>
    </row>
    <row r="85" spans="1:1">
      <c r="A85" t="s">
        <v>53</v>
      </c>
    </row>
    <row r="88" spans="1:1">
      <c r="A88" s="39" t="s">
        <v>143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88"/>
  <sheetViews>
    <sheetView tabSelected="1" zoomScale="90" zoomScaleNormal="90" workbookViewId="0">
      <pane ySplit="7" topLeftCell="A60" activePane="bottomLeft" state="frozen"/>
      <selection activeCell="K37" sqref="K37"/>
      <selection pane="bottomLeft" activeCell="D67" sqref="D67"/>
    </sheetView>
  </sheetViews>
  <sheetFormatPr baseColWidth="10" defaultColWidth="11.42578125" defaultRowHeight="15"/>
  <cols>
    <col min="1" max="1" width="50.85546875" customWidth="1"/>
    <col min="2" max="7" width="13.7109375" customWidth="1"/>
    <col min="8" max="8" width="15.28515625" customWidth="1"/>
  </cols>
  <sheetData>
    <row r="2" spans="1:9" ht="15.75">
      <c r="A2" s="42" t="s">
        <v>134</v>
      </c>
      <c r="B2" s="42"/>
      <c r="C2" s="42"/>
      <c r="D2" s="42"/>
      <c r="E2" s="42"/>
      <c r="F2" s="42"/>
      <c r="G2" s="42"/>
      <c r="H2" s="42"/>
    </row>
    <row r="4" spans="1:9">
      <c r="A4" s="43" t="s">
        <v>0</v>
      </c>
      <c r="B4" s="46" t="s">
        <v>1</v>
      </c>
      <c r="C4" s="49" t="s">
        <v>2</v>
      </c>
      <c r="D4" s="50"/>
      <c r="E4" s="51"/>
      <c r="F4" s="49" t="s">
        <v>3</v>
      </c>
      <c r="G4" s="50"/>
      <c r="H4" s="51"/>
    </row>
    <row r="5" spans="1:9" ht="15" customHeight="1">
      <c r="A5" s="44"/>
      <c r="B5" s="47"/>
      <c r="C5" s="52" t="s">
        <v>4</v>
      </c>
      <c r="D5" s="58" t="s">
        <v>5</v>
      </c>
      <c r="E5" s="54" t="s">
        <v>60</v>
      </c>
      <c r="F5" s="56" t="s">
        <v>4</v>
      </c>
      <c r="G5" s="58" t="s">
        <v>54</v>
      </c>
      <c r="H5" s="59" t="s">
        <v>6</v>
      </c>
    </row>
    <row r="6" spans="1:9" ht="15.75" thickBot="1">
      <c r="A6" s="45"/>
      <c r="B6" s="48"/>
      <c r="C6" s="53"/>
      <c r="D6" s="55"/>
      <c r="E6" s="55"/>
      <c r="F6" s="57"/>
      <c r="G6" s="55"/>
      <c r="H6" s="60"/>
    </row>
    <row r="7" spans="1:9" ht="15.75" thickTop="1"/>
    <row r="8" spans="1:9">
      <c r="A8" s="1" t="s">
        <v>7</v>
      </c>
    </row>
    <row r="10" spans="1:9">
      <c r="A10" t="s">
        <v>48</v>
      </c>
    </row>
    <row r="11" spans="1:9">
      <c r="A11" s="2" t="s">
        <v>85</v>
      </c>
      <c r="B11" s="4">
        <f>C11+F11</f>
        <v>2225.3333333333335</v>
      </c>
      <c r="C11" s="4">
        <f>D11+E11</f>
        <v>434.33333333333337</v>
      </c>
      <c r="D11" s="4">
        <f>+'I Trimestre'!D11+'II Trimestre'!D11+'III Trimestre'!D11+'IV Trimestre'!D11</f>
        <v>79</v>
      </c>
      <c r="E11" s="4">
        <f>+'I Trimestre'!E11+'II Trimestre'!E11+'III Trimestre'!E11+'IV Trimestre'!E11</f>
        <v>355.33333333333337</v>
      </c>
      <c r="F11" s="4">
        <f>G11+H11</f>
        <v>1791</v>
      </c>
      <c r="G11" s="4">
        <f>+'I Trimestre'!G11+'II Trimestre'!G11+'III Trimestre'!G11+'IV Trimestre'!G11</f>
        <v>1791</v>
      </c>
      <c r="H11" s="4">
        <f>+'I Trimestre'!H11+'II Trimestre'!H11+'III Trimestre'!H11+'IV Trimestre'!H11</f>
        <v>0</v>
      </c>
    </row>
    <row r="12" spans="1:9">
      <c r="A12" s="27" t="s">
        <v>49</v>
      </c>
      <c r="B12" s="4">
        <f>C12+F12</f>
        <v>478</v>
      </c>
      <c r="C12" s="4">
        <f>D12+E12</f>
        <v>478</v>
      </c>
      <c r="D12" s="4">
        <f>+'I Trimestre'!D12+'II Trimestre'!D12+'III Trimestre'!D12+'IV Trimestre'!D12</f>
        <v>122</v>
      </c>
      <c r="E12" s="4">
        <f>+'I Trimestre'!E12+'II Trimestre'!E12+'III Trimestre'!E12+'IV Trimestre'!E12</f>
        <v>356</v>
      </c>
      <c r="F12" s="4">
        <f t="shared" ref="F12:F15" si="0">G12+H12</f>
        <v>0</v>
      </c>
      <c r="G12" s="4">
        <f>+'I Trimestre'!G12+'II Trimestre'!G12+'III Trimestre'!G12+'IV Trimestre'!G12</f>
        <v>0</v>
      </c>
      <c r="H12" s="4">
        <f>+'I Trimestre'!H12+'II Trimestre'!H12+'III Trimestre'!H12+'IV Trimestre'!H12</f>
        <v>0</v>
      </c>
    </row>
    <row r="13" spans="1:9">
      <c r="A13" s="2" t="s">
        <v>135</v>
      </c>
      <c r="B13" s="4">
        <f>C13+F13</f>
        <v>1952</v>
      </c>
      <c r="C13" s="4">
        <f>D13+E13</f>
        <v>348</v>
      </c>
      <c r="D13" s="4">
        <f>+'I Trimestre'!D13+'II Trimestre'!D13+'III Trimestre'!D13+'IV Trimestre'!D13</f>
        <v>96</v>
      </c>
      <c r="E13" s="4">
        <f>+'I Trimestre'!E13+'II Trimestre'!E13+'III Trimestre'!E13+'IV Trimestre'!E13</f>
        <v>252</v>
      </c>
      <c r="F13" s="4">
        <f t="shared" si="0"/>
        <v>1604</v>
      </c>
      <c r="G13" s="4">
        <f>+'I Trimestre'!G13+'II Trimestre'!G13+'III Trimestre'!G13+'IV Trimestre'!G13</f>
        <v>1604</v>
      </c>
      <c r="H13" s="4">
        <f>+'I Trimestre'!H13+'II Trimestre'!H13+'III Trimestre'!H13+'IV Trimestre'!H13</f>
        <v>0</v>
      </c>
    </row>
    <row r="14" spans="1:9">
      <c r="A14" s="2" t="s">
        <v>136</v>
      </c>
      <c r="B14" s="4">
        <f>C14+F14</f>
        <v>2063.333333333333</v>
      </c>
      <c r="C14" s="4">
        <f>D14+E14</f>
        <v>574.33333333333326</v>
      </c>
      <c r="D14" s="4">
        <f>(+'I Trimestre'!D14+'II Trimestre'!D14+'III Trimestre'!D14+'IV Trimestre'!D14)</f>
        <v>98</v>
      </c>
      <c r="E14" s="4">
        <f>+'I Trimestre'!E14+'II Trimestre'!E14+'III Trimestre'!E14+'IV Trimestre'!E14</f>
        <v>476.33333333333331</v>
      </c>
      <c r="F14" s="4">
        <f t="shared" si="0"/>
        <v>1489</v>
      </c>
      <c r="G14" s="4">
        <f>+'I Trimestre'!G14+'II Trimestre'!G14+'III Trimestre'!G14+'IV Trimestre'!G14</f>
        <v>1489</v>
      </c>
      <c r="H14" s="4">
        <f>+'I Trimestre'!H14+'II Trimestre'!H14+'III Trimestre'!H14+'IV Trimestre'!H14</f>
        <v>0</v>
      </c>
      <c r="I14" s="35"/>
    </row>
    <row r="15" spans="1:9">
      <c r="A15" s="27" t="s">
        <v>49</v>
      </c>
      <c r="B15" s="4">
        <f>C15+F15</f>
        <v>638.66666666666663</v>
      </c>
      <c r="C15" s="4">
        <f>D15+E15</f>
        <v>638.66666666666663</v>
      </c>
      <c r="D15" s="4">
        <f>+'I Trimestre'!D15+'II Trimestre'!D15+'III Trimestre'!D15+'IV Trimestre'!D15</f>
        <v>162</v>
      </c>
      <c r="E15" s="4">
        <f>+'I Trimestre'!E15+'II Trimestre'!E15+'III Trimestre'!E15+'IV Trimestre'!E15</f>
        <v>476.66666666666663</v>
      </c>
      <c r="F15" s="4">
        <f t="shared" si="0"/>
        <v>0</v>
      </c>
      <c r="G15" s="4">
        <f>+'I Trimestre'!G15+'II Trimestre'!G15+'II Trimestre'!G15+'IV Trimestre'!G15</f>
        <v>0</v>
      </c>
      <c r="H15" s="4">
        <f>+'I Trimestre'!H15+'II Trimestre'!H15+'III Trimestre'!H15+'IV Trimestre'!H15</f>
        <v>0</v>
      </c>
    </row>
    <row r="16" spans="1:9">
      <c r="A16" s="2" t="s">
        <v>92</v>
      </c>
      <c r="B16" s="4">
        <f>+'IV Trimestre'!B16</f>
        <v>1952</v>
      </c>
      <c r="C16" s="4">
        <f>+'IV Trimestre'!C16</f>
        <v>348</v>
      </c>
      <c r="D16" s="4">
        <f>+'IV Trimestre'!D16</f>
        <v>96</v>
      </c>
      <c r="E16" s="4">
        <f>+'IV Trimestre'!E16</f>
        <v>252</v>
      </c>
      <c r="F16" s="4">
        <f>+'IV Trimestre'!F16</f>
        <v>1604</v>
      </c>
      <c r="G16" s="4">
        <f>+'IV Trimestre'!G16</f>
        <v>1604</v>
      </c>
      <c r="H16" s="4">
        <f>+'IV Trimestre'!H16</f>
        <v>0</v>
      </c>
    </row>
    <row r="17" spans="1:10">
      <c r="F17" s="5"/>
    </row>
    <row r="18" spans="1:10">
      <c r="A18" s="6" t="s">
        <v>8</v>
      </c>
      <c r="F18" s="5"/>
    </row>
    <row r="19" spans="1:10">
      <c r="A19" s="2" t="s">
        <v>85</v>
      </c>
      <c r="B19" s="4">
        <f>C19+F19</f>
        <v>73796496.780000001</v>
      </c>
      <c r="C19" s="4">
        <f>D19+E19</f>
        <v>65108371.780000001</v>
      </c>
      <c r="D19" s="4">
        <f>+'I Trimestre'!D19+'II Trimestre'!D19+'III Trimestre'!D19+'IV Trimestre'!D19</f>
        <v>59118856.780000001</v>
      </c>
      <c r="E19" s="4">
        <f>+'I Trimestre'!E19+'II Trimestre'!E19+'III Trimestre'!E19+'IV Trimestre'!E19</f>
        <v>5989515</v>
      </c>
      <c r="F19" s="4">
        <f>G19+H19</f>
        <v>8688125</v>
      </c>
      <c r="G19" s="4">
        <f>+'I Trimestre'!G19+'II Trimestre'!G19+'III Trimestre'!G19+'IV Trimestre'!G19</f>
        <v>8688125</v>
      </c>
      <c r="H19" s="4">
        <f>+'I Trimestre'!H19+'II Trimestre'!H19+'III Trimestre'!H19+'IV Trimestre'!H19</f>
        <v>0</v>
      </c>
      <c r="I19" s="35"/>
    </row>
    <row r="20" spans="1:10">
      <c r="A20" s="2" t="s">
        <v>135</v>
      </c>
      <c r="B20" s="4">
        <f t="shared" ref="B20:B21" si="1">C20+F20</f>
        <v>89715527.999999985</v>
      </c>
      <c r="C20" s="4">
        <f t="shared" ref="C20:C21" si="2">D20+E20</f>
        <v>77715527.999999985</v>
      </c>
      <c r="D20" s="4">
        <f>'IV Trimestre'!D22</f>
        <v>69615527.999999985</v>
      </c>
      <c r="E20" s="4">
        <f>'I Trimestre'!E20+'II Trimestre'!E20+'III Trimestre'!E20+'IV Trimestre'!E20</f>
        <v>8100000</v>
      </c>
      <c r="F20" s="4">
        <f t="shared" ref="F20:F21" si="3">G20+H20</f>
        <v>12000000</v>
      </c>
      <c r="G20" s="4">
        <f>'I Trimestre'!G20+'II Trimestre'!G20+'III Trimestre'!G20+'IV Trimestre'!G20</f>
        <v>12000000</v>
      </c>
      <c r="H20" s="4">
        <f>+'I Trimestre'!H20+'II Trimestre'!H20+'III Trimestre'!H20+'IV Trimestre'!H20</f>
        <v>0</v>
      </c>
    </row>
    <row r="21" spans="1:10">
      <c r="A21" s="2" t="s">
        <v>136</v>
      </c>
      <c r="B21" s="4">
        <f t="shared" si="1"/>
        <v>81892158.460000008</v>
      </c>
      <c r="C21" s="4">
        <f t="shared" si="2"/>
        <v>72980528.460000008</v>
      </c>
      <c r="D21" s="4">
        <f>+'I Trimestre'!D21+'II Trimestre'!D21+'III Trimestre'!D21+'IV Trimestre'!D21</f>
        <v>65153403.460000001</v>
      </c>
      <c r="E21" s="4">
        <f>+'I Trimestre'!E21+'II Trimestre'!E21+'III Trimestre'!E21+'IV Trimestre'!E21</f>
        <v>7827125</v>
      </c>
      <c r="F21" s="4">
        <f t="shared" si="3"/>
        <v>8911630</v>
      </c>
      <c r="G21" s="4">
        <f>+'I Trimestre'!G21+'II Trimestre'!G21+'III Trimestre'!G21+'IV Trimestre'!G21</f>
        <v>8911630</v>
      </c>
      <c r="H21" s="4">
        <f>+'I Trimestre'!H21+'II Trimestre'!H21+'III Trimestre'!H21+'IV Trimestre'!H21</f>
        <v>0</v>
      </c>
      <c r="I21" s="35"/>
      <c r="J21" s="4"/>
    </row>
    <row r="22" spans="1:10">
      <c r="A22" s="2" t="s">
        <v>92</v>
      </c>
      <c r="B22" s="4">
        <f>+'IV Trimestre'!B22</f>
        <v>89715527.999999985</v>
      </c>
      <c r="C22" s="4">
        <f>+'IV Trimestre'!C22</f>
        <v>77715527.999999985</v>
      </c>
      <c r="D22" s="4">
        <f>+'IV Trimestre'!D22</f>
        <v>69615527.999999985</v>
      </c>
      <c r="E22" s="4">
        <f>+'IV Trimestre'!E22</f>
        <v>8100000</v>
      </c>
      <c r="F22" s="4">
        <f>+'IV Trimestre'!F22</f>
        <v>12000000</v>
      </c>
      <c r="G22" s="4">
        <f>+'IV Trimestre'!G22</f>
        <v>12000000</v>
      </c>
      <c r="H22" s="4">
        <f>+'IV Trimestre'!H22</f>
        <v>0</v>
      </c>
    </row>
    <row r="23" spans="1:10">
      <c r="A23" s="2" t="s">
        <v>137</v>
      </c>
      <c r="B23" s="3">
        <f>+C23+F23</f>
        <v>81892158.460000008</v>
      </c>
      <c r="C23" s="3">
        <f>C21</f>
        <v>72980528.460000008</v>
      </c>
      <c r="D23" s="3">
        <f>D21</f>
        <v>65153403.460000001</v>
      </c>
      <c r="E23" s="3">
        <f>+E21</f>
        <v>7827125</v>
      </c>
      <c r="F23" s="3">
        <f>H23+G23</f>
        <v>8911630</v>
      </c>
      <c r="G23" s="3">
        <f>G21</f>
        <v>8911630</v>
      </c>
      <c r="H23" s="3">
        <f>H21</f>
        <v>0</v>
      </c>
    </row>
    <row r="24" spans="1:10">
      <c r="B24" s="3"/>
      <c r="C24" s="3"/>
      <c r="D24" s="3"/>
    </row>
    <row r="25" spans="1:10">
      <c r="A25" s="7" t="s">
        <v>9</v>
      </c>
      <c r="B25" s="8"/>
      <c r="C25" s="8"/>
      <c r="D25" s="8"/>
      <c r="E25" s="8"/>
      <c r="F25" s="8"/>
      <c r="G25" s="8"/>
      <c r="H25" s="8"/>
    </row>
    <row r="26" spans="1:10">
      <c r="A26" s="9" t="s">
        <v>135</v>
      </c>
      <c r="B26" s="8">
        <f>+B20</f>
        <v>89715527.999999985</v>
      </c>
      <c r="C26" s="8">
        <f>+C20</f>
        <v>77715527.999999985</v>
      </c>
      <c r="D26" s="8"/>
      <c r="E26" s="8"/>
      <c r="F26" s="8">
        <f>F20</f>
        <v>12000000</v>
      </c>
      <c r="G26" s="8"/>
      <c r="H26" s="8"/>
    </row>
    <row r="27" spans="1:10">
      <c r="A27" s="9" t="s">
        <v>136</v>
      </c>
      <c r="B27" s="8">
        <f>+'I Trimestre'!B27+'II Trimestre'!B27+'III Trimestre'!B27+'IV Trimestre'!B27</f>
        <v>89715528</v>
      </c>
      <c r="C27" s="8">
        <f>+'I Trimestre'!C27+'II Trimestre'!C27+'III Trimestre'!C27+'IV Trimestre'!C27</f>
        <v>77715528</v>
      </c>
      <c r="D27" s="8"/>
      <c r="E27" s="8"/>
      <c r="F27" s="8">
        <f>+'I Trimestre'!F27+'II Trimestre'!F27+'III Trimestre'!F27+'IV Trimestre'!F27</f>
        <v>12000000</v>
      </c>
      <c r="G27" s="8"/>
      <c r="H27" s="8"/>
    </row>
    <row r="28" spans="1:10">
      <c r="C28" s="3"/>
    </row>
    <row r="29" spans="1:10">
      <c r="A29" t="s">
        <v>10</v>
      </c>
    </row>
    <row r="30" spans="1:10">
      <c r="A30" s="10" t="s">
        <v>86</v>
      </c>
      <c r="B30" s="21">
        <v>0.99</v>
      </c>
      <c r="C30" s="21">
        <v>0.99</v>
      </c>
      <c r="D30" s="21">
        <v>0.99</v>
      </c>
      <c r="E30" s="21">
        <v>0.99</v>
      </c>
      <c r="F30" s="21">
        <v>0.99</v>
      </c>
      <c r="G30" s="21">
        <v>0.99</v>
      </c>
      <c r="H30" s="21">
        <v>0.99</v>
      </c>
    </row>
    <row r="31" spans="1:10">
      <c r="A31" s="10" t="s">
        <v>138</v>
      </c>
      <c r="B31" s="21">
        <v>0.99</v>
      </c>
      <c r="C31" s="21">
        <v>0.99</v>
      </c>
      <c r="D31" s="21">
        <v>0.99</v>
      </c>
      <c r="E31" s="21">
        <v>0.99</v>
      </c>
      <c r="F31" s="21">
        <v>0.99</v>
      </c>
      <c r="G31" s="21">
        <v>0.99</v>
      </c>
      <c r="H31" s="21">
        <v>0.99</v>
      </c>
    </row>
    <row r="32" spans="1:10">
      <c r="A32" s="36" t="s">
        <v>11</v>
      </c>
      <c r="B32" s="4"/>
      <c r="C32" s="37"/>
      <c r="D32" s="37"/>
      <c r="E32" s="37"/>
      <c r="F32" s="37"/>
      <c r="G32" s="37"/>
      <c r="H32" s="37"/>
    </row>
    <row r="34" spans="1:8">
      <c r="A34" s="11" t="s">
        <v>12</v>
      </c>
      <c r="B34" s="12"/>
      <c r="C34" s="12"/>
      <c r="D34" s="12"/>
      <c r="E34" s="12"/>
      <c r="F34" s="12"/>
      <c r="G34" s="12"/>
      <c r="H34" s="12"/>
    </row>
    <row r="35" spans="1:8">
      <c r="A35" s="12" t="s">
        <v>87</v>
      </c>
      <c r="B35" s="13">
        <f>B19/B30</f>
        <v>74541915.939393938</v>
      </c>
      <c r="C35" s="13">
        <f t="shared" ref="C35:H35" si="4">C19/C30</f>
        <v>65766032.101010107</v>
      </c>
      <c r="D35" s="13">
        <f>D19/D30</f>
        <v>59716016.94949495</v>
      </c>
      <c r="E35" s="13">
        <f t="shared" si="4"/>
        <v>6050015.1515151514</v>
      </c>
      <c r="F35" s="13">
        <f t="shared" si="4"/>
        <v>8775883.8383838385</v>
      </c>
      <c r="G35" s="13">
        <f t="shared" si="4"/>
        <v>8775883.8383838385</v>
      </c>
      <c r="H35" s="13">
        <f t="shared" si="4"/>
        <v>0</v>
      </c>
    </row>
    <row r="36" spans="1:8">
      <c r="A36" s="12" t="s">
        <v>139</v>
      </c>
      <c r="B36" s="13">
        <f t="shared" ref="B36:F36" si="5">B21/B31</f>
        <v>82719351.979797989</v>
      </c>
      <c r="C36" s="13">
        <f t="shared" si="5"/>
        <v>73717705.515151531</v>
      </c>
      <c r="D36" s="13">
        <f t="shared" si="5"/>
        <v>65811518.646464646</v>
      </c>
      <c r="E36" s="13">
        <f t="shared" si="5"/>
        <v>7906186.8686868688</v>
      </c>
      <c r="F36" s="13">
        <f t="shared" si="5"/>
        <v>9001646.4646464642</v>
      </c>
      <c r="G36" s="13">
        <f>G21/G31</f>
        <v>9001646.4646464642</v>
      </c>
      <c r="H36" s="13">
        <f>H21/H31</f>
        <v>0</v>
      </c>
    </row>
    <row r="37" spans="1:8">
      <c r="A37" s="12" t="s">
        <v>88</v>
      </c>
      <c r="B37" s="13">
        <f t="shared" ref="B37:H37" si="6">B35/B11</f>
        <v>33496.966419739634</v>
      </c>
      <c r="C37" s="13">
        <f t="shared" si="6"/>
        <v>151418.33944975465</v>
      </c>
      <c r="D37" s="13">
        <f t="shared" si="6"/>
        <v>755898.94872778421</v>
      </c>
      <c r="E37" s="13">
        <f t="shared" si="6"/>
        <v>17026.309056796861</v>
      </c>
      <c r="F37" s="13">
        <f t="shared" si="6"/>
        <v>4899.9909762053812</v>
      </c>
      <c r="G37" s="13">
        <f t="shared" si="6"/>
        <v>4899.9909762053812</v>
      </c>
      <c r="H37" s="13" t="e">
        <f t="shared" si="6"/>
        <v>#DIV/0!</v>
      </c>
    </row>
    <row r="38" spans="1:8">
      <c r="A38" s="12" t="s">
        <v>140</v>
      </c>
      <c r="B38" s="13">
        <f t="shared" ref="B38:H38" si="7">B36/B14</f>
        <v>40090.154432858479</v>
      </c>
      <c r="C38" s="13">
        <f t="shared" si="7"/>
        <v>128353.52092017099</v>
      </c>
      <c r="D38" s="13">
        <f t="shared" si="7"/>
        <v>671546.10863739438</v>
      </c>
      <c r="E38" s="13">
        <f t="shared" si="7"/>
        <v>16598.013020336326</v>
      </c>
      <c r="F38" s="13">
        <f t="shared" si="7"/>
        <v>6045.4308023146168</v>
      </c>
      <c r="G38" s="13">
        <f t="shared" si="7"/>
        <v>6045.4308023146168</v>
      </c>
      <c r="H38" s="13" t="e">
        <f t="shared" si="7"/>
        <v>#DIV/0!</v>
      </c>
    </row>
    <row r="40" spans="1:8">
      <c r="A40" s="1" t="s">
        <v>13</v>
      </c>
    </row>
    <row r="42" spans="1:8">
      <c r="A42" t="s">
        <v>14</v>
      </c>
    </row>
    <row r="43" spans="1:8">
      <c r="A43" t="s">
        <v>15</v>
      </c>
      <c r="B43" s="14" t="s">
        <v>58</v>
      </c>
      <c r="C43" s="14" t="s">
        <v>51</v>
      </c>
      <c r="D43" s="14" t="s">
        <v>51</v>
      </c>
      <c r="E43" s="14" t="s">
        <v>51</v>
      </c>
      <c r="F43" s="14" t="s">
        <v>51</v>
      </c>
      <c r="G43" s="14" t="s">
        <v>51</v>
      </c>
      <c r="H43" s="14" t="s">
        <v>51</v>
      </c>
    </row>
    <row r="44" spans="1:8">
      <c r="A44" t="s">
        <v>16</v>
      </c>
      <c r="B44" s="14" t="s">
        <v>51</v>
      </c>
      <c r="C44" s="14" t="s">
        <v>51</v>
      </c>
      <c r="D44" s="14" t="s">
        <v>51</v>
      </c>
      <c r="E44" s="14" t="s">
        <v>51</v>
      </c>
      <c r="F44" s="14" t="s">
        <v>51</v>
      </c>
      <c r="G44" s="14" t="s">
        <v>51</v>
      </c>
      <c r="H44" s="14" t="s">
        <v>51</v>
      </c>
    </row>
    <row r="46" spans="1:8">
      <c r="A46" t="s">
        <v>17</v>
      </c>
    </row>
    <row r="47" spans="1:8">
      <c r="A47" t="s">
        <v>18</v>
      </c>
      <c r="B47" s="14">
        <f>B14/B13*100</f>
        <v>105.70355191256829</v>
      </c>
      <c r="C47" s="14">
        <f t="shared" ref="C47:H47" si="8">C14/C13*100</f>
        <v>165.03831417624519</v>
      </c>
      <c r="D47" s="14">
        <f t="shared" si="8"/>
        <v>102.08333333333333</v>
      </c>
      <c r="E47" s="14">
        <f t="shared" si="8"/>
        <v>189.02116402116403</v>
      </c>
      <c r="F47" s="14">
        <f t="shared" si="8"/>
        <v>92.830423940149629</v>
      </c>
      <c r="G47" s="14">
        <f t="shared" si="8"/>
        <v>92.830423940149629</v>
      </c>
      <c r="H47" s="14" t="e">
        <f t="shared" si="8"/>
        <v>#DIV/0!</v>
      </c>
    </row>
    <row r="48" spans="1:8">
      <c r="A48" t="s">
        <v>19</v>
      </c>
      <c r="B48" s="14">
        <f>B21/B20*100</f>
        <v>91.279804383473078</v>
      </c>
      <c r="C48" s="14">
        <f t="shared" ref="C48:F48" si="9">C21/C20*100</f>
        <v>93.907267103686181</v>
      </c>
      <c r="D48" s="14">
        <f t="shared" si="9"/>
        <v>93.590331542123778</v>
      </c>
      <c r="E48" s="14">
        <f t="shared" si="9"/>
        <v>96.631172839506178</v>
      </c>
      <c r="F48" s="14">
        <f t="shared" si="9"/>
        <v>74.263583333333344</v>
      </c>
      <c r="G48" s="14">
        <f>G21/G20*100</f>
        <v>74.263583333333344</v>
      </c>
      <c r="H48" s="14" t="e">
        <f>H21/H20*100</f>
        <v>#DIV/0!</v>
      </c>
    </row>
    <row r="49" spans="1:8">
      <c r="A49" s="12" t="s">
        <v>20</v>
      </c>
      <c r="B49" s="15">
        <f t="shared" ref="B49:H49" si="10">AVERAGE(B47:B48)</f>
        <v>98.491678148020682</v>
      </c>
      <c r="C49" s="15">
        <f t="shared" si="10"/>
        <v>129.47279063996569</v>
      </c>
      <c r="D49" s="15">
        <f t="shared" si="10"/>
        <v>97.83683243772856</v>
      </c>
      <c r="E49" s="15">
        <f t="shared" si="10"/>
        <v>142.82616843033509</v>
      </c>
      <c r="F49" s="15">
        <f t="shared" si="10"/>
        <v>83.547003636741493</v>
      </c>
      <c r="G49" s="15">
        <f t="shared" si="10"/>
        <v>83.547003636741493</v>
      </c>
      <c r="H49" s="15" t="e">
        <f t="shared" si="10"/>
        <v>#DIV/0!</v>
      </c>
    </row>
    <row r="50" spans="1:8">
      <c r="B50" s="14"/>
      <c r="C50" s="14"/>
      <c r="D50" s="14"/>
      <c r="E50" s="14"/>
      <c r="F50" s="14"/>
      <c r="G50" s="14"/>
      <c r="H50" s="14"/>
    </row>
    <row r="51" spans="1:8">
      <c r="A51" t="s">
        <v>21</v>
      </c>
    </row>
    <row r="52" spans="1:8">
      <c r="A52" t="s">
        <v>22</v>
      </c>
      <c r="B52" s="14">
        <f>(B14/B16)*100</f>
        <v>105.70355191256829</v>
      </c>
      <c r="C52" s="14">
        <f t="shared" ref="C52:H52" si="11">(C14/C16)*100</f>
        <v>165.03831417624519</v>
      </c>
      <c r="D52" s="14">
        <f t="shared" si="11"/>
        <v>102.08333333333333</v>
      </c>
      <c r="E52" s="14">
        <f t="shared" si="11"/>
        <v>189.02116402116403</v>
      </c>
      <c r="F52" s="14">
        <f t="shared" si="11"/>
        <v>92.830423940149629</v>
      </c>
      <c r="G52" s="14">
        <f t="shared" si="11"/>
        <v>92.830423940149629</v>
      </c>
      <c r="H52" s="14" t="e">
        <f t="shared" si="11"/>
        <v>#DIV/0!</v>
      </c>
    </row>
    <row r="53" spans="1:8">
      <c r="A53" t="s">
        <v>23</v>
      </c>
      <c r="B53" s="14">
        <f>B21/B22*100</f>
        <v>91.279804383473078</v>
      </c>
      <c r="C53" s="14">
        <f t="shared" ref="C53:F53" si="12">C21/C22*100</f>
        <v>93.907267103686181</v>
      </c>
      <c r="D53" s="14">
        <f t="shared" si="12"/>
        <v>93.590331542123778</v>
      </c>
      <c r="E53" s="14">
        <f t="shared" si="12"/>
        <v>96.631172839506178</v>
      </c>
      <c r="F53" s="14">
        <f t="shared" si="12"/>
        <v>74.263583333333344</v>
      </c>
      <c r="G53" s="14">
        <f>G21/G22*100</f>
        <v>74.263583333333344</v>
      </c>
      <c r="H53" s="14" t="e">
        <f>H21/H22*100</f>
        <v>#DIV/0!</v>
      </c>
    </row>
    <row r="54" spans="1:8">
      <c r="A54" t="s">
        <v>24</v>
      </c>
      <c r="B54" s="14">
        <f t="shared" ref="B54:H54" si="13">(B52+B53)/2</f>
        <v>98.491678148020682</v>
      </c>
      <c r="C54" s="14">
        <f t="shared" si="13"/>
        <v>129.47279063996569</v>
      </c>
      <c r="D54" s="14">
        <f t="shared" si="13"/>
        <v>97.83683243772856</v>
      </c>
      <c r="E54" s="14">
        <f t="shared" si="13"/>
        <v>142.82616843033509</v>
      </c>
      <c r="F54" s="14">
        <f t="shared" si="13"/>
        <v>83.547003636741493</v>
      </c>
      <c r="G54" s="14">
        <f t="shared" si="13"/>
        <v>83.547003636741493</v>
      </c>
      <c r="H54" s="14" t="e">
        <f t="shared" si="13"/>
        <v>#DIV/0!</v>
      </c>
    </row>
    <row r="56" spans="1:8">
      <c r="A56" s="12" t="s">
        <v>35</v>
      </c>
      <c r="B56" s="15"/>
      <c r="C56" s="15"/>
      <c r="D56" s="15"/>
      <c r="E56" s="15"/>
      <c r="F56" s="15"/>
      <c r="G56" s="15"/>
      <c r="H56" s="15"/>
    </row>
    <row r="57" spans="1:8">
      <c r="A57" t="s">
        <v>25</v>
      </c>
      <c r="B57" s="14">
        <f t="shared" ref="B57:F57" si="14">B23/B21*100</f>
        <v>100</v>
      </c>
      <c r="C57" s="14">
        <f t="shared" si="14"/>
        <v>100</v>
      </c>
      <c r="D57" s="14"/>
      <c r="E57" s="14"/>
      <c r="F57" s="14">
        <f t="shared" si="14"/>
        <v>100</v>
      </c>
      <c r="G57" s="14"/>
      <c r="H57" s="14"/>
    </row>
    <row r="59" spans="1:8">
      <c r="A59" t="s">
        <v>26</v>
      </c>
    </row>
    <row r="60" spans="1:8">
      <c r="A60" t="s">
        <v>27</v>
      </c>
      <c r="B60" s="14">
        <f>((B14/B11)-1)*100</f>
        <v>-7.279808268424226</v>
      </c>
      <c r="C60" s="14">
        <f t="shared" ref="C60:H60" si="15">((C14/C11)-1)*100</f>
        <v>32.233307751343034</v>
      </c>
      <c r="D60" s="14">
        <f t="shared" si="15"/>
        <v>24.050632911392398</v>
      </c>
      <c r="E60" s="14">
        <f t="shared" si="15"/>
        <v>34.052532833020607</v>
      </c>
      <c r="F60" s="14">
        <f t="shared" si="15"/>
        <v>-16.862088218872138</v>
      </c>
      <c r="G60" s="14">
        <f t="shared" si="15"/>
        <v>-16.862088218872138</v>
      </c>
      <c r="H60" s="14" t="e">
        <f t="shared" si="15"/>
        <v>#DIV/0!</v>
      </c>
    </row>
    <row r="61" spans="1:8">
      <c r="A61" t="s">
        <v>28</v>
      </c>
      <c r="B61" s="14">
        <f>((B36/B35)-1)*100</f>
        <v>10.970252021765425</v>
      </c>
      <c r="C61" s="14">
        <f>((C36/C35)-1)*100</f>
        <v>12.090851705829596</v>
      </c>
      <c r="D61" s="14">
        <f t="shared" ref="D61:H61" si="16">((D36/D35)-1)*100</f>
        <v>10.207482026346447</v>
      </c>
      <c r="E61" s="14">
        <f t="shared" si="16"/>
        <v>30.680447415191381</v>
      </c>
      <c r="F61" s="14">
        <f t="shared" si="16"/>
        <v>2.5725343500467623</v>
      </c>
      <c r="G61" s="14">
        <f t="shared" si="16"/>
        <v>2.5725343500467623</v>
      </c>
      <c r="H61" s="14" t="e">
        <f t="shared" si="16"/>
        <v>#DIV/0!</v>
      </c>
    </row>
    <row r="62" spans="1:8">
      <c r="A62" s="12" t="s">
        <v>29</v>
      </c>
      <c r="B62" s="15">
        <f t="shared" ref="B62:H62" si="17">((B38/B37)-1)*100</f>
        <v>19.682940629613267</v>
      </c>
      <c r="C62" s="15">
        <f t="shared" si="17"/>
        <v>-15.232513190542086</v>
      </c>
      <c r="D62" s="15">
        <f t="shared" si="17"/>
        <v>-11.15927469304725</v>
      </c>
      <c r="E62" s="15">
        <f t="shared" si="17"/>
        <v>-2.5154954901371318</v>
      </c>
      <c r="F62" s="15">
        <f t="shared" si="17"/>
        <v>23.376366031520313</v>
      </c>
      <c r="G62" s="15">
        <f t="shared" si="17"/>
        <v>23.376366031520313</v>
      </c>
      <c r="H62" s="15" t="e">
        <f t="shared" si="17"/>
        <v>#DIV/0!</v>
      </c>
    </row>
    <row r="63" spans="1:8">
      <c r="B63" s="16"/>
      <c r="C63" s="16"/>
      <c r="D63" s="16"/>
      <c r="E63" s="16"/>
      <c r="F63" s="16"/>
      <c r="G63" s="16"/>
      <c r="H63" s="16"/>
    </row>
    <row r="64" spans="1:8">
      <c r="A64" t="s">
        <v>30</v>
      </c>
    </row>
    <row r="65" spans="1:8">
      <c r="A65" t="s">
        <v>46</v>
      </c>
      <c r="B65" s="3">
        <f t="shared" ref="B65:H65" si="18">B20/B13</f>
        <v>45960.823770491799</v>
      </c>
      <c r="C65" s="3">
        <f t="shared" si="18"/>
        <v>223320.48275862064</v>
      </c>
      <c r="D65" s="3">
        <f t="shared" si="18"/>
        <v>725161.74999999988</v>
      </c>
      <c r="E65" s="3">
        <f t="shared" si="18"/>
        <v>32142.857142857141</v>
      </c>
      <c r="F65" s="3">
        <f t="shared" si="18"/>
        <v>7481.2967581047378</v>
      </c>
      <c r="G65" s="3">
        <f t="shared" si="18"/>
        <v>7481.2967581047378</v>
      </c>
      <c r="H65" s="3" t="e">
        <f t="shared" si="18"/>
        <v>#DIV/0!</v>
      </c>
    </row>
    <row r="66" spans="1:8">
      <c r="A66" t="s">
        <v>47</v>
      </c>
      <c r="B66" s="3">
        <f t="shared" ref="B66:H66" si="19">B21/B14</f>
        <v>39689.252888529896</v>
      </c>
      <c r="C66" s="3">
        <f t="shared" si="19"/>
        <v>127069.98571096927</v>
      </c>
      <c r="D66" s="3">
        <f t="shared" si="19"/>
        <v>664830.64755102037</v>
      </c>
      <c r="E66" s="3">
        <f t="shared" si="19"/>
        <v>16432.032890132959</v>
      </c>
      <c r="F66" s="3">
        <f t="shared" si="19"/>
        <v>5984.9764942914708</v>
      </c>
      <c r="G66" s="3">
        <f t="shared" si="19"/>
        <v>5984.9764942914708</v>
      </c>
      <c r="H66" s="3" t="e">
        <f t="shared" si="19"/>
        <v>#DIV/0!</v>
      </c>
    </row>
    <row r="67" spans="1:8">
      <c r="A67" s="12" t="s">
        <v>31</v>
      </c>
      <c r="B67" s="15">
        <f>(B66/B65)*B49</f>
        <v>85.0520247624939</v>
      </c>
      <c r="C67" s="15">
        <f t="shared" ref="C67:H67" si="20">(C66/C65)*C49</f>
        <v>73.670383716491727</v>
      </c>
      <c r="D67" s="15">
        <f t="shared" si="20"/>
        <v>89.697125729419355</v>
      </c>
      <c r="E67" s="15">
        <f t="shared" si="20"/>
        <v>73.015422580144673</v>
      </c>
      <c r="F67" s="15">
        <f t="shared" si="20"/>
        <v>66.836922675562377</v>
      </c>
      <c r="G67" s="15">
        <f t="shared" si="20"/>
        <v>66.836922675562377</v>
      </c>
      <c r="H67" s="15" t="e">
        <f t="shared" si="20"/>
        <v>#DIV/0!</v>
      </c>
    </row>
    <row r="68" spans="1:8" s="5" customFormat="1">
      <c r="A68" t="s">
        <v>40</v>
      </c>
      <c r="B68" s="26">
        <f>B20/(B13*12)</f>
        <v>3830.068647540983</v>
      </c>
      <c r="C68" s="26">
        <f t="shared" ref="C68:H68" si="21">C20/(C13*12)</f>
        <v>18610.040229885053</v>
      </c>
      <c r="D68" s="26">
        <f t="shared" si="21"/>
        <v>60430.145833333321</v>
      </c>
      <c r="E68" s="26">
        <f t="shared" si="21"/>
        <v>2678.5714285714284</v>
      </c>
      <c r="F68" s="26">
        <f t="shared" si="21"/>
        <v>623.44139650872819</v>
      </c>
      <c r="G68" s="26">
        <f t="shared" si="21"/>
        <v>623.44139650872819</v>
      </c>
      <c r="H68" s="26" t="e">
        <f t="shared" si="21"/>
        <v>#DIV/0!</v>
      </c>
    </row>
    <row r="69" spans="1:8" s="5" customFormat="1">
      <c r="A69" t="s">
        <v>41</v>
      </c>
      <c r="B69" s="26">
        <f>B21/(B14*12)</f>
        <v>3307.4377407108245</v>
      </c>
      <c r="C69" s="26">
        <f t="shared" ref="C69:H69" si="22">C21/(C14*12)</f>
        <v>10589.165475914106</v>
      </c>
      <c r="D69" s="26">
        <f t="shared" si="22"/>
        <v>55402.553962585036</v>
      </c>
      <c r="E69" s="26">
        <f t="shared" si="22"/>
        <v>1369.3360741777467</v>
      </c>
      <c r="F69" s="26">
        <f t="shared" si="22"/>
        <v>498.74804119095592</v>
      </c>
      <c r="G69" s="26">
        <f t="shared" si="22"/>
        <v>498.74804119095592</v>
      </c>
      <c r="H69" s="26" t="e">
        <f t="shared" si="22"/>
        <v>#DIV/0!</v>
      </c>
    </row>
    <row r="70" spans="1:8">
      <c r="B70" s="14"/>
      <c r="C70" s="14"/>
      <c r="D70" s="14"/>
    </row>
    <row r="71" spans="1:8">
      <c r="A71" t="s">
        <v>32</v>
      </c>
      <c r="B71" s="14"/>
      <c r="C71" s="14"/>
      <c r="D71" s="14"/>
    </row>
    <row r="72" spans="1:8">
      <c r="A72" s="17" t="s">
        <v>33</v>
      </c>
      <c r="B72" s="18">
        <f>(B27/B26)*100</f>
        <v>100.00000000000003</v>
      </c>
      <c r="C72" s="18">
        <f>(C27/C26)*100</f>
        <v>100.00000000000003</v>
      </c>
      <c r="D72" s="18"/>
      <c r="E72" s="18"/>
      <c r="F72" s="18">
        <f>(F27/F26)*100</f>
        <v>100</v>
      </c>
      <c r="G72" s="18"/>
      <c r="H72" s="18"/>
    </row>
    <row r="73" spans="1:8">
      <c r="A73" s="17" t="s">
        <v>34</v>
      </c>
      <c r="B73" s="18">
        <f>(B21/B27)*100</f>
        <v>91.279804383473078</v>
      </c>
      <c r="C73" s="18">
        <f>(C21/C27)*100</f>
        <v>93.907267103686166</v>
      </c>
      <c r="D73" s="18"/>
      <c r="E73" s="18"/>
      <c r="F73" s="18">
        <f>(F21/F27)*100</f>
        <v>74.263583333333344</v>
      </c>
      <c r="G73" s="18"/>
      <c r="H73" s="18"/>
    </row>
    <row r="74" spans="1:8" ht="15.75" thickBot="1">
      <c r="A74" s="19"/>
      <c r="B74" s="19"/>
      <c r="C74" s="19"/>
      <c r="D74" s="19"/>
      <c r="E74" s="19"/>
      <c r="F74" s="19"/>
      <c r="G74" s="19"/>
      <c r="H74" s="19"/>
    </row>
    <row r="75" spans="1:8" ht="15.75" thickTop="1">
      <c r="A75" s="22" t="s">
        <v>36</v>
      </c>
    </row>
    <row r="76" spans="1:8">
      <c r="A76" s="22" t="s">
        <v>97</v>
      </c>
    </row>
    <row r="77" spans="1:8">
      <c r="A77" s="22" t="s">
        <v>98</v>
      </c>
    </row>
    <row r="78" spans="1:8">
      <c r="A78" s="22" t="s">
        <v>57</v>
      </c>
      <c r="B78" s="20"/>
      <c r="C78" s="20"/>
      <c r="D78" s="20"/>
    </row>
    <row r="79" spans="1:8">
      <c r="A79" s="22"/>
    </row>
    <row r="80" spans="1:8">
      <c r="A80" s="22"/>
    </row>
    <row r="82" spans="1:1">
      <c r="A82" t="s">
        <v>37</v>
      </c>
    </row>
    <row r="84" spans="1:1">
      <c r="A84" t="s">
        <v>52</v>
      </c>
    </row>
    <row r="85" spans="1:1">
      <c r="A85" t="s">
        <v>53</v>
      </c>
    </row>
    <row r="88" spans="1:1">
      <c r="A88" s="39" t="s">
        <v>144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Hoja1</vt:lpstr>
    </vt:vector>
  </TitlesOfParts>
  <Company>FAM ASTORGA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</cp:lastModifiedBy>
  <dcterms:created xsi:type="dcterms:W3CDTF">2012-04-23T15:28:09Z</dcterms:created>
  <dcterms:modified xsi:type="dcterms:W3CDTF">2017-03-08T15:11:18Z</dcterms:modified>
</cp:coreProperties>
</file>