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0" yWindow="0" windowWidth="15600" windowHeight="9240" tabRatio="728" firstSheet="1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  <sheet name="Hoja1" sheetId="9" state="hidden" r:id="rId8"/>
  </sheets>
  <calcPr calcId="125725"/>
</workbook>
</file>

<file path=xl/calcChain.xml><?xml version="1.0" encoding="utf-8"?>
<calcChain xmlns="http://schemas.openxmlformats.org/spreadsheetml/2006/main">
  <c r="C64" i="8"/>
  <c r="D64"/>
  <c r="E64"/>
  <c r="F64"/>
  <c r="B64"/>
  <c r="C64" i="7"/>
  <c r="D64"/>
  <c r="E64"/>
  <c r="F64"/>
  <c r="B64"/>
  <c r="C64" i="6"/>
  <c r="D64"/>
  <c r="E64"/>
  <c r="F64"/>
  <c r="B64"/>
  <c r="C64" i="4"/>
  <c r="D64"/>
  <c r="E64"/>
  <c r="F64"/>
  <c r="B64"/>
  <c r="C64" i="3"/>
  <c r="D64"/>
  <c r="E64"/>
  <c r="F64"/>
  <c r="B64"/>
  <c r="C64" i="2"/>
  <c r="D64"/>
  <c r="E64"/>
  <c r="F64"/>
  <c r="B64"/>
  <c r="C64" i="1"/>
  <c r="D64"/>
  <c r="E64"/>
  <c r="F64"/>
  <c r="B64"/>
  <c r="F12" i="8" l="1"/>
  <c r="F11" i="7" l="1"/>
  <c r="F11" i="6"/>
  <c r="F12"/>
  <c r="B13" i="3"/>
  <c r="F63" i="8"/>
  <c r="C20" i="4"/>
  <c r="D20"/>
  <c r="E20"/>
  <c r="F20"/>
  <c r="C18" i="8"/>
  <c r="C50" s="1"/>
  <c r="C20"/>
  <c r="D18"/>
  <c r="D20"/>
  <c r="E18"/>
  <c r="E33" s="1"/>
  <c r="E20"/>
  <c r="F18"/>
  <c r="F20"/>
  <c r="F11"/>
  <c r="F44" s="1"/>
  <c r="F66"/>
  <c r="F17"/>
  <c r="F45"/>
  <c r="F33"/>
  <c r="F58" s="1"/>
  <c r="F35"/>
  <c r="F16"/>
  <c r="F32"/>
  <c r="F34"/>
  <c r="F59"/>
  <c r="F57"/>
  <c r="F13"/>
  <c r="F49"/>
  <c r="F19"/>
  <c r="F50"/>
  <c r="F12" i="7"/>
  <c r="F18"/>
  <c r="F66"/>
  <c r="F17"/>
  <c r="F65"/>
  <c r="F62"/>
  <c r="F44"/>
  <c r="F45"/>
  <c r="F46"/>
  <c r="F63"/>
  <c r="F32"/>
  <c r="F34"/>
  <c r="F33"/>
  <c r="F35"/>
  <c r="F59"/>
  <c r="F58"/>
  <c r="F57"/>
  <c r="F13"/>
  <c r="F49"/>
  <c r="F19"/>
  <c r="F50"/>
  <c r="F51"/>
  <c r="F18" i="6"/>
  <c r="F66"/>
  <c r="F17"/>
  <c r="F65"/>
  <c r="F62"/>
  <c r="F44"/>
  <c r="F45"/>
  <c r="F46"/>
  <c r="F63"/>
  <c r="F32"/>
  <c r="F34"/>
  <c r="F33"/>
  <c r="F35"/>
  <c r="F59"/>
  <c r="F58"/>
  <c r="F57"/>
  <c r="F13"/>
  <c r="F49"/>
  <c r="F19"/>
  <c r="F50"/>
  <c r="F51"/>
  <c r="F20"/>
  <c r="F66" i="4"/>
  <c r="F65"/>
  <c r="F63"/>
  <c r="F44"/>
  <c r="F45"/>
  <c r="F62"/>
  <c r="F33"/>
  <c r="F35" s="1"/>
  <c r="F59" s="1"/>
  <c r="F32"/>
  <c r="F34"/>
  <c r="F57"/>
  <c r="F49"/>
  <c r="F50"/>
  <c r="F66" i="3"/>
  <c r="F65"/>
  <c r="F62"/>
  <c r="F44"/>
  <c r="F45"/>
  <c r="F46"/>
  <c r="F63"/>
  <c r="F32"/>
  <c r="F34"/>
  <c r="F33"/>
  <c r="F35"/>
  <c r="F59"/>
  <c r="F58"/>
  <c r="F57"/>
  <c r="F49"/>
  <c r="F50"/>
  <c r="F51"/>
  <c r="C20"/>
  <c r="D20"/>
  <c r="E20"/>
  <c r="F20"/>
  <c r="B20"/>
  <c r="C20" i="2"/>
  <c r="D20"/>
  <c r="E20"/>
  <c r="F20"/>
  <c r="B20"/>
  <c r="C20" i="1"/>
  <c r="D20"/>
  <c r="E20"/>
  <c r="F20"/>
  <c r="B20"/>
  <c r="F66" i="2"/>
  <c r="F65"/>
  <c r="F63"/>
  <c r="F62"/>
  <c r="F57"/>
  <c r="F50"/>
  <c r="F49"/>
  <c r="F51"/>
  <c r="F45"/>
  <c r="F44"/>
  <c r="F46"/>
  <c r="F33"/>
  <c r="F35"/>
  <c r="F32"/>
  <c r="F58"/>
  <c r="F66" i="1"/>
  <c r="F65"/>
  <c r="F63"/>
  <c r="F62"/>
  <c r="F57"/>
  <c r="F50"/>
  <c r="F49"/>
  <c r="F51"/>
  <c r="F44"/>
  <c r="F45"/>
  <c r="F46"/>
  <c r="F32"/>
  <c r="F34"/>
  <c r="F33"/>
  <c r="F35"/>
  <c r="E17" i="8"/>
  <c r="E65" s="1"/>
  <c r="E11"/>
  <c r="F34" i="2"/>
  <c r="F59"/>
  <c r="F59" i="1"/>
  <c r="F58"/>
  <c r="B11" i="2"/>
  <c r="B12"/>
  <c r="B13"/>
  <c r="B11" i="4"/>
  <c r="B40" s="1"/>
  <c r="B12"/>
  <c r="B57" s="1"/>
  <c r="B13"/>
  <c r="B10"/>
  <c r="B10" i="2"/>
  <c r="B18"/>
  <c r="B18" i="3"/>
  <c r="B18" i="4"/>
  <c r="B50" s="1"/>
  <c r="B18" i="1"/>
  <c r="B16" i="2"/>
  <c r="B16" i="3"/>
  <c r="B16" i="4"/>
  <c r="B16" i="1"/>
  <c r="B49" i="4"/>
  <c r="C49" i="2"/>
  <c r="D49"/>
  <c r="E49"/>
  <c r="C49" i="3"/>
  <c r="D49"/>
  <c r="E49"/>
  <c r="C49" i="4"/>
  <c r="D49"/>
  <c r="D51" s="1"/>
  <c r="E49"/>
  <c r="E51" s="1"/>
  <c r="C49" i="1"/>
  <c r="D49"/>
  <c r="E49"/>
  <c r="C45" i="4"/>
  <c r="D45"/>
  <c r="D46" s="1"/>
  <c r="E45"/>
  <c r="C44"/>
  <c r="D44"/>
  <c r="E44"/>
  <c r="C57" i="3"/>
  <c r="D57"/>
  <c r="E57"/>
  <c r="C50"/>
  <c r="C51"/>
  <c r="D50"/>
  <c r="D51"/>
  <c r="E50"/>
  <c r="C45"/>
  <c r="D45"/>
  <c r="E45"/>
  <c r="C44"/>
  <c r="D44"/>
  <c r="E44"/>
  <c r="C33"/>
  <c r="C35"/>
  <c r="D33"/>
  <c r="D35"/>
  <c r="E33"/>
  <c r="E35"/>
  <c r="C32"/>
  <c r="C34"/>
  <c r="D32"/>
  <c r="D34"/>
  <c r="E32"/>
  <c r="E34"/>
  <c r="C66" i="2"/>
  <c r="D66"/>
  <c r="E66"/>
  <c r="C65"/>
  <c r="D65"/>
  <c r="E65"/>
  <c r="C62"/>
  <c r="D62"/>
  <c r="E62"/>
  <c r="C57"/>
  <c r="D57"/>
  <c r="E57"/>
  <c r="C50"/>
  <c r="C51"/>
  <c r="D50"/>
  <c r="D51"/>
  <c r="E50"/>
  <c r="E51"/>
  <c r="C45"/>
  <c r="D45"/>
  <c r="E45"/>
  <c r="C44"/>
  <c r="D44"/>
  <c r="E44"/>
  <c r="C66" i="1"/>
  <c r="D66"/>
  <c r="E66"/>
  <c r="C65"/>
  <c r="D65"/>
  <c r="E65"/>
  <c r="C62"/>
  <c r="D62"/>
  <c r="E62"/>
  <c r="C57"/>
  <c r="D57"/>
  <c r="E57"/>
  <c r="C50"/>
  <c r="C51"/>
  <c r="D50"/>
  <c r="D51"/>
  <c r="E50"/>
  <c r="E51"/>
  <c r="C45"/>
  <c r="D45"/>
  <c r="E45"/>
  <c r="C44"/>
  <c r="D44"/>
  <c r="E44"/>
  <c r="C33"/>
  <c r="C35"/>
  <c r="D33"/>
  <c r="D35"/>
  <c r="E33"/>
  <c r="E35"/>
  <c r="C32"/>
  <c r="C34"/>
  <c r="D32"/>
  <c r="D34"/>
  <c r="E32"/>
  <c r="E34"/>
  <c r="E46" i="3"/>
  <c r="D46"/>
  <c r="C46"/>
  <c r="D46" i="2"/>
  <c r="C46"/>
  <c r="E46"/>
  <c r="E46" i="1"/>
  <c r="D46"/>
  <c r="C46"/>
  <c r="C59"/>
  <c r="D59" i="3"/>
  <c r="E59"/>
  <c r="C59"/>
  <c r="E59" i="1"/>
  <c r="D59"/>
  <c r="D58"/>
  <c r="E58" i="3"/>
  <c r="C58" i="1"/>
  <c r="D58" i="3"/>
  <c r="C58"/>
  <c r="E58" i="1"/>
  <c r="B19"/>
  <c r="B50"/>
  <c r="B17"/>
  <c r="B19" i="2"/>
  <c r="B17"/>
  <c r="E12" i="8"/>
  <c r="E57" s="1"/>
  <c r="E10"/>
  <c r="D12"/>
  <c r="D11"/>
  <c r="D44" s="1"/>
  <c r="D10"/>
  <c r="C12"/>
  <c r="C11"/>
  <c r="C10"/>
  <c r="E12" i="7"/>
  <c r="E11"/>
  <c r="E10"/>
  <c r="D12"/>
  <c r="D11"/>
  <c r="D10"/>
  <c r="C12"/>
  <c r="C11"/>
  <c r="C10"/>
  <c r="E12" i="6"/>
  <c r="E11"/>
  <c r="E10"/>
  <c r="D12"/>
  <c r="D11"/>
  <c r="D10"/>
  <c r="C12"/>
  <c r="C11"/>
  <c r="C10"/>
  <c r="E66" i="4"/>
  <c r="D66"/>
  <c r="C66"/>
  <c r="E65"/>
  <c r="D65"/>
  <c r="C65"/>
  <c r="E66" i="3"/>
  <c r="D66"/>
  <c r="C66"/>
  <c r="E65"/>
  <c r="D65"/>
  <c r="C65"/>
  <c r="E213" i="1"/>
  <c r="C19" i="6"/>
  <c r="D19"/>
  <c r="E19"/>
  <c r="C17"/>
  <c r="D17"/>
  <c r="E17"/>
  <c r="C18"/>
  <c r="D18"/>
  <c r="E18"/>
  <c r="D16"/>
  <c r="E16"/>
  <c r="F16"/>
  <c r="C16"/>
  <c r="D19" i="7"/>
  <c r="E19"/>
  <c r="C19"/>
  <c r="C17"/>
  <c r="D17"/>
  <c r="E17"/>
  <c r="C18"/>
  <c r="D18"/>
  <c r="E18"/>
  <c r="F20"/>
  <c r="D16"/>
  <c r="E16"/>
  <c r="F16"/>
  <c r="C16"/>
  <c r="C17" i="8"/>
  <c r="D17"/>
  <c r="D65" s="1"/>
  <c r="D16"/>
  <c r="E16"/>
  <c r="C16"/>
  <c r="C19"/>
  <c r="B19" s="1"/>
  <c r="D19"/>
  <c r="D50" s="1"/>
  <c r="E19"/>
  <c r="D13" i="6"/>
  <c r="D49"/>
  <c r="E13"/>
  <c r="E49"/>
  <c r="C13"/>
  <c r="B11"/>
  <c r="F10"/>
  <c r="B10"/>
  <c r="D13" i="7"/>
  <c r="D49"/>
  <c r="E13"/>
  <c r="E49"/>
  <c r="C13"/>
  <c r="B11"/>
  <c r="F10"/>
  <c r="B10"/>
  <c r="D13" i="8"/>
  <c r="D49"/>
  <c r="E13"/>
  <c r="E49"/>
  <c r="C13"/>
  <c r="C49" s="1"/>
  <c r="B11"/>
  <c r="B10"/>
  <c r="C49" i="6"/>
  <c r="B13"/>
  <c r="B13" i="8"/>
  <c r="B12" i="6"/>
  <c r="B12" i="7"/>
  <c r="B18" i="8"/>
  <c r="B33" s="1"/>
  <c r="B58" s="1"/>
  <c r="B18" i="7"/>
  <c r="B18" i="6"/>
  <c r="B12" i="8"/>
  <c r="B16"/>
  <c r="B16" i="7"/>
  <c r="B16" i="6"/>
  <c r="B13" i="7"/>
  <c r="C49"/>
  <c r="B19"/>
  <c r="B19" i="6"/>
  <c r="E66" i="8"/>
  <c r="C66"/>
  <c r="C65"/>
  <c r="E20" i="7"/>
  <c r="E66"/>
  <c r="C20"/>
  <c r="C66"/>
  <c r="E65"/>
  <c r="C65"/>
  <c r="E20" i="6"/>
  <c r="E66"/>
  <c r="C20"/>
  <c r="C66"/>
  <c r="E65"/>
  <c r="C65"/>
  <c r="D66" i="8"/>
  <c r="D20" i="7"/>
  <c r="D66"/>
  <c r="D65"/>
  <c r="D20" i="6"/>
  <c r="D66"/>
  <c r="D65"/>
  <c r="B17" i="7"/>
  <c r="B17" i="6"/>
  <c r="B19" i="4"/>
  <c r="B17"/>
  <c r="B23" s="1"/>
  <c r="B69" s="1"/>
  <c r="B19" i="3"/>
  <c r="B17"/>
  <c r="B12"/>
  <c r="B11"/>
  <c r="B10"/>
  <c r="B49" i="2"/>
  <c r="B13" i="1"/>
  <c r="B12"/>
  <c r="B11"/>
  <c r="B10"/>
  <c r="B20" i="6"/>
  <c r="B49" i="1"/>
  <c r="B49" i="3"/>
  <c r="B49" i="7"/>
  <c r="B49" i="6"/>
  <c r="B20" i="7"/>
  <c r="B65" i="1"/>
  <c r="B66" i="2"/>
  <c r="B65" i="3"/>
  <c r="B65" i="6"/>
  <c r="B65" i="7"/>
  <c r="B66" i="1"/>
  <c r="B65" i="2"/>
  <c r="B66" i="3"/>
  <c r="B66" i="6"/>
  <c r="B66" i="7"/>
  <c r="E51" i="3"/>
  <c r="E32" i="6"/>
  <c r="E34"/>
  <c r="E57"/>
  <c r="D50"/>
  <c r="E63"/>
  <c r="B33"/>
  <c r="B35"/>
  <c r="C63"/>
  <c r="E50"/>
  <c r="C50"/>
  <c r="D63"/>
  <c r="D33"/>
  <c r="D35"/>
  <c r="C33"/>
  <c r="C35"/>
  <c r="E33"/>
  <c r="E35"/>
  <c r="D51"/>
  <c r="E51"/>
  <c r="B63"/>
  <c r="B41"/>
  <c r="C51"/>
  <c r="B54"/>
  <c r="E58"/>
  <c r="E57" i="7"/>
  <c r="E32"/>
  <c r="E34"/>
  <c r="B33" i="3"/>
  <c r="B35"/>
  <c r="B32"/>
  <c r="B34"/>
  <c r="E32" i="8"/>
  <c r="E34"/>
  <c r="E63" i="4"/>
  <c r="D63"/>
  <c r="C63"/>
  <c r="E57"/>
  <c r="D57"/>
  <c r="C57"/>
  <c r="E50"/>
  <c r="D50"/>
  <c r="C50"/>
  <c r="E62"/>
  <c r="D62"/>
  <c r="C62"/>
  <c r="E33"/>
  <c r="E58" s="1"/>
  <c r="D33"/>
  <c r="D58" s="1"/>
  <c r="C33"/>
  <c r="C58" s="1"/>
  <c r="E32"/>
  <c r="E34"/>
  <c r="D32"/>
  <c r="D34"/>
  <c r="C32"/>
  <c r="C34"/>
  <c r="B32"/>
  <c r="B34"/>
  <c r="E63" i="3"/>
  <c r="D63"/>
  <c r="C63"/>
  <c r="B63"/>
  <c r="B57"/>
  <c r="B54"/>
  <c r="B45"/>
  <c r="B41"/>
  <c r="E62"/>
  <c r="D62"/>
  <c r="B70"/>
  <c r="E63" i="2"/>
  <c r="D63"/>
  <c r="C63"/>
  <c r="E33"/>
  <c r="D33"/>
  <c r="C33"/>
  <c r="E32"/>
  <c r="E34"/>
  <c r="D32"/>
  <c r="D34"/>
  <c r="C32"/>
  <c r="C34"/>
  <c r="B24" i="6"/>
  <c r="B70"/>
  <c r="B50"/>
  <c r="B51"/>
  <c r="B32" i="2"/>
  <c r="B34"/>
  <c r="D63" i="1"/>
  <c r="E63"/>
  <c r="C63"/>
  <c r="B70"/>
  <c r="B32"/>
  <c r="B34"/>
  <c r="C35" i="2"/>
  <c r="C59"/>
  <c r="C58"/>
  <c r="E35" i="4"/>
  <c r="E59" s="1"/>
  <c r="D35" i="2"/>
  <c r="D59"/>
  <c r="D58"/>
  <c r="E35"/>
  <c r="E59"/>
  <c r="E58"/>
  <c r="C35" i="4"/>
  <c r="C59" s="1"/>
  <c r="D35"/>
  <c r="D59" s="1"/>
  <c r="B40" i="1"/>
  <c r="E50" i="8"/>
  <c r="C33"/>
  <c r="C58" s="1"/>
  <c r="B40" i="2"/>
  <c r="B70"/>
  <c r="D63" i="8"/>
  <c r="B50" i="3"/>
  <c r="B32" i="8"/>
  <c r="B34"/>
  <c r="D33"/>
  <c r="D35" s="1"/>
  <c r="D59" s="1"/>
  <c r="B54" i="2"/>
  <c r="D32" i="6"/>
  <c r="D34"/>
  <c r="D32" i="7"/>
  <c r="D34"/>
  <c r="D32" i="8"/>
  <c r="D34"/>
  <c r="D57" i="6"/>
  <c r="D57" i="7"/>
  <c r="D57" i="8"/>
  <c r="B44" i="1"/>
  <c r="C57" i="7"/>
  <c r="B63" i="1"/>
  <c r="B41" i="2"/>
  <c r="B44"/>
  <c r="B50"/>
  <c r="B57"/>
  <c r="C62" i="3"/>
  <c r="E63" i="8"/>
  <c r="E44" i="7"/>
  <c r="C44"/>
  <c r="E63"/>
  <c r="C63"/>
  <c r="B63" i="2"/>
  <c r="B24" i="8"/>
  <c r="D63" i="7"/>
  <c r="B24"/>
  <c r="B70"/>
  <c r="D33"/>
  <c r="D35"/>
  <c r="B41"/>
  <c r="D45"/>
  <c r="C50"/>
  <c r="E50"/>
  <c r="C33"/>
  <c r="C35"/>
  <c r="E33"/>
  <c r="E35"/>
  <c r="C45"/>
  <c r="D50"/>
  <c r="B58" i="3"/>
  <c r="B59"/>
  <c r="C44" i="8"/>
  <c r="B33" i="2"/>
  <c r="B35"/>
  <c r="B33" i="1"/>
  <c r="B35"/>
  <c r="B54"/>
  <c r="B41"/>
  <c r="C51" i="7"/>
  <c r="B51" i="1"/>
  <c r="B58"/>
  <c r="D44" i="7"/>
  <c r="D46"/>
  <c r="B51" i="3"/>
  <c r="E45" i="7"/>
  <c r="E46"/>
  <c r="D62"/>
  <c r="B57"/>
  <c r="B59" i="2"/>
  <c r="B58"/>
  <c r="C57" i="8"/>
  <c r="B57" i="6"/>
  <c r="C57"/>
  <c r="B57" i="1"/>
  <c r="D44" i="6"/>
  <c r="E62"/>
  <c r="E45"/>
  <c r="C62" i="7"/>
  <c r="B23"/>
  <c r="B69"/>
  <c r="C32" i="8"/>
  <c r="C34"/>
  <c r="C32" i="6"/>
  <c r="C34"/>
  <c r="B32"/>
  <c r="B34"/>
  <c r="D59" i="7"/>
  <c r="B45" i="1"/>
  <c r="B46"/>
  <c r="B62"/>
  <c r="B63" i="7"/>
  <c r="B50"/>
  <c r="B51"/>
  <c r="B33"/>
  <c r="B35"/>
  <c r="B62" i="3"/>
  <c r="B44"/>
  <c r="B46"/>
  <c r="B40"/>
  <c r="B51" i="2"/>
  <c r="E44" i="6"/>
  <c r="E59"/>
  <c r="C44"/>
  <c r="D62" i="8"/>
  <c r="D45"/>
  <c r="D62" i="6"/>
  <c r="D45"/>
  <c r="E62" i="7"/>
  <c r="C45" i="8"/>
  <c r="C62" i="6"/>
  <c r="C45"/>
  <c r="C32" i="7"/>
  <c r="B32"/>
  <c r="B34"/>
  <c r="D58" i="6"/>
  <c r="B62" i="4"/>
  <c r="B62" i="2"/>
  <c r="B45"/>
  <c r="B46"/>
  <c r="E51" i="7"/>
  <c r="C46"/>
  <c r="D58"/>
  <c r="E59"/>
  <c r="E58"/>
  <c r="B54"/>
  <c r="D51"/>
  <c r="B23" i="3"/>
  <c r="B69"/>
  <c r="B23" i="2"/>
  <c r="B69"/>
  <c r="B59" i="1"/>
  <c r="B23"/>
  <c r="B69"/>
  <c r="C34" i="7"/>
  <c r="C59"/>
  <c r="D46" i="6"/>
  <c r="E46"/>
  <c r="B59" i="7"/>
  <c r="B45"/>
  <c r="C58"/>
  <c r="C46" i="6"/>
  <c r="B58"/>
  <c r="D59"/>
  <c r="B62"/>
  <c r="B45"/>
  <c r="B23"/>
  <c r="B69"/>
  <c r="B40"/>
  <c r="B44"/>
  <c r="B40" i="7"/>
  <c r="B44"/>
  <c r="C59" i="6"/>
  <c r="C58"/>
  <c r="B62" i="7"/>
  <c r="B58"/>
  <c r="B46"/>
  <c r="B59" i="6"/>
  <c r="B46"/>
  <c r="F51" i="4" l="1"/>
  <c r="B70"/>
  <c r="E58" i="8"/>
  <c r="E35"/>
  <c r="E59" s="1"/>
  <c r="B20"/>
  <c r="B54" s="1"/>
  <c r="B20" i="4"/>
  <c r="B54" s="1"/>
  <c r="E45" i="8"/>
  <c r="B50"/>
  <c r="E46" i="4"/>
  <c r="D58" i="8"/>
  <c r="C46"/>
  <c r="C51" i="4"/>
  <c r="B70" i="8"/>
  <c r="B35"/>
  <c r="B59" s="1"/>
  <c r="C35"/>
  <c r="C59" s="1"/>
  <c r="B33" i="4"/>
  <c r="B35" s="1"/>
  <c r="B59" s="1"/>
  <c r="C46"/>
  <c r="B51"/>
  <c r="B63" i="8"/>
  <c r="B41" i="4"/>
  <c r="E44" i="8"/>
  <c r="E46" s="1"/>
  <c r="B41"/>
  <c r="B66"/>
  <c r="B66" i="4"/>
  <c r="B49" i="8"/>
  <c r="B57"/>
  <c r="B63" i="4"/>
  <c r="C63" i="8"/>
  <c r="F46"/>
  <c r="F46" i="4"/>
  <c r="D46" i="8"/>
  <c r="B45" i="4"/>
  <c r="B17" i="8"/>
  <c r="B23" s="1"/>
  <c r="B69" s="1"/>
  <c r="C62"/>
  <c r="B51"/>
  <c r="D51"/>
  <c r="E62"/>
  <c r="C51"/>
  <c r="F51"/>
  <c r="E51"/>
  <c r="B44"/>
  <c r="B40"/>
  <c r="B65" i="4"/>
  <c r="B65" i="8"/>
  <c r="F62"/>
  <c r="F65"/>
  <c r="B44" i="4"/>
  <c r="F58"/>
  <c r="B58"/>
  <c r="B46" l="1"/>
  <c r="B62" i="8"/>
  <c r="B45"/>
  <c r="B46"/>
</calcChain>
</file>

<file path=xl/sharedStrings.xml><?xml version="1.0" encoding="utf-8"?>
<sst xmlns="http://schemas.openxmlformats.org/spreadsheetml/2006/main" count="474" uniqueCount="140">
  <si>
    <t>Indicador</t>
  </si>
  <si>
    <t>Total Programa</t>
  </si>
  <si>
    <t>Productos</t>
  </si>
  <si>
    <t>Red Cuido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</si>
  <si>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</si>
  <si>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</si>
  <si>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</si>
  <si>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</si>
  <si>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</si>
  <si>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</si>
  <si>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</si>
  <si>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</si>
  <si>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</si>
  <si>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</si>
  <si>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</si>
  <si>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</si>
  <si>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</si>
  <si>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</si>
  <si>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</si>
  <si>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</si>
  <si>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</si>
  <si>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</si>
  <si>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</si>
  <si>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</si>
  <si>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</si>
  <si>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</si>
  <si>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</si>
  <si>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</si>
  <si>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</si>
  <si>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</si>
  <si>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</si>
  <si>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</si>
  <si>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</si>
  <si>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Total</t>
  </si>
  <si>
    <t>programa</t>
  </si>
  <si>
    <t xml:space="preserve">Fuentes: </t>
  </si>
  <si>
    <t>Notas:</t>
  </si>
  <si>
    <t>La mayoría de los beneficiarios son los mismos todos los meses, por ello se utiliza el promedio de personas atendidas en el período.</t>
  </si>
  <si>
    <t xml:space="preserve">Beneficiarios </t>
  </si>
  <si>
    <t>Total programa</t>
  </si>
  <si>
    <t>Hogares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</si>
  <si>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</si>
  <si>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</si>
  <si>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</si>
  <si>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</si>
  <si>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</si>
  <si>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</si>
  <si>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</si>
  <si>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</si>
  <si>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</si>
  <si>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</si>
  <si>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</si>
  <si>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</si>
  <si>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</si>
  <si>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</si>
  <si>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</si>
  <si>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</si>
  <si>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</si>
  <si>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</si>
  <si>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</si>
  <si>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</si>
  <si>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</si>
  <si>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</si>
  <si>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</si>
  <si>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</si>
  <si>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</si>
  <si>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</si>
  <si>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</si>
  <si>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Población Objetivo estimada a partir de la ENAHO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</si>
  <si>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</si>
  <si>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</si>
  <si>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</si>
  <si>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</si>
  <si>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</si>
  <si>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</si>
  <si>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</si>
  <si>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</si>
  <si>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</si>
  <si>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</si>
  <si>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</si>
  <si>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</si>
  <si>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Personas en 
abandono</t>
  </si>
  <si>
    <t>Indicadores aplicados a CONAPAM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</si>
  <si>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</si>
  <si>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</si>
  <si>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</si>
  <si>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</si>
  <si>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</si>
  <si>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</si>
  <si>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</si>
  <si>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2015 y 2016, CONAPAM</t>
  </si>
  <si>
    <t>Metas y modificaciones 2016, DESAF.</t>
  </si>
  <si>
    <t>Población objetivo: adultos mayores pobres que viven solos de acuerdo a la ENAHO 2015</t>
  </si>
  <si>
    <t>Fecha de actualización: 25/05/2016</t>
  </si>
  <si>
    <t>Indicadores aplicados a CONAPAM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</si>
  <si>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</si>
  <si>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</si>
  <si>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</si>
  <si>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</si>
  <si>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</si>
  <si>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</si>
  <si>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Indicadores aplicados a CONAPAM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</si>
  <si>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</si>
  <si>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</si>
  <si>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</si>
  <si>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</si>
  <si>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</si>
  <si>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</si>
  <si>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</si>
  <si>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</si>
  <si>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</si>
  <si>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</si>
  <si>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</si>
  <si>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</si>
  <si>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Población Objetivo estimada a partir de la ENAHO 2016</t>
  </si>
  <si>
    <t>Indicadores aplicados a CONAPAM  Primer Semestre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</si>
  <si>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</si>
  <si>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</si>
  <si>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</si>
  <si>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</si>
  <si>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</si>
  <si>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</si>
  <si>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Indicadores aplicados a CONAPAM  Tercer Trimestre Acumulado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</si>
  <si>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</si>
  <si>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</si>
  <si>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</si>
  <si>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</si>
  <si>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</si>
  <si>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</si>
  <si>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Indicadores aplicados a CONAPAM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</si>
  <si>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</si>
  <si>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</si>
  <si>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</si>
  <si>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</si>
  <si>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</si>
  <si>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</si>
  <si>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5Indicadores aplicados a CONAPAM Cuarto trimestre 2016</t>
  </si>
  <si>
    <t>Fecha de actualización: 05/09/2016</t>
  </si>
  <si>
    <t>Fecha de actualización: 28/11/2016</t>
  </si>
  <si>
    <t>Fecha de actualización: 23/01/2017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</si>
</sst>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3" xfId="0" applyBorder="1" applyAlignment="1">
      <alignment horizontal="center"/>
    </xf>
    <xf numFmtId="0" fontId="3" fillId="0" borderId="0" xfId="0" applyFont="1"/>
    <xf numFmtId="3" fontId="0" fillId="0" borderId="0" xfId="0" applyNumberFormat="1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0" fontId="0" fillId="0" borderId="0" xfId="0" applyAlignment="1">
      <alignment horizontal="left"/>
    </xf>
    <xf numFmtId="165" fontId="0" fillId="0" borderId="0" xfId="1" applyNumberFormat="1" applyFont="1" applyFill="1"/>
    <xf numFmtId="0" fontId="0" fillId="0" borderId="0" xfId="0" applyFill="1" applyAlignment="1">
      <alignment horizontal="left"/>
    </xf>
    <xf numFmtId="0" fontId="2" fillId="0" borderId="0" xfId="0" applyFont="1"/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167" fontId="0" fillId="0" borderId="0" xfId="0" applyNumberFormat="1"/>
    <xf numFmtId="3" fontId="0" fillId="2" borderId="0" xfId="0" applyNumberFormat="1" applyFill="1"/>
    <xf numFmtId="2" fontId="0" fillId="0" borderId="0" xfId="0" applyNumberFormat="1" applyFill="1"/>
    <xf numFmtId="0" fontId="0" fillId="0" borderId="1" xfId="0" applyBorder="1" applyAlignment="1">
      <alignment horizontal="center"/>
    </xf>
    <xf numFmtId="164" fontId="0" fillId="0" borderId="0" xfId="1" applyFont="1"/>
    <xf numFmtId="164" fontId="0" fillId="0" borderId="0" xfId="0" applyNumberFormat="1"/>
    <xf numFmtId="0" fontId="0" fillId="0" borderId="3" xfId="0" applyBorder="1"/>
    <xf numFmtId="164" fontId="2" fillId="0" borderId="0" xfId="1" applyFont="1"/>
    <xf numFmtId="3" fontId="0" fillId="0" borderId="0" xfId="0" applyNumberFormat="1" applyFill="1" applyAlignment="1"/>
    <xf numFmtId="165" fontId="0" fillId="0" borderId="0" xfId="1" applyNumberFormat="1" applyFont="1"/>
    <xf numFmtId="168" fontId="0" fillId="0" borderId="0" xfId="0" applyNumberFormat="1" applyFill="1"/>
    <xf numFmtId="3" fontId="5" fillId="0" borderId="0" xfId="0" applyNumberFormat="1" applyFont="1"/>
    <xf numFmtId="3" fontId="5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/>
    <xf numFmtId="0" fontId="6" fillId="0" borderId="0" xfId="0" applyFont="1"/>
    <xf numFmtId="2" fontId="5" fillId="0" borderId="0" xfId="0" applyNumberFormat="1" applyFont="1" applyFill="1"/>
    <xf numFmtId="164" fontId="5" fillId="0" borderId="0" xfId="1" applyFont="1" applyFill="1"/>
    <xf numFmtId="165" fontId="1" fillId="0" borderId="0" xfId="1" applyNumberFormat="1" applyFont="1" applyFill="1"/>
    <xf numFmtId="3" fontId="0" fillId="0" borderId="0" xfId="0" applyNumberFormat="1" applyFont="1" applyFill="1"/>
    <xf numFmtId="0" fontId="0" fillId="0" borderId="0" xfId="0" applyFont="1" applyAlignment="1">
      <alignment horizontal="left" indent="1"/>
    </xf>
    <xf numFmtId="2" fontId="0" fillId="0" borderId="0" xfId="0" applyNumberFormat="1" applyFont="1" applyFill="1"/>
    <xf numFmtId="164" fontId="0" fillId="0" borderId="0" xfId="1" applyFont="1" applyFill="1"/>
    <xf numFmtId="0" fontId="0" fillId="0" borderId="3" xfId="0" applyBorder="1" applyAlignment="1">
      <alignment horizontal="center" wrapText="1"/>
    </xf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Trimestre'!$A$40</c:f>
              <c:strCache>
                <c:ptCount val="1"/>
                <c:pt idx="0">
                  <c:v>Cobertura Programada</c:v>
                </c:pt>
              </c:strCache>
            </c:strRef>
          </c:tx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Trimestre'!$B$40</c:f>
              <c:numCache>
                <c:formatCode>#,##0.0____</c:formatCode>
                <c:ptCount val="1"/>
                <c:pt idx="0">
                  <c:v>4.5216996137241532</c:v>
                </c:pt>
              </c:numCache>
            </c:numRef>
          </c:val>
        </c:ser>
        <c:ser>
          <c:idx val="1"/>
          <c:order val="1"/>
          <c:tx>
            <c:strRef>
              <c:f>'I Trimestre'!$A$41</c:f>
              <c:strCache>
                <c:ptCount val="1"/>
                <c:pt idx="0">
                  <c:v>Cobertura Efectiva</c:v>
                </c:pt>
              </c:strCache>
            </c:strRef>
          </c:tx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Trimestre'!$B$41</c:f>
              <c:numCache>
                <c:formatCode>#,##0.0____</c:formatCode>
                <c:ptCount val="1"/>
                <c:pt idx="0">
                  <c:v>3.7624677776994258</c:v>
                </c:pt>
              </c:numCache>
            </c:numRef>
          </c:val>
        </c:ser>
        <c:dLbls/>
        <c:gapWidth val="75"/>
        <c:axId val="59316864"/>
        <c:axId val="59351424"/>
      </c:barChart>
      <c:catAx>
        <c:axId val="5931686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59351424"/>
        <c:crosses val="autoZero"/>
        <c:auto val="1"/>
        <c:lblAlgn val="ctr"/>
        <c:lblOffset val="100"/>
      </c:catAx>
      <c:valAx>
        <c:axId val="5935142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ES"/>
          </a:p>
        </c:txPr>
        <c:crossAx val="59316864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 2016</a:t>
            </a:r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Anual!$B$44:$F$44</c:f>
              <c:numCache>
                <c:formatCode>#,##0.0____</c:formatCode>
                <c:ptCount val="5"/>
                <c:pt idx="0">
                  <c:v>215.58944146017441</c:v>
                </c:pt>
                <c:pt idx="1">
                  <c:v>92.468902109248248</c:v>
                </c:pt>
                <c:pt idx="2">
                  <c:v>89.782836211407641</c:v>
                </c:pt>
                <c:pt idx="3">
                  <c:v>388.66068946344171</c:v>
                </c:pt>
                <c:pt idx="4">
                  <c:v>107.2</c:v>
                </c:pt>
              </c:numCache>
            </c:numRef>
          </c:val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Anual!$B$45:$F$45</c:f>
              <c:numCache>
                <c:formatCode>#,##0.0____</c:formatCode>
                <c:ptCount val="5"/>
                <c:pt idx="0">
                  <c:v>105.55069479965194</c:v>
                </c:pt>
                <c:pt idx="1">
                  <c:v>93.451012176939685</c:v>
                </c:pt>
                <c:pt idx="2">
                  <c:v>95.996576948322357</c:v>
                </c:pt>
                <c:pt idx="3">
                  <c:v>113.75747695598417</c:v>
                </c:pt>
                <c:pt idx="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Anual!$B$46:$F$46</c:f>
              <c:numCache>
                <c:formatCode>#,##0.0____</c:formatCode>
                <c:ptCount val="5"/>
                <c:pt idx="0">
                  <c:v>160.57006812991318</c:v>
                </c:pt>
                <c:pt idx="1">
                  <c:v>92.959957143093959</c:v>
                </c:pt>
                <c:pt idx="2">
                  <c:v>92.889706579864992</c:v>
                </c:pt>
                <c:pt idx="3">
                  <c:v>251.20908320971296</c:v>
                </c:pt>
                <c:pt idx="4">
                  <c:v>103.6</c:v>
                </c:pt>
              </c:numCache>
            </c:numRef>
          </c:val>
        </c:ser>
        <c:dLbls/>
        <c:axId val="64189184"/>
        <c:axId val="64190720"/>
      </c:barChart>
      <c:catAx>
        <c:axId val="6418918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190720"/>
        <c:crosses val="autoZero"/>
        <c:auto val="1"/>
        <c:lblAlgn val="ctr"/>
        <c:lblOffset val="100"/>
      </c:catAx>
      <c:valAx>
        <c:axId val="64190720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189184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avance 2016</a:t>
            </a:r>
          </a:p>
        </c:rich>
      </c:tx>
      <c:layout>
        <c:manualLayout>
          <c:xMode val="edge"/>
          <c:yMode val="edge"/>
          <c:x val="0.14209033245844319"/>
          <c:y val="1.388888888888893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Anual!$B$49:$F$49</c:f>
              <c:numCache>
                <c:formatCode>#,##0.0____</c:formatCode>
                <c:ptCount val="5"/>
                <c:pt idx="0">
                  <c:v>215.58944146017441</c:v>
                </c:pt>
                <c:pt idx="1">
                  <c:v>92.468902109248248</c:v>
                </c:pt>
                <c:pt idx="2">
                  <c:v>89.782836211407641</c:v>
                </c:pt>
                <c:pt idx="3">
                  <c:v>388.66068946344171</c:v>
                </c:pt>
                <c:pt idx="4">
                  <c:v>107.2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Anual!$B$50:$F$50</c:f>
              <c:numCache>
                <c:formatCode>#,##0.0____</c:formatCode>
                <c:ptCount val="5"/>
                <c:pt idx="0">
                  <c:v>105.55069479965194</c:v>
                </c:pt>
                <c:pt idx="1">
                  <c:v>93.451012176939685</c:v>
                </c:pt>
                <c:pt idx="2">
                  <c:v>95.996576948322357</c:v>
                </c:pt>
                <c:pt idx="3">
                  <c:v>113.75747695598417</c:v>
                </c:pt>
                <c:pt idx="4">
                  <c:v>100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Anual!$B$51:$F$51</c:f>
              <c:numCache>
                <c:formatCode>#,##0.0____</c:formatCode>
                <c:ptCount val="5"/>
                <c:pt idx="0">
                  <c:v>160.57006812991318</c:v>
                </c:pt>
                <c:pt idx="1">
                  <c:v>92.959957143093959</c:v>
                </c:pt>
                <c:pt idx="2">
                  <c:v>92.889706579864992</c:v>
                </c:pt>
                <c:pt idx="3">
                  <c:v>251.20908320971296</c:v>
                </c:pt>
                <c:pt idx="4">
                  <c:v>103.6</c:v>
                </c:pt>
              </c:numCache>
            </c:numRef>
          </c:val>
        </c:ser>
        <c:dLbls/>
        <c:axId val="64307968"/>
        <c:axId val="64309504"/>
      </c:barChart>
      <c:catAx>
        <c:axId val="6430796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309504"/>
        <c:crosses val="autoZero"/>
        <c:auto val="1"/>
        <c:lblAlgn val="ctr"/>
        <c:lblOffset val="100"/>
      </c:catAx>
      <c:valAx>
        <c:axId val="6430950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307968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 2016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7.7870120032618922E-2"/>
          <c:y val="0.17104698802893586"/>
          <c:w val="0.56328718287348101"/>
          <c:h val="0.7634956148774108"/>
        </c:manualLayout>
      </c:layout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Anual!$B$57:$F$57</c:f>
              <c:numCache>
                <c:formatCode>#,##0.0____</c:formatCode>
                <c:ptCount val="5"/>
                <c:pt idx="0">
                  <c:v>132.59436975182655</c:v>
                </c:pt>
                <c:pt idx="1">
                  <c:v>-1.6254315304948252</c:v>
                </c:pt>
                <c:pt idx="2">
                  <c:v>4.2058912845429619</c:v>
                </c:pt>
                <c:pt idx="3">
                  <c:v>280.65756781593547</c:v>
                </c:pt>
                <c:pt idx="4">
                  <c:v>312.30769230769226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Anual!$B$58:$F$58</c:f>
              <c:numCache>
                <c:formatCode>#,##0.0____</c:formatCode>
                <c:ptCount val="5"/>
                <c:pt idx="0">
                  <c:v>10.862302359665343</c:v>
                </c:pt>
                <c:pt idx="1">
                  <c:v>-3.2531157701493285</c:v>
                </c:pt>
                <c:pt idx="2">
                  <c:v>11.092159668939171</c:v>
                </c:pt>
                <c:pt idx="3">
                  <c:v>12.122179304674606</c:v>
                </c:pt>
                <c:pt idx="4">
                  <c:v>60.420361665619929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-52.336635457705547</c:v>
                </c:pt>
                <c:pt idx="1">
                  <c:v>-1.654578276660057</c:v>
                </c:pt>
                <c:pt idx="2">
                  <c:v>6.6083292408033456</c:v>
                </c:pt>
                <c:pt idx="3">
                  <c:v>-70.545133268205348</c:v>
                </c:pt>
                <c:pt idx="4">
                  <c:v>-61.092076461696657</c:v>
                </c:pt>
              </c:numCache>
            </c:numRef>
          </c:val>
        </c:ser>
        <c:dLbls/>
        <c:axId val="64348928"/>
        <c:axId val="64350464"/>
      </c:barChart>
      <c:catAx>
        <c:axId val="6434892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350464"/>
        <c:crosses val="autoZero"/>
        <c:auto val="1"/>
        <c:lblAlgn val="ctr"/>
        <c:lblOffset val="100"/>
      </c:catAx>
      <c:valAx>
        <c:axId val="6435046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434892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</a:t>
            </a:r>
            <a:r>
              <a:rPr lang="es-CR" sz="1400" baseline="0"/>
              <a:t> anual</a:t>
            </a:r>
            <a:r>
              <a:rPr lang="es-CR" sz="1400"/>
              <a:t> por beneficiario</a:t>
            </a:r>
            <a:r>
              <a:rPr lang="es-CR" sz="1400" baseline="0"/>
              <a:t> 2016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Anual!$B$65:$F$65</c:f>
              <c:numCache>
                <c:formatCode>#,##0____</c:formatCode>
                <c:ptCount val="5"/>
                <c:pt idx="0">
                  <c:v>2145463.9618783575</c:v>
                </c:pt>
                <c:pt idx="1">
                  <c:v>1826340</c:v>
                </c:pt>
                <c:pt idx="2">
                  <c:v>730536</c:v>
                </c:pt>
                <c:pt idx="3">
                  <c:v>2866500</c:v>
                </c:pt>
                <c:pt idx="4">
                  <c:v>4800000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Anual!$B$66:$F$66</c:f>
              <c:numCache>
                <c:formatCode>#,##0____</c:formatCode>
                <c:ptCount val="5"/>
                <c:pt idx="0">
                  <c:v>1050400.2900610853</c:v>
                </c:pt>
                <c:pt idx="1">
                  <c:v>1845737.514841351</c:v>
                </c:pt>
                <c:pt idx="2">
                  <c:v>781095.34401865082</c:v>
                </c:pt>
                <c:pt idx="3">
                  <c:v>838998.68583185074</c:v>
                </c:pt>
                <c:pt idx="4">
                  <c:v>4477611.9402985079</c:v>
                </c:pt>
              </c:numCache>
            </c:numRef>
          </c:val>
        </c:ser>
        <c:dLbls/>
        <c:axId val="65445248"/>
        <c:axId val="65459328"/>
      </c:barChart>
      <c:catAx>
        <c:axId val="65445248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5459328"/>
        <c:crosses val="autoZero"/>
        <c:auto val="1"/>
        <c:lblAlgn val="ctr"/>
        <c:lblOffset val="100"/>
      </c:catAx>
      <c:valAx>
        <c:axId val="65459328"/>
        <c:scaling>
          <c:orientation val="minMax"/>
        </c:scaling>
        <c:axPos val="l"/>
        <c:majorGridlines/>
        <c:numFmt formatCode="#,##0____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54452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/>
            </a:pPr>
            <a:endParaRPr lang="es-ES"/>
          </a:p>
        </c:txPr>
      </c:dTable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</a:t>
            </a:r>
            <a:r>
              <a:rPr lang="es-CR" sz="1400" baseline="0"/>
              <a:t> de recursos 2016</a:t>
            </a:r>
            <a:endParaRPr lang="es-CR" sz="1400"/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105.29689029094678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Anual!$B$5:$E$5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100.24103704107866</c:v>
                </c:pt>
              </c:numCache>
            </c:numRef>
          </c:val>
        </c:ser>
        <c:dLbls>
          <c:showVal val="1"/>
        </c:dLbls>
        <c:overlap val="-25"/>
        <c:axId val="65512192"/>
        <c:axId val="65513728"/>
      </c:barChart>
      <c:catAx>
        <c:axId val="6551219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5513728"/>
        <c:crosses val="autoZero"/>
        <c:auto val="1"/>
        <c:lblAlgn val="ctr"/>
        <c:lblOffset val="100"/>
      </c:catAx>
      <c:valAx>
        <c:axId val="65513728"/>
        <c:scaling>
          <c:orientation val="minMax"/>
          <c:min val="0"/>
        </c:scaling>
        <c:delete val="1"/>
        <c:axPos val="l"/>
        <c:numFmt formatCode="#,##0" sourceLinked="0"/>
        <c:majorTickMark val="none"/>
        <c:tickLblPos val="none"/>
        <c:crossAx val="65512192"/>
        <c:crosses val="autoZero"/>
        <c:crossBetween val="between"/>
      </c:valAx>
    </c:plotArea>
    <c:legend>
      <c:legendPos val="t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gasto medio</a:t>
            </a:r>
            <a:r>
              <a:rPr lang="es-CR" baseline="0"/>
              <a:t> mensual por beneficiario </a:t>
            </a:r>
            <a:r>
              <a:rPr lang="es-CR"/>
              <a:t>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Anual!$B$62:$F$62</c:f>
              <c:numCache>
                <c:formatCode>#,##0</c:formatCode>
                <c:ptCount val="5"/>
                <c:pt idx="0">
                  <c:v>178788.6634898631</c:v>
                </c:pt>
                <c:pt idx="1">
                  <c:v>152195</c:v>
                </c:pt>
                <c:pt idx="2">
                  <c:v>60878</c:v>
                </c:pt>
                <c:pt idx="3">
                  <c:v>238875</c:v>
                </c:pt>
                <c:pt idx="4">
                  <c:v>400000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87533.357505090447</c:v>
                </c:pt>
                <c:pt idx="1">
                  <c:v>153811.45957011258</c:v>
                </c:pt>
                <c:pt idx="2">
                  <c:v>65091.278668220897</c:v>
                </c:pt>
                <c:pt idx="3">
                  <c:v>69916.557152654219</c:v>
                </c:pt>
                <c:pt idx="4">
                  <c:v>373134.32835820894</c:v>
                </c:pt>
              </c:numCache>
            </c:numRef>
          </c:val>
        </c:ser>
        <c:dLbls/>
        <c:axId val="65535360"/>
        <c:axId val="65541248"/>
      </c:barChart>
      <c:catAx>
        <c:axId val="655353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5541248"/>
        <c:crosses val="autoZero"/>
        <c:auto val="1"/>
        <c:lblAlgn val="ctr"/>
        <c:lblOffset val="100"/>
      </c:catAx>
      <c:valAx>
        <c:axId val="6554124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553536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/>
            </a:pPr>
            <a:endParaRPr lang="es-ES"/>
          </a:p>
        </c:txPr>
      </c:dTable>
    </c:plotArea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Índice transferencia efectiva del gasto (ITG)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Anual!$B$54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dLbls/>
        <c:gapWidth val="100"/>
        <c:overlap val="-24"/>
        <c:axId val="65685760"/>
        <c:axId val="65699840"/>
      </c:barChart>
      <c:catAx>
        <c:axId val="65685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699840"/>
        <c:crosses val="autoZero"/>
        <c:auto val="1"/>
        <c:lblAlgn val="ctr"/>
        <c:lblOffset val="100"/>
      </c:catAx>
      <c:valAx>
        <c:axId val="65699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68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CONAPAM: Indicador de gasto medio-Índice de eficiencia (IE) 2016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Anual!$B$64:$F$64</c:f>
              <c:numCache>
                <c:formatCode>#,##0.0____</c:formatCode>
                <c:ptCount val="5"/>
                <c:pt idx="0">
                  <c:v>78.613693418147392</c:v>
                </c:pt>
                <c:pt idx="1">
                  <c:v>93.947282694926869</c:v>
                </c:pt>
                <c:pt idx="2">
                  <c:v>99.318469338665281</c:v>
                </c:pt>
                <c:pt idx="3">
                  <c:v>73.526632018828948</c:v>
                </c:pt>
                <c:pt idx="4">
                  <c:v>96.641791044776099</c:v>
                </c:pt>
              </c:numCache>
            </c:numRef>
          </c:val>
        </c:ser>
        <c:dLbls/>
        <c:gapWidth val="100"/>
        <c:overlap val="-24"/>
        <c:axId val="65707392"/>
        <c:axId val="65610880"/>
      </c:barChart>
      <c:catAx>
        <c:axId val="657073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610880"/>
        <c:crosses val="autoZero"/>
        <c:auto val="1"/>
        <c:lblAlgn val="ctr"/>
        <c:lblOffset val="100"/>
      </c:catAx>
      <c:valAx>
        <c:axId val="65610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570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Trimestre'!$B$44:$E$44</c:f>
              <c:numCache>
                <c:formatCode>#,##0.0____</c:formatCode>
                <c:ptCount val="4"/>
                <c:pt idx="0">
                  <c:v>83.209149194247104</c:v>
                </c:pt>
                <c:pt idx="1">
                  <c:v>86.262844780962681</c:v>
                </c:pt>
                <c:pt idx="2">
                  <c:v>86.185243328100469</c:v>
                </c:pt>
                <c:pt idx="3">
                  <c:v>87.030859049207677</c:v>
                </c:pt>
              </c:numCache>
            </c:numRef>
          </c:val>
        </c:ser>
        <c:ser>
          <c:idx val="1"/>
          <c:order val="1"/>
          <c:tx>
            <c:strRef>
              <c:f>'I Trimestre'!$A$45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Trimestre'!$B$45:$E$45</c:f>
              <c:numCache>
                <c:formatCode>#,##0.0____</c:formatCode>
                <c:ptCount val="4"/>
                <c:pt idx="0">
                  <c:v>79.860773981716747</c:v>
                </c:pt>
                <c:pt idx="1">
                  <c:v>87.149306814783927</c:v>
                </c:pt>
                <c:pt idx="2">
                  <c:v>87.070058484315567</c:v>
                </c:pt>
                <c:pt idx="3">
                  <c:v>87.034401451177331</c:v>
                </c:pt>
              </c:numCache>
            </c:numRef>
          </c:val>
        </c:ser>
        <c:ser>
          <c:idx val="2"/>
          <c:order val="2"/>
          <c:tx>
            <c:strRef>
              <c:f>'I Trimestre'!$A$46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Trimestre'!$B$46:$E$46</c:f>
              <c:numCache>
                <c:formatCode>#,##0.0____</c:formatCode>
                <c:ptCount val="4"/>
                <c:pt idx="0">
                  <c:v>81.534961587981925</c:v>
                </c:pt>
                <c:pt idx="1">
                  <c:v>86.706075797873297</c:v>
                </c:pt>
                <c:pt idx="2">
                  <c:v>86.627650906208018</c:v>
                </c:pt>
                <c:pt idx="3">
                  <c:v>87.032630250192511</c:v>
                </c:pt>
              </c:numCache>
            </c:numRef>
          </c:val>
        </c:ser>
        <c:dLbls/>
        <c:axId val="60361344"/>
        <c:axId val="60383616"/>
      </c:barChart>
      <c:catAx>
        <c:axId val="60361344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383616"/>
        <c:crosses val="autoZero"/>
        <c:auto val="1"/>
        <c:lblAlgn val="ctr"/>
        <c:lblOffset val="100"/>
      </c:catAx>
      <c:valAx>
        <c:axId val="60383616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361344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Trimestre'!$B$49:$E$49</c:f>
              <c:numCache>
                <c:formatCode>#,##0.0____</c:formatCode>
                <c:ptCount val="4"/>
                <c:pt idx="0">
                  <c:v>83.209149194247104</c:v>
                </c:pt>
                <c:pt idx="1">
                  <c:v>86.262844780962681</c:v>
                </c:pt>
                <c:pt idx="2">
                  <c:v>86.185243328100469</c:v>
                </c:pt>
                <c:pt idx="3">
                  <c:v>87.030859049207677</c:v>
                </c:pt>
              </c:numCache>
            </c:numRef>
          </c:val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avance gasto (IAG)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Trimestre'!$B$50:$E$50</c:f>
              <c:numCache>
                <c:formatCode>#,##0.0____</c:formatCode>
                <c:ptCount val="4"/>
                <c:pt idx="0">
                  <c:v>19.965193495429187</c:v>
                </c:pt>
                <c:pt idx="1">
                  <c:v>21.787326703695982</c:v>
                </c:pt>
                <c:pt idx="2">
                  <c:v>21.767514621078892</c:v>
                </c:pt>
                <c:pt idx="3">
                  <c:v>21.758600362794333</c:v>
                </c:pt>
              </c:numCache>
            </c:numRef>
          </c:val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avance total (IAT)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Trimestre'!$B$51:$E$51</c:f>
              <c:numCache>
                <c:formatCode>#,##0.0____</c:formatCode>
                <c:ptCount val="4"/>
                <c:pt idx="0">
                  <c:v>51.587171344838147</c:v>
                </c:pt>
                <c:pt idx="1">
                  <c:v>54.025085742329331</c:v>
                </c:pt>
                <c:pt idx="2">
                  <c:v>53.976378974589679</c:v>
                </c:pt>
                <c:pt idx="3">
                  <c:v>54.394729706001002</c:v>
                </c:pt>
              </c:numCache>
            </c:numRef>
          </c:val>
        </c:ser>
        <c:dLbls/>
        <c:axId val="60410496"/>
        <c:axId val="60432768"/>
      </c:barChart>
      <c:catAx>
        <c:axId val="6041049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432768"/>
        <c:crosses val="autoZero"/>
        <c:auto val="1"/>
        <c:lblAlgn val="ctr"/>
        <c:lblOffset val="100"/>
      </c:catAx>
      <c:valAx>
        <c:axId val="60432768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410496"/>
        <c:crosses val="autoZero"/>
        <c:crossBetween val="between"/>
        <c:majorUnit val="25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Trimestre'!$B$57:$E$57</c:f>
              <c:numCache>
                <c:formatCode>#,##0.0____</c:formatCode>
                <c:ptCount val="4"/>
                <c:pt idx="0">
                  <c:v>0.25052192066805645</c:v>
                </c:pt>
                <c:pt idx="1">
                  <c:v>-6.0659599528857466</c:v>
                </c:pt>
                <c:pt idx="2">
                  <c:v>5.4755043227665778</c:v>
                </c:pt>
                <c:pt idx="3">
                  <c:v>1.7552413456850324</c:v>
                </c:pt>
              </c:numCache>
            </c:numRef>
          </c:val>
        </c:ser>
        <c:ser>
          <c:idx val="1"/>
          <c:order val="1"/>
          <c:tx>
            <c:strRef>
              <c:f>'I Trimestre'!$A$58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Trimestre'!$B$58:$E$58</c:f>
              <c:numCache>
                <c:formatCode>#,##0.0____</c:formatCode>
                <c:ptCount val="4"/>
                <c:pt idx="0">
                  <c:v>6.1192374467898158</c:v>
                </c:pt>
                <c:pt idx="1">
                  <c:v>-1.5713465541650429</c:v>
                </c:pt>
                <c:pt idx="2">
                  <c:v>10.592106835059267</c:v>
                </c:pt>
                <c:pt idx="3">
                  <c:v>6.9265190666887522</c:v>
                </c:pt>
              </c:numCache>
            </c:numRef>
          </c:val>
        </c:ser>
        <c:ser>
          <c:idx val="2"/>
          <c:order val="2"/>
          <c:tx>
            <c:strRef>
              <c:f>'I Trimestre'!$A$59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Trimestre'!$B$59:$E$59</c:f>
              <c:numCache>
                <c:formatCode>#,##0.0____</c:formatCode>
                <c:ptCount val="4"/>
                <c:pt idx="0">
                  <c:v>5.8540498480056602</c:v>
                </c:pt>
                <c:pt idx="1">
                  <c:v>4.7848611605189717</c:v>
                </c:pt>
                <c:pt idx="2">
                  <c:v>4.8509865348785874</c:v>
                </c:pt>
                <c:pt idx="3">
                  <c:v>5.0820750387056357</c:v>
                </c:pt>
              </c:numCache>
            </c:numRef>
          </c:val>
        </c:ser>
        <c:dLbls/>
        <c:axId val="60467840"/>
        <c:axId val="60473728"/>
      </c:barChart>
      <c:catAx>
        <c:axId val="6046784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473728"/>
        <c:crosses val="autoZero"/>
        <c:auto val="1"/>
        <c:lblAlgn val="ctr"/>
        <c:lblOffset val="100"/>
      </c:catAx>
      <c:valAx>
        <c:axId val="60473728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0467840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Trimestre'!$B$62:$E$62</c:f>
              <c:numCache>
                <c:formatCode>#,##0</c:formatCode>
                <c:ptCount val="4"/>
                <c:pt idx="0">
                  <c:v>178788.6634898631</c:v>
                </c:pt>
                <c:pt idx="1">
                  <c:v>152195</c:v>
                </c:pt>
                <c:pt idx="2">
                  <c:v>60878</c:v>
                </c:pt>
                <c:pt idx="3">
                  <c:v>238875</c:v>
                </c:pt>
              </c:numCache>
            </c:numRef>
          </c:val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Trimestre'!$B$63:$E$63</c:f>
              <c:numCache>
                <c:formatCode>#,##0</c:formatCode>
                <c:ptCount val="4"/>
                <c:pt idx="0">
                  <c:v>171594.12376787449</c:v>
                </c:pt>
                <c:pt idx="1">
                  <c:v>153759</c:v>
                </c:pt>
                <c:pt idx="2">
                  <c:v>61503</c:v>
                </c:pt>
                <c:pt idx="3">
                  <c:v>238884.72288771762</c:v>
                </c:pt>
              </c:numCache>
            </c:numRef>
          </c:val>
        </c:ser>
        <c:dLbls/>
        <c:axId val="61588992"/>
        <c:axId val="61590528"/>
      </c:barChart>
      <c:catAx>
        <c:axId val="6158899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590528"/>
        <c:crosses val="autoZero"/>
        <c:auto val="1"/>
        <c:lblAlgn val="ctr"/>
        <c:lblOffset val="100"/>
      </c:catAx>
      <c:valAx>
        <c:axId val="61590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</c:title>
        <c:numFmt formatCode="#,##0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5889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s-ES"/>
          </a:p>
        </c:txPr>
      </c:dTable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Trimestre'!$A$64</c:f>
              <c:strCache>
                <c:ptCount val="1"/>
                <c:pt idx="0">
                  <c:v>Índice de eficiencia (IE) </c:v>
                </c:pt>
              </c:strCache>
            </c:strRef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Trimestre'!$B$64:$E$64</c:f>
              <c:numCache>
                <c:formatCode>#,##0.0____</c:formatCode>
                <c:ptCount val="4"/>
                <c:pt idx="0">
                  <c:v>78.253956470401803</c:v>
                </c:pt>
                <c:pt idx="1">
                  <c:v>87.597092602287844</c:v>
                </c:pt>
                <c:pt idx="2">
                  <c:v>87.517008010849764</c:v>
                </c:pt>
                <c:pt idx="3">
                  <c:v>87.036172724255067</c:v>
                </c:pt>
              </c:numCache>
            </c:numRef>
          </c:val>
        </c:ser>
        <c:dLbls/>
        <c:axId val="61613184"/>
        <c:axId val="61614720"/>
      </c:barChart>
      <c:catAx>
        <c:axId val="616131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614720"/>
        <c:crosses val="autoZero"/>
        <c:auto val="1"/>
        <c:lblAlgn val="ctr"/>
        <c:lblOffset val="100"/>
      </c:catAx>
      <c:valAx>
        <c:axId val="61614720"/>
        <c:scaling>
          <c:orientation val="minMax"/>
        </c:scaling>
        <c:axPos val="l"/>
        <c:majorGridlines/>
        <c:numFmt formatCode="#,##0" sourceLinked="0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613184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Trimestre'!$B$69</c:f>
              <c:numCache>
                <c:formatCode>#,##0.0____</c:formatCode>
                <c:ptCount val="1"/>
                <c:pt idx="0">
                  <c:v>91.680316101309629</c:v>
                </c:pt>
              </c:numCache>
            </c:numRef>
          </c:val>
        </c:ser>
        <c:ser>
          <c:idx val="1"/>
          <c:order val="1"/>
          <c:tx>
            <c:strRef>
              <c:f>'I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Trimestre'!$B$70</c:f>
              <c:numCache>
                <c:formatCode>#,##0.0____</c:formatCode>
                <c:ptCount val="1"/>
                <c:pt idx="0">
                  <c:v>87.107873726643874</c:v>
                </c:pt>
              </c:numCache>
            </c:numRef>
          </c:val>
        </c:ser>
        <c:dLbls/>
        <c:gapWidth val="75"/>
        <c:axId val="61644160"/>
        <c:axId val="61654144"/>
      </c:barChart>
      <c:catAx>
        <c:axId val="6164416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654144"/>
        <c:crosses val="autoZero"/>
        <c:auto val="1"/>
        <c:lblAlgn val="ctr"/>
        <c:lblOffset val="100"/>
      </c:catAx>
      <c:valAx>
        <c:axId val="6165414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ES"/>
          </a:p>
        </c:txPr>
        <c:crossAx val="61644160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 Trimestre'!$B$66:$E$66</c:f>
              <c:numCache>
                <c:formatCode>#,##0____</c:formatCode>
                <c:ptCount val="4"/>
                <c:pt idx="0">
                  <c:v>514782.37130362348</c:v>
                </c:pt>
                <c:pt idx="1">
                  <c:v>461277</c:v>
                </c:pt>
                <c:pt idx="2">
                  <c:v>184509</c:v>
                </c:pt>
                <c:pt idx="3">
                  <c:v>716654.16866315284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 Trimestre'!$B$66:$E$66</c:f>
              <c:numCache>
                <c:formatCode>#,##0.0____</c:formatCode>
                <c:ptCount val="4"/>
                <c:pt idx="0">
                  <c:v>206734.57001107847</c:v>
                </c:pt>
                <c:pt idx="1">
                  <c:v>462455.65997444786</c:v>
                </c:pt>
                <c:pt idx="2">
                  <c:v>184509</c:v>
                </c:pt>
                <c:pt idx="3">
                  <c:v>151705.97516286647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'III Trimestre'!$B$66:$E$66</c:f>
              <c:numCache>
                <c:formatCode>#,##0.0____</c:formatCode>
                <c:ptCount val="4"/>
                <c:pt idx="0">
                  <c:v>215594.02909382555</c:v>
                </c:pt>
                <c:pt idx="1">
                  <c:v>461277</c:v>
                </c:pt>
                <c:pt idx="2">
                  <c:v>208171.37338465769</c:v>
                </c:pt>
                <c:pt idx="3">
                  <c:v>155331.88502491399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</c:strCache>
            </c:strRef>
          </c:cat>
          <c:val>
            <c:numRef>
              <c:f>'IV Trimestre'!$B$66:$E$66</c:f>
              <c:numCache>
                <c:formatCode>#,##0.0____</c:formatCode>
                <c:ptCount val="4"/>
                <c:pt idx="0">
                  <c:v>276674.28735463502</c:v>
                </c:pt>
                <c:pt idx="1">
                  <c:v>460655.5721709007</c:v>
                </c:pt>
                <c:pt idx="2">
                  <c:v>202263.84517985611</c:v>
                </c:pt>
                <c:pt idx="3">
                  <c:v>222626.27817082332</c:v>
                </c:pt>
              </c:numCache>
            </c:numRef>
          </c:val>
        </c:ser>
        <c:dLbls/>
        <c:gapWidth val="75"/>
        <c:overlap val="-25"/>
        <c:axId val="61776640"/>
        <c:axId val="61778176"/>
      </c:barChart>
      <c:catAx>
        <c:axId val="61776640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1778176"/>
        <c:crosses val="autoZero"/>
        <c:auto val="1"/>
        <c:lblAlgn val="ctr"/>
        <c:lblOffset val="100"/>
      </c:catAx>
      <c:valAx>
        <c:axId val="61778176"/>
        <c:scaling>
          <c:orientation val="minMax"/>
        </c:scaling>
        <c:axPos val="l"/>
        <c:majorGridlines/>
        <c:numFmt formatCode="#,##0____" sourceLinked="1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ES"/>
          </a:p>
        </c:txPr>
        <c:crossAx val="61776640"/>
        <c:crosses val="autoZero"/>
        <c:crossBetween val="between"/>
      </c:valAx>
    </c:plotArea>
    <c:legend>
      <c:legendPos val="b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 lang="es-ES"/>
            </a:pPr>
            <a:r>
              <a:rPr lang="es-CR"/>
              <a:t>CONAPAM: Indicadores de cobertura potencial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Anual!$B$40</c:f>
              <c:numCache>
                <c:formatCode>#,##0.0____</c:formatCode>
                <c:ptCount val="1"/>
                <c:pt idx="0">
                  <c:v>4.5216996137241532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Anual!$B$41</c:f>
              <c:numCache>
                <c:formatCode>#,##0.0____</c:formatCode>
                <c:ptCount val="1"/>
                <c:pt idx="0">
                  <c:v>9.7483069417347661</c:v>
                </c:pt>
              </c:numCache>
            </c:numRef>
          </c:val>
        </c:ser>
        <c:dLbls/>
        <c:axId val="63091456"/>
        <c:axId val="63092992"/>
      </c:barChart>
      <c:catAx>
        <c:axId val="63091456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92992"/>
        <c:crosses val="autoZero"/>
        <c:auto val="1"/>
        <c:lblAlgn val="ctr"/>
        <c:lblOffset val="100"/>
      </c:catAx>
      <c:valAx>
        <c:axId val="63092992"/>
        <c:scaling>
          <c:orientation val="minMax"/>
        </c:scaling>
        <c:axPos val="l"/>
        <c:majorGridlines/>
        <c:numFmt formatCode="#,##0.00" sourceLinked="0"/>
        <c:maj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6309145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188</xdr:row>
      <xdr:rowOff>171450</xdr:rowOff>
    </xdr:from>
    <xdr:to>
      <xdr:col>2</xdr:col>
      <xdr:colOff>123825</xdr:colOff>
      <xdr:row>203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203</xdr:row>
      <xdr:rowOff>152400</xdr:rowOff>
    </xdr:from>
    <xdr:to>
      <xdr:col>2</xdr:col>
      <xdr:colOff>95250</xdr:colOff>
      <xdr:row>218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219</xdr:row>
      <xdr:rowOff>19050</xdr:rowOff>
    </xdr:from>
    <xdr:to>
      <xdr:col>2</xdr:col>
      <xdr:colOff>38100</xdr:colOff>
      <xdr:row>233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234</xdr:row>
      <xdr:rowOff>47625</xdr:rowOff>
    </xdr:from>
    <xdr:to>
      <xdr:col>2</xdr:col>
      <xdr:colOff>85725</xdr:colOff>
      <xdr:row>248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249</xdr:row>
      <xdr:rowOff>57150</xdr:rowOff>
    </xdr:from>
    <xdr:to>
      <xdr:col>2</xdr:col>
      <xdr:colOff>95250</xdr:colOff>
      <xdr:row>263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264</xdr:row>
      <xdr:rowOff>28575</xdr:rowOff>
    </xdr:from>
    <xdr:to>
      <xdr:col>2</xdr:col>
      <xdr:colOff>85725</xdr:colOff>
      <xdr:row>278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279</xdr:row>
      <xdr:rowOff>28575</xdr:rowOff>
    </xdr:from>
    <xdr:to>
      <xdr:col>2</xdr:col>
      <xdr:colOff>66675</xdr:colOff>
      <xdr:row>293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181</xdr:row>
      <xdr:rowOff>19050</xdr:rowOff>
    </xdr:from>
    <xdr:to>
      <xdr:col>15</xdr:col>
      <xdr:colOff>638175</xdr:colOff>
      <xdr:row>195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388408</xdr:colOff>
      <xdr:row>1</xdr:row>
      <xdr:rowOff>159278</xdr:rowOff>
    </xdr:from>
    <xdr:to>
      <xdr:col>19</xdr:col>
      <xdr:colOff>389466</xdr:colOff>
      <xdr:row>16</xdr:row>
      <xdr:rowOff>13228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502708</xdr:colOff>
      <xdr:row>20</xdr:row>
      <xdr:rowOff>88900</xdr:rowOff>
    </xdr:from>
    <xdr:to>
      <xdr:col>19</xdr:col>
      <xdr:colOff>502708</xdr:colOff>
      <xdr:row>34</xdr:row>
      <xdr:rowOff>165100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566207</xdr:colOff>
      <xdr:row>37</xdr:row>
      <xdr:rowOff>0</xdr:rowOff>
    </xdr:from>
    <xdr:to>
      <xdr:col>15</xdr:col>
      <xdr:colOff>10582</xdr:colOff>
      <xdr:row>52</xdr:row>
      <xdr:rowOff>101600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418039</xdr:colOff>
      <xdr:row>53</xdr:row>
      <xdr:rowOff>184150</xdr:rowOff>
    </xdr:from>
    <xdr:to>
      <xdr:col>12</xdr:col>
      <xdr:colOff>412749</xdr:colOff>
      <xdr:row>70</xdr:row>
      <xdr:rowOff>69850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576790</xdr:colOff>
      <xdr:row>71</xdr:row>
      <xdr:rowOff>141816</xdr:rowOff>
    </xdr:from>
    <xdr:to>
      <xdr:col>13</xdr:col>
      <xdr:colOff>592667</xdr:colOff>
      <xdr:row>87</xdr:row>
      <xdr:rowOff>179915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640291</xdr:colOff>
      <xdr:row>87</xdr:row>
      <xdr:rowOff>35982</xdr:rowOff>
    </xdr:from>
    <xdr:to>
      <xdr:col>6</xdr:col>
      <xdr:colOff>349250</xdr:colOff>
      <xdr:row>103</xdr:row>
      <xdr:rowOff>126999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31749</xdr:colOff>
      <xdr:row>71</xdr:row>
      <xdr:rowOff>169334</xdr:rowOff>
    </xdr:from>
    <xdr:to>
      <xdr:col>21</xdr:col>
      <xdr:colOff>275166</xdr:colOff>
      <xdr:row>88</xdr:row>
      <xdr:rowOff>16933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42334</xdr:colOff>
      <xdr:row>89</xdr:row>
      <xdr:rowOff>20107</xdr:rowOff>
    </xdr:from>
    <xdr:to>
      <xdr:col>13</xdr:col>
      <xdr:colOff>42334</xdr:colOff>
      <xdr:row>103</xdr:row>
      <xdr:rowOff>96307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709082</xdr:colOff>
      <xdr:row>105</xdr:row>
      <xdr:rowOff>41274</xdr:rowOff>
    </xdr:from>
    <xdr:to>
      <xdr:col>11</xdr:col>
      <xdr:colOff>10582</xdr:colOff>
      <xdr:row>119</xdr:row>
      <xdr:rowOff>117474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13"/>
  <sheetViews>
    <sheetView topLeftCell="A27" zoomScale="70" zoomScaleNormal="70" workbookViewId="0">
      <selection activeCell="F64" sqref="F64"/>
    </sheetView>
  </sheetViews>
  <sheetFormatPr baseColWidth="10" defaultColWidth="11.42578125" defaultRowHeight="15"/>
  <cols>
    <col min="1" max="1" width="55.140625" customWidth="1"/>
    <col min="2" max="2" width="26.28515625" customWidth="1"/>
    <col min="3" max="3" width="24.42578125" customWidth="1"/>
    <col min="4" max="6" width="15.7109375" customWidth="1"/>
  </cols>
  <sheetData>
    <row r="2" spans="1:8" ht="15.75">
      <c r="A2" s="40" t="s">
        <v>82</v>
      </c>
      <c r="B2" s="40"/>
      <c r="C2" s="40"/>
      <c r="D2" s="40"/>
      <c r="E2" s="40"/>
    </row>
    <row r="4" spans="1:8" ht="15" customHeight="1">
      <c r="A4" s="41" t="s">
        <v>0</v>
      </c>
      <c r="B4" s="43" t="s">
        <v>1</v>
      </c>
      <c r="C4" s="45" t="s">
        <v>2</v>
      </c>
      <c r="D4" s="45"/>
      <c r="E4" s="45"/>
      <c r="F4" s="45"/>
    </row>
    <row r="5" spans="1:8" ht="30.75" thickBot="1">
      <c r="A5" s="42"/>
      <c r="B5" s="44"/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  <c r="C9" s="3"/>
    </row>
    <row r="10" spans="1:8">
      <c r="A10" s="4" t="s">
        <v>52</v>
      </c>
      <c r="B10" s="5">
        <f>SUM(C10:F10)</f>
        <v>4790</v>
      </c>
      <c r="C10" s="5">
        <v>1698</v>
      </c>
      <c r="D10" s="5">
        <v>1041</v>
      </c>
      <c r="E10" s="5">
        <v>2051</v>
      </c>
      <c r="F10" s="5">
        <v>0</v>
      </c>
    </row>
    <row r="11" spans="1:8">
      <c r="A11" s="35" t="s">
        <v>83</v>
      </c>
      <c r="B11" s="5">
        <f>SUM(C11:F11)</f>
        <v>5771</v>
      </c>
      <c r="C11" s="5">
        <v>1849</v>
      </c>
      <c r="D11" s="5">
        <v>1274</v>
      </c>
      <c r="E11" s="27">
        <v>2398</v>
      </c>
      <c r="F11" s="5">
        <v>250</v>
      </c>
      <c r="G11" s="11"/>
    </row>
    <row r="12" spans="1:8">
      <c r="A12" s="35" t="s">
        <v>84</v>
      </c>
      <c r="B12" s="5">
        <f>SUM(C12:F12)</f>
        <v>4802</v>
      </c>
      <c r="C12" s="5">
        <v>1595</v>
      </c>
      <c r="D12" s="27">
        <v>1098</v>
      </c>
      <c r="E12" s="5">
        <v>2087</v>
      </c>
      <c r="F12" s="5">
        <v>22</v>
      </c>
    </row>
    <row r="13" spans="1:8">
      <c r="A13" s="35" t="s">
        <v>85</v>
      </c>
      <c r="B13" s="5">
        <f>SUM(C13:F13)</f>
        <v>5771</v>
      </c>
      <c r="C13" s="5">
        <v>1849</v>
      </c>
      <c r="D13" s="34">
        <v>1274</v>
      </c>
      <c r="E13" s="34">
        <v>2398</v>
      </c>
      <c r="F13" s="5">
        <v>250</v>
      </c>
      <c r="G13" s="11"/>
    </row>
    <row r="14" spans="1:8">
      <c r="B14" s="7"/>
      <c r="C14" s="7"/>
      <c r="D14" s="7"/>
      <c r="E14" s="7"/>
      <c r="F14" s="7"/>
      <c r="G14" s="30"/>
    </row>
    <row r="15" spans="1:8">
      <c r="A15" s="8" t="s">
        <v>5</v>
      </c>
      <c r="B15" s="7"/>
      <c r="C15" s="7"/>
      <c r="D15" s="7"/>
      <c r="E15" s="7"/>
      <c r="F15" s="7"/>
    </row>
    <row r="16" spans="1:8">
      <c r="A16" s="4" t="s">
        <v>52</v>
      </c>
      <c r="B16" s="27">
        <f>SUM(C16:F16)</f>
        <v>2352970631.9000001</v>
      </c>
      <c r="C16" s="5">
        <v>755032680</v>
      </c>
      <c r="D16" s="5">
        <v>185037848</v>
      </c>
      <c r="E16" s="5">
        <v>1412900103.9000001</v>
      </c>
      <c r="F16" s="5">
        <v>0</v>
      </c>
      <c r="H16" s="11"/>
    </row>
    <row r="17" spans="1:7">
      <c r="A17" s="6" t="s">
        <v>83</v>
      </c>
      <c r="B17" s="27">
        <f>SUM(C17:F17)</f>
        <v>3095368131</v>
      </c>
      <c r="C17" s="9">
        <v>844225665</v>
      </c>
      <c r="D17" s="5">
        <v>232675716</v>
      </c>
      <c r="E17" s="5">
        <v>1718466750</v>
      </c>
      <c r="F17" s="5">
        <v>300000000</v>
      </c>
    </row>
    <row r="18" spans="1:7">
      <c r="A18" s="6" t="s">
        <v>84</v>
      </c>
      <c r="B18" s="27">
        <f>SUM(C18:F18)</f>
        <v>2471984947</v>
      </c>
      <c r="C18" s="5">
        <v>735736815</v>
      </c>
      <c r="D18" s="5">
        <v>202590882</v>
      </c>
      <c r="E18" s="5">
        <v>1495657250</v>
      </c>
      <c r="F18" s="5">
        <v>38000000</v>
      </c>
    </row>
    <row r="19" spans="1:7">
      <c r="A19" s="6" t="s">
        <v>85</v>
      </c>
      <c r="B19" s="5">
        <f>SUM(C19:F19)</f>
        <v>12381472524</v>
      </c>
      <c r="C19" s="33">
        <v>3376902660</v>
      </c>
      <c r="D19" s="34">
        <v>930702864</v>
      </c>
      <c r="E19" s="34">
        <v>6873867000</v>
      </c>
      <c r="F19" s="5">
        <v>1200000000</v>
      </c>
      <c r="G19" s="11"/>
    </row>
    <row r="20" spans="1:7">
      <c r="A20" s="6" t="s">
        <v>86</v>
      </c>
      <c r="B20" s="5">
        <f>SUM(C20:F20)</f>
        <v>2471984947</v>
      </c>
      <c r="C20" s="5">
        <f>C18</f>
        <v>735736815</v>
      </c>
      <c r="D20" s="5">
        <f t="shared" ref="D20:F20" si="0">D18</f>
        <v>202590882</v>
      </c>
      <c r="E20" s="5">
        <f t="shared" si="0"/>
        <v>1495657250</v>
      </c>
      <c r="F20" s="5">
        <f t="shared" si="0"/>
        <v>38000000</v>
      </c>
    </row>
    <row r="21" spans="1:7">
      <c r="B21" s="5"/>
      <c r="C21" s="9"/>
      <c r="D21" s="5"/>
      <c r="E21" s="5"/>
      <c r="F21" s="5"/>
    </row>
    <row r="22" spans="1:7">
      <c r="A22" s="10" t="s">
        <v>6</v>
      </c>
      <c r="B22" s="5"/>
      <c r="C22" s="5"/>
      <c r="D22" s="5"/>
      <c r="E22" s="5"/>
      <c r="F22" s="5"/>
    </row>
    <row r="23" spans="1:7">
      <c r="A23" s="4" t="s">
        <v>83</v>
      </c>
      <c r="B23" s="5">
        <f>B17</f>
        <v>3095368131</v>
      </c>
      <c r="C23" s="5"/>
      <c r="D23" s="5"/>
      <c r="E23" s="5"/>
      <c r="F23" s="5"/>
      <c r="G23" s="11"/>
    </row>
    <row r="24" spans="1:7">
      <c r="A24" s="4" t="s">
        <v>84</v>
      </c>
      <c r="B24" s="5">
        <v>2837843287</v>
      </c>
      <c r="C24" s="5"/>
      <c r="D24" s="5"/>
      <c r="E24" s="5"/>
      <c r="F24" s="5"/>
      <c r="G24" s="11"/>
    </row>
    <row r="25" spans="1:7">
      <c r="A25" s="7"/>
      <c r="B25" s="7"/>
      <c r="C25" s="7"/>
      <c r="D25" s="7"/>
      <c r="E25" s="7"/>
      <c r="F25" s="7"/>
    </row>
    <row r="26" spans="1:7">
      <c r="A26" s="7" t="s">
        <v>7</v>
      </c>
      <c r="B26" s="7"/>
      <c r="C26" s="7"/>
      <c r="D26" s="7"/>
      <c r="E26" s="7"/>
      <c r="F26" s="7"/>
    </row>
    <row r="27" spans="1:7">
      <c r="A27" s="4" t="s">
        <v>53</v>
      </c>
      <c r="B27" s="32">
        <v>1</v>
      </c>
      <c r="C27" s="32">
        <v>1</v>
      </c>
      <c r="D27" s="32">
        <v>1</v>
      </c>
      <c r="E27" s="32">
        <v>1</v>
      </c>
      <c r="F27" s="32">
        <v>1</v>
      </c>
    </row>
    <row r="28" spans="1:7">
      <c r="A28" s="4" t="s">
        <v>87</v>
      </c>
      <c r="B28" s="32">
        <v>0.99</v>
      </c>
      <c r="C28" s="32">
        <v>0.99</v>
      </c>
      <c r="D28" s="32">
        <v>0.99</v>
      </c>
      <c r="E28" s="32">
        <v>0.99</v>
      </c>
      <c r="F28" s="32">
        <v>0.99</v>
      </c>
    </row>
    <row r="29" spans="1:7">
      <c r="A29" s="4" t="s">
        <v>8</v>
      </c>
      <c r="B29" s="5">
        <v>127629</v>
      </c>
      <c r="C29" s="5"/>
      <c r="D29" s="5"/>
      <c r="E29" s="5"/>
      <c r="F29" s="5"/>
    </row>
    <row r="30" spans="1:7">
      <c r="A30" s="7"/>
      <c r="B30" s="7"/>
      <c r="C30" s="7"/>
      <c r="D30" s="7"/>
      <c r="E30" s="7"/>
      <c r="F30" s="7"/>
    </row>
    <row r="31" spans="1:7">
      <c r="A31" s="12" t="s">
        <v>9</v>
      </c>
      <c r="B31" s="7"/>
      <c r="C31" s="7"/>
      <c r="D31" s="7"/>
      <c r="E31" s="7"/>
      <c r="F31" s="7"/>
    </row>
    <row r="32" spans="1:7">
      <c r="A32" s="7" t="s">
        <v>54</v>
      </c>
      <c r="B32" s="5">
        <f>B16/B27</f>
        <v>2352970631.9000001</v>
      </c>
      <c r="C32" s="5">
        <f t="shared" ref="C32:F32" si="1">C16/C27</f>
        <v>755032680</v>
      </c>
      <c r="D32" s="5">
        <f t="shared" si="1"/>
        <v>185037848</v>
      </c>
      <c r="E32" s="5">
        <f t="shared" si="1"/>
        <v>1412900103.9000001</v>
      </c>
      <c r="F32" s="5">
        <f t="shared" si="1"/>
        <v>0</v>
      </c>
    </row>
    <row r="33" spans="1:8">
      <c r="A33" s="7" t="s">
        <v>88</v>
      </c>
      <c r="B33" s="5">
        <f>B18/B28</f>
        <v>2496954491.9191918</v>
      </c>
      <c r="C33" s="5">
        <f t="shared" ref="C33:F33" si="2">C18/C28</f>
        <v>743168500</v>
      </c>
      <c r="D33" s="5">
        <f t="shared" si="2"/>
        <v>204637254.54545456</v>
      </c>
      <c r="E33" s="5">
        <f t="shared" si="2"/>
        <v>1510764898.9898989</v>
      </c>
      <c r="F33" s="5">
        <f t="shared" si="2"/>
        <v>38383838.383838385</v>
      </c>
    </row>
    <row r="34" spans="1:8">
      <c r="A34" s="7" t="s">
        <v>55</v>
      </c>
      <c r="B34" s="27">
        <f>$B$32/(B10)</f>
        <v>491225.60164926935</v>
      </c>
      <c r="C34" s="27">
        <f>C32/(C10)</f>
        <v>444660</v>
      </c>
      <c r="D34" s="27">
        <f>D32/(D10)</f>
        <v>177750.09414024977</v>
      </c>
      <c r="E34" s="27">
        <f>E32/(E10)</f>
        <v>688883.52213554364</v>
      </c>
      <c r="F34" s="27" t="e">
        <f>F32/(F10)</f>
        <v>#DIV/0!</v>
      </c>
      <c r="H34" s="11"/>
    </row>
    <row r="35" spans="1:8">
      <c r="A35" s="7" t="s">
        <v>89</v>
      </c>
      <c r="B35" s="27">
        <f>$B$33/(B12)</f>
        <v>519982.19323598332</v>
      </c>
      <c r="C35" s="27">
        <f>C33/(C12)</f>
        <v>465936.36363636365</v>
      </c>
      <c r="D35" s="27">
        <f>D33/(D12)</f>
        <v>186372.72727272729</v>
      </c>
      <c r="E35" s="27">
        <f>E33/(E12)</f>
        <v>723893.09965975035</v>
      </c>
      <c r="F35" s="27">
        <f>F33/(F12)</f>
        <v>1744719.9265381084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B37" s="7"/>
      <c r="C37" s="7"/>
      <c r="D37" s="7"/>
      <c r="E37" s="7"/>
      <c r="F37" s="7"/>
    </row>
    <row r="38" spans="1:8">
      <c r="B38" s="7"/>
      <c r="C38" s="7"/>
      <c r="D38" s="7"/>
      <c r="E38" s="7"/>
      <c r="F38" s="7"/>
    </row>
    <row r="39" spans="1:8">
      <c r="A39" t="s">
        <v>11</v>
      </c>
      <c r="B39" s="7"/>
      <c r="C39" s="7"/>
      <c r="D39" s="7"/>
      <c r="E39" s="7"/>
      <c r="F39" s="7"/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3.7624677776994258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83.209149194247104</v>
      </c>
      <c r="C44" s="13">
        <f t="shared" ref="C44:D44" si="3">C12/C11*100</f>
        <v>86.262844780962681</v>
      </c>
      <c r="D44" s="13">
        <f t="shared" si="3"/>
        <v>86.185243328100469</v>
      </c>
      <c r="E44" s="13">
        <f>E12/E11*100</f>
        <v>87.030859049207677</v>
      </c>
      <c r="F44" s="13">
        <f>F12/F11*100</f>
        <v>8.7999999999999989</v>
      </c>
    </row>
    <row r="45" spans="1:8">
      <c r="A45" t="s">
        <v>16</v>
      </c>
      <c r="B45" s="13">
        <f>B18/B17*100</f>
        <v>79.860773981716747</v>
      </c>
      <c r="C45" s="13">
        <f t="shared" ref="C45:F45" si="4">C18/C17*100</f>
        <v>87.149306814783927</v>
      </c>
      <c r="D45" s="13">
        <f t="shared" si="4"/>
        <v>87.070058484315567</v>
      </c>
      <c r="E45" s="13">
        <f t="shared" si="4"/>
        <v>87.034401451177331</v>
      </c>
      <c r="F45" s="13">
        <f t="shared" si="4"/>
        <v>12.666666666666668</v>
      </c>
    </row>
    <row r="46" spans="1:8">
      <c r="A46" s="7" t="s">
        <v>17</v>
      </c>
      <c r="B46" s="13">
        <f>AVERAGE(B44:B45)</f>
        <v>81.534961587981925</v>
      </c>
      <c r="C46" s="13">
        <f t="shared" ref="C46:F46" si="5">AVERAGE(C44:C45)</f>
        <v>86.706075797873297</v>
      </c>
      <c r="D46" s="13">
        <f t="shared" si="5"/>
        <v>86.627650906208018</v>
      </c>
      <c r="E46" s="13">
        <f t="shared" si="5"/>
        <v>87.032630250192511</v>
      </c>
      <c r="F46" s="13">
        <f t="shared" si="5"/>
        <v>10.733333333333334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6">
      <c r="A49" s="7" t="s">
        <v>19</v>
      </c>
      <c r="B49" s="13">
        <f>(B12/B13)*100</f>
        <v>83.209149194247104</v>
      </c>
      <c r="C49" s="13">
        <f t="shared" ref="C49:F49" si="6">(C12/C13)*100</f>
        <v>86.262844780962681</v>
      </c>
      <c r="D49" s="13">
        <f t="shared" si="6"/>
        <v>86.185243328100469</v>
      </c>
      <c r="E49" s="13">
        <f t="shared" si="6"/>
        <v>87.030859049207677</v>
      </c>
      <c r="F49" s="13">
        <f t="shared" si="6"/>
        <v>8.7999999999999989</v>
      </c>
    </row>
    <row r="50" spans="1:6">
      <c r="A50" s="7" t="s">
        <v>20</v>
      </c>
      <c r="B50" s="13">
        <f>B18/B19*100</f>
        <v>19.965193495429187</v>
      </c>
      <c r="C50" s="13">
        <f t="shared" ref="C50:F50" si="7">C18/C19*100</f>
        <v>21.787326703695982</v>
      </c>
      <c r="D50" s="13">
        <f t="shared" si="7"/>
        <v>21.767514621078892</v>
      </c>
      <c r="E50" s="13">
        <f t="shared" si="7"/>
        <v>21.758600362794333</v>
      </c>
      <c r="F50" s="13">
        <f t="shared" si="7"/>
        <v>3.166666666666667</v>
      </c>
    </row>
    <row r="51" spans="1:6">
      <c r="A51" s="7" t="s">
        <v>21</v>
      </c>
      <c r="B51" s="13">
        <f>(B49+B50)/2</f>
        <v>51.587171344838147</v>
      </c>
      <c r="C51" s="13">
        <f t="shared" ref="C51:F51" si="8">(C49+C50)/2</f>
        <v>54.025085742329331</v>
      </c>
      <c r="D51" s="13">
        <f t="shared" si="8"/>
        <v>53.976378974589679</v>
      </c>
      <c r="E51" s="13">
        <f t="shared" si="8"/>
        <v>54.394729706001002</v>
      </c>
      <c r="F51" s="13">
        <f t="shared" si="8"/>
        <v>5.9833333333333325</v>
      </c>
    </row>
    <row r="52" spans="1:6">
      <c r="A52" s="7"/>
      <c r="B52" s="7"/>
      <c r="C52" s="7"/>
      <c r="D52" s="7"/>
      <c r="E52" s="7"/>
      <c r="F52" s="7"/>
    </row>
    <row r="53" spans="1:6">
      <c r="A53" s="7" t="s">
        <v>22</v>
      </c>
      <c r="B53" s="7"/>
      <c r="C53" s="7"/>
      <c r="D53" s="7"/>
      <c r="E53" s="7"/>
      <c r="F53" s="7"/>
    </row>
    <row r="54" spans="1:6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6">
      <c r="A55" s="7"/>
      <c r="B55" s="7"/>
      <c r="C55" s="7"/>
      <c r="D55" s="7"/>
      <c r="E55" s="7"/>
      <c r="F55" s="7"/>
    </row>
    <row r="56" spans="1:6">
      <c r="A56" s="7" t="s">
        <v>24</v>
      </c>
      <c r="B56" s="7"/>
      <c r="C56" s="7"/>
      <c r="D56" s="7"/>
      <c r="E56" s="7"/>
      <c r="F56" s="7"/>
    </row>
    <row r="57" spans="1:6">
      <c r="A57" s="7" t="s">
        <v>25</v>
      </c>
      <c r="B57" s="13">
        <f>((B12/B10)-1)*100</f>
        <v>0.25052192066805645</v>
      </c>
      <c r="C57" s="13">
        <f t="shared" ref="C57:F57" si="9">((C12/C10)-1)*100</f>
        <v>-6.0659599528857466</v>
      </c>
      <c r="D57" s="13">
        <f t="shared" si="9"/>
        <v>5.4755043227665778</v>
      </c>
      <c r="E57" s="13">
        <f t="shared" si="9"/>
        <v>1.7552413456850324</v>
      </c>
      <c r="F57" s="13" t="e">
        <f t="shared" si="9"/>
        <v>#DIV/0!</v>
      </c>
    </row>
    <row r="58" spans="1:6">
      <c r="A58" s="7" t="s">
        <v>26</v>
      </c>
      <c r="B58" s="13">
        <f>((B33/B32)-1)*100</f>
        <v>6.1192374467898158</v>
      </c>
      <c r="C58" s="13">
        <f t="shared" ref="C58:F58" si="10">((C33/C32)-1)*100</f>
        <v>-1.5713465541650429</v>
      </c>
      <c r="D58" s="13">
        <f t="shared" si="10"/>
        <v>10.592106835059267</v>
      </c>
      <c r="E58" s="13">
        <f t="shared" si="10"/>
        <v>6.9265190666887522</v>
      </c>
      <c r="F58" s="13" t="e">
        <f t="shared" si="10"/>
        <v>#DIV/0!</v>
      </c>
    </row>
    <row r="59" spans="1:6">
      <c r="A59" s="7" t="s">
        <v>27</v>
      </c>
      <c r="B59" s="13">
        <f>((B35/B34)-1)*100</f>
        <v>5.8540498480056602</v>
      </c>
      <c r="C59" s="13">
        <f t="shared" ref="C59:F59" si="11">((C35/C34)-1)*100</f>
        <v>4.7848611605189717</v>
      </c>
      <c r="D59" s="13">
        <f t="shared" si="11"/>
        <v>4.8509865348785874</v>
      </c>
      <c r="E59" s="13">
        <f t="shared" si="11"/>
        <v>5.0820750387056357</v>
      </c>
      <c r="F59" s="13" t="e">
        <f t="shared" si="11"/>
        <v>#DIV/0!</v>
      </c>
    </row>
    <row r="60" spans="1:6">
      <c r="A60" s="7"/>
      <c r="B60" s="13"/>
      <c r="C60" s="13"/>
      <c r="D60" s="13"/>
      <c r="E60" s="13"/>
      <c r="F60" s="13"/>
    </row>
    <row r="61" spans="1:6">
      <c r="A61" s="7" t="s">
        <v>28</v>
      </c>
      <c r="B61" s="7"/>
      <c r="C61" s="7"/>
      <c r="D61" s="7"/>
      <c r="E61" s="7"/>
      <c r="F61" s="7"/>
    </row>
    <row r="62" spans="1:6">
      <c r="A62" s="7" t="s">
        <v>46</v>
      </c>
      <c r="B62" s="5">
        <f>B17/(B11*3)</f>
        <v>178788.6634898631</v>
      </c>
      <c r="C62" s="5">
        <f t="shared" ref="C62:D62" si="12">C17/(C11*3)</f>
        <v>152195</v>
      </c>
      <c r="D62" s="5">
        <f t="shared" si="12"/>
        <v>60878</v>
      </c>
      <c r="E62" s="5">
        <f>E17/(E11*3)</f>
        <v>238875</v>
      </c>
      <c r="F62" s="5">
        <f>F17/(F11*3)</f>
        <v>400000</v>
      </c>
    </row>
    <row r="63" spans="1:6">
      <c r="A63" s="7" t="s">
        <v>47</v>
      </c>
      <c r="B63" s="5">
        <f>$B$18/(B12*3)</f>
        <v>171594.12376787449</v>
      </c>
      <c r="C63" s="5">
        <f>C18/(C12*3)</f>
        <v>153759</v>
      </c>
      <c r="D63" s="5">
        <f t="shared" ref="D63:F63" si="13">D18/(D12*3)</f>
        <v>61503</v>
      </c>
      <c r="E63" s="5">
        <f t="shared" si="13"/>
        <v>238884.72288771762</v>
      </c>
      <c r="F63" s="5">
        <f t="shared" si="13"/>
        <v>575757.5757575758</v>
      </c>
    </row>
    <row r="64" spans="1:6">
      <c r="A64" s="7" t="s">
        <v>29</v>
      </c>
      <c r="B64" s="13">
        <f>(B63/B62)*B46</f>
        <v>78.253956470401803</v>
      </c>
      <c r="C64" s="13">
        <f t="shared" ref="C64:F64" si="14">(C63/C62)*C46</f>
        <v>87.597092602287844</v>
      </c>
      <c r="D64" s="13">
        <f t="shared" si="14"/>
        <v>87.517008010849764</v>
      </c>
      <c r="E64" s="13">
        <f t="shared" si="14"/>
        <v>87.036172724255067</v>
      </c>
      <c r="F64" s="13">
        <f t="shared" si="14"/>
        <v>15.449494949494952</v>
      </c>
    </row>
    <row r="65" spans="1:7">
      <c r="A65" s="7" t="s">
        <v>48</v>
      </c>
      <c r="B65" s="25">
        <f>B17/B11</f>
        <v>536365.99046958936</v>
      </c>
      <c r="C65" s="25">
        <f t="shared" ref="C65:D65" si="15">C17/C11</f>
        <v>456585</v>
      </c>
      <c r="D65" s="25">
        <f t="shared" si="15"/>
        <v>182634</v>
      </c>
      <c r="E65" s="25">
        <f>E17/E11</f>
        <v>716625</v>
      </c>
      <c r="F65" s="25">
        <f>F17/F11</f>
        <v>1200000</v>
      </c>
    </row>
    <row r="66" spans="1:7">
      <c r="A66" s="7" t="s">
        <v>49</v>
      </c>
      <c r="B66" s="25">
        <f>B18/B12</f>
        <v>514782.37130362348</v>
      </c>
      <c r="C66" s="25">
        <f t="shared" ref="C66:F66" si="16">C18/C12</f>
        <v>461277</v>
      </c>
      <c r="D66" s="25">
        <f t="shared" si="16"/>
        <v>184509</v>
      </c>
      <c r="E66" s="25">
        <f t="shared" si="16"/>
        <v>716654.16866315284</v>
      </c>
      <c r="F66" s="25">
        <f t="shared" si="16"/>
        <v>1727272.7272727273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91.680316101309629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87.107873726643874</v>
      </c>
      <c r="C70" s="13"/>
      <c r="D70" s="13"/>
      <c r="E70" s="13"/>
      <c r="F70" s="13"/>
      <c r="G70" s="11"/>
    </row>
    <row r="71" spans="1:7" ht="15.75" thickBot="1">
      <c r="A71" s="14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68</v>
      </c>
    </row>
    <row r="79" spans="1:7">
      <c r="A79" t="s">
        <v>36</v>
      </c>
    </row>
    <row r="80" spans="1:7">
      <c r="A80" t="s">
        <v>37</v>
      </c>
    </row>
    <row r="81" spans="1:1">
      <c r="A81" t="s">
        <v>92</v>
      </c>
    </row>
    <row r="82" spans="1:1">
      <c r="A82" s="39"/>
    </row>
    <row r="83" spans="1:1">
      <c r="A83" t="s">
        <v>93</v>
      </c>
    </row>
    <row r="190" spans="4:8">
      <c r="D190" s="24"/>
      <c r="E190" s="24" t="s">
        <v>42</v>
      </c>
      <c r="F190" s="24" t="s">
        <v>43</v>
      </c>
      <c r="G190" s="24" t="s">
        <v>44</v>
      </c>
      <c r="H190" s="24" t="s">
        <v>45</v>
      </c>
    </row>
    <row r="191" spans="4:8">
      <c r="D191" s="24" t="s">
        <v>31</v>
      </c>
      <c r="E191" s="24">
        <v>93.271828425704058</v>
      </c>
      <c r="F191" s="24">
        <v>86.548558144982096</v>
      </c>
      <c r="G191" s="24">
        <v>82.222189747580757</v>
      </c>
      <c r="H191" s="24">
        <v>104.27430435089333</v>
      </c>
    </row>
    <row r="192" spans="4:8">
      <c r="D192" s="24" t="s">
        <v>32</v>
      </c>
      <c r="E192" s="24">
        <v>72.182667347333364</v>
      </c>
      <c r="F192" s="24">
        <v>84.936774249756979</v>
      </c>
      <c r="G192" s="24">
        <v>106.94937841615069</v>
      </c>
      <c r="H192" s="24">
        <v>130.54830055902181</v>
      </c>
    </row>
    <row r="213" spans="5:5">
      <c r="E213">
        <f>(100+25)/2</f>
        <v>62.5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3"/>
  <sheetViews>
    <sheetView zoomScale="80" zoomScaleNormal="80" workbookViewId="0">
      <pane xSplit="1" ySplit="5" topLeftCell="B59" activePane="bottomRight" state="frozen"/>
      <selection activeCell="D40" sqref="D40"/>
      <selection pane="topRight" activeCell="D40" sqref="D40"/>
      <selection pane="bottomLeft" activeCell="D40" sqref="D40"/>
      <selection pane="bottomRight" activeCell="G64" sqref="G64"/>
    </sheetView>
  </sheetViews>
  <sheetFormatPr baseColWidth="10" defaultColWidth="11.42578125" defaultRowHeight="15"/>
  <cols>
    <col min="1" max="1" width="55.140625" customWidth="1"/>
    <col min="2" max="2" width="17.42578125" customWidth="1"/>
    <col min="3" max="3" width="16.85546875" bestFit="1" customWidth="1"/>
    <col min="4" max="4" width="15.140625" bestFit="1" customWidth="1"/>
    <col min="5" max="5" width="20.28515625" customWidth="1"/>
    <col min="6" max="6" width="14.5703125" customWidth="1"/>
  </cols>
  <sheetData>
    <row r="2" spans="1:8" ht="15.75">
      <c r="A2" s="40" t="s">
        <v>94</v>
      </c>
      <c r="B2" s="40"/>
      <c r="C2" s="40"/>
      <c r="D2" s="40"/>
      <c r="E2" s="40"/>
    </row>
    <row r="4" spans="1:8">
      <c r="A4" s="41" t="s">
        <v>0</v>
      </c>
      <c r="B4" s="43" t="s">
        <v>33</v>
      </c>
      <c r="C4" s="45" t="s">
        <v>2</v>
      </c>
      <c r="D4" s="45"/>
      <c r="E4" s="45"/>
      <c r="F4" s="45"/>
    </row>
    <row r="5" spans="1:8" ht="30.75" thickBot="1">
      <c r="A5" s="42"/>
      <c r="B5" s="44" t="s">
        <v>34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  <c r="C9" s="3"/>
    </row>
    <row r="10" spans="1:8">
      <c r="A10" s="4" t="s">
        <v>56</v>
      </c>
      <c r="B10" s="27">
        <f>SUM(C10:F10)</f>
        <v>5059</v>
      </c>
      <c r="C10" s="5">
        <v>1697</v>
      </c>
      <c r="D10" s="5">
        <v>1073</v>
      </c>
      <c r="E10" s="5">
        <v>2289</v>
      </c>
      <c r="F10" s="5">
        <v>0</v>
      </c>
      <c r="H10" s="11"/>
    </row>
    <row r="11" spans="1:8">
      <c r="A11" s="6" t="s">
        <v>95</v>
      </c>
      <c r="B11" s="27">
        <f>SUM(C11:F11)</f>
        <v>5771</v>
      </c>
      <c r="C11" s="5">
        <v>1849</v>
      </c>
      <c r="D11" s="5">
        <v>1274</v>
      </c>
      <c r="E11" s="5">
        <v>2398</v>
      </c>
      <c r="F11" s="5">
        <v>250</v>
      </c>
    </row>
    <row r="12" spans="1:8">
      <c r="A12" s="6" t="s">
        <v>96</v>
      </c>
      <c r="B12" s="27">
        <f>SUM(C12:F12)</f>
        <v>13840.666666666666</v>
      </c>
      <c r="C12" s="5">
        <v>1826.3333333333335</v>
      </c>
      <c r="D12" s="5">
        <v>1106.6666666666667</v>
      </c>
      <c r="E12" s="5">
        <v>10642.666666666666</v>
      </c>
      <c r="F12" s="5">
        <v>265</v>
      </c>
      <c r="G12" s="11"/>
      <c r="H12" s="11"/>
    </row>
    <row r="13" spans="1:8">
      <c r="A13" s="6" t="s">
        <v>85</v>
      </c>
      <c r="B13" s="5">
        <f>SUM(C13:F13)</f>
        <v>5771</v>
      </c>
      <c r="C13" s="5">
        <v>1849</v>
      </c>
      <c r="D13" s="34">
        <v>1274</v>
      </c>
      <c r="E13" s="34">
        <v>2398</v>
      </c>
      <c r="F13" s="5">
        <v>250</v>
      </c>
      <c r="G13" s="11"/>
    </row>
    <row r="14" spans="1:8">
      <c r="B14" s="7"/>
      <c r="C14" s="7"/>
      <c r="D14" s="7"/>
      <c r="E14" s="7"/>
      <c r="F14" s="7"/>
      <c r="G14" s="30"/>
    </row>
    <row r="15" spans="1:8">
      <c r="A15" s="8" t="s">
        <v>5</v>
      </c>
      <c r="B15" s="7"/>
      <c r="C15" s="7"/>
      <c r="D15" s="7"/>
      <c r="E15" s="7"/>
      <c r="F15" s="7"/>
    </row>
    <row r="16" spans="1:8">
      <c r="A16" s="4" t="s">
        <v>56</v>
      </c>
      <c r="B16" s="27">
        <f>SUM(C16:F16)</f>
        <v>2521452355.5</v>
      </c>
      <c r="C16" s="5">
        <v>754439800</v>
      </c>
      <c r="D16" s="5">
        <v>189425160</v>
      </c>
      <c r="E16" s="5">
        <v>1577587395.5</v>
      </c>
      <c r="F16" s="5">
        <v>0</v>
      </c>
      <c r="H16" s="11"/>
    </row>
    <row r="17" spans="1:8">
      <c r="A17" s="6" t="s">
        <v>95</v>
      </c>
      <c r="B17" s="27">
        <f>SUM(C17:F17)</f>
        <v>3095368131</v>
      </c>
      <c r="C17" s="3">
        <v>844225665</v>
      </c>
      <c r="D17" s="3">
        <v>232675716</v>
      </c>
      <c r="E17" s="5">
        <v>1718466750</v>
      </c>
      <c r="F17" s="5">
        <v>300000000</v>
      </c>
    </row>
    <row r="18" spans="1:8">
      <c r="A18" s="6" t="s">
        <v>96</v>
      </c>
      <c r="B18" s="27">
        <f>SUM(C18:F18)</f>
        <v>2861344272</v>
      </c>
      <c r="C18" s="5">
        <v>844598187</v>
      </c>
      <c r="D18" s="5">
        <v>204189960</v>
      </c>
      <c r="E18" s="5">
        <v>1614556125</v>
      </c>
      <c r="F18" s="5">
        <v>198000000</v>
      </c>
      <c r="H18" s="11"/>
    </row>
    <row r="19" spans="1:8">
      <c r="A19" s="6" t="s">
        <v>85</v>
      </c>
      <c r="B19" s="5">
        <f>SUM(C19:F19)</f>
        <v>12381472524</v>
      </c>
      <c r="C19" s="33">
        <v>3376902660</v>
      </c>
      <c r="D19" s="34">
        <v>930702864</v>
      </c>
      <c r="E19" s="34">
        <v>6873867000</v>
      </c>
      <c r="F19" s="34">
        <v>1200000000</v>
      </c>
    </row>
    <row r="20" spans="1:8">
      <c r="A20" s="6" t="s">
        <v>97</v>
      </c>
      <c r="B20" s="27">
        <f>SUM(C20:F20)</f>
        <v>2861344272</v>
      </c>
      <c r="C20" s="5">
        <f>C18</f>
        <v>844598187</v>
      </c>
      <c r="D20" s="5">
        <f t="shared" ref="D20:F20" si="0">D18</f>
        <v>204189960</v>
      </c>
      <c r="E20" s="5">
        <f t="shared" si="0"/>
        <v>1614556125</v>
      </c>
      <c r="F20" s="5">
        <f t="shared" si="0"/>
        <v>198000000</v>
      </c>
      <c r="G20" s="11"/>
    </row>
    <row r="21" spans="1:8">
      <c r="B21" s="5"/>
      <c r="C21" s="9"/>
      <c r="D21" s="5"/>
      <c r="E21" s="5"/>
      <c r="F21" s="5"/>
    </row>
    <row r="22" spans="1:8">
      <c r="A22" s="10" t="s">
        <v>6</v>
      </c>
      <c r="B22" s="5"/>
      <c r="C22" s="5"/>
      <c r="D22" s="5"/>
      <c r="E22" s="5"/>
      <c r="F22" s="5"/>
    </row>
    <row r="23" spans="1:8">
      <c r="A23" s="4" t="s">
        <v>95</v>
      </c>
      <c r="B23" s="5">
        <f>B17</f>
        <v>3095368131</v>
      </c>
      <c r="C23" s="5"/>
      <c r="D23" s="5"/>
      <c r="E23" s="5"/>
      <c r="F23" s="5"/>
      <c r="G23" s="11"/>
    </row>
    <row r="24" spans="1:8">
      <c r="A24" s="4" t="s">
        <v>96</v>
      </c>
      <c r="B24" s="5">
        <v>2756750097</v>
      </c>
      <c r="C24" s="5"/>
      <c r="D24" s="5"/>
      <c r="E24" s="5"/>
      <c r="F24" s="5"/>
      <c r="G24" s="11"/>
    </row>
    <row r="25" spans="1:8">
      <c r="A25" s="7"/>
      <c r="B25" s="7"/>
      <c r="C25" s="7"/>
      <c r="D25" s="7"/>
      <c r="E25" s="7"/>
      <c r="F25" s="7"/>
    </row>
    <row r="26" spans="1:8">
      <c r="A26" s="7" t="s">
        <v>7</v>
      </c>
      <c r="B26" s="7"/>
      <c r="C26" s="7"/>
      <c r="D26" s="7"/>
      <c r="E26" s="7"/>
      <c r="F26" s="7"/>
    </row>
    <row r="27" spans="1:8">
      <c r="A27" s="4" t="s">
        <v>57</v>
      </c>
      <c r="B27" s="32">
        <v>1</v>
      </c>
      <c r="C27" s="31">
        <v>1</v>
      </c>
      <c r="D27" s="31">
        <v>1</v>
      </c>
      <c r="E27" s="31">
        <v>1</v>
      </c>
      <c r="F27" s="31">
        <v>1</v>
      </c>
    </row>
    <row r="28" spans="1:8">
      <c r="A28" s="4" t="s">
        <v>98</v>
      </c>
      <c r="B28" s="32">
        <v>0.99</v>
      </c>
      <c r="C28" s="32">
        <v>0.99</v>
      </c>
      <c r="D28" s="32">
        <v>0.99</v>
      </c>
      <c r="E28" s="32">
        <v>0.99</v>
      </c>
      <c r="F28" s="32">
        <v>0.99</v>
      </c>
    </row>
    <row r="29" spans="1:8">
      <c r="A29" s="4" t="s">
        <v>8</v>
      </c>
      <c r="B29" s="5">
        <v>127629</v>
      </c>
      <c r="C29" s="5"/>
      <c r="D29" s="5"/>
      <c r="E29" s="5"/>
      <c r="F29" s="5"/>
    </row>
    <row r="30" spans="1:8">
      <c r="A30" s="7"/>
      <c r="B30" s="7"/>
      <c r="C30" s="7"/>
      <c r="D30" s="7"/>
      <c r="E30" s="7"/>
      <c r="F30" s="7"/>
    </row>
    <row r="31" spans="1:8">
      <c r="A31" s="12" t="s">
        <v>9</v>
      </c>
      <c r="B31" s="7"/>
      <c r="C31" s="7"/>
      <c r="D31" s="7"/>
      <c r="E31" s="7"/>
      <c r="F31" s="7"/>
    </row>
    <row r="32" spans="1:8">
      <c r="A32" s="7" t="s">
        <v>58</v>
      </c>
      <c r="B32" s="5">
        <f>B16/B27</f>
        <v>2521452355.5</v>
      </c>
      <c r="C32" s="5">
        <f>C16/C27</f>
        <v>754439800</v>
      </c>
      <c r="D32" s="5">
        <f>D16/D27</f>
        <v>189425160</v>
      </c>
      <c r="E32" s="5">
        <f>E16/E27</f>
        <v>1577587395.5</v>
      </c>
      <c r="F32" s="5">
        <f>F16/F27</f>
        <v>0</v>
      </c>
    </row>
    <row r="33" spans="1:8">
      <c r="A33" s="7" t="s">
        <v>99</v>
      </c>
      <c r="B33" s="5">
        <f>B18/B28</f>
        <v>2890246739.3939395</v>
      </c>
      <c r="C33" s="5">
        <f>C18/C28</f>
        <v>853129481.81818187</v>
      </c>
      <c r="D33" s="5">
        <f>D18/D28</f>
        <v>206252484.84848484</v>
      </c>
      <c r="E33" s="5">
        <f>E18/E28</f>
        <v>1630864772.7272727</v>
      </c>
      <c r="F33" s="5">
        <f>F18/F28</f>
        <v>200000000</v>
      </c>
    </row>
    <row r="34" spans="1:8">
      <c r="A34" s="7" t="s">
        <v>59</v>
      </c>
      <c r="B34" s="27">
        <f>$B$32/(B10)</f>
        <v>498409.2420438822</v>
      </c>
      <c r="C34" s="27">
        <f>C32/(C10)</f>
        <v>444572.65763111372</v>
      </c>
      <c r="D34" s="27">
        <f>D32/(D10)</f>
        <v>176537.8937558248</v>
      </c>
      <c r="E34" s="27">
        <f>E32/(E10)</f>
        <v>689203.75513324596</v>
      </c>
      <c r="F34" s="27" t="e">
        <f>F32/(F10)</f>
        <v>#DIV/0!</v>
      </c>
      <c r="H34" s="11"/>
    </row>
    <row r="35" spans="1:8">
      <c r="A35" s="7" t="s">
        <v>100</v>
      </c>
      <c r="B35" s="27">
        <f>$B$33/(B12)</f>
        <v>208822.79799098836</v>
      </c>
      <c r="C35" s="27">
        <f>C33/(C12)</f>
        <v>467126.92926711909</v>
      </c>
      <c r="D35" s="27">
        <f>D33/(D12)</f>
        <v>186372.72727272726</v>
      </c>
      <c r="E35" s="27">
        <f>E33/(E12)</f>
        <v>153238.35875037016</v>
      </c>
      <c r="F35" s="27">
        <f>F33/(F12)</f>
        <v>754716.98113207542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B37" s="7"/>
      <c r="C37" s="7"/>
      <c r="D37" s="7"/>
      <c r="E37" s="7"/>
      <c r="F37" s="7"/>
    </row>
    <row r="38" spans="1:8">
      <c r="B38" s="7"/>
      <c r="C38" s="7"/>
      <c r="D38" s="7"/>
      <c r="E38" s="7"/>
      <c r="F38" s="7"/>
    </row>
    <row r="39" spans="1:8">
      <c r="A39" t="s">
        <v>11</v>
      </c>
      <c r="B39" s="7"/>
      <c r="C39" s="7"/>
      <c r="D39" s="7"/>
      <c r="E39" s="7"/>
      <c r="F39" s="7"/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10.844452802001635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239.8313406111015</v>
      </c>
      <c r="C44" s="13">
        <f t="shared" ref="C44:F44" si="1">C12/C11*100</f>
        <v>98.774112132684337</v>
      </c>
      <c r="D44" s="13">
        <f t="shared" si="1"/>
        <v>86.865515436944023</v>
      </c>
      <c r="E44" s="13">
        <f t="shared" si="1"/>
        <v>443.8142896858493</v>
      </c>
      <c r="F44" s="13">
        <f t="shared" si="1"/>
        <v>106</v>
      </c>
    </row>
    <row r="45" spans="1:8">
      <c r="A45" t="s">
        <v>16</v>
      </c>
      <c r="B45" s="13">
        <f>B18/B17*100</f>
        <v>92.439546797156055</v>
      </c>
      <c r="C45" s="13">
        <f t="shared" ref="C45:F45" si="2">C18/C17*100</f>
        <v>100.04412587954195</v>
      </c>
      <c r="D45" s="13">
        <f t="shared" si="2"/>
        <v>87.757314562212414</v>
      </c>
      <c r="E45" s="13">
        <f t="shared" si="2"/>
        <v>93.95329441201001</v>
      </c>
      <c r="F45" s="13">
        <f t="shared" si="2"/>
        <v>66</v>
      </c>
    </row>
    <row r="46" spans="1:8">
      <c r="A46" s="7" t="s">
        <v>17</v>
      </c>
      <c r="B46" s="13">
        <f>AVERAGE(B44:B45)</f>
        <v>166.13544370412876</v>
      </c>
      <c r="C46" s="13">
        <f t="shared" ref="C46:F46" si="3">AVERAGE(C44:C45)</f>
        <v>99.409119006113144</v>
      </c>
      <c r="D46" s="13">
        <f t="shared" si="3"/>
        <v>87.311414999578218</v>
      </c>
      <c r="E46" s="13">
        <f t="shared" si="3"/>
        <v>268.88379204892965</v>
      </c>
      <c r="F46" s="13">
        <f t="shared" si="3"/>
        <v>86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239.8313406111015</v>
      </c>
      <c r="C49" s="28">
        <f t="shared" ref="C49:F49" si="4">(C12/C13)*100</f>
        <v>98.774112132684337</v>
      </c>
      <c r="D49" s="28">
        <f t="shared" si="4"/>
        <v>86.865515436944023</v>
      </c>
      <c r="E49" s="28">
        <f t="shared" si="4"/>
        <v>443.8142896858493</v>
      </c>
      <c r="F49" s="28">
        <f t="shared" si="4"/>
        <v>106</v>
      </c>
      <c r="G49" s="11"/>
    </row>
    <row r="50" spans="1:7">
      <c r="A50" s="7" t="s">
        <v>20</v>
      </c>
      <c r="B50" s="13">
        <f>B18/B19*100</f>
        <v>23.109886699289014</v>
      </c>
      <c r="C50" s="13">
        <f t="shared" ref="C50:F50" si="5">C18/C19*100</f>
        <v>25.011031469885488</v>
      </c>
      <c r="D50" s="13">
        <f t="shared" si="5"/>
        <v>21.939328640553104</v>
      </c>
      <c r="E50" s="13">
        <f t="shared" si="5"/>
        <v>23.488323603002502</v>
      </c>
      <c r="F50" s="13">
        <f t="shared" si="5"/>
        <v>16.5</v>
      </c>
    </row>
    <row r="51" spans="1:7">
      <c r="A51" s="7" t="s">
        <v>21</v>
      </c>
      <c r="B51" s="13">
        <f>(B49+B50)/2</f>
        <v>131.47061365519525</v>
      </c>
      <c r="C51" s="13">
        <f t="shared" ref="C51:F51" si="6">(C49+C50)/2</f>
        <v>61.892571801284916</v>
      </c>
      <c r="D51" s="13">
        <f t="shared" si="6"/>
        <v>54.402422038748561</v>
      </c>
      <c r="E51" s="13">
        <f t="shared" si="6"/>
        <v>233.65130664442592</v>
      </c>
      <c r="F51" s="13">
        <f t="shared" si="6"/>
        <v>61.25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7"/>
      <c r="D53" s="7"/>
      <c r="E53" s="7"/>
      <c r="F53" s="7"/>
    </row>
    <row r="54" spans="1:7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173.58502997957436</v>
      </c>
      <c r="C57" s="13">
        <f t="shared" ref="C57:F57" si="7">((C12/C10)-1)*100</f>
        <v>7.6212924769200718</v>
      </c>
      <c r="D57" s="13">
        <f t="shared" si="7"/>
        <v>3.1376203789996948</v>
      </c>
      <c r="E57" s="13">
        <f t="shared" si="7"/>
        <v>364.94830348041359</v>
      </c>
      <c r="F57" s="13" t="e">
        <f t="shared" si="7"/>
        <v>#DIV/0!</v>
      </c>
    </row>
    <row r="58" spans="1:7">
      <c r="A58" s="7" t="s">
        <v>26</v>
      </c>
      <c r="B58" s="13">
        <f>((B33/B32)-1)*100</f>
        <v>14.626268193785009</v>
      </c>
      <c r="C58" s="13">
        <f t="shared" ref="C58:F58" si="8">((C33/C32)-1)*100</f>
        <v>13.081187103090519</v>
      </c>
      <c r="D58" s="13">
        <f t="shared" si="8"/>
        <v>8.8833631437792437</v>
      </c>
      <c r="E58" s="13">
        <f t="shared" si="8"/>
        <v>3.3771426787031933</v>
      </c>
      <c r="F58" s="13" t="e">
        <f t="shared" si="8"/>
        <v>#DIV/0!</v>
      </c>
    </row>
    <row r="59" spans="1:7">
      <c r="A59" s="7" t="s">
        <v>27</v>
      </c>
      <c r="B59" s="13">
        <f>((B35/B34)-1)*100</f>
        <v>-58.102141698928875</v>
      </c>
      <c r="C59" s="13">
        <f t="shared" ref="C59:F59" si="9">((C35/C34)-1)*100</f>
        <v>5.0732475893107809</v>
      </c>
      <c r="D59" s="13">
        <f t="shared" si="9"/>
        <v>5.5709475782606432</v>
      </c>
      <c r="E59" s="13">
        <f t="shared" si="9"/>
        <v>-77.765884528481124</v>
      </c>
      <c r="F59" s="13" t="e">
        <f t="shared" si="9"/>
        <v>#DIV/0!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5">
        <f>B17/(B11*3)</f>
        <v>178788.6634898631</v>
      </c>
      <c r="C62" s="5">
        <f t="shared" ref="C62:F62" si="10">C17/(C11*3)</f>
        <v>152195</v>
      </c>
      <c r="D62" s="5">
        <f t="shared" si="10"/>
        <v>60878</v>
      </c>
      <c r="E62" s="5">
        <f t="shared" si="10"/>
        <v>238875</v>
      </c>
      <c r="F62" s="5">
        <f t="shared" si="10"/>
        <v>400000</v>
      </c>
    </row>
    <row r="63" spans="1:7">
      <c r="A63" s="7" t="s">
        <v>47</v>
      </c>
      <c r="B63" s="5">
        <f>$B$18/(B12*3)</f>
        <v>68911.523337026156</v>
      </c>
      <c r="C63" s="5">
        <f>C18/(C12*3)</f>
        <v>154151.88665814931</v>
      </c>
      <c r="D63" s="5">
        <f t="shared" ref="D63:F63" si="11">D18/(D12*3)</f>
        <v>61503</v>
      </c>
      <c r="E63" s="5">
        <f t="shared" si="11"/>
        <v>50568.658387622148</v>
      </c>
      <c r="F63" s="5">
        <f t="shared" si="11"/>
        <v>249056.60377358491</v>
      </c>
    </row>
    <row r="64" spans="1:7">
      <c r="A64" s="7" t="s">
        <v>29</v>
      </c>
      <c r="B64" s="13">
        <f>(B63/B62)*B46</f>
        <v>64.034521442537525</v>
      </c>
      <c r="C64" s="13">
        <f t="shared" ref="C64:F64" si="12">(C63/C62)*C46</f>
        <v>100.68729751842589</v>
      </c>
      <c r="D64" s="13">
        <f t="shared" si="12"/>
        <v>88.207791923503706</v>
      </c>
      <c r="E64" s="13">
        <f t="shared" si="12"/>
        <v>56.92137153779489</v>
      </c>
      <c r="F64" s="13">
        <f t="shared" si="12"/>
        <v>53.547169811320749</v>
      </c>
    </row>
    <row r="65" spans="1:7">
      <c r="A65" s="7" t="s">
        <v>48</v>
      </c>
      <c r="B65" s="13">
        <f>B17/B11</f>
        <v>536365.99046958936</v>
      </c>
      <c r="C65" s="13">
        <f t="shared" ref="C65:F65" si="13">C17/C11</f>
        <v>456585</v>
      </c>
      <c r="D65" s="13">
        <f t="shared" si="13"/>
        <v>182634</v>
      </c>
      <c r="E65" s="13">
        <f t="shared" si="13"/>
        <v>716625</v>
      </c>
      <c r="F65" s="13">
        <f t="shared" si="13"/>
        <v>1200000</v>
      </c>
    </row>
    <row r="66" spans="1:7">
      <c r="A66" s="7" t="s">
        <v>49</v>
      </c>
      <c r="B66" s="13">
        <f>B18/B12</f>
        <v>206734.57001107847</v>
      </c>
      <c r="C66" s="13">
        <f t="shared" ref="C66:F66" si="14">C18/C12</f>
        <v>462455.65997444786</v>
      </c>
      <c r="D66" s="13">
        <f t="shared" si="14"/>
        <v>184509</v>
      </c>
      <c r="E66" s="13">
        <f t="shared" si="14"/>
        <v>151705.97516286647</v>
      </c>
      <c r="F66" s="13">
        <f t="shared" si="14"/>
        <v>747169.8113207547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89.060492333407694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103.79411159226306</v>
      </c>
      <c r="C70" s="13"/>
      <c r="D70" s="13"/>
      <c r="E70" s="13"/>
      <c r="F70" s="13"/>
      <c r="G70" s="11"/>
    </row>
    <row r="71" spans="1:7" ht="15.75" thickBot="1">
      <c r="A71" s="14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68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s="9" t="s">
        <v>137</v>
      </c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83"/>
  <sheetViews>
    <sheetView zoomScale="90" zoomScaleNormal="90" workbookViewId="0">
      <pane xSplit="1" ySplit="5" topLeftCell="B56" activePane="bottomRight" state="frozen"/>
      <selection activeCell="D40" sqref="D40"/>
      <selection pane="topRight" activeCell="D40" sqref="D40"/>
      <selection pane="bottomLeft" activeCell="D40" sqref="D40"/>
      <selection pane="bottomRight" activeCell="D64" sqref="D64"/>
    </sheetView>
  </sheetViews>
  <sheetFormatPr baseColWidth="10" defaultColWidth="11.42578125" defaultRowHeight="1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>
      <c r="A2" s="40" t="s">
        <v>101</v>
      </c>
      <c r="B2" s="40"/>
      <c r="C2" s="40"/>
      <c r="D2" s="40"/>
      <c r="E2" s="40"/>
    </row>
    <row r="4" spans="1:8" ht="15" customHeight="1">
      <c r="A4" s="41" t="s">
        <v>0</v>
      </c>
      <c r="B4" s="18" t="s">
        <v>33</v>
      </c>
      <c r="C4" s="45" t="s">
        <v>2</v>
      </c>
      <c r="D4" s="45"/>
      <c r="E4" s="45"/>
      <c r="F4" s="45"/>
    </row>
    <row r="5" spans="1:8" ht="30.75" thickBot="1">
      <c r="A5" s="42"/>
      <c r="B5" s="1" t="s">
        <v>34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</row>
    <row r="10" spans="1:8">
      <c r="A10" s="4" t="s">
        <v>60</v>
      </c>
      <c r="B10" s="5">
        <f>SUM(C10:F10)</f>
        <v>5201</v>
      </c>
      <c r="C10" s="3">
        <v>1786</v>
      </c>
      <c r="D10" s="3">
        <v>1090</v>
      </c>
      <c r="E10" s="3">
        <v>2325</v>
      </c>
      <c r="F10" s="5">
        <v>0</v>
      </c>
      <c r="G10" s="3"/>
    </row>
    <row r="11" spans="1:8">
      <c r="A11" s="6" t="s">
        <v>102</v>
      </c>
      <c r="B11" s="5">
        <f>SUM(C11:F11)</f>
        <v>5771</v>
      </c>
      <c r="C11" s="5">
        <v>1849</v>
      </c>
      <c r="D11" s="5">
        <v>1274</v>
      </c>
      <c r="E11" s="5">
        <v>2398</v>
      </c>
      <c r="F11" s="5">
        <v>250</v>
      </c>
      <c r="G11" s="22"/>
    </row>
    <row r="12" spans="1:8">
      <c r="A12" s="6" t="s">
        <v>103</v>
      </c>
      <c r="B12" s="3">
        <f>SUM(C12:F12)</f>
        <v>14338.666666666666</v>
      </c>
      <c r="C12" s="3">
        <v>1685.6666666666667</v>
      </c>
      <c r="D12" s="3">
        <v>1212.3333333333333</v>
      </c>
      <c r="E12" s="3">
        <v>11238.666666666666</v>
      </c>
      <c r="F12" s="5">
        <v>202</v>
      </c>
    </row>
    <row r="13" spans="1:8">
      <c r="A13" s="6" t="s">
        <v>85</v>
      </c>
      <c r="B13" s="5">
        <f>SUM(C13:F13)</f>
        <v>5771</v>
      </c>
      <c r="C13" s="5">
        <v>1849</v>
      </c>
      <c r="D13" s="5">
        <v>1274</v>
      </c>
      <c r="E13" s="5">
        <v>2398</v>
      </c>
      <c r="F13" s="5">
        <v>250</v>
      </c>
      <c r="G13" s="22"/>
    </row>
    <row r="14" spans="1:8">
      <c r="F14" s="7"/>
      <c r="G14" s="19"/>
    </row>
    <row r="15" spans="1:8">
      <c r="A15" s="8" t="s">
        <v>5</v>
      </c>
      <c r="F15" s="7"/>
      <c r="G15" s="20"/>
    </row>
    <row r="16" spans="1:8">
      <c r="A16" s="4" t="s">
        <v>60</v>
      </c>
      <c r="B16" s="27">
        <f>SUM(C16:F16)</f>
        <v>2595739698.1999998</v>
      </c>
      <c r="C16" s="5">
        <v>794162760</v>
      </c>
      <c r="D16" s="5">
        <v>192804576</v>
      </c>
      <c r="E16" s="5">
        <v>1608772362.2</v>
      </c>
      <c r="F16" s="5">
        <v>0</v>
      </c>
      <c r="H16" s="11"/>
    </row>
    <row r="17" spans="1:8">
      <c r="A17" s="6" t="s">
        <v>102</v>
      </c>
      <c r="B17" s="27">
        <f>SUM(C17:F17)</f>
        <v>3095368131</v>
      </c>
      <c r="C17" s="3">
        <v>844225665</v>
      </c>
      <c r="D17" s="3">
        <v>232675716</v>
      </c>
      <c r="E17" s="5">
        <v>1718466750</v>
      </c>
      <c r="F17" s="5">
        <v>300000000</v>
      </c>
      <c r="G17" s="19"/>
    </row>
    <row r="18" spans="1:8">
      <c r="A18" s="6" t="s">
        <v>103</v>
      </c>
      <c r="B18" s="26">
        <f>SUM(C18:F18)</f>
        <v>3091330918.5</v>
      </c>
      <c r="C18" s="5">
        <v>777559263</v>
      </c>
      <c r="D18" s="5">
        <v>252373095</v>
      </c>
      <c r="E18" s="5">
        <v>1745723278.5</v>
      </c>
      <c r="F18" s="5">
        <v>315675282</v>
      </c>
      <c r="H18" s="11"/>
    </row>
    <row r="19" spans="1:8">
      <c r="A19" s="6" t="s">
        <v>85</v>
      </c>
      <c r="B19" s="3">
        <f>SUM(C19:F19)</f>
        <v>12381472524</v>
      </c>
      <c r="C19" s="9">
        <v>3376902660</v>
      </c>
      <c r="D19" s="5">
        <v>930702864</v>
      </c>
      <c r="E19" s="5">
        <v>6873867000</v>
      </c>
      <c r="F19" s="5">
        <v>1200000000</v>
      </c>
    </row>
    <row r="20" spans="1:8">
      <c r="A20" s="6" t="s">
        <v>104</v>
      </c>
      <c r="B20" s="5">
        <f>SUM(C20:F20)</f>
        <v>3091330918.5</v>
      </c>
      <c r="C20" s="5">
        <f>C18</f>
        <v>777559263</v>
      </c>
      <c r="D20" s="5">
        <f t="shared" ref="D20:F20" si="0">D18</f>
        <v>252373095</v>
      </c>
      <c r="E20" s="5">
        <f t="shared" si="0"/>
        <v>1745723278.5</v>
      </c>
      <c r="F20" s="5">
        <f t="shared" si="0"/>
        <v>315675282</v>
      </c>
    </row>
    <row r="21" spans="1:8">
      <c r="B21" s="3"/>
      <c r="C21" s="3"/>
      <c r="D21" s="3"/>
      <c r="E21" s="3"/>
      <c r="F21" s="5"/>
      <c r="G21" s="19"/>
    </row>
    <row r="22" spans="1:8">
      <c r="A22" s="10" t="s">
        <v>6</v>
      </c>
      <c r="B22" s="5"/>
      <c r="C22" s="5"/>
      <c r="D22" s="5"/>
      <c r="E22" s="5"/>
      <c r="F22" s="5"/>
    </row>
    <row r="23" spans="1:8">
      <c r="A23" s="4" t="s">
        <v>102</v>
      </c>
      <c r="B23" s="5">
        <f>B17</f>
        <v>3095368131</v>
      </c>
      <c r="C23" s="5"/>
      <c r="D23" s="5"/>
      <c r="E23" s="5"/>
      <c r="F23" s="5"/>
      <c r="G23" s="11"/>
    </row>
    <row r="24" spans="1:8">
      <c r="A24" s="4" t="s">
        <v>103</v>
      </c>
      <c r="B24" s="5">
        <v>3302143051.25</v>
      </c>
      <c r="C24" s="23"/>
      <c r="D24" s="23"/>
      <c r="E24" s="5"/>
      <c r="F24" s="5"/>
      <c r="G24" s="11"/>
    </row>
    <row r="25" spans="1:8">
      <c r="A25" s="7"/>
      <c r="B25" s="7"/>
      <c r="C25" s="7"/>
      <c r="D25" s="7"/>
      <c r="E25" s="7"/>
      <c r="F25" s="7"/>
    </row>
    <row r="26" spans="1:8">
      <c r="A26" s="7" t="s">
        <v>7</v>
      </c>
      <c r="B26" s="7"/>
      <c r="C26" s="7"/>
      <c r="D26" s="7"/>
      <c r="E26" s="7"/>
      <c r="F26" s="7"/>
    </row>
    <row r="27" spans="1:8">
      <c r="A27" s="4" t="s">
        <v>61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8">
      <c r="A28" s="4" t="s">
        <v>105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8">
      <c r="A29" s="4" t="s">
        <v>8</v>
      </c>
      <c r="B29" s="5">
        <v>127629</v>
      </c>
      <c r="C29" s="5"/>
      <c r="D29" s="5"/>
      <c r="E29" s="5"/>
      <c r="F29" s="5"/>
    </row>
    <row r="30" spans="1:8">
      <c r="A30" s="7"/>
      <c r="B30" s="7"/>
      <c r="C30" s="7"/>
      <c r="D30" s="7"/>
      <c r="E30" s="7"/>
      <c r="F30" s="7"/>
    </row>
    <row r="31" spans="1:8">
      <c r="A31" s="12" t="s">
        <v>9</v>
      </c>
      <c r="B31" s="7"/>
      <c r="C31" s="7"/>
      <c r="D31" s="7"/>
      <c r="E31" s="7"/>
      <c r="F31" s="7"/>
    </row>
    <row r="32" spans="1:8">
      <c r="A32" s="7" t="s">
        <v>62</v>
      </c>
      <c r="B32" s="5">
        <f>B16/B27</f>
        <v>2621959291.1111112</v>
      </c>
      <c r="C32" s="5">
        <f t="shared" ref="C32:F32" si="1">C16/C27</f>
        <v>802184606.06060612</v>
      </c>
      <c r="D32" s="5">
        <f t="shared" si="1"/>
        <v>194752096.96969697</v>
      </c>
      <c r="E32" s="5">
        <f t="shared" si="1"/>
        <v>1625022588.0808082</v>
      </c>
      <c r="F32" s="5">
        <f t="shared" si="1"/>
        <v>0</v>
      </c>
    </row>
    <row r="33" spans="1:8">
      <c r="A33" s="7" t="s">
        <v>106</v>
      </c>
      <c r="B33" s="5">
        <f>B18/B28</f>
        <v>3122556483.3333335</v>
      </c>
      <c r="C33" s="5">
        <f t="shared" ref="C33:F33" si="2">C18/C28</f>
        <v>785413396.969697</v>
      </c>
      <c r="D33" s="5">
        <f t="shared" si="2"/>
        <v>254922318.18181819</v>
      </c>
      <c r="E33" s="5">
        <f t="shared" si="2"/>
        <v>1763356846.969697</v>
      </c>
      <c r="F33" s="5">
        <f t="shared" si="2"/>
        <v>318863921.21212119</v>
      </c>
    </row>
    <row r="34" spans="1:8">
      <c r="A34" s="7" t="s">
        <v>63</v>
      </c>
      <c r="B34" s="27">
        <f>$B$32/(B10)</f>
        <v>504125.99329188833</v>
      </c>
      <c r="C34" s="27">
        <f>C32/(C10)</f>
        <v>449151.5151515152</v>
      </c>
      <c r="D34" s="27">
        <f>D32/(D10)</f>
        <v>178671.64859605226</v>
      </c>
      <c r="E34" s="27">
        <f>E32/(E10)</f>
        <v>698934.44648636912</v>
      </c>
      <c r="F34" s="27" t="e">
        <f>F32/(F10)</f>
        <v>#DIV/0!</v>
      </c>
      <c r="H34" s="11"/>
    </row>
    <row r="35" spans="1:8">
      <c r="A35" s="7" t="s">
        <v>107</v>
      </c>
      <c r="B35" s="27">
        <f>$B$33/(B12)</f>
        <v>217771.74655941979</v>
      </c>
      <c r="C35" s="27">
        <f>C33/(C12)</f>
        <v>465936.36363636365</v>
      </c>
      <c r="D35" s="27">
        <f>D33/(D12)</f>
        <v>210274.11452995727</v>
      </c>
      <c r="E35" s="27">
        <f>E33/(E12)</f>
        <v>156900.8939645596</v>
      </c>
      <c r="F35" s="27">
        <f>F33/(F12)</f>
        <v>1578534.2634263425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</row>
    <row r="39" spans="1:8">
      <c r="A39" t="s">
        <v>11</v>
      </c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11.23464625333323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248.4606942759776</v>
      </c>
      <c r="C44" s="13">
        <f t="shared" ref="C44:F44" si="3">C12/C11*100</f>
        <v>91.166396250225361</v>
      </c>
      <c r="D44" s="13">
        <f t="shared" si="3"/>
        <v>95.159602302459433</v>
      </c>
      <c r="E44" s="13">
        <f t="shared" si="3"/>
        <v>468.66833472338055</v>
      </c>
      <c r="F44" s="13">
        <f t="shared" si="3"/>
        <v>80.800000000000011</v>
      </c>
    </row>
    <row r="45" spans="1:8">
      <c r="A45" t="s">
        <v>16</v>
      </c>
      <c r="B45" s="13">
        <f>B18/B17*100</f>
        <v>99.869572460232831</v>
      </c>
      <c r="C45" s="13">
        <f t="shared" ref="C45:F45" si="4">C18/C17*100</f>
        <v>92.103248602374578</v>
      </c>
      <c r="D45" s="13">
        <f t="shared" si="4"/>
        <v>108.46559294567723</v>
      </c>
      <c r="E45" s="13">
        <f t="shared" si="4"/>
        <v>101.5860957740381</v>
      </c>
      <c r="F45" s="13">
        <f t="shared" si="4"/>
        <v>105.225094</v>
      </c>
    </row>
    <row r="46" spans="1:8">
      <c r="A46" s="7" t="s">
        <v>17</v>
      </c>
      <c r="B46" s="13">
        <f>AVERAGE(B44:B45)</f>
        <v>174.16513336810522</v>
      </c>
      <c r="C46" s="13">
        <f t="shared" ref="C46:F46" si="5">AVERAGE(C44:C45)</f>
        <v>91.634822426299962</v>
      </c>
      <c r="D46" s="13">
        <f t="shared" si="5"/>
        <v>101.81259762406833</v>
      </c>
      <c r="E46" s="13">
        <f t="shared" si="5"/>
        <v>285.12721524870932</v>
      </c>
      <c r="F46" s="13">
        <f t="shared" si="5"/>
        <v>93.012547000000012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248.4606942759776</v>
      </c>
      <c r="C49" s="28">
        <f t="shared" ref="C49:F49" si="6">(C12/C13)*100</f>
        <v>91.166396250225361</v>
      </c>
      <c r="D49" s="28">
        <f t="shared" si="6"/>
        <v>95.159602302459433</v>
      </c>
      <c r="E49" s="28">
        <f t="shared" si="6"/>
        <v>468.66833472338055</v>
      </c>
      <c r="F49" s="28">
        <f t="shared" si="6"/>
        <v>80.800000000000011</v>
      </c>
      <c r="G49" s="11"/>
    </row>
    <row r="50" spans="1:7">
      <c r="A50" s="7" t="s">
        <v>20</v>
      </c>
      <c r="B50" s="13">
        <f>B18/B19*100</f>
        <v>24.967393115058208</v>
      </c>
      <c r="C50" s="13">
        <f t="shared" ref="C50:F50" si="7">C18/C19*100</f>
        <v>23.025812150593644</v>
      </c>
      <c r="D50" s="13">
        <f t="shared" si="7"/>
        <v>27.116398236419307</v>
      </c>
      <c r="E50" s="13">
        <f t="shared" si="7"/>
        <v>25.396523943509525</v>
      </c>
      <c r="F50" s="13">
        <f t="shared" si="7"/>
        <v>26.3062735</v>
      </c>
    </row>
    <row r="51" spans="1:7">
      <c r="A51" s="7" t="s">
        <v>21</v>
      </c>
      <c r="B51" s="13">
        <f>(B49+B50)/2</f>
        <v>136.71404369551792</v>
      </c>
      <c r="C51" s="13">
        <f t="shared" ref="C51:F51" si="8">(C49+C50)/2</f>
        <v>57.096104200409499</v>
      </c>
      <c r="D51" s="13">
        <f t="shared" si="8"/>
        <v>61.138000269439374</v>
      </c>
      <c r="E51" s="13">
        <f t="shared" si="8"/>
        <v>247.03242933344504</v>
      </c>
      <c r="F51" s="13">
        <f t="shared" si="8"/>
        <v>53.553136750000007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7"/>
      <c r="D53" s="7"/>
      <c r="E53" s="7"/>
      <c r="F53" s="7"/>
    </row>
    <row r="54" spans="1:7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175.69057232583475</v>
      </c>
      <c r="C57" s="13">
        <f t="shared" ref="C57:F57" si="9">((C12/C10)-1)*100</f>
        <v>-5.617767823814857</v>
      </c>
      <c r="D57" s="13">
        <f t="shared" si="9"/>
        <v>11.223241590214062</v>
      </c>
      <c r="E57" s="13">
        <f t="shared" si="9"/>
        <v>383.38351254480284</v>
      </c>
      <c r="F57" s="13" t="e">
        <f t="shared" si="9"/>
        <v>#DIV/0!</v>
      </c>
    </row>
    <row r="58" spans="1:7">
      <c r="A58" s="7" t="s">
        <v>26</v>
      </c>
      <c r="B58" s="13">
        <f>((B33/B32)-1)*100</f>
        <v>19.092485299803563</v>
      </c>
      <c r="C58" s="13">
        <f t="shared" ref="C58:F58" si="10">((C33/C32)-1)*100</f>
        <v>-2.0906919634458898</v>
      </c>
      <c r="D58" s="13">
        <f t="shared" si="10"/>
        <v>30.895801456496553</v>
      </c>
      <c r="E58" s="13">
        <f t="shared" si="10"/>
        <v>8.5127591396907842</v>
      </c>
      <c r="F58" s="13" t="e">
        <f t="shared" si="10"/>
        <v>#DIV/0!</v>
      </c>
      <c r="G58" s="13"/>
    </row>
    <row r="59" spans="1:7">
      <c r="A59" s="7" t="s">
        <v>27</v>
      </c>
      <c r="B59" s="13">
        <f>((B35/B34)-1)*100</f>
        <v>-56.802119022390855</v>
      </c>
      <c r="C59" s="13">
        <f t="shared" ref="C59:F59" si="11">((C35/C34)-1)*100</f>
        <v>3.7370125489137651</v>
      </c>
      <c r="D59" s="13">
        <f t="shared" si="11"/>
        <v>17.687454155277372</v>
      </c>
      <c r="E59" s="13">
        <f t="shared" si="11"/>
        <v>-77.55141490688861</v>
      </c>
      <c r="F59" s="13" t="e">
        <f t="shared" si="11"/>
        <v>#DIV/0!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5">
        <f>B17/(B11*3)</f>
        <v>178788.6634898631</v>
      </c>
      <c r="C62" s="5">
        <f t="shared" ref="C62:F63" si="12">C17/(C11*3)</f>
        <v>152195</v>
      </c>
      <c r="D62" s="5">
        <f t="shared" si="12"/>
        <v>60878</v>
      </c>
      <c r="E62" s="5">
        <f>E17/(E11*3)</f>
        <v>238875</v>
      </c>
      <c r="F62" s="5">
        <f>F17/(F11*3)</f>
        <v>400000</v>
      </c>
    </row>
    <row r="63" spans="1:7">
      <c r="A63" s="7" t="s">
        <v>47</v>
      </c>
      <c r="B63" s="5">
        <f>$B$18/(B12*3)</f>
        <v>71864.676364608516</v>
      </c>
      <c r="C63" s="5">
        <f>C18/(C12*3)</f>
        <v>153759</v>
      </c>
      <c r="D63" s="5">
        <f t="shared" si="12"/>
        <v>69390.457794885893</v>
      </c>
      <c r="E63" s="5">
        <f t="shared" si="12"/>
        <v>51777.29500830466</v>
      </c>
      <c r="F63" s="5">
        <f t="shared" si="12"/>
        <v>520916.30693069304</v>
      </c>
      <c r="G63" s="11"/>
    </row>
    <row r="64" spans="1:7">
      <c r="A64" s="7" t="s">
        <v>29</v>
      </c>
      <c r="B64" s="13">
        <f>(B63/B62)*B46</f>
        <v>70.006233612274912</v>
      </c>
      <c r="C64" s="13">
        <f t="shared" ref="C64:F64" si="13">(C63/C62)*C46</f>
        <v>92.576488461811849</v>
      </c>
      <c r="D64" s="13">
        <f t="shared" si="13"/>
        <v>116.04886426000547</v>
      </c>
      <c r="E64" s="13">
        <f t="shared" si="13"/>
        <v>61.802683155745918</v>
      </c>
      <c r="F64" s="13">
        <f t="shared" si="13"/>
        <v>121.12938120364379</v>
      </c>
    </row>
    <row r="65" spans="1:7">
      <c r="A65" s="7" t="s">
        <v>48</v>
      </c>
      <c r="B65" s="13">
        <f>B17/B11</f>
        <v>536365.99046958936</v>
      </c>
      <c r="C65" s="13">
        <f t="shared" ref="C65:F66" si="14">C17/C11</f>
        <v>456585</v>
      </c>
      <c r="D65" s="13">
        <f t="shared" si="14"/>
        <v>182634</v>
      </c>
      <c r="E65" s="13">
        <f t="shared" si="14"/>
        <v>716625</v>
      </c>
      <c r="F65" s="13">
        <f t="shared" si="14"/>
        <v>1200000</v>
      </c>
    </row>
    <row r="66" spans="1:7">
      <c r="A66" s="7" t="s">
        <v>49</v>
      </c>
      <c r="B66" s="13">
        <f>B18/B12</f>
        <v>215594.02909382555</v>
      </c>
      <c r="C66" s="13">
        <f t="shared" si="14"/>
        <v>461277</v>
      </c>
      <c r="D66" s="13">
        <f t="shared" si="14"/>
        <v>208171.37338465769</v>
      </c>
      <c r="E66" s="13">
        <f t="shared" si="14"/>
        <v>155331.88502491399</v>
      </c>
      <c r="F66" s="13">
        <f t="shared" si="14"/>
        <v>1562748.9207920793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106.68013985732929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93.615899448384027</v>
      </c>
      <c r="C70" s="13"/>
      <c r="D70" s="13"/>
      <c r="E70" s="13"/>
      <c r="F70" s="13"/>
      <c r="G70" s="11"/>
    </row>
    <row r="71" spans="1:7" ht="15.75" thickBot="1">
      <c r="A71" s="21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68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t="s">
        <v>138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83"/>
  <sheetViews>
    <sheetView zoomScale="90" zoomScaleNormal="90" workbookViewId="0">
      <pane xSplit="1" ySplit="5" topLeftCell="B63" activePane="bottomRight" state="frozen"/>
      <selection activeCell="D40" sqref="D40"/>
      <selection pane="topRight" activeCell="D40" sqref="D40"/>
      <selection pane="bottomLeft" activeCell="D40" sqref="D40"/>
      <selection pane="bottomRight" activeCell="F64" sqref="F64"/>
    </sheetView>
  </sheetViews>
  <sheetFormatPr baseColWidth="10" defaultColWidth="11.42578125" defaultRowHeight="1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>
      <c r="A2" s="40" t="s">
        <v>136</v>
      </c>
      <c r="B2" s="40"/>
      <c r="C2" s="40"/>
      <c r="D2" s="40"/>
      <c r="E2" s="40"/>
    </row>
    <row r="4" spans="1:8" ht="15" customHeight="1">
      <c r="A4" s="41" t="s">
        <v>0</v>
      </c>
      <c r="B4" s="18" t="s">
        <v>33</v>
      </c>
      <c r="C4" s="45" t="s">
        <v>2</v>
      </c>
      <c r="D4" s="45"/>
      <c r="E4" s="45"/>
      <c r="F4" s="45"/>
    </row>
    <row r="5" spans="1:8" ht="30.75" thickBot="1">
      <c r="A5" s="42"/>
      <c r="B5" s="1" t="s">
        <v>34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</row>
    <row r="10" spans="1:8">
      <c r="A10" s="4" t="s">
        <v>64</v>
      </c>
      <c r="B10" s="27">
        <f>SUM(C10:F10)</f>
        <v>6151.3333333333339</v>
      </c>
      <c r="C10" s="3">
        <v>1771</v>
      </c>
      <c r="D10" s="3">
        <v>1186.6666666666667</v>
      </c>
      <c r="E10" s="5">
        <v>3128.6666666666665</v>
      </c>
      <c r="F10" s="5">
        <v>65</v>
      </c>
      <c r="G10" s="3"/>
      <c r="H10" s="11"/>
    </row>
    <row r="11" spans="1:8">
      <c r="A11" s="6" t="s">
        <v>108</v>
      </c>
      <c r="B11" s="27">
        <f t="shared" ref="B11:B13" si="0">SUM(C11:F11)</f>
        <v>5771</v>
      </c>
      <c r="C11" s="5">
        <v>1849</v>
      </c>
      <c r="D11" s="5">
        <v>1274</v>
      </c>
      <c r="E11" s="5">
        <v>2398</v>
      </c>
      <c r="F11" s="5">
        <v>250</v>
      </c>
      <c r="G11" s="22"/>
      <c r="H11" s="11"/>
    </row>
    <row r="12" spans="1:8">
      <c r="A12" s="6" t="s">
        <v>109</v>
      </c>
      <c r="B12" s="27">
        <f t="shared" si="0"/>
        <v>16785.333333333332</v>
      </c>
      <c r="C12" s="3">
        <v>1732</v>
      </c>
      <c r="D12" s="3">
        <v>1158.3333333333333</v>
      </c>
      <c r="E12" s="5">
        <v>13312</v>
      </c>
      <c r="F12" s="5">
        <v>583</v>
      </c>
      <c r="H12" s="11"/>
    </row>
    <row r="13" spans="1:8">
      <c r="A13" s="6" t="s">
        <v>85</v>
      </c>
      <c r="B13" s="27">
        <f t="shared" si="0"/>
        <v>5771</v>
      </c>
      <c r="C13" s="5">
        <v>1849</v>
      </c>
      <c r="D13" s="5">
        <v>1274</v>
      </c>
      <c r="E13" s="5">
        <v>2398</v>
      </c>
      <c r="F13" s="5">
        <v>250</v>
      </c>
      <c r="G13" s="22"/>
      <c r="H13" s="11"/>
    </row>
    <row r="14" spans="1:8">
      <c r="F14" s="7"/>
      <c r="G14" s="19"/>
    </row>
    <row r="15" spans="1:8">
      <c r="A15" s="8" t="s">
        <v>5</v>
      </c>
      <c r="F15" s="7"/>
      <c r="G15" s="20"/>
    </row>
    <row r="16" spans="1:8">
      <c r="A16" s="4" t="s">
        <v>64</v>
      </c>
      <c r="B16" s="27">
        <f>SUM(C16:F16)</f>
        <v>4318091750.1700001</v>
      </c>
      <c r="C16" s="5">
        <v>958226618.51999998</v>
      </c>
      <c r="D16" s="5">
        <v>236968190.75</v>
      </c>
      <c r="E16" s="5">
        <v>2374862222.8999996</v>
      </c>
      <c r="F16" s="5">
        <v>748034718</v>
      </c>
      <c r="H16" s="11"/>
    </row>
    <row r="17" spans="1:7">
      <c r="A17" s="6" t="s">
        <v>108</v>
      </c>
      <c r="B17" s="5">
        <f>SUM(C17:F17)</f>
        <v>3095368131</v>
      </c>
      <c r="C17" s="3">
        <v>844225665</v>
      </c>
      <c r="D17" s="3">
        <v>232675716</v>
      </c>
      <c r="E17" s="5">
        <v>1718466750</v>
      </c>
      <c r="F17" s="5">
        <v>300000000</v>
      </c>
      <c r="G17" s="19"/>
    </row>
    <row r="18" spans="1:7">
      <c r="A18" s="6" t="s">
        <v>109</v>
      </c>
      <c r="B18" s="26">
        <f>SUM(C18:F18)</f>
        <v>4644070138.0100002</v>
      </c>
      <c r="C18" s="5">
        <v>797855451</v>
      </c>
      <c r="D18" s="5">
        <v>234288954</v>
      </c>
      <c r="E18" s="5">
        <v>2963601015.0100002</v>
      </c>
      <c r="F18" s="5">
        <v>648324718</v>
      </c>
    </row>
    <row r="19" spans="1:7">
      <c r="A19" s="6" t="s">
        <v>85</v>
      </c>
      <c r="B19" s="3">
        <f>SUM(C19:F19)</f>
        <v>12381472524</v>
      </c>
      <c r="C19" s="9">
        <v>3376902660</v>
      </c>
      <c r="D19" s="5">
        <v>930702864</v>
      </c>
      <c r="E19" s="5">
        <v>6873867000</v>
      </c>
      <c r="F19" s="5">
        <v>1200000000</v>
      </c>
    </row>
    <row r="20" spans="1:7">
      <c r="A20" s="6" t="s">
        <v>110</v>
      </c>
      <c r="B20" s="5">
        <f>SUM(C20:F20)</f>
        <v>4644070138.0100002</v>
      </c>
      <c r="C20" s="5">
        <f>C18</f>
        <v>797855451</v>
      </c>
      <c r="D20" s="5">
        <f t="shared" ref="D20:F20" si="1">D18</f>
        <v>234288954</v>
      </c>
      <c r="E20" s="5">
        <f t="shared" si="1"/>
        <v>2963601015.0100002</v>
      </c>
      <c r="F20" s="5">
        <f t="shared" si="1"/>
        <v>648324718</v>
      </c>
    </row>
    <row r="21" spans="1:7">
      <c r="B21" s="3"/>
      <c r="C21" s="3"/>
      <c r="D21" s="3"/>
      <c r="E21" s="3"/>
      <c r="F21" s="5"/>
      <c r="G21" s="19"/>
    </row>
    <row r="22" spans="1:7">
      <c r="A22" s="10" t="s">
        <v>6</v>
      </c>
      <c r="B22" s="5"/>
      <c r="C22" s="5"/>
      <c r="D22" s="5"/>
      <c r="E22" s="5"/>
      <c r="F22" s="5"/>
    </row>
    <row r="23" spans="1:7">
      <c r="A23" s="4" t="s">
        <v>108</v>
      </c>
      <c r="B23" s="5">
        <f>B17</f>
        <v>3095368131</v>
      </c>
      <c r="C23" s="5"/>
      <c r="D23" s="5"/>
      <c r="E23" s="5"/>
      <c r="F23" s="5"/>
      <c r="G23" s="11"/>
    </row>
    <row r="24" spans="1:7">
      <c r="A24" s="4" t="s">
        <v>109</v>
      </c>
      <c r="B24" s="5">
        <v>4140569104.75</v>
      </c>
      <c r="C24" s="23"/>
      <c r="D24" s="23"/>
      <c r="E24" s="5"/>
      <c r="F24" s="5"/>
      <c r="G24" s="11"/>
    </row>
    <row r="25" spans="1:7">
      <c r="A25" s="7"/>
      <c r="B25" s="7"/>
      <c r="C25" s="7"/>
      <c r="D25" s="7"/>
      <c r="E25" s="7"/>
      <c r="F25" s="7"/>
    </row>
    <row r="26" spans="1:7">
      <c r="A26" s="7" t="s">
        <v>7</v>
      </c>
      <c r="B26" s="7"/>
      <c r="C26" s="7"/>
      <c r="D26" s="7"/>
      <c r="E26" s="7"/>
      <c r="F26" s="7"/>
    </row>
    <row r="27" spans="1:7">
      <c r="A27" s="4" t="s">
        <v>65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7">
      <c r="A28" s="4" t="s">
        <v>111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7">
      <c r="A29" s="4" t="s">
        <v>8</v>
      </c>
      <c r="B29" s="5">
        <v>127629</v>
      </c>
      <c r="C29" s="5"/>
      <c r="D29" s="5"/>
      <c r="E29" s="5"/>
      <c r="F29" s="5"/>
    </row>
    <row r="30" spans="1:7">
      <c r="A30" s="7"/>
      <c r="B30" s="7"/>
      <c r="C30" s="7"/>
      <c r="D30" s="7"/>
      <c r="E30" s="7"/>
      <c r="F30" s="7"/>
    </row>
    <row r="31" spans="1:7">
      <c r="A31" s="12" t="s">
        <v>9</v>
      </c>
      <c r="B31" s="7"/>
      <c r="C31" s="7"/>
      <c r="D31" s="7"/>
      <c r="E31" s="7"/>
      <c r="F31" s="7"/>
    </row>
    <row r="32" spans="1:7">
      <c r="A32" s="7" t="s">
        <v>66</v>
      </c>
      <c r="B32" s="5">
        <f>B16/B27</f>
        <v>4361708838.5555553</v>
      </c>
      <c r="C32" s="5">
        <f>C16/C27</f>
        <v>967905675.27272725</v>
      </c>
      <c r="D32" s="5">
        <f>D16/D27</f>
        <v>239361808.83838385</v>
      </c>
      <c r="E32" s="5">
        <f>E16/E27</f>
        <v>2398850730.2020197</v>
      </c>
      <c r="F32" s="5">
        <f>F16/F27</f>
        <v>755590624.24242425</v>
      </c>
    </row>
    <row r="33" spans="1:8">
      <c r="A33" s="7" t="s">
        <v>112</v>
      </c>
      <c r="B33" s="5">
        <f>B18/B28</f>
        <v>4690979937.3838387</v>
      </c>
      <c r="C33" s="5">
        <f>C18/C28</f>
        <v>805914596.969697</v>
      </c>
      <c r="D33" s="5">
        <f>D18/D28</f>
        <v>236655509.09090909</v>
      </c>
      <c r="E33" s="5">
        <f>E18/E28</f>
        <v>2993536378.7979798</v>
      </c>
      <c r="F33" s="5">
        <f>F18/F28</f>
        <v>654873452.52525258</v>
      </c>
    </row>
    <row r="34" spans="1:8">
      <c r="A34" s="7" t="s">
        <v>67</v>
      </c>
      <c r="B34" s="27">
        <f>$B$32/(B10)</f>
        <v>709067.22204761382</v>
      </c>
      <c r="C34" s="27">
        <f>C32/(C10)</f>
        <v>546530.59021610802</v>
      </c>
      <c r="D34" s="27">
        <f>D32/(D10)</f>
        <v>201709.38947054817</v>
      </c>
      <c r="E34" s="27">
        <f>E32/(E10)</f>
        <v>766732.60074643721</v>
      </c>
      <c r="F34" s="27">
        <f>F32/(F10)</f>
        <v>11624471.142191142</v>
      </c>
      <c r="H34" s="11"/>
    </row>
    <row r="35" spans="1:8">
      <c r="A35" s="7" t="s">
        <v>113</v>
      </c>
      <c r="B35" s="27">
        <f>$B$33/(B12)</f>
        <v>279468.97712589399</v>
      </c>
      <c r="C35" s="27">
        <f>C33/(C12)</f>
        <v>465308.65875848557</v>
      </c>
      <c r="D35" s="27">
        <f>D33/(D12)</f>
        <v>204306.914323087</v>
      </c>
      <c r="E35" s="27">
        <f>E33/(E12)</f>
        <v>224875.02845537709</v>
      </c>
      <c r="F35" s="27">
        <f>F33/(F12)</f>
        <v>1123282.0798031776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F37" s="7"/>
    </row>
    <row r="38" spans="1:8">
      <c r="F38" s="7"/>
    </row>
    <row r="39" spans="1:8">
      <c r="A39" t="s">
        <v>11</v>
      </c>
      <c r="F39" s="7"/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13.151660933904779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290.85658175937158</v>
      </c>
      <c r="C44" s="13">
        <f t="shared" ref="C44:F44" si="2">C12/C11*100</f>
        <v>93.672255273120612</v>
      </c>
      <c r="D44" s="13">
        <f t="shared" si="2"/>
        <v>90.920983778126626</v>
      </c>
      <c r="E44" s="13">
        <f t="shared" si="2"/>
        <v>555.1292743953295</v>
      </c>
      <c r="F44" s="13">
        <f t="shared" si="2"/>
        <v>233.2</v>
      </c>
    </row>
    <row r="45" spans="1:8">
      <c r="A45" t="s">
        <v>16</v>
      </c>
      <c r="B45" s="13">
        <f>B18/B17*100</f>
        <v>150.03288595950207</v>
      </c>
      <c r="C45" s="13">
        <f t="shared" ref="C45:F45" si="3">C18/C17*100</f>
        <v>94.507367411058269</v>
      </c>
      <c r="D45" s="13">
        <f t="shared" si="3"/>
        <v>100.69334180108423</v>
      </c>
      <c r="E45" s="13">
        <f t="shared" si="3"/>
        <v>172.45611618671123</v>
      </c>
      <c r="F45" s="13">
        <f t="shared" si="3"/>
        <v>216.10823933333333</v>
      </c>
    </row>
    <row r="46" spans="1:8">
      <c r="A46" s="7" t="s">
        <v>17</v>
      </c>
      <c r="B46" s="13">
        <f>AVERAGE(B44:B45)</f>
        <v>220.44473385943684</v>
      </c>
      <c r="C46" s="13">
        <f t="shared" ref="C46:F46" si="4">AVERAGE(C44:C45)</f>
        <v>94.089811342089433</v>
      </c>
      <c r="D46" s="13">
        <f t="shared" si="4"/>
        <v>95.807162789605428</v>
      </c>
      <c r="E46" s="13">
        <f t="shared" si="4"/>
        <v>363.79269529102038</v>
      </c>
      <c r="F46" s="13">
        <f t="shared" si="4"/>
        <v>224.65411966666665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290.85658175937158</v>
      </c>
      <c r="C49" s="28">
        <f t="shared" ref="C49:F49" si="5">(C12/C13)*100</f>
        <v>93.672255273120612</v>
      </c>
      <c r="D49" s="28">
        <f t="shared" si="5"/>
        <v>90.920983778126626</v>
      </c>
      <c r="E49" s="28">
        <f t="shared" si="5"/>
        <v>555.1292743953295</v>
      </c>
      <c r="F49" s="28">
        <f t="shared" si="5"/>
        <v>233.2</v>
      </c>
      <c r="G49" s="11"/>
    </row>
    <row r="50" spans="1:7">
      <c r="A50" s="7" t="s">
        <v>20</v>
      </c>
      <c r="B50" s="13">
        <f>B18/B19*100</f>
        <v>37.508221489875517</v>
      </c>
      <c r="C50" s="13">
        <f>C18/C19*100</f>
        <v>23.626841852764567</v>
      </c>
      <c r="D50" s="13">
        <f>D18/D19*100</f>
        <v>25.173335450271058</v>
      </c>
      <c r="E50" s="13">
        <f>E18/E19*100</f>
        <v>43.114029046677807</v>
      </c>
      <c r="F50" s="13">
        <f>F18/F19*100</f>
        <v>54.027059833333333</v>
      </c>
    </row>
    <row r="51" spans="1:7">
      <c r="A51" s="7" t="s">
        <v>21</v>
      </c>
      <c r="B51" s="13">
        <f>(B49+B50)/2</f>
        <v>164.18240162462354</v>
      </c>
      <c r="C51" s="13">
        <f t="shared" ref="C51:F51" si="6">(C49+C50)/2</f>
        <v>58.649548562942591</v>
      </c>
      <c r="D51" s="13">
        <f t="shared" si="6"/>
        <v>58.04715961419884</v>
      </c>
      <c r="E51" s="13">
        <f t="shared" si="6"/>
        <v>299.12165172100367</v>
      </c>
      <c r="F51" s="13">
        <f t="shared" si="6"/>
        <v>143.61352991666666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7"/>
      <c r="D53" s="7"/>
      <c r="E53" s="7"/>
      <c r="F53" s="7"/>
    </row>
    <row r="54" spans="1:7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172.87308984502002</v>
      </c>
      <c r="C57" s="13">
        <f>((C12/C10)-1)*100</f>
        <v>-2.2021456804065531</v>
      </c>
      <c r="D57" s="13">
        <f>((D12/D10)-1)*100</f>
        <v>-2.3876404494382109</v>
      </c>
      <c r="E57" s="13">
        <f>((E12/E10)-1)*100</f>
        <v>325.48476454293632</v>
      </c>
      <c r="F57" s="13">
        <f>((F12/F10)-1)*100</f>
        <v>796.92307692307691</v>
      </c>
    </row>
    <row r="58" spans="1:7">
      <c r="A58" s="7" t="s">
        <v>26</v>
      </c>
      <c r="B58" s="13">
        <f>((B33/B32)-1)*100</f>
        <v>7.5491306507594835</v>
      </c>
      <c r="C58" s="13">
        <f t="shared" ref="C58:F58" si="7">((C33/C32)-1)*100</f>
        <v>-16.736246355553806</v>
      </c>
      <c r="D58" s="13">
        <f t="shared" si="7"/>
        <v>-1.1306313904496101</v>
      </c>
      <c r="E58" s="13">
        <f t="shared" si="7"/>
        <v>24.790439901438923</v>
      </c>
      <c r="F58" s="13">
        <f t="shared" si="7"/>
        <v>-13.329595218065792</v>
      </c>
      <c r="G58" s="13"/>
    </row>
    <row r="59" spans="1:7">
      <c r="A59" s="7" t="s">
        <v>27</v>
      </c>
      <c r="B59" s="13">
        <f>((B35/B34)-1)*100</f>
        <v>-60.586391750156565</v>
      </c>
      <c r="C59" s="13">
        <f>((C35/C34)-1)*100</f>
        <v>-14.86136968573083</v>
      </c>
      <c r="D59" s="13">
        <f>((D35/D34)-1)*100</f>
        <v>1.2877560431653112</v>
      </c>
      <c r="E59" s="13">
        <f>((E35/E34)-1)*100</f>
        <v>-70.670996872122757</v>
      </c>
      <c r="F59" s="13">
        <f>((F35/F34)-1)*100</f>
        <v>-90.336918849355527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5">
        <f>B17/(B11*3)</f>
        <v>178788.6634898631</v>
      </c>
      <c r="C62" s="5">
        <f t="shared" ref="C62:F63" si="8">C17/(C11*3)</f>
        <v>152195</v>
      </c>
      <c r="D62" s="5">
        <f t="shared" si="8"/>
        <v>60878</v>
      </c>
      <c r="E62" s="5">
        <f t="shared" si="8"/>
        <v>238875</v>
      </c>
      <c r="F62" s="5">
        <f t="shared" si="8"/>
        <v>400000</v>
      </c>
    </row>
    <row r="63" spans="1:7">
      <c r="A63" s="7" t="s">
        <v>47</v>
      </c>
      <c r="B63" s="5">
        <f>$B$18/(B12*3)</f>
        <v>92224.762451545001</v>
      </c>
      <c r="C63" s="5">
        <f>C18/(C12*3)</f>
        <v>153551.85739030023</v>
      </c>
      <c r="D63" s="5">
        <f t="shared" si="8"/>
        <v>67421.281726618705</v>
      </c>
      <c r="E63" s="5">
        <f t="shared" si="8"/>
        <v>74208.759390274441</v>
      </c>
      <c r="F63" s="5">
        <f t="shared" si="8"/>
        <v>370683.0863350486</v>
      </c>
      <c r="G63" s="11"/>
    </row>
    <row r="64" spans="1:7">
      <c r="A64" s="7" t="s">
        <v>29</v>
      </c>
      <c r="B64" s="13">
        <f>(B63/B62)*B46</f>
        <v>113.71226126444706</v>
      </c>
      <c r="C64" s="13">
        <f t="shared" ref="C64:F64" si="9">(C63/C62)*C46</f>
        <v>94.928646099285587</v>
      </c>
      <c r="D64" s="13">
        <f t="shared" si="9"/>
        <v>106.10469650556864</v>
      </c>
      <c r="E64" s="13">
        <f t="shared" si="9"/>
        <v>113.01561315663321</v>
      </c>
      <c r="F64" s="13">
        <f t="shared" si="9"/>
        <v>208.18870608980831</v>
      </c>
      <c r="G64" s="11"/>
    </row>
    <row r="65" spans="1:7">
      <c r="A65" s="7" t="s">
        <v>48</v>
      </c>
      <c r="B65" s="13">
        <f>B17/B11</f>
        <v>536365.99046958936</v>
      </c>
      <c r="C65" s="13">
        <f t="shared" ref="C65:F66" si="10">C17/C11</f>
        <v>456585</v>
      </c>
      <c r="D65" s="13">
        <f t="shared" si="10"/>
        <v>182634</v>
      </c>
      <c r="E65" s="13">
        <f t="shared" si="10"/>
        <v>716625</v>
      </c>
      <c r="F65" s="13">
        <f t="shared" si="10"/>
        <v>1200000</v>
      </c>
      <c r="G65" s="11"/>
    </row>
    <row r="66" spans="1:7">
      <c r="A66" s="7" t="s">
        <v>49</v>
      </c>
      <c r="B66" s="13">
        <f>B18/B12</f>
        <v>276674.28735463502</v>
      </c>
      <c r="C66" s="13">
        <f t="shared" si="10"/>
        <v>460655.5721709007</v>
      </c>
      <c r="D66" s="13">
        <f t="shared" si="10"/>
        <v>202263.84517985611</v>
      </c>
      <c r="E66" s="13">
        <f t="shared" si="10"/>
        <v>222626.27817082332</v>
      </c>
      <c r="F66" s="13">
        <f t="shared" si="10"/>
        <v>1112049.2590051459</v>
      </c>
      <c r="G66" s="11"/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133.76661287174051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112.16018910739567</v>
      </c>
      <c r="C70" s="13"/>
      <c r="D70" s="13"/>
      <c r="E70" s="13"/>
      <c r="F70" s="13"/>
      <c r="G70" s="11"/>
    </row>
    <row r="71" spans="1:7" ht="15.75" thickBot="1">
      <c r="A71" s="21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114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s="9" t="s">
        <v>139</v>
      </c>
    </row>
  </sheetData>
  <mergeCells count="3">
    <mergeCell ref="A4:A5"/>
    <mergeCell ref="A2:E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83"/>
  <sheetViews>
    <sheetView zoomScale="70" zoomScaleNormal="70" workbookViewId="0">
      <pane xSplit="1" ySplit="5" topLeftCell="B62" activePane="bottomRight" state="frozen"/>
      <selection activeCell="D40" sqref="D40"/>
      <selection pane="topRight" activeCell="D40" sqref="D40"/>
      <selection pane="bottomLeft" activeCell="D40" sqref="D40"/>
      <selection pane="bottomRight" activeCell="E75" sqref="E75"/>
    </sheetView>
  </sheetViews>
  <sheetFormatPr baseColWidth="10" defaultColWidth="11.42578125" defaultRowHeight="15"/>
  <cols>
    <col min="1" max="1" width="55.140625" customWidth="1"/>
    <col min="2" max="2" width="19.28515625" customWidth="1"/>
    <col min="3" max="3" width="18.7109375" customWidth="1"/>
    <col min="4" max="4" width="16.28515625" customWidth="1"/>
    <col min="5" max="5" width="15.5703125" customWidth="1"/>
    <col min="6" max="6" width="18.85546875" customWidth="1"/>
    <col min="7" max="7" width="18.7109375" customWidth="1"/>
  </cols>
  <sheetData>
    <row r="2" spans="1:8" ht="15.75">
      <c r="A2" s="40" t="s">
        <v>115</v>
      </c>
      <c r="B2" s="40"/>
      <c r="C2" s="40"/>
      <c r="D2" s="40"/>
      <c r="E2" s="40"/>
    </row>
    <row r="4" spans="1:8">
      <c r="A4" s="41" t="s">
        <v>0</v>
      </c>
      <c r="B4" s="18" t="s">
        <v>33</v>
      </c>
      <c r="C4" s="45" t="s">
        <v>2</v>
      </c>
      <c r="D4" s="45"/>
      <c r="E4" s="45"/>
      <c r="F4" s="45"/>
    </row>
    <row r="5" spans="1:8" ht="30.75" thickBot="1">
      <c r="A5" s="42"/>
      <c r="B5" s="1" t="s">
        <v>34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</row>
    <row r="10" spans="1:8">
      <c r="A10" s="4" t="s">
        <v>69</v>
      </c>
      <c r="B10" s="27">
        <f>SUM(C10:F10)</f>
        <v>4924.5</v>
      </c>
      <c r="C10" s="5">
        <f>(+'I Trimestre'!C10+'II Trimestre'!C10)/2</f>
        <v>1697.5</v>
      </c>
      <c r="D10" s="5">
        <f>(+'I Trimestre'!D10+'II Trimestre'!D10)/2</f>
        <v>1057</v>
      </c>
      <c r="E10" s="5">
        <f>(+'I Trimestre'!E10+'II Trimestre'!E10)/2</f>
        <v>2170</v>
      </c>
      <c r="F10" s="5">
        <f>+'I Trimestre'!F10+'II Trimestre'!F10/2</f>
        <v>0</v>
      </c>
      <c r="G10" s="3"/>
      <c r="H10" s="11"/>
    </row>
    <row r="11" spans="1:8">
      <c r="A11" s="6" t="s">
        <v>116</v>
      </c>
      <c r="B11" s="27">
        <f t="shared" ref="B11:B12" si="0">SUM(C11:F11)</f>
        <v>5771</v>
      </c>
      <c r="C11" s="5">
        <f>(+'I Trimestre'!C11+'II Trimestre'!C11)/2</f>
        <v>1849</v>
      </c>
      <c r="D11" s="5">
        <f>(+'I Trimestre'!D11+'II Trimestre'!D11)/2</f>
        <v>1274</v>
      </c>
      <c r="E11" s="5">
        <f>(+'I Trimestre'!E11+'II Trimestre'!E11)/2</f>
        <v>2398</v>
      </c>
      <c r="F11" s="5">
        <f>(+'I Trimestre'!F11+'II Trimestre'!F11)/2</f>
        <v>250</v>
      </c>
      <c r="G11" s="19"/>
      <c r="H11" s="11"/>
    </row>
    <row r="12" spans="1:8">
      <c r="A12" s="6" t="s">
        <v>117</v>
      </c>
      <c r="B12" s="27">
        <f t="shared" si="0"/>
        <v>9321.3333333333321</v>
      </c>
      <c r="C12" s="5">
        <f>(+'I Trimestre'!C12+'II Trimestre'!C12)/2</f>
        <v>1710.6666666666667</v>
      </c>
      <c r="D12" s="5">
        <f>(+'I Trimestre'!D12+'II Trimestre'!D12)/2</f>
        <v>1102.3333333333335</v>
      </c>
      <c r="E12" s="5">
        <f>(+'I Trimestre'!E12+'II Trimestre'!E12)/2</f>
        <v>6364.833333333333</v>
      </c>
      <c r="F12" s="5">
        <f>(+'I Trimestre'!F12+'II Trimestre'!F12)/2</f>
        <v>143.5</v>
      </c>
      <c r="H12" s="11"/>
    </row>
    <row r="13" spans="1:8">
      <c r="A13" s="6" t="s">
        <v>85</v>
      </c>
      <c r="B13" s="34">
        <f>SUM(C13:F13)</f>
        <v>5771</v>
      </c>
      <c r="C13" s="5">
        <f>+'II Trimestre'!C13</f>
        <v>1849</v>
      </c>
      <c r="D13" s="5">
        <f>+'II Trimestre'!D13</f>
        <v>1274</v>
      </c>
      <c r="E13" s="5">
        <f>+'II Trimestre'!E13</f>
        <v>2398</v>
      </c>
      <c r="F13" s="5">
        <f>+'II Trimestre'!F13</f>
        <v>250</v>
      </c>
      <c r="G13" s="22"/>
    </row>
    <row r="14" spans="1:8">
      <c r="F14" s="7"/>
      <c r="G14" s="37"/>
    </row>
    <row r="15" spans="1:8">
      <c r="A15" s="8" t="s">
        <v>5</v>
      </c>
      <c r="F15" s="7"/>
      <c r="G15" s="20"/>
    </row>
    <row r="16" spans="1:8">
      <c r="A16" s="4" t="s">
        <v>69</v>
      </c>
      <c r="B16" s="27">
        <f>SUM(C16:F16)</f>
        <v>4874422987.3999996</v>
      </c>
      <c r="C16" s="5">
        <f>+'I Trimestre'!C16+'II Trimestre'!C16</f>
        <v>1509472480</v>
      </c>
      <c r="D16" s="5">
        <f>+'I Trimestre'!D16+'II Trimestre'!D16</f>
        <v>374463008</v>
      </c>
      <c r="E16" s="5">
        <f>+'I Trimestre'!E16+'II Trimestre'!E16</f>
        <v>2990487499.4000001</v>
      </c>
      <c r="F16" s="5">
        <f>+'I Trimestre'!F16+'II Trimestre'!F16</f>
        <v>0</v>
      </c>
      <c r="H16" s="11"/>
    </row>
    <row r="17" spans="1:7">
      <c r="A17" s="6" t="s">
        <v>116</v>
      </c>
      <c r="B17" s="27">
        <f>SUM(C17:F17)</f>
        <v>6190736262</v>
      </c>
      <c r="C17" s="5">
        <f>+'I Trimestre'!C17+'II Trimestre'!C17</f>
        <v>1688451330</v>
      </c>
      <c r="D17" s="5">
        <f>+'I Trimestre'!D17+'II Trimestre'!D17</f>
        <v>465351432</v>
      </c>
      <c r="E17" s="5">
        <f>+'I Trimestre'!E17+'II Trimestre'!E17</f>
        <v>3436933500</v>
      </c>
      <c r="F17" s="5">
        <f>+'I Trimestre'!F17+'II Trimestre'!F17</f>
        <v>600000000</v>
      </c>
      <c r="G17" s="19"/>
    </row>
    <row r="18" spans="1:7">
      <c r="A18" s="6" t="s">
        <v>117</v>
      </c>
      <c r="B18" s="26">
        <f>SUM(C18:F18)</f>
        <v>5333329219</v>
      </c>
      <c r="C18" s="5">
        <f>+'I Trimestre'!C18+'II Trimestre'!C18</f>
        <v>1580335002</v>
      </c>
      <c r="D18" s="5">
        <f>+'I Trimestre'!D18+'II Trimestre'!D18</f>
        <v>406780842</v>
      </c>
      <c r="E18" s="5">
        <f>+'I Trimestre'!E18+'II Trimestre'!E18</f>
        <v>3110213375</v>
      </c>
      <c r="F18" s="5">
        <f>+'I Trimestre'!F18+'II Trimestre'!F18</f>
        <v>236000000</v>
      </c>
    </row>
    <row r="19" spans="1:7">
      <c r="A19" s="6" t="s">
        <v>85</v>
      </c>
      <c r="B19" s="3">
        <f>SUM(C19:F19)</f>
        <v>12381472524</v>
      </c>
      <c r="C19" s="5">
        <f>+'II Trimestre'!C19</f>
        <v>3376902660</v>
      </c>
      <c r="D19" s="5">
        <f>+'II Trimestre'!D19</f>
        <v>930702864</v>
      </c>
      <c r="E19" s="5">
        <f>+'II Trimestre'!E19</f>
        <v>6873867000</v>
      </c>
      <c r="F19" s="5">
        <f>+'II Trimestre'!F19</f>
        <v>1200000000</v>
      </c>
    </row>
    <row r="20" spans="1:7">
      <c r="A20" s="6" t="s">
        <v>118</v>
      </c>
      <c r="B20" s="34">
        <f>SUM(C20:F20)</f>
        <v>5333329219</v>
      </c>
      <c r="C20" s="5">
        <f>+C18</f>
        <v>1580335002</v>
      </c>
      <c r="D20" s="5">
        <f t="shared" ref="D20:F20" si="1">+D18</f>
        <v>406780842</v>
      </c>
      <c r="E20" s="5">
        <f t="shared" si="1"/>
        <v>3110213375</v>
      </c>
      <c r="F20" s="5">
        <f t="shared" si="1"/>
        <v>236000000</v>
      </c>
      <c r="G20" s="22"/>
    </row>
    <row r="21" spans="1:7">
      <c r="B21" s="3"/>
      <c r="C21" s="3"/>
      <c r="D21" s="3"/>
      <c r="E21" s="3"/>
      <c r="F21" s="5"/>
      <c r="G21" s="19"/>
    </row>
    <row r="22" spans="1:7">
      <c r="A22" s="10" t="s">
        <v>6</v>
      </c>
      <c r="B22" s="5"/>
      <c r="C22" s="5"/>
      <c r="D22" s="5"/>
      <c r="E22" s="5"/>
      <c r="F22" s="5"/>
    </row>
    <row r="23" spans="1:7">
      <c r="A23" s="4" t="s">
        <v>116</v>
      </c>
      <c r="B23" s="5">
        <f>B17</f>
        <v>6190736262</v>
      </c>
      <c r="C23" s="5"/>
      <c r="D23" s="5"/>
      <c r="E23" s="5"/>
      <c r="F23" s="5"/>
      <c r="G23" s="11"/>
    </row>
    <row r="24" spans="1:7">
      <c r="A24" s="4" t="s">
        <v>117</v>
      </c>
      <c r="B24" s="5">
        <f>'I Trimestre'!B24+'II Trimestre'!B24</f>
        <v>5594593384</v>
      </c>
      <c r="C24" s="46"/>
      <c r="D24" s="46"/>
      <c r="E24" s="5"/>
      <c r="F24" s="5"/>
      <c r="G24" s="11"/>
    </row>
    <row r="25" spans="1:7">
      <c r="A25" s="7"/>
      <c r="B25" s="7"/>
      <c r="C25" s="7"/>
      <c r="D25" s="7"/>
      <c r="E25" s="7"/>
      <c r="F25" s="7"/>
    </row>
    <row r="26" spans="1:7">
      <c r="A26" s="7" t="s">
        <v>7</v>
      </c>
      <c r="B26" s="7"/>
      <c r="C26" s="7"/>
      <c r="D26" s="7"/>
      <c r="E26" s="7"/>
      <c r="F26" s="7"/>
    </row>
    <row r="27" spans="1:7">
      <c r="A27" s="4" t="s">
        <v>70</v>
      </c>
      <c r="B27" s="36">
        <v>1</v>
      </c>
      <c r="C27" s="36">
        <v>1</v>
      </c>
      <c r="D27" s="36">
        <v>1</v>
      </c>
      <c r="E27" s="36">
        <v>1</v>
      </c>
      <c r="F27" s="36">
        <v>1</v>
      </c>
    </row>
    <row r="28" spans="1:7">
      <c r="A28" s="4" t="s">
        <v>119</v>
      </c>
      <c r="B28" s="36">
        <v>0.99</v>
      </c>
      <c r="C28" s="36">
        <v>0.99</v>
      </c>
      <c r="D28" s="36">
        <v>0.99</v>
      </c>
      <c r="E28" s="36">
        <v>0.99</v>
      </c>
      <c r="F28" s="36">
        <v>0.99</v>
      </c>
    </row>
    <row r="29" spans="1:7">
      <c r="A29" s="4" t="s">
        <v>8</v>
      </c>
      <c r="B29" s="5">
        <v>127629</v>
      </c>
      <c r="C29" s="5"/>
      <c r="D29" s="5"/>
      <c r="E29" s="5"/>
      <c r="F29" s="5"/>
    </row>
    <row r="30" spans="1:7">
      <c r="A30" s="7"/>
      <c r="B30" s="7"/>
      <c r="C30" s="7"/>
      <c r="D30" s="7"/>
      <c r="E30" s="7"/>
      <c r="F30" s="7"/>
    </row>
    <row r="31" spans="1:7">
      <c r="A31" s="12" t="s">
        <v>9</v>
      </c>
      <c r="B31" s="7"/>
      <c r="C31" s="7"/>
      <c r="D31" s="7"/>
      <c r="E31" s="7"/>
      <c r="F31" s="7"/>
    </row>
    <row r="32" spans="1:7">
      <c r="A32" s="7" t="s">
        <v>71</v>
      </c>
      <c r="B32" s="5">
        <f>B16/B27</f>
        <v>4874422987.3999996</v>
      </c>
      <c r="C32" s="5">
        <f>C16/C27</f>
        <v>1509472480</v>
      </c>
      <c r="D32" s="5">
        <f>D16/D27</f>
        <v>374463008</v>
      </c>
      <c r="E32" s="5">
        <f>E16/E27</f>
        <v>2990487499.4000001</v>
      </c>
      <c r="F32" s="5">
        <f>F16/F27</f>
        <v>0</v>
      </c>
    </row>
    <row r="33" spans="1:8">
      <c r="A33" s="7" t="s">
        <v>120</v>
      </c>
      <c r="B33" s="5">
        <f>B18/B28</f>
        <v>5387201231.3131313</v>
      </c>
      <c r="C33" s="5">
        <f>C18/C28</f>
        <v>1596297981.8181818</v>
      </c>
      <c r="D33" s="5">
        <f>D18/D28</f>
        <v>410889739.39393938</v>
      </c>
      <c r="E33" s="5">
        <f>E18/E28</f>
        <v>3141629671.7171717</v>
      </c>
      <c r="F33" s="5">
        <f>F18/F28</f>
        <v>238383838.38383839</v>
      </c>
    </row>
    <row r="34" spans="1:8">
      <c r="A34" s="7" t="s">
        <v>72</v>
      </c>
      <c r="B34" s="27">
        <f>$B$32/(B10)</f>
        <v>989831.04627881001</v>
      </c>
      <c r="C34" s="27">
        <f>C32/(C10)</f>
        <v>889232.68335787929</v>
      </c>
      <c r="D34" s="27">
        <f>D32/(D10)</f>
        <v>354269.63859981077</v>
      </c>
      <c r="E34" s="27">
        <f>E32/(E10)</f>
        <v>1378104.8384331798</v>
      </c>
      <c r="F34" s="27" t="e">
        <f>F32/(F10)</f>
        <v>#DIV/0!</v>
      </c>
      <c r="H34" s="11"/>
    </row>
    <row r="35" spans="1:8">
      <c r="A35" s="7" t="s">
        <v>121</v>
      </c>
      <c r="B35" s="27">
        <f>$B$33/(B12)</f>
        <v>577943.20175723778</v>
      </c>
      <c r="C35" s="27">
        <f>C33/(C12)</f>
        <v>933143.79295684816</v>
      </c>
      <c r="D35" s="27">
        <f t="shared" ref="D35:F35" si="2">D33/(D12)</f>
        <v>372745.45454545447</v>
      </c>
      <c r="E35" s="27">
        <f t="shared" si="2"/>
        <v>493591.82042742753</v>
      </c>
      <c r="F35" s="27">
        <f t="shared" si="2"/>
        <v>1661211.4173089783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F37" s="7"/>
    </row>
    <row r="38" spans="1:8">
      <c r="F38" s="7"/>
    </row>
    <row r="39" spans="1:8">
      <c r="A39" t="s">
        <v>11</v>
      </c>
      <c r="F39" s="7"/>
    </row>
    <row r="40" spans="1:8">
      <c r="A40" t="s">
        <v>12</v>
      </c>
      <c r="B40" s="13">
        <f>(B11/(B29))*100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(B12/(B29))*100</f>
        <v>7.3034602898505288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161.52024490267428</v>
      </c>
      <c r="C44" s="13">
        <f>C12/C11*100</f>
        <v>92.518478456823516</v>
      </c>
      <c r="D44" s="13">
        <f>D12/D11*100</f>
        <v>86.525379382522246</v>
      </c>
      <c r="E44" s="13">
        <f>E12/E11*100</f>
        <v>265.42257436752845</v>
      </c>
      <c r="F44" s="13">
        <f>F12/F11*100</f>
        <v>57.4</v>
      </c>
    </row>
    <row r="45" spans="1:8">
      <c r="A45" t="s">
        <v>16</v>
      </c>
      <c r="B45" s="13">
        <f>B18/B17*100</f>
        <v>86.150160389436408</v>
      </c>
      <c r="C45" s="13">
        <f>C18/C17*100</f>
        <v>93.596716347162939</v>
      </c>
      <c r="D45" s="13">
        <f>D18/D17*100</f>
        <v>87.413686523263991</v>
      </c>
      <c r="E45" s="13">
        <f>E18/E17*100</f>
        <v>90.493847931593677</v>
      </c>
      <c r="F45" s="13">
        <f>F18/F17*100</f>
        <v>39.333333333333329</v>
      </c>
    </row>
    <row r="46" spans="1:8">
      <c r="A46" s="7" t="s">
        <v>17</v>
      </c>
      <c r="B46" s="13">
        <f>AVERAGE(B44:B45)</f>
        <v>123.83520264605534</v>
      </c>
      <c r="C46" s="13">
        <f>AVERAGE(C44:C45)</f>
        <v>93.057597401993235</v>
      </c>
      <c r="D46" s="13">
        <f>AVERAGE(D44:D45)</f>
        <v>86.969532952893118</v>
      </c>
      <c r="E46" s="13">
        <f>AVERAGE(E44:E45)</f>
        <v>177.95821114956107</v>
      </c>
      <c r="F46" s="13">
        <f>AVERAGE(F44:F45)</f>
        <v>48.36666666666666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161.52024490267428</v>
      </c>
      <c r="C49" s="28">
        <f t="shared" ref="C49:F49" si="3">(C12/C13)*100</f>
        <v>92.518478456823516</v>
      </c>
      <c r="D49" s="28">
        <f t="shared" si="3"/>
        <v>86.525379382522246</v>
      </c>
      <c r="E49" s="28">
        <f t="shared" si="3"/>
        <v>265.42257436752845</v>
      </c>
      <c r="F49" s="28">
        <f t="shared" si="3"/>
        <v>57.4</v>
      </c>
      <c r="G49" s="11"/>
    </row>
    <row r="50" spans="1:7">
      <c r="A50" s="7" t="s">
        <v>20</v>
      </c>
      <c r="B50" s="13">
        <f>B18/B19*100</f>
        <v>43.075080194718204</v>
      </c>
      <c r="C50" s="13">
        <f>C18/C19*100</f>
        <v>46.79835817358147</v>
      </c>
      <c r="D50" s="13">
        <f>D18/D19*100</f>
        <v>43.706843261631995</v>
      </c>
      <c r="E50" s="13">
        <f>E18/E19*100</f>
        <v>45.246923965796839</v>
      </c>
      <c r="F50" s="13">
        <f>F18/F19*100</f>
        <v>19.666666666666664</v>
      </c>
    </row>
    <row r="51" spans="1:7">
      <c r="A51" s="7" t="s">
        <v>21</v>
      </c>
      <c r="B51" s="13">
        <f>(B49+B50)/2</f>
        <v>102.29766254869624</v>
      </c>
      <c r="C51" s="13">
        <f>(C49+C50)/2</f>
        <v>69.658418315202496</v>
      </c>
      <c r="D51" s="13">
        <f>(D49+D50)/2</f>
        <v>65.116111322077117</v>
      </c>
      <c r="E51" s="13">
        <f>(E49+E50)/2</f>
        <v>155.33474916666265</v>
      </c>
      <c r="F51" s="13">
        <f>(F49+F50)/2</f>
        <v>38.533333333333331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7"/>
      <c r="D53" s="7"/>
      <c r="E53" s="7"/>
      <c r="F53" s="7"/>
    </row>
    <row r="54" spans="1:7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89.284868176126153</v>
      </c>
      <c r="C57" s="13">
        <f>((C12/C10)-1)*100</f>
        <v>0.7756504663721131</v>
      </c>
      <c r="D57" s="13">
        <f>((D12/D10)-1)*100</f>
        <v>4.2888678650268242</v>
      </c>
      <c r="E57" s="13">
        <f>((E12/E10)-1)*100</f>
        <v>193.31029185867897</v>
      </c>
      <c r="F57" s="13" t="e">
        <f>((F12/F10)-1)*100</f>
        <v>#DIV/0!</v>
      </c>
    </row>
    <row r="58" spans="1:7">
      <c r="A58" s="7" t="s">
        <v>26</v>
      </c>
      <c r="B58" s="13">
        <f>((B33/B32)-1)*100</f>
        <v>10.519773217027396</v>
      </c>
      <c r="C58" s="13">
        <f>((C33/C32)-1)*100</f>
        <v>5.7520427148285425</v>
      </c>
      <c r="D58" s="13">
        <f>((D33/D32)-1)*100</f>
        <v>9.7277249329630333</v>
      </c>
      <c r="E58" s="13">
        <f>((E33/E32)-1)*100</f>
        <v>5.054098114354133</v>
      </c>
      <c r="F58" s="13" t="e">
        <f>((F33/F32)-1)*100</f>
        <v>#DIV/0!</v>
      </c>
      <c r="G58" s="13"/>
    </row>
    <row r="59" spans="1:7">
      <c r="A59" s="7" t="s">
        <v>27</v>
      </c>
      <c r="B59" s="13">
        <f>((B35/B34)-1)*100</f>
        <v>-41.611934286162409</v>
      </c>
      <c r="C59" s="13">
        <f>((C35/C34)-1)*100</f>
        <v>4.938089930877676</v>
      </c>
      <c r="D59" s="13">
        <f>((D35/D34)-1)*100</f>
        <v>5.2151846877610319</v>
      </c>
      <c r="E59" s="13">
        <f>((E35/E34)-1)*100</f>
        <v>-64.183289495695334</v>
      </c>
      <c r="F59" s="13" t="e">
        <f>((F35/F34)-1)*100</f>
        <v>#DIV/0!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5">
        <f>B17/(B11*6)</f>
        <v>178788.6634898631</v>
      </c>
      <c r="C62" s="5">
        <f t="shared" ref="C62:F62" si="4">C17/(C11*6)</f>
        <v>152195</v>
      </c>
      <c r="D62" s="5">
        <f t="shared" si="4"/>
        <v>60878</v>
      </c>
      <c r="E62" s="5">
        <f t="shared" si="4"/>
        <v>238875</v>
      </c>
      <c r="F62" s="5">
        <f t="shared" si="4"/>
        <v>400000</v>
      </c>
    </row>
    <row r="63" spans="1:7">
      <c r="A63" s="7" t="s">
        <v>47</v>
      </c>
      <c r="B63" s="5">
        <f>B18/(B12*6)</f>
        <v>95360.62828994423</v>
      </c>
      <c r="C63" s="5">
        <f t="shared" ref="C63:F63" si="5">C18/(C12*6)</f>
        <v>153968.72583787996</v>
      </c>
      <c r="D63" s="5">
        <f t="shared" si="5"/>
        <v>61502.999999999993</v>
      </c>
      <c r="E63" s="5">
        <f t="shared" si="5"/>
        <v>81442.650370525545</v>
      </c>
      <c r="F63" s="5">
        <f t="shared" si="5"/>
        <v>274099.8838559814</v>
      </c>
    </row>
    <row r="64" spans="1:7">
      <c r="A64" s="7" t="s">
        <v>29</v>
      </c>
      <c r="B64" s="13">
        <f>(B63/B62)*B46</f>
        <v>66.050064351031651</v>
      </c>
      <c r="C64" s="13">
        <f t="shared" ref="C64:F64" si="6">(C63/C62)*C46</f>
        <v>94.142118345013344</v>
      </c>
      <c r="D64" s="13">
        <f t="shared" si="6"/>
        <v>87.862399967176742</v>
      </c>
      <c r="E64" s="13">
        <f t="shared" si="6"/>
        <v>60.673525363549402</v>
      </c>
      <c r="F64" s="13">
        <f t="shared" si="6"/>
        <v>33.143244289585745</v>
      </c>
    </row>
    <row r="65" spans="1:7">
      <c r="A65" s="7" t="s">
        <v>48</v>
      </c>
      <c r="B65" s="25">
        <f>B17/B11</f>
        <v>1072731.9809391787</v>
      </c>
      <c r="C65" s="25">
        <f t="shared" ref="C65:F66" si="7">C17/C11</f>
        <v>913170</v>
      </c>
      <c r="D65" s="25">
        <f t="shared" si="7"/>
        <v>365268</v>
      </c>
      <c r="E65" s="25">
        <f t="shared" si="7"/>
        <v>1433250</v>
      </c>
      <c r="F65" s="25">
        <f t="shared" si="7"/>
        <v>2400000</v>
      </c>
    </row>
    <row r="66" spans="1:7">
      <c r="A66" s="7" t="s">
        <v>49</v>
      </c>
      <c r="B66" s="25">
        <f>B18/B12</f>
        <v>572163.76973966532</v>
      </c>
      <c r="C66" s="25">
        <f t="shared" si="7"/>
        <v>923812.35502727982</v>
      </c>
      <c r="D66" s="25">
        <f t="shared" si="7"/>
        <v>369017.99999999994</v>
      </c>
      <c r="E66" s="25">
        <f t="shared" si="7"/>
        <v>488655.90222315327</v>
      </c>
      <c r="F66" s="25">
        <f t="shared" si="7"/>
        <v>1644599.3031358884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90.370404217358654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95.330059808328699</v>
      </c>
      <c r="C70" s="13"/>
      <c r="D70" s="13"/>
      <c r="E70" s="13"/>
      <c r="F70" s="13"/>
      <c r="G70" s="11"/>
    </row>
    <row r="71" spans="1:7" ht="15.75" thickBot="1">
      <c r="A71" s="21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114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s="9" t="s">
        <v>137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3"/>
  <sheetViews>
    <sheetView workbookViewId="0">
      <pane xSplit="1" ySplit="5" topLeftCell="B61" activePane="bottomRight" state="frozen"/>
      <selection activeCell="D40" sqref="D40"/>
      <selection pane="topRight" activeCell="D40" sqref="D40"/>
      <selection pane="bottomLeft" activeCell="D40" sqref="D40"/>
      <selection pane="bottomRight" activeCell="E68" sqref="E68"/>
    </sheetView>
  </sheetViews>
  <sheetFormatPr baseColWidth="10" defaultColWidth="11.42578125" defaultRowHeight="15"/>
  <cols>
    <col min="1" max="1" width="55.140625" customWidth="1"/>
    <col min="2" max="2" width="14.4257812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>
      <c r="A2" s="40" t="s">
        <v>122</v>
      </c>
      <c r="B2" s="40"/>
      <c r="C2" s="40"/>
      <c r="D2" s="40"/>
      <c r="E2" s="40"/>
    </row>
    <row r="4" spans="1:8">
      <c r="A4" s="41" t="s">
        <v>0</v>
      </c>
      <c r="B4" s="18" t="s">
        <v>33</v>
      </c>
      <c r="C4" s="45" t="s">
        <v>2</v>
      </c>
      <c r="D4" s="45"/>
      <c r="E4" s="45"/>
      <c r="F4" s="45"/>
    </row>
    <row r="5" spans="1:8" ht="30.75" thickBot="1">
      <c r="A5" s="42"/>
      <c r="B5" s="1" t="s">
        <v>34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</row>
    <row r="10" spans="1:8">
      <c r="A10" s="4" t="s">
        <v>73</v>
      </c>
      <c r="B10" s="27">
        <f>SUM(C10:F10)</f>
        <v>5016.6666666666661</v>
      </c>
      <c r="C10" s="5">
        <f>(+'I Trimestre'!C10+'II Trimestre'!C10+'III Trimestre'!C10)/3</f>
        <v>1727</v>
      </c>
      <c r="D10" s="5">
        <f>(+'I Trimestre'!D10+'II Trimestre'!D10+'III Trimestre'!D10)/3</f>
        <v>1068</v>
      </c>
      <c r="E10" s="5">
        <f>(+'I Trimestre'!E10+'II Trimestre'!E10+'III Trimestre'!E10)/3</f>
        <v>2221.6666666666665</v>
      </c>
      <c r="F10" s="5">
        <f>+'I Trimestre'!F10+'II Trimestre'!F10+'III Trimestre'!F10/3</f>
        <v>0</v>
      </c>
      <c r="G10" s="3"/>
      <c r="H10" s="11"/>
    </row>
    <row r="11" spans="1:8">
      <c r="A11" s="6" t="s">
        <v>123</v>
      </c>
      <c r="B11" s="27">
        <f t="shared" ref="B11:B13" si="0">SUM(C11:F11)</f>
        <v>5771</v>
      </c>
      <c r="C11" s="5">
        <f>(+'I Trimestre'!C11+'II Trimestre'!C11+'III Trimestre'!C11)/3</f>
        <v>1849</v>
      </c>
      <c r="D11" s="5">
        <f>(+'I Trimestre'!D11+'II Trimestre'!D11+'III Trimestre'!D11)/3</f>
        <v>1274</v>
      </c>
      <c r="E11" s="5">
        <f>(+'I Trimestre'!E11+'II Trimestre'!E11+'III Trimestre'!E11)/3</f>
        <v>2398</v>
      </c>
      <c r="F11" s="5">
        <f>(+'I Trimestre'!F11+'II Trimestre'!F11+'III Trimestre'!F11)/3</f>
        <v>250</v>
      </c>
      <c r="G11" s="19"/>
      <c r="H11" s="11"/>
    </row>
    <row r="12" spans="1:8">
      <c r="A12" s="6" t="s">
        <v>124</v>
      </c>
      <c r="B12" s="27">
        <f t="shared" si="0"/>
        <v>11185.111111111111</v>
      </c>
      <c r="C12" s="5">
        <f>(+'I Trimestre'!C12+'II Trimestre'!C12+'III Trimestre'!C12)/3</f>
        <v>1702.3333333333333</v>
      </c>
      <c r="D12" s="5">
        <f>(+'I Trimestre'!D12+'II Trimestre'!D12+'III Trimestre'!D12)/3</f>
        <v>1139</v>
      </c>
      <c r="E12" s="5">
        <f>(+'I Trimestre'!E12+'II Trimestre'!E12+'III Trimestre'!E12)/3</f>
        <v>7989.4444444444443</v>
      </c>
      <c r="F12" s="5">
        <f>+'I Trimestre'!F12+'II Trimestre'!F12+'III Trimestre'!F12/3</f>
        <v>354.33333333333331</v>
      </c>
      <c r="H12" s="11"/>
    </row>
    <row r="13" spans="1:8">
      <c r="A13" s="6" t="s">
        <v>85</v>
      </c>
      <c r="B13" s="27">
        <f t="shared" si="0"/>
        <v>5771</v>
      </c>
      <c r="C13" s="5">
        <f>+'III Trimestre'!C13</f>
        <v>1849</v>
      </c>
      <c r="D13" s="5">
        <f>+'III Trimestre'!D13</f>
        <v>1274</v>
      </c>
      <c r="E13" s="5">
        <f>+'III Trimestre'!E13</f>
        <v>2398</v>
      </c>
      <c r="F13" s="5">
        <f>+'III Trimestre'!F13</f>
        <v>250</v>
      </c>
      <c r="G13" s="19"/>
      <c r="H13" s="11"/>
    </row>
    <row r="14" spans="1:8">
      <c r="B14" s="29"/>
      <c r="F14" s="7"/>
      <c r="G14" s="19"/>
    </row>
    <row r="15" spans="1:8">
      <c r="A15" s="8" t="s">
        <v>5</v>
      </c>
      <c r="B15" s="29"/>
      <c r="F15" s="7"/>
      <c r="G15" s="20"/>
    </row>
    <row r="16" spans="1:8">
      <c r="A16" s="4" t="s">
        <v>73</v>
      </c>
      <c r="B16" s="27">
        <f>SUM(C16:F16)</f>
        <v>7470162685.6000004</v>
      </c>
      <c r="C16" s="5">
        <f>+'I Trimestre'!C16+'II Trimestre'!C16+'III Trimestre'!C16</f>
        <v>2303635240</v>
      </c>
      <c r="D16" s="5">
        <f>+'I Trimestre'!D16+'II Trimestre'!D16+'III Trimestre'!D16</f>
        <v>567267584</v>
      </c>
      <c r="E16" s="5">
        <f>+'I Trimestre'!E16+'II Trimestre'!E16+'III Trimestre'!E16</f>
        <v>4599259861.6000004</v>
      </c>
      <c r="F16" s="5">
        <f>+'I Trimestre'!F16+'II Trimestre'!F16+'III Trimestre'!F16</f>
        <v>0</v>
      </c>
      <c r="H16" s="11"/>
    </row>
    <row r="17" spans="1:7">
      <c r="A17" s="6" t="s">
        <v>123</v>
      </c>
      <c r="B17" s="27">
        <f>SUM(C17:F17)</f>
        <v>9286104393</v>
      </c>
      <c r="C17" s="5">
        <f>+'I Trimestre'!C17+'II Trimestre'!C17+'III Trimestre'!C17</f>
        <v>2532676995</v>
      </c>
      <c r="D17" s="5">
        <f>+'I Trimestre'!D17+'II Trimestre'!D17+'III Trimestre'!D17</f>
        <v>698027148</v>
      </c>
      <c r="E17" s="5">
        <f>+'I Trimestre'!E17+'II Trimestre'!E17+'III Trimestre'!E17</f>
        <v>5155400250</v>
      </c>
      <c r="F17" s="5">
        <f>+'I Trimestre'!F17+'II Trimestre'!F17+'III Trimestre'!F17</f>
        <v>900000000</v>
      </c>
      <c r="G17" s="19"/>
    </row>
    <row r="18" spans="1:7">
      <c r="A18" s="6" t="s">
        <v>124</v>
      </c>
      <c r="B18" s="26">
        <f>SUM(C18:F18)</f>
        <v>8424660137.5</v>
      </c>
      <c r="C18" s="5">
        <f>+'I Trimestre'!C18+'II Trimestre'!C18+'III Trimestre'!C18</f>
        <v>2357894265</v>
      </c>
      <c r="D18" s="5">
        <f>+'I Trimestre'!D18+'II Trimestre'!D18+'III Trimestre'!D18</f>
        <v>659153937</v>
      </c>
      <c r="E18" s="5">
        <f>+'I Trimestre'!E18+'II Trimestre'!E18+'III Trimestre'!E18</f>
        <v>4855936653.5</v>
      </c>
      <c r="F18" s="5">
        <f>+'I Trimestre'!F18+'II Trimestre'!F18+'III Trimestre'!F18</f>
        <v>551675282</v>
      </c>
    </row>
    <row r="19" spans="1:7">
      <c r="A19" s="6" t="s">
        <v>85</v>
      </c>
      <c r="B19" s="3">
        <f>SUM(C19:F19)</f>
        <v>12381472524</v>
      </c>
      <c r="C19" s="5">
        <f>+'III Trimestre'!C19</f>
        <v>3376902660</v>
      </c>
      <c r="D19" s="5">
        <f>+'III Trimestre'!D19</f>
        <v>930702864</v>
      </c>
      <c r="E19" s="5">
        <f>+'III Trimestre'!E19</f>
        <v>6873867000</v>
      </c>
      <c r="F19" s="5">
        <f>+'III Trimestre'!F19</f>
        <v>1200000000</v>
      </c>
    </row>
    <row r="20" spans="1:7">
      <c r="A20" s="6" t="s">
        <v>125</v>
      </c>
      <c r="B20" s="5">
        <f>SUM(C20:E20)</f>
        <v>7872984855.5</v>
      </c>
      <c r="C20" s="5">
        <f>+C18</f>
        <v>2357894265</v>
      </c>
      <c r="D20" s="5">
        <f t="shared" ref="D20:F20" si="1">+D18</f>
        <v>659153937</v>
      </c>
      <c r="E20" s="5">
        <f t="shared" si="1"/>
        <v>4855936653.5</v>
      </c>
      <c r="F20" s="5">
        <f t="shared" si="1"/>
        <v>551675282</v>
      </c>
    </row>
    <row r="21" spans="1:7">
      <c r="B21" s="3"/>
      <c r="C21" s="3"/>
      <c r="D21" s="3"/>
      <c r="E21" s="3"/>
      <c r="F21" s="5"/>
      <c r="G21" s="19"/>
    </row>
    <row r="22" spans="1:7">
      <c r="A22" s="10" t="s">
        <v>6</v>
      </c>
      <c r="B22" s="5"/>
      <c r="C22" s="5"/>
      <c r="D22" s="5"/>
      <c r="E22" s="5"/>
      <c r="F22" s="5"/>
    </row>
    <row r="23" spans="1:7">
      <c r="A23" s="4" t="s">
        <v>123</v>
      </c>
      <c r="B23" s="5">
        <f>B17</f>
        <v>9286104393</v>
      </c>
      <c r="C23" s="5"/>
      <c r="D23" s="5"/>
      <c r="E23" s="5"/>
      <c r="F23" s="5"/>
      <c r="G23" s="11"/>
    </row>
    <row r="24" spans="1:7">
      <c r="A24" s="4" t="s">
        <v>124</v>
      </c>
      <c r="B24" s="5">
        <f>'I Trimestre'!B24+'II Trimestre'!B24+'III Trimestre'!B24</f>
        <v>8896736435.25</v>
      </c>
      <c r="C24" s="46"/>
      <c r="D24" s="46"/>
      <c r="E24" s="5"/>
      <c r="F24" s="5"/>
      <c r="G24" s="11"/>
    </row>
    <row r="25" spans="1:7">
      <c r="A25" s="7"/>
      <c r="B25" s="7"/>
      <c r="C25" s="7"/>
      <c r="D25" s="7"/>
      <c r="E25" s="7"/>
      <c r="F25" s="7"/>
    </row>
    <row r="26" spans="1:7">
      <c r="A26" s="7" t="s">
        <v>7</v>
      </c>
      <c r="B26" s="7"/>
      <c r="C26" s="7"/>
      <c r="D26" s="7"/>
      <c r="E26" s="7"/>
      <c r="F26" s="7"/>
    </row>
    <row r="27" spans="1:7">
      <c r="A27" s="4" t="s">
        <v>74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7">
      <c r="A28" s="4" t="s">
        <v>126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7">
      <c r="A29" s="4" t="s">
        <v>8</v>
      </c>
      <c r="B29" s="5">
        <v>127629</v>
      </c>
      <c r="C29" s="5"/>
      <c r="D29" s="5"/>
      <c r="E29" s="5"/>
      <c r="F29" s="5"/>
    </row>
    <row r="30" spans="1:7">
      <c r="A30" s="7"/>
      <c r="B30" s="7"/>
      <c r="C30" s="7"/>
      <c r="D30" s="7"/>
      <c r="E30" s="7"/>
      <c r="F30" s="7"/>
    </row>
    <row r="31" spans="1:7">
      <c r="A31" s="12" t="s">
        <v>9</v>
      </c>
      <c r="B31" s="7"/>
      <c r="C31" s="7"/>
      <c r="D31" s="7"/>
      <c r="E31" s="7"/>
      <c r="F31" s="7"/>
    </row>
    <row r="32" spans="1:7">
      <c r="A32" s="7" t="s">
        <v>75</v>
      </c>
      <c r="B32" s="5">
        <f>B16/B27</f>
        <v>7545618874.3434343</v>
      </c>
      <c r="C32" s="5">
        <f>C16/C27</f>
        <v>2326904282.8282828</v>
      </c>
      <c r="D32" s="5">
        <f>D16/D27</f>
        <v>572997559.59595954</v>
      </c>
      <c r="E32" s="5">
        <f>E16/E27</f>
        <v>4645717031.9191923</v>
      </c>
      <c r="F32" s="5">
        <f>F16/F27</f>
        <v>0</v>
      </c>
    </row>
    <row r="33" spans="1:8">
      <c r="A33" s="7" t="s">
        <v>127</v>
      </c>
      <c r="B33" s="5">
        <f>B18/B28</f>
        <v>8509757714.6464643</v>
      </c>
      <c r="C33" s="5">
        <f>C18/C28</f>
        <v>2381711378.787879</v>
      </c>
      <c r="D33" s="5">
        <f>D18/D28</f>
        <v>665812057.57575762</v>
      </c>
      <c r="E33" s="5">
        <f>E18/E28</f>
        <v>4904986518.6868687</v>
      </c>
      <c r="F33" s="5">
        <f>F18/F28</f>
        <v>557247759.59595954</v>
      </c>
    </row>
    <row r="34" spans="1:8">
      <c r="A34" s="7" t="s">
        <v>76</v>
      </c>
      <c r="B34" s="27">
        <f>$B$32/(B10)</f>
        <v>1504110.0746199538</v>
      </c>
      <c r="C34" s="27">
        <f>C32/(C10)</f>
        <v>1347367.8534037538</v>
      </c>
      <c r="D34" s="27">
        <f>D32/(D10)</f>
        <v>536514.56891007454</v>
      </c>
      <c r="E34" s="27">
        <f>E32/(E10)</f>
        <v>2091095.4382231925</v>
      </c>
      <c r="F34" s="27" t="e">
        <f>F32/(F10)</f>
        <v>#DIV/0!</v>
      </c>
      <c r="H34" s="11"/>
    </row>
    <row r="35" spans="1:8">
      <c r="A35" s="7" t="s">
        <v>128</v>
      </c>
      <c r="B35" s="27">
        <f>$B$33/(B12)</f>
        <v>760811.19178092084</v>
      </c>
      <c r="C35" s="27">
        <f>C33/(C12)</f>
        <v>1399086.3787671113</v>
      </c>
      <c r="D35" s="27">
        <f>D33/(D12)</f>
        <v>584558.43509724108</v>
      </c>
      <c r="E35" s="27">
        <f>E33/(E12)</f>
        <v>613933.36580462859</v>
      </c>
      <c r="F35" s="27">
        <f>F33/(F12)</f>
        <v>1572665.361042219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F37" s="7"/>
    </row>
    <row r="38" spans="1:8">
      <c r="F38" s="7"/>
    </row>
    <row r="39" spans="1:8">
      <c r="A39" t="s">
        <v>11</v>
      </c>
      <c r="F39" s="7"/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8.7637692931160718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193.81582240705444</v>
      </c>
      <c r="C44" s="13">
        <f>C12/C11*100</f>
        <v>92.067784387957445</v>
      </c>
      <c r="D44" s="13">
        <f>D12/D11*100</f>
        <v>89.403453689167975</v>
      </c>
      <c r="E44" s="13">
        <f>E12/E11*100</f>
        <v>333.17116115281254</v>
      </c>
      <c r="F44" s="13">
        <f>F12/F11*100</f>
        <v>141.73333333333332</v>
      </c>
    </row>
    <row r="45" spans="1:8">
      <c r="A45" t="s">
        <v>16</v>
      </c>
      <c r="B45" s="13">
        <f>B18/B17*100</f>
        <v>90.723297746368544</v>
      </c>
      <c r="C45" s="13">
        <f>C18/C17*100</f>
        <v>93.098893765566814</v>
      </c>
      <c r="D45" s="13">
        <f>D18/D17*100</f>
        <v>94.430988664068408</v>
      </c>
      <c r="E45" s="13">
        <f>E18/E17*100</f>
        <v>94.191263879075152</v>
      </c>
      <c r="F45" s="13">
        <f>F18/F17*100</f>
        <v>61.297253555555557</v>
      </c>
    </row>
    <row r="46" spans="1:8">
      <c r="A46" s="7" t="s">
        <v>17</v>
      </c>
      <c r="B46" s="13">
        <f>AVERAGE(B44:B45)</f>
        <v>142.26956007671149</v>
      </c>
      <c r="C46" s="13">
        <f>AVERAGE(C44:C45)</f>
        <v>92.58333907676213</v>
      </c>
      <c r="D46" s="13">
        <f>AVERAGE(D44:D45)</f>
        <v>91.917221176618199</v>
      </c>
      <c r="E46" s="13">
        <f>AVERAGE(E44:E45)</f>
        <v>213.68121251594386</v>
      </c>
      <c r="F46" s="13">
        <f>AVERAGE(F44:F45)</f>
        <v>101.51529344444444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193.81582240705444</v>
      </c>
      <c r="C49" s="28">
        <f t="shared" ref="C49:F49" si="2">(C12/C13)*100</f>
        <v>92.067784387957445</v>
      </c>
      <c r="D49" s="28">
        <f t="shared" si="2"/>
        <v>89.403453689167975</v>
      </c>
      <c r="E49" s="28">
        <f t="shared" si="2"/>
        <v>333.17116115281254</v>
      </c>
      <c r="F49" s="28">
        <f t="shared" si="2"/>
        <v>141.73333333333332</v>
      </c>
      <c r="G49" s="11"/>
    </row>
    <row r="50" spans="1:7">
      <c r="A50" s="7" t="s">
        <v>20</v>
      </c>
      <c r="B50" s="13">
        <f>B18/B19*100</f>
        <v>68.042473309776412</v>
      </c>
      <c r="C50" s="13">
        <f>C18/C19*100</f>
        <v>69.824170324175114</v>
      </c>
      <c r="D50" s="13">
        <f>D18/D19*100</f>
        <v>70.823241498051303</v>
      </c>
      <c r="E50" s="13">
        <f>E18/E19*100</f>
        <v>70.64344790930636</v>
      </c>
      <c r="F50" s="13">
        <f>F18/F19*100</f>
        <v>45.972940166666667</v>
      </c>
    </row>
    <row r="51" spans="1:7">
      <c r="A51" s="7" t="s">
        <v>21</v>
      </c>
      <c r="B51" s="13">
        <f>(B49+B50)/2</f>
        <v>130.92914785841543</v>
      </c>
      <c r="C51" s="13">
        <f>(C49+C50)/2</f>
        <v>80.94597735606628</v>
      </c>
      <c r="D51" s="13">
        <f>(D49+D50)/2</f>
        <v>80.113347593609632</v>
      </c>
      <c r="E51" s="13">
        <f>(E49+E50)/2</f>
        <v>201.90730453105945</v>
      </c>
      <c r="F51" s="13">
        <f>(F49+F50)/2</f>
        <v>93.85313674999999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7"/>
      <c r="D53" s="7"/>
      <c r="E53" s="7"/>
      <c r="F53" s="7"/>
    </row>
    <row r="54" spans="1:7">
      <c r="A54" s="7" t="s">
        <v>23</v>
      </c>
      <c r="B54" s="13">
        <f>B20/B18*100</f>
        <v>93.451661277772217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122.9590254706534</v>
      </c>
      <c r="C57" s="13">
        <f>((C12/C10)-1)*100</f>
        <v>-1.4282956958116211</v>
      </c>
      <c r="D57" s="13">
        <f>((D12/D10)-1)*100</f>
        <v>6.6479400749063666</v>
      </c>
      <c r="E57" s="13">
        <f>((E12/E10)-1)*100</f>
        <v>259.61490372593153</v>
      </c>
      <c r="F57" s="13" t="e">
        <f>((F12/F10)-1)*100</f>
        <v>#DIV/0!</v>
      </c>
    </row>
    <row r="58" spans="1:7">
      <c r="A58" s="7" t="s">
        <v>26</v>
      </c>
      <c r="B58" s="13">
        <f>((B33/B32)-1)*100</f>
        <v>12.777465392285968</v>
      </c>
      <c r="C58" s="13">
        <f>((C33/C32)-1)*100</f>
        <v>2.355365296460743</v>
      </c>
      <c r="D58" s="13">
        <f>((D33/D32)-1)*100</f>
        <v>16.198061654092342</v>
      </c>
      <c r="E58" s="13">
        <f>((E33/E32)-1)*100</f>
        <v>5.5808282120137997</v>
      </c>
      <c r="F58" s="13" t="e">
        <f>((F33/F32)-1)*100</f>
        <v>#DIV/0!</v>
      </c>
      <c r="G58" s="13"/>
    </row>
    <row r="59" spans="1:7">
      <c r="A59" s="7" t="s">
        <v>27</v>
      </c>
      <c r="B59" s="13">
        <f>((B35/B34)-1)*100</f>
        <v>-49.417851484496147</v>
      </c>
      <c r="C59" s="13">
        <f>((C35/C34)-1)*100</f>
        <v>3.8384859214731115</v>
      </c>
      <c r="D59" s="13">
        <f>((D35/D34)-1)*100</f>
        <v>8.9548111032226494</v>
      </c>
      <c r="E59" s="13">
        <f>((E35/E34)-1)*100</f>
        <v>-70.640586049659746</v>
      </c>
      <c r="F59" s="13" t="e">
        <f>((F35/F34)-1)*100</f>
        <v>#DIV/0!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5">
        <f>B17/(B11*9)</f>
        <v>178788.6634898631</v>
      </c>
      <c r="C62" s="5">
        <f t="shared" ref="C62:F62" si="3">C17/(C11*9)</f>
        <v>152195</v>
      </c>
      <c r="D62" s="5">
        <f t="shared" si="3"/>
        <v>60878</v>
      </c>
      <c r="E62" s="5">
        <f t="shared" si="3"/>
        <v>238875</v>
      </c>
      <c r="F62" s="5">
        <f t="shared" si="3"/>
        <v>400000</v>
      </c>
    </row>
    <row r="63" spans="1:7">
      <c r="A63" s="7" t="s">
        <v>47</v>
      </c>
      <c r="B63" s="5">
        <f>B18/(B12*9)</f>
        <v>83689.231095901298</v>
      </c>
      <c r="C63" s="5">
        <f t="shared" ref="C63:F63" si="4">C18/(C12*9)</f>
        <v>153899.50166438223</v>
      </c>
      <c r="D63" s="5">
        <f t="shared" si="4"/>
        <v>64301.427860696516</v>
      </c>
      <c r="E63" s="5">
        <f t="shared" si="4"/>
        <v>67532.670238509148</v>
      </c>
      <c r="F63" s="5">
        <f t="shared" si="4"/>
        <v>172993.18971464408</v>
      </c>
    </row>
    <row r="64" spans="1:7">
      <c r="A64" s="7" t="s">
        <v>29</v>
      </c>
      <c r="B64" s="13">
        <f>(B63/B62)*B46</f>
        <v>66.594994664453026</v>
      </c>
      <c r="C64" s="13">
        <f t="shared" ref="C64:F64" si="5">(C63/C62)*C46</f>
        <v>93.620222387977378</v>
      </c>
      <c r="D64" s="13">
        <f t="shared" si="5"/>
        <v>97.08611594737016</v>
      </c>
      <c r="E64" s="13">
        <f t="shared" si="5"/>
        <v>60.410100935652657</v>
      </c>
      <c r="F64" s="13">
        <f t="shared" si="5"/>
        <v>43.903636044431352</v>
      </c>
    </row>
    <row r="65" spans="1:7">
      <c r="A65" s="7" t="s">
        <v>48</v>
      </c>
      <c r="B65" s="25">
        <f>B17/B11</f>
        <v>1609097.9714087681</v>
      </c>
      <c r="C65" s="25">
        <f t="shared" ref="C65:F66" si="6">C17/C11</f>
        <v>1369755</v>
      </c>
      <c r="D65" s="25">
        <f t="shared" si="6"/>
        <v>547902</v>
      </c>
      <c r="E65" s="25">
        <f t="shared" si="6"/>
        <v>2149875</v>
      </c>
      <c r="F65" s="25">
        <f t="shared" si="6"/>
        <v>3600000</v>
      </c>
    </row>
    <row r="66" spans="1:7">
      <c r="A66" s="7" t="s">
        <v>49</v>
      </c>
      <c r="B66" s="25">
        <f>B18/B12</f>
        <v>753203.0798631116</v>
      </c>
      <c r="C66" s="25">
        <f t="shared" si="6"/>
        <v>1385095.51497944</v>
      </c>
      <c r="D66" s="25">
        <f t="shared" si="6"/>
        <v>578712.85074626864</v>
      </c>
      <c r="E66" s="25">
        <f t="shared" si="6"/>
        <v>607794.03214658226</v>
      </c>
      <c r="F66" s="25">
        <f t="shared" si="6"/>
        <v>1556938.7074317969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95.80698276401553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94.693826200362935</v>
      </c>
      <c r="C70" s="13"/>
      <c r="D70" s="13"/>
      <c r="E70" s="13"/>
      <c r="F70" s="13"/>
      <c r="G70" s="11"/>
    </row>
    <row r="71" spans="1:7" ht="15.75" thickBot="1">
      <c r="A71" s="21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68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t="s">
        <v>138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83"/>
  <sheetViews>
    <sheetView tabSelected="1" topLeftCell="A60" zoomScale="90" zoomScaleNormal="90" workbookViewId="0">
      <selection activeCell="F72" sqref="F72"/>
    </sheetView>
  </sheetViews>
  <sheetFormatPr baseColWidth="10" defaultColWidth="11.42578125" defaultRowHeight="15"/>
  <cols>
    <col min="1" max="1" width="55.140625" customWidth="1"/>
    <col min="2" max="2" width="14.7109375" bestFit="1" customWidth="1"/>
    <col min="3" max="3" width="18.7109375" customWidth="1"/>
    <col min="4" max="4" width="16.28515625" customWidth="1"/>
    <col min="5" max="5" width="15.5703125" customWidth="1"/>
    <col min="6" max="6" width="14.5703125" customWidth="1"/>
    <col min="7" max="7" width="18.7109375" customWidth="1"/>
  </cols>
  <sheetData>
    <row r="2" spans="1:8" ht="15.75">
      <c r="A2" s="40" t="s">
        <v>129</v>
      </c>
      <c r="B2" s="40"/>
      <c r="C2" s="40"/>
      <c r="D2" s="40"/>
      <c r="E2" s="40"/>
    </row>
    <row r="4" spans="1:8" ht="15" customHeight="1">
      <c r="A4" s="41" t="s">
        <v>0</v>
      </c>
      <c r="B4" s="18"/>
      <c r="C4" s="45" t="s">
        <v>2</v>
      </c>
      <c r="D4" s="45"/>
      <c r="E4" s="45"/>
      <c r="F4" s="45"/>
    </row>
    <row r="5" spans="1:8" ht="30.75" thickBot="1">
      <c r="A5" s="42"/>
      <c r="B5" s="1" t="s">
        <v>39</v>
      </c>
      <c r="C5" s="1" t="s">
        <v>40</v>
      </c>
      <c r="D5" s="1" t="s">
        <v>41</v>
      </c>
      <c r="E5" s="1" t="s">
        <v>3</v>
      </c>
      <c r="F5" s="38" t="s">
        <v>81</v>
      </c>
    </row>
    <row r="6" spans="1:8" ht="15.75" thickTop="1"/>
    <row r="7" spans="1:8">
      <c r="A7" s="2" t="s">
        <v>4</v>
      </c>
    </row>
    <row r="9" spans="1:8">
      <c r="A9" t="s">
        <v>38</v>
      </c>
    </row>
    <row r="10" spans="1:8">
      <c r="A10" s="4" t="s">
        <v>77</v>
      </c>
      <c r="B10" s="27">
        <f>SUM(C10:F10)</f>
        <v>5349.0833333333339</v>
      </c>
      <c r="C10" s="5">
        <f>(+'I Trimestre'!C10+'II Trimestre'!C10+'III Trimestre'!C10+'IV Trimestre'!C10)/4</f>
        <v>1738</v>
      </c>
      <c r="D10" s="5">
        <f>(+'I Trimestre'!D10+'II Trimestre'!D10+'III Trimestre'!D10+'IV Trimestre'!D10)/4</f>
        <v>1097.6666666666667</v>
      </c>
      <c r="E10" s="5">
        <f>(+'I Trimestre'!E10+'II Trimestre'!E10+'III Trimestre'!E10+'IV Trimestre'!E10)/4</f>
        <v>2448.4166666666665</v>
      </c>
      <c r="F10" s="5">
        <v>65</v>
      </c>
      <c r="G10" s="3"/>
      <c r="H10" s="11"/>
    </row>
    <row r="11" spans="1:8">
      <c r="A11" s="6" t="s">
        <v>130</v>
      </c>
      <c r="B11" s="27">
        <f t="shared" ref="B11:B13" si="0">SUM(C11:F11)</f>
        <v>5771</v>
      </c>
      <c r="C11" s="5">
        <f>(+'I Trimestre'!C11+'II Trimestre'!C11+'III Trimestre'!C11+'IV Trimestre'!C11)/4</f>
        <v>1849</v>
      </c>
      <c r="D11" s="5">
        <f>(+'I Trimestre'!D11+'II Trimestre'!D11+'III Trimestre'!D11+'IV Trimestre'!D11)/4</f>
        <v>1274</v>
      </c>
      <c r="E11" s="5">
        <f>'IV Trimestre'!E13</f>
        <v>2398</v>
      </c>
      <c r="F11" s="5">
        <f>'IV Trimestre'!F11</f>
        <v>250</v>
      </c>
      <c r="G11" s="19"/>
      <c r="H11" s="11"/>
    </row>
    <row r="12" spans="1:8">
      <c r="A12" s="6" t="s">
        <v>131</v>
      </c>
      <c r="B12" s="27">
        <f t="shared" si="0"/>
        <v>12441.666666666664</v>
      </c>
      <c r="C12" s="5">
        <f>(+'I Trimestre'!C12+'II Trimestre'!C12+'III Trimestre'!C12+'IV Trimestre'!C12)/4</f>
        <v>1709.75</v>
      </c>
      <c r="D12" s="5">
        <f>(+'I Trimestre'!D12+'II Trimestre'!D12+'III Trimestre'!D12+'IV Trimestre'!D12)/4</f>
        <v>1143.8333333333333</v>
      </c>
      <c r="E12" s="5">
        <f>(+'I Trimestre'!E12+'II Trimestre'!E12+'III Trimestre'!E12+'IV Trimestre'!E12)/4</f>
        <v>9320.0833333333321</v>
      </c>
      <c r="F12" s="5">
        <f>(+'I Trimestre'!F12+'II Trimestre'!F12+'III Trimestre'!F12+'IV Trimestre'!F12)/4</f>
        <v>268</v>
      </c>
      <c r="H12" s="11"/>
    </row>
    <row r="13" spans="1:8">
      <c r="A13" s="6" t="s">
        <v>85</v>
      </c>
      <c r="B13" s="27">
        <f t="shared" si="0"/>
        <v>5771</v>
      </c>
      <c r="C13" s="5">
        <f>+'IV Trimestre'!C13</f>
        <v>1849</v>
      </c>
      <c r="D13" s="5">
        <f>+'IV Trimestre'!D13</f>
        <v>1274</v>
      </c>
      <c r="E13" s="5">
        <f>+'IV Trimestre'!E13</f>
        <v>2398</v>
      </c>
      <c r="F13" s="5">
        <f>+'IV Trimestre'!F13</f>
        <v>250</v>
      </c>
      <c r="G13" s="19"/>
      <c r="H13" s="11"/>
    </row>
    <row r="14" spans="1:8">
      <c r="B14" s="29"/>
      <c r="F14" s="7"/>
      <c r="G14" s="19"/>
    </row>
    <row r="15" spans="1:8">
      <c r="A15" s="8" t="s">
        <v>5</v>
      </c>
      <c r="B15" s="29"/>
      <c r="F15" s="7"/>
      <c r="G15" s="20"/>
    </row>
    <row r="16" spans="1:8">
      <c r="A16" s="4" t="s">
        <v>77</v>
      </c>
      <c r="B16" s="27">
        <f>SUM(C16:F16)</f>
        <v>11788254435.77</v>
      </c>
      <c r="C16" s="5">
        <f>+'I Trimestre'!C16+'II Trimestre'!C16+'III Trimestre'!C16+'IV Trimestre'!C16</f>
        <v>3261861858.52</v>
      </c>
      <c r="D16" s="5">
        <f>+'I Trimestre'!D16+'II Trimestre'!D16+'III Trimestre'!D16+'IV Trimestre'!D16</f>
        <v>804235774.75</v>
      </c>
      <c r="E16" s="5">
        <f>+'I Trimestre'!E16+'II Trimestre'!E16+'III Trimestre'!E16+'IV Trimestre'!E16</f>
        <v>6974122084.5</v>
      </c>
      <c r="F16" s="5">
        <f>+'I Trimestre'!F16+'II Trimestre'!F16+'III Trimestre'!F16+'IV Trimestre'!F16</f>
        <v>748034718</v>
      </c>
      <c r="H16" s="11"/>
    </row>
    <row r="17" spans="1:8">
      <c r="A17" s="6" t="s">
        <v>130</v>
      </c>
      <c r="B17" s="27">
        <f>SUM(C17:F17)</f>
        <v>12381472524</v>
      </c>
      <c r="C17" s="5">
        <f>+'I Trimestre'!C17+'II Trimestre'!C17+'III Trimestre'!C17+'IV Trimestre'!C17</f>
        <v>3376902660</v>
      </c>
      <c r="D17" s="5">
        <f>+'I Trimestre'!D17+'II Trimestre'!D17+'III Trimestre'!D17+'IV Trimestre'!D17</f>
        <v>930702864</v>
      </c>
      <c r="E17" s="5">
        <f>'IV Trimestre'!E19</f>
        <v>6873867000</v>
      </c>
      <c r="F17" s="5">
        <f>+'I Trimestre'!F17+'II Trimestre'!F17+'III Trimestre'!F17+'IV Trimestre'!F17</f>
        <v>1200000000</v>
      </c>
      <c r="G17" s="19"/>
    </row>
    <row r="18" spans="1:8">
      <c r="A18" s="6" t="s">
        <v>131</v>
      </c>
      <c r="B18" s="26">
        <f>SUM(C18:F18)</f>
        <v>13068730275.51</v>
      </c>
      <c r="C18" s="5">
        <f>+'I Trimestre'!C18+'II Trimestre'!C18+'III Trimestre'!C18+'IV Trimestre'!C18</f>
        <v>3155749716</v>
      </c>
      <c r="D18" s="5">
        <f>+'I Trimestre'!D18+'II Trimestre'!D18+'III Trimestre'!D18+'IV Trimestre'!D18</f>
        <v>893442891</v>
      </c>
      <c r="E18" s="5">
        <f>+'I Trimestre'!E18+'II Trimestre'!E18+'III Trimestre'!E18+'IV Trimestre'!E18</f>
        <v>7819537668.5100002</v>
      </c>
      <c r="F18" s="5">
        <f>+'I Trimestre'!F18+'II Trimestre'!F18+'III Trimestre'!F18+'IV Trimestre'!F18</f>
        <v>1200000000</v>
      </c>
    </row>
    <row r="19" spans="1:8">
      <c r="A19" s="6" t="s">
        <v>85</v>
      </c>
      <c r="B19" s="26">
        <f>SUM(C19:F19)</f>
        <v>12381472524</v>
      </c>
      <c r="C19" s="27">
        <f>+'IV Trimestre'!C19</f>
        <v>3376902660</v>
      </c>
      <c r="D19" s="3">
        <f>+'IV Trimestre'!D19</f>
        <v>930702864</v>
      </c>
      <c r="E19" s="3">
        <f>+'IV Trimestre'!E19</f>
        <v>6873867000</v>
      </c>
      <c r="F19" s="3">
        <f>+'IV Trimestre'!F19</f>
        <v>1200000000</v>
      </c>
      <c r="H19" s="11"/>
    </row>
    <row r="20" spans="1:8">
      <c r="A20" s="6" t="s">
        <v>132</v>
      </c>
      <c r="B20" s="5">
        <f>SUM(C20:F20)</f>
        <v>13068730275.51</v>
      </c>
      <c r="C20" s="5">
        <f>+C18</f>
        <v>3155749716</v>
      </c>
      <c r="D20" s="5">
        <f t="shared" ref="D20:F20" si="1">+D18</f>
        <v>893442891</v>
      </c>
      <c r="E20" s="5">
        <f t="shared" si="1"/>
        <v>7819537668.5100002</v>
      </c>
      <c r="F20" s="5">
        <f t="shared" si="1"/>
        <v>1200000000</v>
      </c>
    </row>
    <row r="21" spans="1:8">
      <c r="B21" s="3"/>
      <c r="C21" s="3"/>
      <c r="D21" s="3"/>
      <c r="E21" s="3"/>
      <c r="F21" s="5"/>
      <c r="G21" s="19"/>
    </row>
    <row r="22" spans="1:8">
      <c r="A22" s="10" t="s">
        <v>6</v>
      </c>
      <c r="B22" s="5"/>
      <c r="C22" s="5"/>
      <c r="D22" s="5"/>
      <c r="E22" s="5"/>
      <c r="F22" s="5"/>
    </row>
    <row r="23" spans="1:8">
      <c r="A23" s="4" t="s">
        <v>130</v>
      </c>
      <c r="B23" s="5">
        <f>B17</f>
        <v>12381472524</v>
      </c>
      <c r="C23" s="5"/>
      <c r="D23" s="5"/>
      <c r="E23" s="5"/>
      <c r="F23" s="5"/>
      <c r="G23" s="11"/>
    </row>
    <row r="24" spans="1:8">
      <c r="A24" s="4" t="s">
        <v>131</v>
      </c>
      <c r="B24" s="5">
        <f>'I Trimestre'!B24+'II Trimestre'!B24+'III Trimestre'!B24+'IV Trimestre'!B24</f>
        <v>13037305540</v>
      </c>
      <c r="C24" s="46"/>
      <c r="D24" s="46"/>
      <c r="E24" s="5"/>
      <c r="F24" s="5"/>
      <c r="G24" s="11"/>
    </row>
    <row r="25" spans="1:8">
      <c r="A25" s="7"/>
      <c r="B25" s="7"/>
      <c r="C25" s="7"/>
      <c r="D25" s="7"/>
      <c r="E25" s="7"/>
      <c r="F25" s="7"/>
    </row>
    <row r="26" spans="1:8">
      <c r="A26" s="7" t="s">
        <v>7</v>
      </c>
      <c r="B26" s="7"/>
      <c r="C26" s="7"/>
      <c r="D26" s="7"/>
      <c r="E26" s="7"/>
      <c r="F26" s="7"/>
    </row>
    <row r="27" spans="1:8">
      <c r="A27" s="4" t="s">
        <v>78</v>
      </c>
      <c r="B27" s="17">
        <v>0.99</v>
      </c>
      <c r="C27" s="17">
        <v>0.99</v>
      </c>
      <c r="D27" s="17">
        <v>0.99</v>
      </c>
      <c r="E27" s="17">
        <v>0.99</v>
      </c>
      <c r="F27" s="17">
        <v>0.99</v>
      </c>
    </row>
    <row r="28" spans="1:8">
      <c r="A28" s="4" t="s">
        <v>133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</row>
    <row r="29" spans="1:8">
      <c r="A29" s="4" t="s">
        <v>8</v>
      </c>
      <c r="B29" s="5">
        <v>127629</v>
      </c>
      <c r="C29" s="5"/>
      <c r="D29" s="5"/>
      <c r="E29" s="5"/>
      <c r="F29" s="5"/>
    </row>
    <row r="30" spans="1:8">
      <c r="A30" s="7"/>
      <c r="B30" s="7"/>
      <c r="C30" s="7"/>
      <c r="D30" s="7"/>
      <c r="E30" s="7"/>
      <c r="F30" s="7"/>
    </row>
    <row r="31" spans="1:8">
      <c r="A31" s="12" t="s">
        <v>9</v>
      </c>
      <c r="B31" s="7"/>
      <c r="C31" s="7"/>
      <c r="D31" s="7"/>
      <c r="E31" s="7"/>
      <c r="F31" s="7"/>
    </row>
    <row r="32" spans="1:8">
      <c r="A32" s="7" t="s">
        <v>79</v>
      </c>
      <c r="B32" s="5">
        <f>B16/B27</f>
        <v>11907327712.898991</v>
      </c>
      <c r="C32" s="5">
        <f>C16/C27</f>
        <v>3294809958.1010103</v>
      </c>
      <c r="D32" s="5">
        <f>D16/D27</f>
        <v>812359368.43434346</v>
      </c>
      <c r="E32" s="5">
        <f>E16/E27</f>
        <v>7044567762.121212</v>
      </c>
      <c r="F32" s="5">
        <f>F16/F27</f>
        <v>755590624.24242425</v>
      </c>
    </row>
    <row r="33" spans="1:8">
      <c r="A33" s="7" t="s">
        <v>134</v>
      </c>
      <c r="B33" s="5">
        <f>B18/B28</f>
        <v>13200737652.030304</v>
      </c>
      <c r="C33" s="5">
        <f>C18/C28</f>
        <v>3187625975.757576</v>
      </c>
      <c r="D33" s="5">
        <f>D18/D28</f>
        <v>902467566.66666663</v>
      </c>
      <c r="E33" s="5">
        <f>E18/E28</f>
        <v>7898522897.484849</v>
      </c>
      <c r="F33" s="5">
        <f>F18/F28</f>
        <v>1212121212.1212122</v>
      </c>
      <c r="G33" s="5"/>
    </row>
    <row r="34" spans="1:8">
      <c r="A34" s="7" t="s">
        <v>80</v>
      </c>
      <c r="B34" s="27">
        <f>$B$32/(B10)</f>
        <v>2226050.1418434293</v>
      </c>
      <c r="C34" s="27">
        <f>C32/(C10)</f>
        <v>1895747.9620834352</v>
      </c>
      <c r="D34" s="27">
        <f>D32/(D10)</f>
        <v>740078.37998877326</v>
      </c>
      <c r="E34" s="27">
        <f>E32/(E10)</f>
        <v>2877193.191023265</v>
      </c>
      <c r="F34" s="27">
        <f>F32/(F10)</f>
        <v>11624471.142191142</v>
      </c>
      <c r="H34" s="11"/>
    </row>
    <row r="35" spans="1:8">
      <c r="A35" s="7" t="s">
        <v>135</v>
      </c>
      <c r="B35" s="27">
        <f>$B$33/(B12)</f>
        <v>1061010.3940010963</v>
      </c>
      <c r="C35" s="27">
        <f>C33/(C12)</f>
        <v>1864381.3281225769</v>
      </c>
      <c r="D35" s="27">
        <f>D33/(D12)</f>
        <v>788985.19597843511</v>
      </c>
      <c r="E35" s="27">
        <f>E33/(E12)</f>
        <v>847473.42003217246</v>
      </c>
      <c r="F35" s="27">
        <f>F33/(F12)</f>
        <v>4522840.3437358662</v>
      </c>
      <c r="H35" s="11"/>
    </row>
    <row r="36" spans="1:8">
      <c r="A36" s="7"/>
      <c r="B36" s="7"/>
      <c r="C36" s="7"/>
      <c r="D36" s="7"/>
      <c r="E36" s="7"/>
      <c r="F36" s="7"/>
    </row>
    <row r="37" spans="1:8">
      <c r="A37" s="2" t="s">
        <v>10</v>
      </c>
      <c r="F37" s="7"/>
    </row>
    <row r="38" spans="1:8">
      <c r="F38" s="7"/>
    </row>
    <row r="39" spans="1:8">
      <c r="A39" t="s">
        <v>11</v>
      </c>
      <c r="F39" s="7"/>
    </row>
    <row r="40" spans="1:8">
      <c r="A40" t="s">
        <v>12</v>
      </c>
      <c r="B40" s="13">
        <f>B11/B29*100</f>
        <v>4.5216996137241532</v>
      </c>
      <c r="C40" s="13"/>
      <c r="D40" s="13"/>
      <c r="E40" s="13"/>
      <c r="F40" s="13"/>
    </row>
    <row r="41" spans="1:8">
      <c r="A41" t="s">
        <v>13</v>
      </c>
      <c r="B41" s="13">
        <f>B12/B29*100</f>
        <v>9.7483069417347661</v>
      </c>
      <c r="C41" s="13"/>
      <c r="D41" s="13"/>
      <c r="E41" s="13"/>
      <c r="F41" s="13"/>
    </row>
    <row r="42" spans="1:8">
      <c r="B42" s="7"/>
      <c r="C42" s="7"/>
      <c r="D42" s="7"/>
      <c r="E42" s="7"/>
      <c r="F42" s="7"/>
    </row>
    <row r="43" spans="1:8">
      <c r="A43" t="s">
        <v>14</v>
      </c>
      <c r="B43" s="7"/>
      <c r="C43" s="7"/>
      <c r="D43" s="7"/>
      <c r="E43" s="7"/>
      <c r="F43" s="7"/>
    </row>
    <row r="44" spans="1:8">
      <c r="A44" t="s">
        <v>15</v>
      </c>
      <c r="B44" s="13">
        <f>B12/B11*100</f>
        <v>215.58944146017441</v>
      </c>
      <c r="C44" s="13">
        <f>C12/C11*100</f>
        <v>92.468902109248248</v>
      </c>
      <c r="D44" s="13">
        <f>D12/D11*100</f>
        <v>89.782836211407641</v>
      </c>
      <c r="E44" s="13">
        <f>E12/E11*100</f>
        <v>388.66068946344171</v>
      </c>
      <c r="F44" s="13">
        <f>F12/F11*100</f>
        <v>107.2</v>
      </c>
    </row>
    <row r="45" spans="1:8">
      <c r="A45" t="s">
        <v>16</v>
      </c>
      <c r="B45" s="13">
        <f>B18/B17*100</f>
        <v>105.55069479965194</v>
      </c>
      <c r="C45" s="13">
        <f>C18/C17*100</f>
        <v>93.451012176939685</v>
      </c>
      <c r="D45" s="13">
        <f>D18/D17*100</f>
        <v>95.996576948322357</v>
      </c>
      <c r="E45" s="13">
        <f>E18/E17*100</f>
        <v>113.75747695598417</v>
      </c>
      <c r="F45" s="13">
        <f>F18/F17*100</f>
        <v>100</v>
      </c>
    </row>
    <row r="46" spans="1:8">
      <c r="A46" s="7" t="s">
        <v>17</v>
      </c>
      <c r="B46" s="13">
        <f>AVERAGE(B44:B45)</f>
        <v>160.57006812991318</v>
      </c>
      <c r="C46" s="13">
        <f>AVERAGE(C44:C45)</f>
        <v>92.959957143093959</v>
      </c>
      <c r="D46" s="13">
        <f>AVERAGE(D44:D45)</f>
        <v>92.889706579864992</v>
      </c>
      <c r="E46" s="13">
        <f>AVERAGE(E44:E45)</f>
        <v>251.20908320971296</v>
      </c>
      <c r="F46" s="13">
        <f>AVERAGE(F44:F45)</f>
        <v>103.6</v>
      </c>
    </row>
    <row r="47" spans="1:8">
      <c r="A47" s="7"/>
      <c r="B47" s="13"/>
      <c r="C47" s="13"/>
      <c r="D47" s="13"/>
      <c r="E47" s="13"/>
      <c r="F47" s="13"/>
    </row>
    <row r="48" spans="1:8">
      <c r="A48" s="7" t="s">
        <v>18</v>
      </c>
      <c r="B48" s="7"/>
      <c r="C48" s="7"/>
      <c r="D48" s="7"/>
      <c r="E48" s="7"/>
      <c r="F48" s="7"/>
    </row>
    <row r="49" spans="1:7">
      <c r="A49" s="7" t="s">
        <v>19</v>
      </c>
      <c r="B49" s="28">
        <f>(B12/B13)*100</f>
        <v>215.58944146017441</v>
      </c>
      <c r="C49" s="28">
        <f t="shared" ref="C49:F49" si="2">(C12/C13)*100</f>
        <v>92.468902109248248</v>
      </c>
      <c r="D49" s="28">
        <f t="shared" si="2"/>
        <v>89.782836211407641</v>
      </c>
      <c r="E49" s="28">
        <f t="shared" si="2"/>
        <v>388.66068946344171</v>
      </c>
      <c r="F49" s="28">
        <f t="shared" si="2"/>
        <v>107.2</v>
      </c>
      <c r="G49" s="11"/>
    </row>
    <row r="50" spans="1:7">
      <c r="A50" s="7" t="s">
        <v>20</v>
      </c>
      <c r="B50" s="13">
        <f>B18/B19*100</f>
        <v>105.55069479965194</v>
      </c>
      <c r="C50" s="13">
        <f>C18/C19*100</f>
        <v>93.451012176939685</v>
      </c>
      <c r="D50" s="13">
        <f>D18/D19*100</f>
        <v>95.996576948322357</v>
      </c>
      <c r="E50" s="13">
        <f>E18/E19*100</f>
        <v>113.75747695598417</v>
      </c>
      <c r="F50" s="13">
        <f>F18/F19*100</f>
        <v>100</v>
      </c>
    </row>
    <row r="51" spans="1:7">
      <c r="A51" s="7" t="s">
        <v>21</v>
      </c>
      <c r="B51" s="13">
        <f>(B49+B50)/2</f>
        <v>160.57006812991318</v>
      </c>
      <c r="C51" s="13">
        <f>(C49+C50)/2</f>
        <v>92.959957143093959</v>
      </c>
      <c r="D51" s="13">
        <f>(D49+D50)/2</f>
        <v>92.889706579864992</v>
      </c>
      <c r="E51" s="13">
        <f>(E49+E50)/2</f>
        <v>251.20908320971296</v>
      </c>
      <c r="F51" s="13">
        <f>(F49+F50)/2</f>
        <v>103.6</v>
      </c>
    </row>
    <row r="52" spans="1:7">
      <c r="A52" s="7"/>
      <c r="B52" s="7"/>
      <c r="C52" s="7"/>
      <c r="D52" s="7"/>
      <c r="E52" s="7"/>
      <c r="F52" s="7"/>
    </row>
    <row r="53" spans="1:7">
      <c r="A53" s="7" t="s">
        <v>22</v>
      </c>
      <c r="B53" s="7"/>
      <c r="C53" s="13"/>
      <c r="D53" s="7"/>
      <c r="E53" s="7"/>
      <c r="F53" s="7"/>
    </row>
    <row r="54" spans="1:7">
      <c r="A54" s="7" t="s">
        <v>23</v>
      </c>
      <c r="B54" s="13">
        <f>B20/B18*100</f>
        <v>100</v>
      </c>
      <c r="C54" s="13"/>
      <c r="D54" s="13"/>
      <c r="E54" s="13"/>
      <c r="F54" s="13"/>
    </row>
    <row r="55" spans="1:7">
      <c r="A55" s="7"/>
      <c r="B55" s="7"/>
      <c r="C55" s="7"/>
      <c r="D55" s="7"/>
      <c r="E55" s="7"/>
      <c r="F55" s="7"/>
    </row>
    <row r="56" spans="1:7">
      <c r="A56" s="7" t="s">
        <v>24</v>
      </c>
      <c r="B56" s="7"/>
      <c r="C56" s="7"/>
      <c r="D56" s="7"/>
      <c r="E56" s="7"/>
      <c r="F56" s="7"/>
    </row>
    <row r="57" spans="1:7">
      <c r="A57" s="7" t="s">
        <v>25</v>
      </c>
      <c r="B57" s="13">
        <f>((B12/B10)-1)*100</f>
        <v>132.59436975182655</v>
      </c>
      <c r="C57" s="13">
        <f>((C12/C10)-1)*100</f>
        <v>-1.6254315304948252</v>
      </c>
      <c r="D57" s="13">
        <f>((D12/D10)-1)*100</f>
        <v>4.2058912845429619</v>
      </c>
      <c r="E57" s="13">
        <f>((E12/E10)-1)*100</f>
        <v>280.65756781593547</v>
      </c>
      <c r="F57" s="13">
        <f>((F12/F10)-1)*100</f>
        <v>312.30769230769226</v>
      </c>
    </row>
    <row r="58" spans="1:7">
      <c r="A58" s="7" t="s">
        <v>26</v>
      </c>
      <c r="B58" s="13">
        <f>((B33/B32)-1)*100</f>
        <v>10.862302359665343</v>
      </c>
      <c r="C58" s="13">
        <f>((C33/C32)-1)*100</f>
        <v>-3.2531157701493285</v>
      </c>
      <c r="D58" s="13">
        <f>((D33/D32)-1)*100</f>
        <v>11.092159668939171</v>
      </c>
      <c r="E58" s="13">
        <f>((E33/E32)-1)*100</f>
        <v>12.122179304674606</v>
      </c>
      <c r="F58" s="13">
        <f>((F33/F32)-1)*100</f>
        <v>60.420361665619929</v>
      </c>
      <c r="G58" s="13"/>
    </row>
    <row r="59" spans="1:7">
      <c r="A59" s="7" t="s">
        <v>27</v>
      </c>
      <c r="B59" s="13">
        <f>((B35/B34)-1)*100</f>
        <v>-52.336635457705547</v>
      </c>
      <c r="C59" s="13">
        <f>((C35/C34)-1)*100</f>
        <v>-1.654578276660057</v>
      </c>
      <c r="D59" s="13">
        <f>((D35/D34)-1)*100</f>
        <v>6.6083292408033456</v>
      </c>
      <c r="E59" s="13">
        <f>((E35/E34)-1)*100</f>
        <v>-70.545133268205348</v>
      </c>
      <c r="F59" s="13">
        <f>((F35/F34)-1)*100</f>
        <v>-61.092076461696657</v>
      </c>
    </row>
    <row r="60" spans="1:7">
      <c r="A60" s="7"/>
      <c r="B60" s="13"/>
      <c r="C60" s="13"/>
      <c r="D60" s="13"/>
      <c r="E60" s="13"/>
      <c r="F60" s="13"/>
    </row>
    <row r="61" spans="1:7">
      <c r="A61" s="7" t="s">
        <v>28</v>
      </c>
      <c r="B61" s="7"/>
      <c r="C61" s="7"/>
      <c r="D61" s="7"/>
      <c r="E61" s="7"/>
      <c r="F61" s="7"/>
    </row>
    <row r="62" spans="1:7">
      <c r="A62" s="7" t="s">
        <v>46</v>
      </c>
      <c r="B62" s="16">
        <f>B17/(B11*12)</f>
        <v>178788.6634898631</v>
      </c>
      <c r="C62" s="16">
        <f t="shared" ref="C62:F62" si="3">C17/(C11*12)</f>
        <v>152195</v>
      </c>
      <c r="D62" s="16">
        <f t="shared" si="3"/>
        <v>60878</v>
      </c>
      <c r="E62" s="16">
        <f t="shared" si="3"/>
        <v>238875</v>
      </c>
      <c r="F62" s="16">
        <f t="shared" si="3"/>
        <v>400000</v>
      </c>
    </row>
    <row r="63" spans="1:7">
      <c r="A63" s="7" t="s">
        <v>47</v>
      </c>
      <c r="B63" s="5">
        <f>B18/(B12*12)</f>
        <v>87533.357505090447</v>
      </c>
      <c r="C63" s="5">
        <f t="shared" ref="C63:F63" si="4">C18/(C12*12)</f>
        <v>153811.45957011258</v>
      </c>
      <c r="D63" s="5">
        <f t="shared" si="4"/>
        <v>65091.278668220897</v>
      </c>
      <c r="E63" s="5">
        <f t="shared" si="4"/>
        <v>69916.557152654219</v>
      </c>
      <c r="F63" s="5">
        <f t="shared" si="4"/>
        <v>373134.32835820894</v>
      </c>
    </row>
    <row r="64" spans="1:7">
      <c r="A64" s="7" t="s">
        <v>29</v>
      </c>
      <c r="B64" s="13">
        <f>(B63/B62)*B46</f>
        <v>78.613693418147392</v>
      </c>
      <c r="C64" s="13">
        <f t="shared" ref="C64:F64" si="5">(C63/C62)*C46</f>
        <v>93.947282694926869</v>
      </c>
      <c r="D64" s="13">
        <f t="shared" si="5"/>
        <v>99.318469338665281</v>
      </c>
      <c r="E64" s="13">
        <f t="shared" si="5"/>
        <v>73.526632018828948</v>
      </c>
      <c r="F64" s="13">
        <f t="shared" si="5"/>
        <v>96.641791044776099</v>
      </c>
    </row>
    <row r="65" spans="1:7">
      <c r="A65" s="7" t="s">
        <v>50</v>
      </c>
      <c r="B65" s="25">
        <f>B17/B11</f>
        <v>2145463.9618783575</v>
      </c>
      <c r="C65" s="25">
        <f t="shared" ref="C65:F66" si="6">C17/C11</f>
        <v>1826340</v>
      </c>
      <c r="D65" s="25">
        <f t="shared" si="6"/>
        <v>730536</v>
      </c>
      <c r="E65" s="25">
        <f t="shared" si="6"/>
        <v>2866500</v>
      </c>
      <c r="F65" s="25">
        <f t="shared" si="6"/>
        <v>4800000</v>
      </c>
    </row>
    <row r="66" spans="1:7">
      <c r="A66" s="7" t="s">
        <v>51</v>
      </c>
      <c r="B66" s="25">
        <f>B18/B12</f>
        <v>1050400.2900610853</v>
      </c>
      <c r="C66" s="25">
        <f t="shared" si="6"/>
        <v>1845737.514841351</v>
      </c>
      <c r="D66" s="25">
        <f t="shared" si="6"/>
        <v>781095.34401865082</v>
      </c>
      <c r="E66" s="25">
        <f t="shared" si="6"/>
        <v>838998.68583185074</v>
      </c>
      <c r="F66" s="25">
        <f t="shared" si="6"/>
        <v>4477611.9402985079</v>
      </c>
    </row>
    <row r="67" spans="1:7">
      <c r="A67" s="7"/>
      <c r="B67" s="13"/>
      <c r="C67" s="13"/>
      <c r="D67" s="13"/>
      <c r="E67" s="13"/>
      <c r="F67" s="13"/>
    </row>
    <row r="68" spans="1:7">
      <c r="A68" s="7" t="s">
        <v>30</v>
      </c>
      <c r="B68" s="13"/>
      <c r="C68" s="13"/>
      <c r="D68" s="13"/>
      <c r="E68" s="13"/>
      <c r="F68" s="13"/>
    </row>
    <row r="69" spans="1:7">
      <c r="A69" s="7" t="s">
        <v>31</v>
      </c>
      <c r="B69" s="13">
        <f>(B24/B23)*100</f>
        <v>105.29689029094678</v>
      </c>
      <c r="C69" s="13"/>
      <c r="D69" s="13"/>
      <c r="E69" s="13"/>
      <c r="F69" s="13"/>
      <c r="G69" s="11"/>
    </row>
    <row r="70" spans="1:7">
      <c r="A70" s="7" t="s">
        <v>32</v>
      </c>
      <c r="B70" s="13">
        <f>(B18/B24)*100</f>
        <v>100.24103704107866</v>
      </c>
      <c r="C70" s="13"/>
      <c r="D70" s="13"/>
      <c r="E70" s="13"/>
      <c r="F70" s="13"/>
      <c r="G70" s="11"/>
    </row>
    <row r="71" spans="1:7" ht="15.75" thickBot="1">
      <c r="A71" s="21"/>
      <c r="B71" s="14"/>
      <c r="C71" s="14"/>
      <c r="D71" s="14"/>
      <c r="E71" s="14"/>
      <c r="F71" s="14"/>
    </row>
    <row r="72" spans="1:7" ht="15.75" thickTop="1"/>
    <row r="73" spans="1:7">
      <c r="A73" t="s">
        <v>35</v>
      </c>
    </row>
    <row r="74" spans="1:7">
      <c r="A74" t="s">
        <v>90</v>
      </c>
    </row>
    <row r="75" spans="1:7">
      <c r="A75" t="s">
        <v>91</v>
      </c>
      <c r="B75" s="15"/>
      <c r="C75" s="15"/>
      <c r="D75" s="15"/>
    </row>
    <row r="76" spans="1:7">
      <c r="A76" t="s">
        <v>68</v>
      </c>
    </row>
    <row r="79" spans="1:7">
      <c r="A79" t="s">
        <v>36</v>
      </c>
    </row>
    <row r="80" spans="1:7">
      <c r="A80" t="s">
        <v>37</v>
      </c>
    </row>
    <row r="81" spans="1:1">
      <c r="A81" s="39"/>
    </row>
    <row r="83" spans="1:1">
      <c r="A83" s="9" t="s">
        <v>139</v>
      </c>
    </row>
  </sheetData>
  <mergeCells count="4">
    <mergeCell ref="A2:E2"/>
    <mergeCell ref="A4:A5"/>
    <mergeCell ref="C4:F4"/>
    <mergeCell ref="C24:D2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2012-05-29T14:39:16Z</dcterms:created>
  <dcterms:modified xsi:type="dcterms:W3CDTF">2017-03-03T18:49:16Z</dcterms:modified>
</cp:coreProperties>
</file>