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6\Indicadores 2016\CCSS-RNC\Indicadores\"/>
    </mc:Choice>
  </mc:AlternateContent>
  <bookViews>
    <workbookView xWindow="0" yWindow="0" windowWidth="15600" windowHeight="9240" firstSheet="1" activeTab="6"/>
  </bookViews>
  <sheets>
    <sheet name="I Trimestre" sheetId="4" r:id="rId1"/>
    <sheet name="II Trimestre" sheetId="5" r:id="rId2"/>
    <sheet name="III Trimestre" sheetId="6" r:id="rId3"/>
    <sheet name="IV Trimestre" sheetId="1" r:id="rId4"/>
    <sheet name="I Semestre" sheetId="2" r:id="rId5"/>
    <sheet name="III T Acumulado" sheetId="3" r:id="rId6"/>
    <sheet name="Anual" sheetId="7" r:id="rId7"/>
    <sheet name="Observaciones" sheetId="8" r:id="rId8"/>
  </sheets>
  <calcPr calcId="152511"/>
</workbook>
</file>

<file path=xl/calcChain.xml><?xml version="1.0" encoding="utf-8"?>
<calcChain xmlns="http://schemas.openxmlformats.org/spreadsheetml/2006/main">
  <c r="F11" i="7" l="1"/>
  <c r="C11" i="7"/>
  <c r="C18" i="1"/>
  <c r="F41" i="1" l="1"/>
  <c r="D41" i="1"/>
  <c r="C19" i="7" l="1"/>
  <c r="C17" i="7" s="1"/>
  <c r="C13" i="7"/>
  <c r="D66" i="1"/>
  <c r="E66" i="1"/>
  <c r="F66" i="1"/>
  <c r="F65" i="1"/>
  <c r="D63" i="1"/>
  <c r="D64" i="1" s="1"/>
  <c r="E63" i="1"/>
  <c r="E64" i="1" s="1"/>
  <c r="F63" i="1"/>
  <c r="D57" i="1"/>
  <c r="E57" i="1"/>
  <c r="F57" i="1"/>
  <c r="F50" i="1"/>
  <c r="G50" i="1"/>
  <c r="G51" i="1" s="1"/>
  <c r="H50" i="1"/>
  <c r="H51" i="1" s="1"/>
  <c r="F49" i="1"/>
  <c r="F51" i="1" l="1"/>
  <c r="D33" i="6"/>
  <c r="D35" i="6" s="1"/>
  <c r="E33" i="6"/>
  <c r="E35" i="6" s="1"/>
  <c r="F33" i="6"/>
  <c r="F35" i="6" s="1"/>
  <c r="G33" i="6"/>
  <c r="H33" i="6"/>
  <c r="D32" i="6"/>
  <c r="D34" i="6" s="1"/>
  <c r="E32" i="6"/>
  <c r="E34" i="6" s="1"/>
  <c r="F32" i="6"/>
  <c r="F34" i="6" s="1"/>
  <c r="G32" i="6"/>
  <c r="H32" i="6"/>
  <c r="D40" i="1"/>
  <c r="B11" i="1" l="1"/>
  <c r="D66" i="6" l="1"/>
  <c r="F49" i="6"/>
  <c r="E66" i="5"/>
  <c r="D66" i="5"/>
  <c r="F49" i="5"/>
  <c r="D66" i="4"/>
  <c r="F49" i="4"/>
  <c r="D41" i="5"/>
  <c r="F40" i="5"/>
  <c r="C18" i="6" l="1"/>
  <c r="C33" i="6" s="1"/>
  <c r="C18" i="5" l="1"/>
  <c r="C19" i="3" l="1"/>
  <c r="C17" i="3"/>
  <c r="C13" i="3"/>
  <c r="C11" i="3"/>
  <c r="C19" i="2"/>
  <c r="C17" i="2"/>
  <c r="C13" i="2"/>
  <c r="C11" i="2"/>
  <c r="H50" i="4" l="1"/>
  <c r="H51" i="4" s="1"/>
  <c r="B19" i="4" l="1"/>
  <c r="C12" i="1" l="1"/>
  <c r="C12" i="6"/>
  <c r="C12" i="5"/>
  <c r="C49" i="5" s="1"/>
  <c r="C18" i="4"/>
  <c r="C12" i="4"/>
  <c r="C49" i="4" s="1"/>
  <c r="C49" i="6" l="1"/>
  <c r="C35" i="6"/>
  <c r="C49" i="1"/>
  <c r="C44" i="1"/>
  <c r="C66" i="1"/>
  <c r="C50" i="1"/>
  <c r="C63" i="1"/>
  <c r="C65" i="1"/>
  <c r="C62" i="1"/>
  <c r="B29" i="3"/>
  <c r="B29" i="2"/>
  <c r="B29" i="1"/>
  <c r="B29" i="6"/>
  <c r="B29" i="5"/>
  <c r="B29" i="4"/>
  <c r="D41" i="6"/>
  <c r="D40" i="6"/>
  <c r="D40" i="5"/>
  <c r="D41" i="4"/>
  <c r="D40" i="4"/>
  <c r="B29" i="7"/>
  <c r="B40" i="1" l="1"/>
  <c r="C51" i="1"/>
  <c r="B19" i="1"/>
  <c r="G20" i="1" l="1"/>
  <c r="G20" i="6"/>
  <c r="G20" i="5"/>
  <c r="G20" i="4"/>
  <c r="F40" i="1" l="1"/>
  <c r="F41" i="6"/>
  <c r="F40" i="6"/>
  <c r="F41" i="5"/>
  <c r="D40" i="7"/>
  <c r="D40" i="2" l="1"/>
  <c r="C62" i="7"/>
  <c r="C62" i="2" l="1"/>
  <c r="F62" i="1"/>
  <c r="H45" i="1"/>
  <c r="H46" i="1" s="1"/>
  <c r="G45" i="1"/>
  <c r="G46" i="1" s="1"/>
  <c r="F45" i="1"/>
  <c r="F44" i="1"/>
  <c r="F66" i="6"/>
  <c r="E66" i="6"/>
  <c r="F65" i="6"/>
  <c r="F63" i="6"/>
  <c r="E63" i="6"/>
  <c r="E64" i="6" s="1"/>
  <c r="D63" i="6"/>
  <c r="D64" i="6" s="1"/>
  <c r="F62" i="6"/>
  <c r="F57" i="6"/>
  <c r="E57" i="6"/>
  <c r="D57" i="6"/>
  <c r="H50" i="6"/>
  <c r="H51" i="6" s="1"/>
  <c r="G50" i="6"/>
  <c r="G51" i="6" s="1"/>
  <c r="F50" i="6"/>
  <c r="H45" i="6"/>
  <c r="H46" i="6" s="1"/>
  <c r="G45" i="6"/>
  <c r="G46" i="6" s="1"/>
  <c r="F45" i="6"/>
  <c r="F44" i="6"/>
  <c r="F46" i="6" s="1"/>
  <c r="F66" i="5"/>
  <c r="F65" i="5"/>
  <c r="F63" i="5"/>
  <c r="E63" i="5"/>
  <c r="E64" i="5" s="1"/>
  <c r="D63" i="5"/>
  <c r="D64" i="5" s="1"/>
  <c r="F62" i="5"/>
  <c r="F57" i="5"/>
  <c r="E57" i="5"/>
  <c r="D57" i="5"/>
  <c r="H50" i="5"/>
  <c r="H51" i="5" s="1"/>
  <c r="G50" i="5"/>
  <c r="G51" i="5" s="1"/>
  <c r="F50" i="5"/>
  <c r="F51" i="5" s="1"/>
  <c r="H45" i="5"/>
  <c r="H46" i="5" s="1"/>
  <c r="G45" i="5"/>
  <c r="G46" i="5" s="1"/>
  <c r="F45" i="5"/>
  <c r="F44" i="5"/>
  <c r="B17" i="1"/>
  <c r="B13" i="1"/>
  <c r="B19" i="6"/>
  <c r="B13" i="6"/>
  <c r="B11" i="6"/>
  <c r="B40" i="6" s="1"/>
  <c r="B13" i="5"/>
  <c r="B11" i="5"/>
  <c r="B40" i="5" s="1"/>
  <c r="B17" i="4"/>
  <c r="B11" i="4"/>
  <c r="B40" i="4" s="1"/>
  <c r="B13" i="4"/>
  <c r="C62" i="4"/>
  <c r="C65" i="4"/>
  <c r="F64" i="6" l="1"/>
  <c r="F46" i="5"/>
  <c r="F64" i="5" s="1"/>
  <c r="B62" i="4"/>
  <c r="B62" i="1"/>
  <c r="B65" i="4"/>
  <c r="F46" i="1"/>
  <c r="F64" i="1" s="1"/>
  <c r="B65" i="1"/>
  <c r="F51" i="6"/>
  <c r="C10" i="1" l="1"/>
  <c r="C16" i="6"/>
  <c r="C32" i="6" s="1"/>
  <c r="C10" i="6"/>
  <c r="B10" i="6" s="1"/>
  <c r="C33" i="5"/>
  <c r="C16" i="5"/>
  <c r="B16" i="5" s="1"/>
  <c r="C10" i="5"/>
  <c r="B10" i="5" s="1"/>
  <c r="C16" i="4"/>
  <c r="B16" i="4" s="1"/>
  <c r="C45" i="4"/>
  <c r="C10" i="4"/>
  <c r="B10" i="4" s="1"/>
  <c r="D57" i="4"/>
  <c r="E57" i="4"/>
  <c r="F57" i="4"/>
  <c r="C34" i="6" l="1"/>
  <c r="B10" i="1"/>
  <c r="C57" i="1"/>
  <c r="C33" i="1"/>
  <c r="C33" i="4"/>
  <c r="C35" i="4" s="1"/>
  <c r="C32" i="4"/>
  <c r="C34" i="4" s="1"/>
  <c r="C44" i="4"/>
  <c r="C46" i="4" s="1"/>
  <c r="C32" i="5"/>
  <c r="C34" i="5" s="1"/>
  <c r="B12" i="4"/>
  <c r="B41" i="4" s="1"/>
  <c r="C57" i="4"/>
  <c r="C35" i="5"/>
  <c r="C32" i="1"/>
  <c r="C34" i="1" s="1"/>
  <c r="B16" i="1"/>
  <c r="C44" i="5"/>
  <c r="C57" i="5"/>
  <c r="B12" i="5"/>
  <c r="C66" i="4"/>
  <c r="C63" i="4"/>
  <c r="B18" i="4"/>
  <c r="C50" i="4"/>
  <c r="B18" i="5"/>
  <c r="C66" i="5"/>
  <c r="C63" i="5"/>
  <c r="B16" i="6"/>
  <c r="B18" i="1"/>
  <c r="B70" i="1" s="1"/>
  <c r="C45" i="1"/>
  <c r="C46" i="1" s="1"/>
  <c r="C64" i="1" s="1"/>
  <c r="B12" i="1"/>
  <c r="C50" i="6"/>
  <c r="B18" i="6"/>
  <c r="B12" i="6"/>
  <c r="C66" i="6"/>
  <c r="C63" i="6"/>
  <c r="C57" i="6"/>
  <c r="C44" i="6"/>
  <c r="B17" i="5"/>
  <c r="C62" i="5"/>
  <c r="C65" i="5"/>
  <c r="C45" i="5"/>
  <c r="C50" i="5"/>
  <c r="C51" i="5" s="1"/>
  <c r="B19" i="5"/>
  <c r="C62" i="6"/>
  <c r="C65" i="6"/>
  <c r="B17" i="6"/>
  <c r="C45" i="6"/>
  <c r="C64" i="4" l="1"/>
  <c r="B49" i="1"/>
  <c r="B41" i="1"/>
  <c r="B49" i="6"/>
  <c r="B41" i="6"/>
  <c r="B49" i="5"/>
  <c r="B41" i="5"/>
  <c r="B49" i="4"/>
  <c r="B57" i="4"/>
  <c r="C35" i="1"/>
  <c r="C59" i="1" s="1"/>
  <c r="C58" i="1"/>
  <c r="C51" i="4"/>
  <c r="B66" i="4"/>
  <c r="C46" i="5"/>
  <c r="C64" i="5" s="1"/>
  <c r="C58" i="6"/>
  <c r="B50" i="5"/>
  <c r="C59" i="4"/>
  <c r="C58" i="4"/>
  <c r="C58" i="5"/>
  <c r="C59" i="5"/>
  <c r="B66" i="5"/>
  <c r="B63" i="5"/>
  <c r="B70" i="5"/>
  <c r="C59" i="6"/>
  <c r="B44" i="5"/>
  <c r="B57" i="5"/>
  <c r="B63" i="4"/>
  <c r="C46" i="6"/>
  <c r="C64" i="6" s="1"/>
  <c r="B45" i="1"/>
  <c r="B50" i="1"/>
  <c r="B66" i="1"/>
  <c r="B63" i="1"/>
  <c r="B57" i="1"/>
  <c r="B44" i="1"/>
  <c r="B70" i="6"/>
  <c r="B50" i="6"/>
  <c r="C51" i="6"/>
  <c r="B63" i="6"/>
  <c r="B64" i="6" s="1"/>
  <c r="B66" i="6"/>
  <c r="B57" i="6"/>
  <c r="B44" i="6"/>
  <c r="B45" i="5"/>
  <c r="B62" i="5"/>
  <c r="B65" i="5"/>
  <c r="B45" i="6"/>
  <c r="B46" i="6" s="1"/>
  <c r="B65" i="6"/>
  <c r="B62" i="6"/>
  <c r="E20" i="4"/>
  <c r="F20" i="4"/>
  <c r="D20" i="4"/>
  <c r="B51" i="1" l="1"/>
  <c r="B51" i="5"/>
  <c r="B46" i="5"/>
  <c r="B64" i="5" s="1"/>
  <c r="B46" i="1"/>
  <c r="B64" i="1" s="1"/>
  <c r="C20" i="4"/>
  <c r="B20" i="4" s="1"/>
  <c r="B51" i="6"/>
  <c r="D63" i="4" l="1"/>
  <c r="D64" i="4" s="1"/>
  <c r="E63" i="4"/>
  <c r="E64" i="4" s="1"/>
  <c r="F63" i="4"/>
  <c r="F13" i="7"/>
  <c r="B13" i="7" s="1"/>
  <c r="F12" i="7"/>
  <c r="F10" i="7"/>
  <c r="E12" i="7"/>
  <c r="E10" i="7"/>
  <c r="D12" i="7"/>
  <c r="D10" i="7"/>
  <c r="F12" i="3"/>
  <c r="F11" i="3"/>
  <c r="F10" i="3"/>
  <c r="E12" i="3"/>
  <c r="E11" i="3"/>
  <c r="E10" i="3"/>
  <c r="D12" i="3"/>
  <c r="D10" i="3"/>
  <c r="E13" i="3"/>
  <c r="F13" i="3"/>
  <c r="F13" i="2"/>
  <c r="B13" i="2" s="1"/>
  <c r="G13" i="2"/>
  <c r="H13" i="2"/>
  <c r="D57" i="7" l="1"/>
  <c r="F57" i="7"/>
  <c r="E57" i="7"/>
  <c r="C10" i="7"/>
  <c r="B10" i="7" s="1"/>
  <c r="C12" i="3"/>
  <c r="D40" i="3"/>
  <c r="C62" i="3"/>
  <c r="C12" i="7"/>
  <c r="C10" i="3"/>
  <c r="B10" i="3" s="1"/>
  <c r="D41" i="7"/>
  <c r="F41" i="3"/>
  <c r="F41" i="7"/>
  <c r="F40" i="7"/>
  <c r="B11" i="7"/>
  <c r="B40" i="7" s="1"/>
  <c r="F40" i="3"/>
  <c r="D41" i="3"/>
  <c r="D57" i="3"/>
  <c r="F57" i="3"/>
  <c r="E57" i="3"/>
  <c r="F49" i="7"/>
  <c r="B13" i="3"/>
  <c r="F49" i="3"/>
  <c r="F44" i="3"/>
  <c r="B11" i="3"/>
  <c r="B40" i="3" s="1"/>
  <c r="F44" i="7"/>
  <c r="C57" i="7" l="1"/>
  <c r="B12" i="7"/>
  <c r="B41" i="7" s="1"/>
  <c r="C49" i="7"/>
  <c r="C44" i="7"/>
  <c r="C49" i="3"/>
  <c r="B12" i="3"/>
  <c r="C57" i="3"/>
  <c r="C44" i="3"/>
  <c r="F11" i="2"/>
  <c r="F12" i="2"/>
  <c r="D12" i="2"/>
  <c r="E12" i="2"/>
  <c r="E10" i="2"/>
  <c r="D10" i="2"/>
  <c r="F10" i="2"/>
  <c r="B44" i="3" l="1"/>
  <c r="B41" i="3"/>
  <c r="C12" i="2"/>
  <c r="C10" i="2"/>
  <c r="B10" i="2" s="1"/>
  <c r="E57" i="2"/>
  <c r="B44" i="7"/>
  <c r="D41" i="2"/>
  <c r="F40" i="2"/>
  <c r="B11" i="2"/>
  <c r="F41" i="2"/>
  <c r="F49" i="2"/>
  <c r="F44" i="2"/>
  <c r="F57" i="2"/>
  <c r="D57" i="2"/>
  <c r="B57" i="3"/>
  <c r="B49" i="7"/>
  <c r="B57" i="7"/>
  <c r="B49" i="3"/>
  <c r="D32" i="1"/>
  <c r="D34" i="1" s="1"/>
  <c r="D33" i="1"/>
  <c r="D33" i="5"/>
  <c r="D32" i="5"/>
  <c r="D34" i="5" s="1"/>
  <c r="D33" i="4"/>
  <c r="D35" i="4" s="1"/>
  <c r="D32" i="4"/>
  <c r="D34" i="4" s="1"/>
  <c r="B70" i="4"/>
  <c r="D58" i="1" l="1"/>
  <c r="D59" i="4"/>
  <c r="D35" i="5"/>
  <c r="D59" i="5" s="1"/>
  <c r="D58" i="5"/>
  <c r="D58" i="6"/>
  <c r="B12" i="2"/>
  <c r="C49" i="2"/>
  <c r="C57" i="2"/>
  <c r="C44" i="2"/>
  <c r="D35" i="1"/>
  <c r="D59" i="1" s="1"/>
  <c r="D59" i="6"/>
  <c r="D58" i="4"/>
  <c r="B50" i="4"/>
  <c r="B45" i="4"/>
  <c r="B44" i="4"/>
  <c r="B23" i="4"/>
  <c r="B69" i="4" s="1"/>
  <c r="E20" i="5"/>
  <c r="F20" i="5"/>
  <c r="D20" i="5"/>
  <c r="E20" i="6"/>
  <c r="F20" i="6"/>
  <c r="D20" i="6"/>
  <c r="E20" i="1"/>
  <c r="F20" i="1"/>
  <c r="D20" i="1"/>
  <c r="D18" i="2"/>
  <c r="D16" i="2"/>
  <c r="D32" i="2" s="1"/>
  <c r="D18" i="3"/>
  <c r="D16" i="3"/>
  <c r="D32" i="3" s="1"/>
  <c r="D18" i="7"/>
  <c r="D16" i="7"/>
  <c r="D32" i="7" s="1"/>
  <c r="D34" i="7" s="1"/>
  <c r="C20" i="6" l="1"/>
  <c r="C20" i="5"/>
  <c r="D33" i="3"/>
  <c r="D66" i="3"/>
  <c r="D63" i="7"/>
  <c r="D64" i="7" s="1"/>
  <c r="D66" i="7"/>
  <c r="D33" i="7"/>
  <c r="D33" i="2"/>
  <c r="D66" i="2"/>
  <c r="C20" i="1"/>
  <c r="B20" i="1" s="1"/>
  <c r="D63" i="2"/>
  <c r="D64" i="2" s="1"/>
  <c r="D63" i="3"/>
  <c r="D64" i="3" s="1"/>
  <c r="B20" i="6"/>
  <c r="B54" i="6" s="1"/>
  <c r="B57" i="2"/>
  <c r="B44" i="2"/>
  <c r="B49" i="2"/>
  <c r="B51" i="4"/>
  <c r="D34" i="3"/>
  <c r="D34" i="2"/>
  <c r="B46" i="4"/>
  <c r="B64" i="4" s="1"/>
  <c r="D20" i="7"/>
  <c r="D20" i="2"/>
  <c r="B54" i="4"/>
  <c r="D20" i="3"/>
  <c r="F19" i="2"/>
  <c r="G19" i="2"/>
  <c r="H19" i="2"/>
  <c r="F19" i="3"/>
  <c r="G19" i="3"/>
  <c r="H19" i="3"/>
  <c r="F19" i="7"/>
  <c r="F17" i="7" s="1"/>
  <c r="G19" i="7"/>
  <c r="G17" i="7" s="1"/>
  <c r="H19" i="7"/>
  <c r="D58" i="7" l="1"/>
  <c r="D35" i="7"/>
  <c r="D59" i="7" s="1"/>
  <c r="B19" i="2"/>
  <c r="B19" i="7"/>
  <c r="B20" i="5"/>
  <c r="B54" i="5" s="1"/>
  <c r="B54" i="1"/>
  <c r="D58" i="2"/>
  <c r="C65" i="2"/>
  <c r="B19" i="3"/>
  <c r="D35" i="3"/>
  <c r="D59" i="3" s="1"/>
  <c r="D58" i="3"/>
  <c r="D35" i="2"/>
  <c r="D59" i="2" s="1"/>
  <c r="H17" i="7"/>
  <c r="E18" i="7"/>
  <c r="F18" i="7"/>
  <c r="G18" i="7"/>
  <c r="G33" i="7" s="1"/>
  <c r="H18" i="7"/>
  <c r="F16" i="7"/>
  <c r="F32" i="7" s="1"/>
  <c r="F34" i="7" s="1"/>
  <c r="G16" i="7"/>
  <c r="G32" i="7" s="1"/>
  <c r="H16" i="7"/>
  <c r="H32" i="7" s="1"/>
  <c r="E16" i="7"/>
  <c r="F17" i="3"/>
  <c r="G17" i="3"/>
  <c r="H17" i="3"/>
  <c r="E18" i="3"/>
  <c r="E33" i="3" s="1"/>
  <c r="F18" i="3"/>
  <c r="F33" i="3" s="1"/>
  <c r="G18" i="3"/>
  <c r="H18" i="3"/>
  <c r="F16" i="3"/>
  <c r="F32" i="3" s="1"/>
  <c r="G16" i="3"/>
  <c r="G32" i="3" s="1"/>
  <c r="H16" i="3"/>
  <c r="H32" i="3" s="1"/>
  <c r="E16" i="3"/>
  <c r="F17" i="2"/>
  <c r="G17" i="2"/>
  <c r="H17" i="2"/>
  <c r="E18" i="2"/>
  <c r="E33" i="2" s="1"/>
  <c r="F18" i="2"/>
  <c r="G18" i="2"/>
  <c r="G33" i="2" s="1"/>
  <c r="H18" i="2"/>
  <c r="H33" i="2" s="1"/>
  <c r="F16" i="2"/>
  <c r="F32" i="2" s="1"/>
  <c r="G16" i="2"/>
  <c r="G32" i="2" s="1"/>
  <c r="H16" i="2"/>
  <c r="H32" i="2" s="1"/>
  <c r="E16" i="2"/>
  <c r="G11" i="2"/>
  <c r="H11" i="2"/>
  <c r="G12" i="2"/>
  <c r="H12" i="2"/>
  <c r="G10" i="2"/>
  <c r="H10" i="2"/>
  <c r="G58" i="7" l="1"/>
  <c r="C16" i="7"/>
  <c r="C32" i="7" s="1"/>
  <c r="C34" i="7" s="1"/>
  <c r="E32" i="7"/>
  <c r="E34" i="7" s="1"/>
  <c r="H50" i="7"/>
  <c r="H51" i="7" s="1"/>
  <c r="H33" i="7"/>
  <c r="H58" i="7" s="1"/>
  <c r="F63" i="7"/>
  <c r="F33" i="7"/>
  <c r="E63" i="7"/>
  <c r="E64" i="7" s="1"/>
  <c r="E33" i="7"/>
  <c r="C16" i="2"/>
  <c r="C32" i="2" s="1"/>
  <c r="C34" i="2" s="1"/>
  <c r="E32" i="2"/>
  <c r="G20" i="3"/>
  <c r="G33" i="3"/>
  <c r="H50" i="3"/>
  <c r="H51" i="3" s="1"/>
  <c r="H33" i="3"/>
  <c r="C16" i="3"/>
  <c r="C32" i="3" s="1"/>
  <c r="C34" i="3" s="1"/>
  <c r="E32" i="3"/>
  <c r="F63" i="2"/>
  <c r="F33" i="2"/>
  <c r="C18" i="7"/>
  <c r="E63" i="3"/>
  <c r="E64" i="3" s="1"/>
  <c r="C18" i="3"/>
  <c r="C33" i="3" s="1"/>
  <c r="E63" i="2"/>
  <c r="E64" i="2" s="1"/>
  <c r="C18" i="2"/>
  <c r="C33" i="2" s="1"/>
  <c r="B17" i="2"/>
  <c r="F62" i="3"/>
  <c r="F50" i="3"/>
  <c r="F51" i="3" s="1"/>
  <c r="F63" i="3"/>
  <c r="F64" i="3" s="1"/>
  <c r="F62" i="7"/>
  <c r="F62" i="2"/>
  <c r="B16" i="7"/>
  <c r="B32" i="7" s="1"/>
  <c r="F66" i="2"/>
  <c r="F50" i="2"/>
  <c r="F51" i="2" s="1"/>
  <c r="F45" i="2"/>
  <c r="F46" i="2" s="1"/>
  <c r="G20" i="2"/>
  <c r="G45" i="2"/>
  <c r="G46" i="2" s="1"/>
  <c r="G50" i="2"/>
  <c r="G51" i="2" s="1"/>
  <c r="H45" i="2"/>
  <c r="H46" i="2" s="1"/>
  <c r="H50" i="2"/>
  <c r="H51" i="2" s="1"/>
  <c r="E66" i="2"/>
  <c r="F65" i="2"/>
  <c r="G45" i="7"/>
  <c r="G46" i="7" s="1"/>
  <c r="H45" i="7"/>
  <c r="H46" i="7" s="1"/>
  <c r="G50" i="3"/>
  <c r="G51" i="3" s="1"/>
  <c r="G45" i="3"/>
  <c r="G46" i="3" s="1"/>
  <c r="H45" i="3"/>
  <c r="H46" i="3" s="1"/>
  <c r="G20" i="7"/>
  <c r="G50" i="7"/>
  <c r="G51" i="7" s="1"/>
  <c r="E66" i="7"/>
  <c r="F50" i="7"/>
  <c r="F51" i="7" s="1"/>
  <c r="F66" i="7"/>
  <c r="E66" i="3"/>
  <c r="F66" i="3"/>
  <c r="F45" i="3"/>
  <c r="F46" i="3" s="1"/>
  <c r="F65" i="3"/>
  <c r="F45" i="7"/>
  <c r="F46" i="7" s="1"/>
  <c r="F65" i="7"/>
  <c r="B17" i="7"/>
  <c r="B17" i="3"/>
  <c r="C65" i="7"/>
  <c r="C65" i="3"/>
  <c r="F20" i="2"/>
  <c r="F20" i="3"/>
  <c r="F20" i="7"/>
  <c r="E20" i="2"/>
  <c r="C20" i="2" s="1"/>
  <c r="E20" i="3"/>
  <c r="E20" i="7"/>
  <c r="C20" i="7" s="1"/>
  <c r="F64" i="2" l="1"/>
  <c r="F64" i="7"/>
  <c r="B62" i="2"/>
  <c r="B40" i="2"/>
  <c r="B16" i="3"/>
  <c r="B32" i="3" s="1"/>
  <c r="E58" i="7"/>
  <c r="E35" i="7"/>
  <c r="E59" i="7" s="1"/>
  <c r="F58" i="7"/>
  <c r="F35" i="7"/>
  <c r="F59" i="7" s="1"/>
  <c r="C63" i="7"/>
  <c r="C33" i="7"/>
  <c r="B16" i="2"/>
  <c r="B32" i="2" s="1"/>
  <c r="B20" i="7"/>
  <c r="C20" i="3"/>
  <c r="B20" i="3" s="1"/>
  <c r="B65" i="2"/>
  <c r="C63" i="3"/>
  <c r="B65" i="3"/>
  <c r="B62" i="3"/>
  <c r="B65" i="7"/>
  <c r="B62" i="7"/>
  <c r="C63" i="2"/>
  <c r="B20" i="2"/>
  <c r="C66" i="2"/>
  <c r="B18" i="2"/>
  <c r="B41" i="2" s="1"/>
  <c r="C50" i="2"/>
  <c r="C51" i="2" s="1"/>
  <c r="C45" i="2"/>
  <c r="C46" i="2" s="1"/>
  <c r="C45" i="3"/>
  <c r="C46" i="3" s="1"/>
  <c r="C50" i="7"/>
  <c r="C51" i="7" s="1"/>
  <c r="B18" i="7"/>
  <c r="C66" i="7"/>
  <c r="B18" i="3"/>
  <c r="B33" i="3" s="1"/>
  <c r="C66" i="3"/>
  <c r="C50" i="3"/>
  <c r="C51" i="3" s="1"/>
  <c r="C45" i="7"/>
  <c r="C46" i="7" s="1"/>
  <c r="C64" i="7" s="1"/>
  <c r="F40" i="4"/>
  <c r="C64" i="3" l="1"/>
  <c r="C64" i="2"/>
  <c r="C58" i="7"/>
  <c r="C35" i="7"/>
  <c r="C59" i="7" s="1"/>
  <c r="B63" i="7"/>
  <c r="B33" i="7"/>
  <c r="B63" i="2"/>
  <c r="B33" i="2"/>
  <c r="B45" i="3"/>
  <c r="B46" i="3" s="1"/>
  <c r="B63" i="3"/>
  <c r="C35" i="2"/>
  <c r="C59" i="2" s="1"/>
  <c r="C58" i="2"/>
  <c r="B66" i="2"/>
  <c r="B50" i="2"/>
  <c r="B51" i="2" s="1"/>
  <c r="B45" i="2"/>
  <c r="B46" i="2" s="1"/>
  <c r="C35" i="3"/>
  <c r="C59" i="3" s="1"/>
  <c r="C58" i="3"/>
  <c r="B54" i="2"/>
  <c r="B54" i="3"/>
  <c r="B50" i="7"/>
  <c r="B51" i="7" s="1"/>
  <c r="B66" i="7"/>
  <c r="B66" i="3"/>
  <c r="B50" i="3"/>
  <c r="B51" i="3" s="1"/>
  <c r="B45" i="7"/>
  <c r="B46" i="7" s="1"/>
  <c r="B54" i="7"/>
  <c r="G45" i="4"/>
  <c r="G46" i="4" s="1"/>
  <c r="B64" i="7" l="1"/>
  <c r="B64" i="2"/>
  <c r="B64" i="3"/>
  <c r="B32" i="5"/>
  <c r="F62" i="4"/>
  <c r="E66" i="4"/>
  <c r="F66" i="4"/>
  <c r="F65" i="4"/>
  <c r="F41" i="4" l="1"/>
  <c r="B33" i="4" l="1"/>
  <c r="B32" i="4"/>
  <c r="B34" i="4" s="1"/>
  <c r="B58" i="4" l="1"/>
  <c r="B24" i="7"/>
  <c r="B70" i="7" s="1"/>
  <c r="B24" i="3"/>
  <c r="B70" i="3" s="1"/>
  <c r="B24" i="2"/>
  <c r="B70" i="2" s="1"/>
  <c r="B23" i="2" l="1"/>
  <c r="B69" i="2" s="1"/>
  <c r="B23" i="7"/>
  <c r="B69" i="7" s="1"/>
  <c r="B23" i="1" l="1"/>
  <c r="B69" i="1" s="1"/>
  <c r="G58" i="3" l="1"/>
  <c r="H58" i="3"/>
  <c r="H58" i="2"/>
  <c r="G58" i="2"/>
  <c r="E35" i="2"/>
  <c r="F35" i="3"/>
  <c r="F35" i="2"/>
  <c r="E35" i="3"/>
  <c r="B23" i="3"/>
  <c r="B69" i="3" s="1"/>
  <c r="B35" i="2"/>
  <c r="B35" i="7" l="1"/>
  <c r="B35" i="3"/>
  <c r="H33" i="1" l="1"/>
  <c r="G33" i="1"/>
  <c r="F33" i="1"/>
  <c r="E33" i="1"/>
  <c r="B33" i="1"/>
  <c r="H32" i="1"/>
  <c r="G32" i="1"/>
  <c r="F32" i="1"/>
  <c r="F34" i="1" s="1"/>
  <c r="E32" i="1"/>
  <c r="E34" i="1" s="1"/>
  <c r="B32" i="1"/>
  <c r="B32" i="6"/>
  <c r="H33" i="5"/>
  <c r="G33" i="5"/>
  <c r="F33" i="5"/>
  <c r="E33" i="5"/>
  <c r="H32" i="5"/>
  <c r="G32" i="5"/>
  <c r="G50" i="4"/>
  <c r="G51" i="4" s="1"/>
  <c r="F50" i="4"/>
  <c r="H45" i="4"/>
  <c r="H46" i="4" s="1"/>
  <c r="F45" i="4"/>
  <c r="F44" i="4"/>
  <c r="H33" i="4"/>
  <c r="G33" i="4"/>
  <c r="F33" i="4"/>
  <c r="E33" i="4"/>
  <c r="B35" i="4"/>
  <c r="B59" i="4" s="1"/>
  <c r="H32" i="4"/>
  <c r="G32" i="4"/>
  <c r="F32" i="4"/>
  <c r="F34" i="4" s="1"/>
  <c r="E32" i="4"/>
  <c r="E34" i="4" s="1"/>
  <c r="E58" i="1" l="1"/>
  <c r="G58" i="1"/>
  <c r="F58" i="1"/>
  <c r="H58" i="1"/>
  <c r="H58" i="6"/>
  <c r="H58" i="5"/>
  <c r="G58" i="6"/>
  <c r="G58" i="5"/>
  <c r="E58" i="6"/>
  <c r="F58" i="6"/>
  <c r="B58" i="1"/>
  <c r="B34" i="1"/>
  <c r="F46" i="4"/>
  <c r="F64" i="4" s="1"/>
  <c r="F35" i="4"/>
  <c r="F59" i="4" s="1"/>
  <c r="F58" i="4"/>
  <c r="B23" i="6"/>
  <c r="B69" i="6" s="1"/>
  <c r="B35" i="1"/>
  <c r="F35" i="1"/>
  <c r="F59" i="1" s="1"/>
  <c r="E35" i="4"/>
  <c r="E59" i="4" s="1"/>
  <c r="E58" i="4"/>
  <c r="B33" i="5"/>
  <c r="B58" i="5" s="1"/>
  <c r="E59" i="6"/>
  <c r="E35" i="1"/>
  <c r="E59" i="1" s="1"/>
  <c r="G58" i="4"/>
  <c r="H58" i="4"/>
  <c r="E35" i="5"/>
  <c r="F51" i="4"/>
  <c r="B34" i="6"/>
  <c r="B33" i="6"/>
  <c r="B58" i="6" s="1"/>
  <c r="F59" i="6"/>
  <c r="B23" i="5"/>
  <c r="B69" i="5" s="1"/>
  <c r="E32" i="5"/>
  <c r="E58" i="5" s="1"/>
  <c r="F35" i="5"/>
  <c r="B59" i="1" l="1"/>
  <c r="B34" i="5"/>
  <c r="E34" i="5"/>
  <c r="E59" i="5" s="1"/>
  <c r="B35" i="5"/>
  <c r="E58" i="3"/>
  <c r="F32" i="5"/>
  <c r="F58" i="5" s="1"/>
  <c r="E58" i="2"/>
  <c r="B35" i="6"/>
  <c r="B59" i="6" s="1"/>
  <c r="B59" i="5" l="1"/>
  <c r="E34" i="3"/>
  <c r="E59" i="3" s="1"/>
  <c r="E34" i="2"/>
  <c r="E59" i="2" s="1"/>
  <c r="B58" i="2"/>
  <c r="F58" i="2"/>
  <c r="F34" i="5"/>
  <c r="F59" i="5" s="1"/>
  <c r="B58" i="7"/>
  <c r="F58" i="3"/>
  <c r="F34" i="3" l="1"/>
  <c r="F59" i="3" s="1"/>
  <c r="F34" i="2"/>
  <c r="F59" i="2" s="1"/>
  <c r="B34" i="7"/>
  <c r="B59" i="7" s="1"/>
  <c r="B34" i="2"/>
  <c r="B59" i="2" s="1"/>
  <c r="B58" i="3"/>
  <c r="B34" i="3" l="1"/>
  <c r="B59" i="3" s="1"/>
</calcChain>
</file>

<file path=xl/sharedStrings.xml><?xml version="1.0" encoding="utf-8"?>
<sst xmlns="http://schemas.openxmlformats.org/spreadsheetml/2006/main" count="519" uniqueCount="135">
  <si>
    <t>Indicador</t>
  </si>
  <si>
    <t>Productos</t>
  </si>
  <si>
    <t>Cuotas SS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</si>
  <si>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</si>
  <si>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</si>
  <si>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</si>
  <si>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</si>
  <si>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</si>
  <si>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</si>
  <si>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</si>
  <si>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</si>
  <si>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</si>
  <si>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</si>
  <si>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</si>
  <si>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</si>
  <si>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</si>
  <si>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</si>
  <si>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</si>
  <si>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</si>
  <si>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</si>
  <si>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</si>
  <si>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</si>
  <si>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</si>
  <si>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</si>
  <si>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</si>
  <si>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</si>
  <si>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</si>
  <si>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</si>
  <si>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</si>
  <si>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</si>
  <si>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</si>
  <si>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</si>
  <si>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</si>
  <si>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</si>
  <si>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</si>
  <si>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</si>
  <si>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</si>
  <si>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</si>
  <si>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</si>
  <si>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>Pensión Ordinaria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</si>
  <si>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</si>
  <si>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</si>
  <si>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</si>
  <si>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</si>
  <si>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</si>
  <si>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</si>
  <si>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 xml:space="preserve">Beneficiarios: personas (promedio mensual) </t>
  </si>
  <si>
    <t>En el cuarto Trimestre se incluyen los gastos de aguinaldo</t>
  </si>
  <si>
    <t>Notas:</t>
  </si>
  <si>
    <t>Para cobertura se utiliza el promedio de beneficiarios atendidos en el período.</t>
  </si>
  <si>
    <t>los beneficiarios son los mismos de un mes a otro en su mayoría, sin embargo, puede haber entradas y salidas de algunos beneficiarios</t>
  </si>
  <si>
    <t>Adultos Mayores</t>
  </si>
  <si>
    <t>Otros</t>
  </si>
  <si>
    <t>n.d.</t>
  </si>
  <si>
    <t>Población objetivo:</t>
  </si>
  <si>
    <t>Pensiones ordinarias: adultos mayores de 64 años pobres sin pensión contributiva ni seguro contributivo.</t>
  </si>
  <si>
    <t>Pensiones parálisis cerebral severa: personas pobres que no pueden hablar, caminar ni mover los brazos o manos (dos de tres opciones)</t>
  </si>
  <si>
    <t>Pensión Especial</t>
  </si>
  <si>
    <t>Total</t>
  </si>
  <si>
    <t>Efectivos 1T 2015</t>
  </si>
  <si>
    <t>IPC (1T 2015)</t>
  </si>
  <si>
    <t>Gasto efectivo real 1T 2015</t>
  </si>
  <si>
    <t>Gasto efectivo real por beneficiario 1T 2015</t>
  </si>
  <si>
    <t>Efectivos 2T 2015</t>
  </si>
  <si>
    <t>IPC (2T 2015)</t>
  </si>
  <si>
    <t>Gasto efectivo real 2T 2015</t>
  </si>
  <si>
    <t>Gasto efectivo real por beneficiario 2T 2015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</si>
  <si>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</si>
  <si>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</si>
  <si>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</si>
  <si>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</si>
  <si>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</si>
  <si>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</si>
  <si>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</si>
  <si>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</si>
  <si>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>Efectivos 1S 2015</t>
  </si>
  <si>
    <t>IPC (1S 2015)</t>
  </si>
  <si>
    <t>Gasto efectivo real 1S 2015</t>
  </si>
  <si>
    <t>Gasto efectivo real por beneficiario 1S 2015</t>
  </si>
  <si>
    <t>Efectivos  2015</t>
  </si>
  <si>
    <t>IPC ( 2015)</t>
  </si>
  <si>
    <t>Gasto efectivo real  2015</t>
  </si>
  <si>
    <t>Gasto efectivo real por beneficiario  2015</t>
  </si>
  <si>
    <t>Indicadores propuestos aplicado a RNC. Primer trimestre 2016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</si>
  <si>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</si>
  <si>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</si>
  <si>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</si>
  <si>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</si>
  <si>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</si>
  <si>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</si>
  <si>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</si>
  <si>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Informes trimestrales RNC 2015 y 2016</t>
  </si>
  <si>
    <t>Metas RNC 2016</t>
  </si>
  <si>
    <t>ENAHO 2015</t>
  </si>
  <si>
    <t>Fecha de actualización: 19/05/2016</t>
  </si>
  <si>
    <t>Indicadores propuestos aplicado a RNC. Segundo trimestre 2016</t>
  </si>
  <si>
    <t>Programados 2T 2016</t>
  </si>
  <si>
    <t>Efectivos 2T 2016</t>
  </si>
  <si>
    <t>En transferencias 2T 2016</t>
  </si>
  <si>
    <t>IPC (2T 2016)</t>
  </si>
  <si>
    <t>Gasto efectivo real 2T 2016</t>
  </si>
  <si>
    <t>Gasto efectivo real por beneficiario 2T 2016</t>
  </si>
  <si>
    <t>Informes trimestrales RNC 2015  y 2016</t>
  </si>
  <si>
    <t>Indicadores propuestos aplicado a RNC. Tercer trimestre 2016</t>
  </si>
  <si>
    <t>Programados 3T 2016</t>
  </si>
  <si>
    <t>Efectivos 3T 2016</t>
  </si>
  <si>
    <t>En transferencias 3T 2016</t>
  </si>
  <si>
    <t>IPC (3T 2016)</t>
  </si>
  <si>
    <t>Gasto efectivo real 3T 2016</t>
  </si>
  <si>
    <t>Gasto efectivo real por beneficiario 3T 2016</t>
  </si>
  <si>
    <t>Indicadores propuestos aplicado a RNC. Cuarto trimestre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</si>
  <si>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</si>
  <si>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</si>
  <si>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</si>
  <si>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</si>
  <si>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</si>
  <si>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</si>
  <si>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Indicadores propuestos aplicado a RNC. Primer Semestre 2016</t>
  </si>
  <si>
    <t>Programados 1S 2016</t>
  </si>
  <si>
    <t>Efectivos 1S 2016</t>
  </si>
  <si>
    <t>En transferencias 1S 2016</t>
  </si>
  <si>
    <t>IPC (1S 2016)</t>
  </si>
  <si>
    <t>Gasto efectivo real 1S 2016</t>
  </si>
  <si>
    <t>Gasto efectivo real por beneficiario 1S 2016</t>
  </si>
  <si>
    <t>Fecha de actualización: 23/08/2016</t>
  </si>
  <si>
    <t>Fecha de actualización: 23/11/2016</t>
  </si>
  <si>
    <t>Programados  2016</t>
  </si>
  <si>
    <t>Efectivos  2016</t>
  </si>
  <si>
    <t>En transferencias  2016</t>
  </si>
  <si>
    <t>IPC ( 2016)</t>
  </si>
  <si>
    <t>Gasto efectivo real  2016</t>
  </si>
  <si>
    <t>Gasto efectivo real por beneficiario  2016</t>
  </si>
  <si>
    <t>Fecha de actualización: 13/03/2017</t>
  </si>
  <si>
    <t>Indicadores propuestos aplicado a RNC. Tercer trimestre ACUMULADO 2016</t>
  </si>
  <si>
    <t>Indicadores propuestos aplicado a RNC.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</si>
</sst>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165" fontId="0" fillId="0" borderId="0" xfId="0" applyNumberFormat="1"/>
    <xf numFmtId="165" fontId="0" fillId="3" borderId="0" xfId="0" applyNumberFormat="1" applyFill="1"/>
    <xf numFmtId="165" fontId="0" fillId="0" borderId="0" xfId="0" applyNumberFormat="1" applyFill="1"/>
    <xf numFmtId="0" fontId="0" fillId="2" borderId="0" xfId="0" applyFill="1"/>
    <xf numFmtId="165" fontId="0" fillId="2" borderId="0" xfId="0" applyNumberFormat="1" applyFill="1"/>
    <xf numFmtId="0" fontId="0" fillId="0" borderId="3" xfId="0" applyBorder="1"/>
    <xf numFmtId="166" fontId="0" fillId="0" borderId="0" xfId="0" applyNumberFormat="1"/>
    <xf numFmtId="164" fontId="0" fillId="0" borderId="0" xfId="1" applyFont="1" applyFill="1"/>
    <xf numFmtId="3" fontId="0" fillId="0" borderId="0" xfId="0" applyNumberFormat="1" applyFill="1"/>
    <xf numFmtId="2" fontId="0" fillId="3" borderId="0" xfId="0" applyNumberFormat="1" applyFill="1"/>
    <xf numFmtId="167" fontId="0" fillId="0" borderId="0" xfId="1" applyNumberFormat="1" applyFont="1" applyFill="1"/>
    <xf numFmtId="0" fontId="0" fillId="0" borderId="0" xfId="0" applyFill="1"/>
    <xf numFmtId="2" fontId="0" fillId="0" borderId="0" xfId="0" applyNumberFormat="1"/>
    <xf numFmtId="166" fontId="0" fillId="3" borderId="0" xfId="0" applyNumberFormat="1" applyFill="1"/>
    <xf numFmtId="167" fontId="4" fillId="0" borderId="0" xfId="1" applyNumberFormat="1" applyFont="1" applyAlignment="1">
      <alignment horizontal="center"/>
    </xf>
    <xf numFmtId="0" fontId="0" fillId="0" borderId="2" xfId="0" applyBorder="1" applyAlignment="1"/>
    <xf numFmtId="0" fontId="5" fillId="0" borderId="0" xfId="0" applyFont="1" applyFill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67" fontId="0" fillId="0" borderId="0" xfId="1" applyNumberFormat="1" applyFont="1"/>
    <xf numFmtId="167" fontId="0" fillId="0" borderId="0" xfId="1" applyNumberFormat="1" applyFont="1" applyAlignment="1">
      <alignment horizontal="left" indent="3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4" fillId="0" borderId="0" xfId="0" applyFont="1" applyAlignment="1">
      <alignment horizontal="center"/>
    </xf>
    <xf numFmtId="167" fontId="5" fillId="0" borderId="0" xfId="1" applyNumberFormat="1" applyFont="1" applyFill="1"/>
    <xf numFmtId="165" fontId="5" fillId="0" borderId="0" xfId="0" applyNumberFormat="1" applyFont="1"/>
    <xf numFmtId="3" fontId="6" fillId="0" borderId="0" xfId="0" applyNumberFormat="1" applyFont="1"/>
    <xf numFmtId="166" fontId="0" fillId="0" borderId="0" xfId="0" applyNumberFormat="1" applyFill="1"/>
    <xf numFmtId="0" fontId="5" fillId="0" borderId="0" xfId="0" applyFont="1"/>
    <xf numFmtId="3" fontId="6" fillId="0" borderId="0" xfId="0" applyNumberFormat="1" applyFont="1" applyFill="1"/>
    <xf numFmtId="0" fontId="0" fillId="3" borderId="0" xfId="0" applyFill="1" applyAlignment="1">
      <alignment horizontal="right" indent="1"/>
    </xf>
    <xf numFmtId="165" fontId="6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Fill="1"/>
    <xf numFmtId="0" fontId="6" fillId="3" borderId="0" xfId="0" applyFont="1" applyFill="1" applyAlignment="1">
      <alignment horizontal="right" indent="1"/>
    </xf>
    <xf numFmtId="2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cobertura potencial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(Anual!$B$4,Anual!$D$6,Anual!$F$5)</c:f>
              <c:strCache>
                <c:ptCount val="3"/>
                <c:pt idx="0">
                  <c:v>Total Programa</c:v>
                </c:pt>
                <c:pt idx="1">
                  <c:v>Adultos Mayores</c:v>
                </c:pt>
                <c:pt idx="2">
                  <c:v>Pensión Especial</c:v>
                </c:pt>
              </c:strCache>
            </c:strRef>
          </c:cat>
          <c:val>
            <c:numRef>
              <c:f>(Anual!$B$40,Anual!$D$40,Anual!$F$40)</c:f>
              <c:numCache>
                <c:formatCode>#,##0.0____</c:formatCode>
                <c:ptCount val="3"/>
                <c:pt idx="0">
                  <c:v>111.51849082883565</c:v>
                </c:pt>
                <c:pt idx="1">
                  <c:v>115.78685953933838</c:v>
                </c:pt>
                <c:pt idx="2">
                  <c:v>55.164848484848484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(Anual!$B$4,Anual!$D$6,Anual!$F$5)</c:f>
              <c:strCache>
                <c:ptCount val="3"/>
                <c:pt idx="0">
                  <c:v>Total Programa</c:v>
                </c:pt>
                <c:pt idx="1">
                  <c:v>Adultos Mayores</c:v>
                </c:pt>
                <c:pt idx="2">
                  <c:v>Pensión Especial</c:v>
                </c:pt>
              </c:strCache>
            </c:strRef>
          </c:cat>
          <c:val>
            <c:numRef>
              <c:f>(Anual!$B$41,Anual!$D$41,Anual!$F$41)</c:f>
              <c:numCache>
                <c:formatCode>#,##0.0____</c:formatCode>
                <c:ptCount val="3"/>
                <c:pt idx="0">
                  <c:v>112.80207831931972</c:v>
                </c:pt>
                <c:pt idx="1">
                  <c:v>85.389491156942256</c:v>
                </c:pt>
                <c:pt idx="2">
                  <c:v>54.987878787878785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56269912"/>
        <c:axId val="256269128"/>
      </c:barChart>
      <c:catAx>
        <c:axId val="25626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6269128"/>
        <c:crosses val="autoZero"/>
        <c:auto val="1"/>
        <c:lblAlgn val="ctr"/>
        <c:lblOffset val="100"/>
        <c:noMultiLvlLbl val="0"/>
      </c:catAx>
      <c:valAx>
        <c:axId val="2562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626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resultado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(Anual!$B$44:$C$44,Anual!$F$44:$H$44)</c:f>
              <c:numCache>
                <c:formatCode>#,##0.0____</c:formatCode>
                <c:ptCount val="5"/>
                <c:pt idx="0">
                  <c:v>101.15100866317692</c:v>
                </c:pt>
                <c:pt idx="1">
                  <c:v>101.20412093858953</c:v>
                </c:pt>
                <c:pt idx="2">
                  <c:v>99.679198435543043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(Anual!$B$45:$C$45,Anual!$F$45:$H$45)</c:f>
              <c:numCache>
                <c:formatCode>#,##0.0____</c:formatCode>
                <c:ptCount val="5"/>
                <c:pt idx="0">
                  <c:v>102.90610618680095</c:v>
                </c:pt>
                <c:pt idx="1">
                  <c:v>97.513345825325615</c:v>
                </c:pt>
                <c:pt idx="2">
                  <c:v>93.055186779624364</c:v>
                </c:pt>
                <c:pt idx="3">
                  <c:v>132.1484897580734</c:v>
                </c:pt>
                <c:pt idx="4">
                  <c:v>259.57486411275437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(Anual!$B$46:$C$46,Anual!$F$46:$H$46)</c:f>
              <c:numCache>
                <c:formatCode>#,##0.0____</c:formatCode>
                <c:ptCount val="5"/>
                <c:pt idx="0">
                  <c:v>102.02855742498895</c:v>
                </c:pt>
                <c:pt idx="1">
                  <c:v>99.358733381957563</c:v>
                </c:pt>
                <c:pt idx="2">
                  <c:v>96.367192607583704</c:v>
                </c:pt>
                <c:pt idx="3">
                  <c:v>132.1484897580734</c:v>
                </c:pt>
                <c:pt idx="4">
                  <c:v>259.57486411275437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06694632"/>
        <c:axId val="206695416"/>
      </c:barChart>
      <c:catAx>
        <c:axId val="20669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695416"/>
        <c:crosses val="autoZero"/>
        <c:auto val="1"/>
        <c:lblAlgn val="ctr"/>
        <c:lblOffset val="100"/>
        <c:noMultiLvlLbl val="0"/>
      </c:catAx>
      <c:valAx>
        <c:axId val="20669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69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avance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(Anual!$B$49:$C$49,Anual!$F$49:$H$49)</c:f>
              <c:numCache>
                <c:formatCode>#,##0.0____</c:formatCode>
                <c:ptCount val="5"/>
                <c:pt idx="0">
                  <c:v>101.15100866317692</c:v>
                </c:pt>
                <c:pt idx="1">
                  <c:v>101.20412093858953</c:v>
                </c:pt>
                <c:pt idx="2">
                  <c:v>99.679198435543043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(Anual!$B$50:$C$50,Anual!$F$50:$H$50)</c:f>
              <c:numCache>
                <c:formatCode>#,##0.0____</c:formatCode>
                <c:ptCount val="5"/>
                <c:pt idx="0">
                  <c:v>102.90610618680095</c:v>
                </c:pt>
                <c:pt idx="1">
                  <c:v>97.513345825325615</c:v>
                </c:pt>
                <c:pt idx="2">
                  <c:v>93.055186779624364</c:v>
                </c:pt>
                <c:pt idx="3">
                  <c:v>132.1484897580734</c:v>
                </c:pt>
                <c:pt idx="4">
                  <c:v>259.57486411275437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(Anual!$B$51:$C$51,Anual!$F$51:$H$51)</c:f>
              <c:numCache>
                <c:formatCode>#,##0.0____</c:formatCode>
                <c:ptCount val="5"/>
                <c:pt idx="0">
                  <c:v>102.02855742498895</c:v>
                </c:pt>
                <c:pt idx="1">
                  <c:v>99.358733381957563</c:v>
                </c:pt>
                <c:pt idx="2">
                  <c:v>96.367192607583704</c:v>
                </c:pt>
                <c:pt idx="3">
                  <c:v>132.1484897580734</c:v>
                </c:pt>
                <c:pt idx="4">
                  <c:v>259.57486411275437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06695808"/>
        <c:axId val="206696984"/>
      </c:barChart>
      <c:catAx>
        <c:axId val="20669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696984"/>
        <c:crosses val="autoZero"/>
        <c:auto val="1"/>
        <c:lblAlgn val="ctr"/>
        <c:lblOffset val="100"/>
        <c:noMultiLvlLbl val="0"/>
      </c:catAx>
      <c:valAx>
        <c:axId val="20669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69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RNC: Índice transferencia efectiva del gasto (ITG)</a:t>
            </a:r>
            <a:r>
              <a:rPr lang="en-US" baseline="0"/>
              <a:t> 2016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Anual!$B$54</c:f>
              <c:numCache>
                <c:formatCode>#,##0.0____</c:formatCode>
                <c:ptCount val="1"/>
                <c:pt idx="0">
                  <c:v>95.62856098759184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6697768"/>
        <c:axId val="259648512"/>
      </c:barChart>
      <c:catAx>
        <c:axId val="20669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648512"/>
        <c:crosses val="autoZero"/>
        <c:auto val="1"/>
        <c:lblAlgn val="ctr"/>
        <c:lblOffset val="100"/>
        <c:noMultiLvlLbl val="0"/>
      </c:catAx>
      <c:valAx>
        <c:axId val="25964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697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expansión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Anual!$B$57:$H$57</c:f>
              <c:numCache>
                <c:formatCode>#,##0.0____</c:formatCode>
                <c:ptCount val="7"/>
                <c:pt idx="0">
                  <c:v>3.9237563265784425</c:v>
                </c:pt>
                <c:pt idx="1">
                  <c:v>3.8492456751008763</c:v>
                </c:pt>
                <c:pt idx="2">
                  <c:v>4.3191321357428869</c:v>
                </c:pt>
                <c:pt idx="3">
                  <c:v>2.6078736984336714</c:v>
                </c:pt>
                <c:pt idx="4">
                  <c:v>6.0648570292955561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Anual!$B$58:$H$58</c:f>
              <c:numCache>
                <c:formatCode>#,##0.0____</c:formatCode>
                <c:ptCount val="7"/>
                <c:pt idx="0">
                  <c:v>8.8706850260889212</c:v>
                </c:pt>
                <c:pt idx="1">
                  <c:v>8.1218772324499255</c:v>
                </c:pt>
                <c:pt idx="2">
                  <c:v>8.6135569939127965</c:v>
                </c:pt>
                <c:pt idx="3">
                  <c:v>6.8222661222912206</c:v>
                </c:pt>
                <c:pt idx="4">
                  <c:v>9.2213441719939162</c:v>
                </c:pt>
                <c:pt idx="5">
                  <c:v>7.7717001792405815</c:v>
                </c:pt>
                <c:pt idx="6">
                  <c:v>26.535262244361114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Anual!$B$59:$H$59</c:f>
              <c:numCache>
                <c:formatCode>#,##0.0____</c:formatCode>
                <c:ptCount val="7"/>
                <c:pt idx="0">
                  <c:v>4.7601519367379552</c:v>
                </c:pt>
                <c:pt idx="1">
                  <c:v>4.1142634494585106</c:v>
                </c:pt>
                <c:pt idx="2">
                  <c:v>4.1166224931605822</c:v>
                </c:pt>
                <c:pt idx="3">
                  <c:v>4.1072797553954876</c:v>
                </c:pt>
                <c:pt idx="4">
                  <c:v>2.9759971691910581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59646160"/>
        <c:axId val="259647728"/>
      </c:barChart>
      <c:catAx>
        <c:axId val="25964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647728"/>
        <c:crosses val="autoZero"/>
        <c:auto val="1"/>
        <c:lblAlgn val="ctr"/>
        <c:lblOffset val="100"/>
        <c:noMultiLvlLbl val="0"/>
      </c:catAx>
      <c:valAx>
        <c:axId val="25964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64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gasto medio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(Anual!$B$4,Anual!$C$6:$E$6,Anual!$F$5)</c:f>
              <c:strCache>
                <c:ptCount val="5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1226684.1016128203</c:v>
                </c:pt>
                <c:pt idx="1">
                  <c:v>1015431.2845402955</c:v>
                </c:pt>
                <c:pt idx="4">
                  <c:v>3404385.2793557602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(Anual!$B$4,Anual!$C$6:$E$6,Anual!$F$5)</c:f>
              <c:strCache>
                <c:ptCount val="5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</c:strCache>
            </c:strRef>
          </c:cat>
          <c:val>
            <c:numRef>
              <c:f>Anual!$B$66:$F$66</c:f>
              <c:numCache>
                <c:formatCode>#,##0</c:formatCode>
                <c:ptCount val="5"/>
                <c:pt idx="0">
                  <c:v>1247968.6172836302</c:v>
                </c:pt>
                <c:pt idx="1">
                  <c:v>978399.90202885552</c:v>
                </c:pt>
                <c:pt idx="2">
                  <c:v>978559.43502268835</c:v>
                </c:pt>
                <c:pt idx="3">
                  <c:v>977971.40994942817</c:v>
                </c:pt>
                <c:pt idx="4">
                  <c:v>3178152.643804695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59648120"/>
        <c:axId val="257105816"/>
      </c:barChart>
      <c:catAx>
        <c:axId val="25964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7105816"/>
        <c:crosses val="autoZero"/>
        <c:auto val="1"/>
        <c:lblAlgn val="ctr"/>
        <c:lblOffset val="100"/>
        <c:noMultiLvlLbl val="0"/>
      </c:catAx>
      <c:valAx>
        <c:axId val="25710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64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RNC: Índice de eficiencia (IE) 2016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(Anual!$B$64:$C$64,Anual!$F$64)</c:f>
              <c:numCache>
                <c:formatCode>#,##0.0</c:formatCode>
                <c:ptCount val="3"/>
                <c:pt idx="0">
                  <c:v>103.7988815259756</c:v>
                </c:pt>
                <c:pt idx="1">
                  <c:v>95.735257015080421</c:v>
                </c:pt>
                <c:pt idx="2">
                  <c:v>89.963274667838505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57104248"/>
        <c:axId val="257106208"/>
      </c:barChart>
      <c:catAx>
        <c:axId val="25710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7106208"/>
        <c:crosses val="autoZero"/>
        <c:auto val="1"/>
        <c:lblAlgn val="ctr"/>
        <c:lblOffset val="100"/>
        <c:noMultiLvlLbl val="0"/>
      </c:catAx>
      <c:valAx>
        <c:axId val="25710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710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giro de recursos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#,##0.0____</c:formatCode>
                <c:ptCount val="2"/>
                <c:pt idx="0">
                  <c:v>100.06209576648999</c:v>
                </c:pt>
                <c:pt idx="1">
                  <c:v>102.84224550617837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59703264"/>
        <c:axId val="259702088"/>
      </c:barChart>
      <c:catAx>
        <c:axId val="2597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702088"/>
        <c:crosses val="autoZero"/>
        <c:auto val="1"/>
        <c:lblAlgn val="ctr"/>
        <c:lblOffset val="100"/>
        <c:noMultiLvlLbl val="0"/>
      </c:catAx>
      <c:valAx>
        <c:axId val="25970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70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21166</xdr:colOff>
      <xdr:row>16</xdr:row>
      <xdr:rowOff>189440</xdr:rowOff>
    </xdr:from>
    <xdr:to>
      <xdr:col>15</xdr:col>
      <xdr:colOff>21166</xdr:colOff>
      <xdr:row>31</xdr:row>
      <xdr:rowOff>75140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761999</xdr:colOff>
      <xdr:row>32</xdr:row>
      <xdr:rowOff>189441</xdr:rowOff>
    </xdr:from>
    <xdr:to>
      <xdr:col>14</xdr:col>
      <xdr:colOff>761999</xdr:colOff>
      <xdr:row>47</xdr:row>
      <xdr:rowOff>75141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48</xdr:row>
      <xdr:rowOff>20108</xdr:rowOff>
    </xdr:from>
    <xdr:to>
      <xdr:col>15</xdr:col>
      <xdr:colOff>0</xdr:colOff>
      <xdr:row>62</xdr:row>
      <xdr:rowOff>96308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10583</xdr:colOff>
      <xdr:row>63</xdr:row>
      <xdr:rowOff>189440</xdr:rowOff>
    </xdr:from>
    <xdr:to>
      <xdr:col>15</xdr:col>
      <xdr:colOff>10583</xdr:colOff>
      <xdr:row>78</xdr:row>
      <xdr:rowOff>53973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3672416</xdr:colOff>
      <xdr:row>84</xdr:row>
      <xdr:rowOff>9524</xdr:rowOff>
    </xdr:from>
    <xdr:to>
      <xdr:col>5</xdr:col>
      <xdr:colOff>201083</xdr:colOff>
      <xdr:row>98</xdr:row>
      <xdr:rowOff>85724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814916</xdr:colOff>
      <xdr:row>83</xdr:row>
      <xdr:rowOff>189440</xdr:rowOff>
    </xdr:from>
    <xdr:to>
      <xdr:col>10</xdr:col>
      <xdr:colOff>603249</xdr:colOff>
      <xdr:row>98</xdr:row>
      <xdr:rowOff>75140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84666</xdr:colOff>
      <xdr:row>83</xdr:row>
      <xdr:rowOff>157690</xdr:rowOff>
    </xdr:from>
    <xdr:to>
      <xdr:col>17</xdr:col>
      <xdr:colOff>84666</xdr:colOff>
      <xdr:row>98</xdr:row>
      <xdr:rowOff>43390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10583</xdr:colOff>
      <xdr:row>101</xdr:row>
      <xdr:rowOff>20108</xdr:rowOff>
    </xdr:from>
    <xdr:to>
      <xdr:col>5</xdr:col>
      <xdr:colOff>211667</xdr:colOff>
      <xdr:row>115</xdr:row>
      <xdr:rowOff>96308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Régimen No Contributivo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gasto efectivo promedio para las Pensiones Ordinarias puede ser más bajo que el programado, debido a que se están reportando todos los beneficiarios (Fodesaf más otras fuentes) pero sólo el gasto Fodesaf. No se puede distinguir entre beneficiarios de acuerdo a la fuente de financiamiento.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último trimestre incluye el pago de aguinaldo.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su mayoría; sin embargo, puede haber entradas y salidas de algunos beneficiarios.</a:t>
          </a:r>
          <a:r>
            <a:rPr lang="es-CR"/>
            <a:t> </a:t>
          </a: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topLeftCell="A54" zoomScale="70" zoomScaleNormal="70" workbookViewId="0">
      <selection activeCell="B64" sqref="B64:F64"/>
    </sheetView>
  </sheetViews>
  <sheetFormatPr baseColWidth="10" defaultColWidth="11.42578125" defaultRowHeight="15" x14ac:dyDescent="0.25"/>
  <cols>
    <col min="1" max="1" width="55" style="1" customWidth="1"/>
    <col min="2" max="3" width="20.5703125" style="1" customWidth="1"/>
    <col min="4" max="4" width="19.5703125" style="1" customWidth="1"/>
    <col min="5" max="5" width="17" style="1" customWidth="1"/>
    <col min="6" max="6" width="20.28515625" style="1" customWidth="1"/>
    <col min="7" max="7" width="16.140625" style="1" customWidth="1"/>
    <col min="8" max="8" width="17.5703125" style="1" bestFit="1" customWidth="1"/>
    <col min="9" max="9" width="17.85546875" style="1" bestFit="1" customWidth="1"/>
    <col min="10" max="16384" width="11.42578125" style="1"/>
  </cols>
  <sheetData>
    <row r="1" spans="1:13" x14ac:dyDescent="0.25">
      <c r="F1" s="30"/>
      <c r="G1" s="25"/>
      <c r="H1" s="25"/>
      <c r="I1" s="21"/>
      <c r="J1" s="25"/>
      <c r="K1" s="25"/>
      <c r="L1" s="25"/>
      <c r="M1" s="25"/>
    </row>
    <row r="2" spans="1:13" ht="15.75" x14ac:dyDescent="0.25">
      <c r="A2" s="54" t="s">
        <v>83</v>
      </c>
      <c r="B2" s="54"/>
      <c r="C2" s="54"/>
      <c r="D2" s="54"/>
      <c r="E2" s="54"/>
      <c r="F2" s="54"/>
      <c r="G2" s="54"/>
      <c r="H2" s="54"/>
    </row>
    <row r="3" spans="1:13" x14ac:dyDescent="0.25">
      <c r="I3" s="43"/>
    </row>
    <row r="4" spans="1:13" x14ac:dyDescent="0.25">
      <c r="A4" s="52" t="s">
        <v>0</v>
      </c>
      <c r="B4" s="31"/>
      <c r="C4" s="31"/>
      <c r="D4" s="36"/>
      <c r="E4" s="37" t="s">
        <v>1</v>
      </c>
      <c r="F4" s="29"/>
      <c r="G4" s="52" t="s">
        <v>2</v>
      </c>
      <c r="H4" s="52" t="s">
        <v>3</v>
      </c>
      <c r="I4" s="43"/>
      <c r="J4" s="43"/>
    </row>
    <row r="5" spans="1:13" ht="15.75" thickBot="1" x14ac:dyDescent="0.3">
      <c r="A5" s="53"/>
      <c r="B5" s="32" t="s">
        <v>38</v>
      </c>
      <c r="C5" s="55" t="s">
        <v>39</v>
      </c>
      <c r="D5" s="55"/>
      <c r="E5" s="55"/>
      <c r="F5" s="2" t="s">
        <v>57</v>
      </c>
      <c r="G5" s="53"/>
      <c r="H5" s="53"/>
    </row>
    <row r="6" spans="1:13" ht="15.75" thickTop="1" x14ac:dyDescent="0.25">
      <c r="C6" s="38" t="s">
        <v>58</v>
      </c>
      <c r="D6" s="28" t="s">
        <v>51</v>
      </c>
      <c r="E6" s="28" t="s">
        <v>52</v>
      </c>
    </row>
    <row r="7" spans="1:13" x14ac:dyDescent="0.25">
      <c r="A7" s="3" t="s">
        <v>4</v>
      </c>
    </row>
    <row r="9" spans="1:13" x14ac:dyDescent="0.25">
      <c r="A9" s="1" t="s">
        <v>46</v>
      </c>
    </row>
    <row r="10" spans="1:13" x14ac:dyDescent="0.25">
      <c r="A10" s="4" t="s">
        <v>59</v>
      </c>
      <c r="B10" s="22">
        <f>+C10+F10</f>
        <v>104345.33333333333</v>
      </c>
      <c r="C10" s="22">
        <f>SUM(D10:E10)</f>
        <v>100868</v>
      </c>
      <c r="D10" s="22">
        <v>73015</v>
      </c>
      <c r="E10" s="5">
        <v>27853</v>
      </c>
      <c r="F10" s="5">
        <v>3477.3333333333335</v>
      </c>
      <c r="G10" s="5"/>
    </row>
    <row r="11" spans="1:13" x14ac:dyDescent="0.25">
      <c r="A11" s="4" t="s">
        <v>84</v>
      </c>
      <c r="B11" s="22">
        <f t="shared" ref="B11:B13" si="0">+C11+F11</f>
        <v>105978</v>
      </c>
      <c r="C11" s="22">
        <v>102185</v>
      </c>
      <c r="D11" s="22"/>
      <c r="E11" s="22"/>
      <c r="F11" s="22">
        <v>3793</v>
      </c>
      <c r="G11" s="5"/>
    </row>
    <row r="12" spans="1:13" x14ac:dyDescent="0.25">
      <c r="A12" s="4" t="s">
        <v>85</v>
      </c>
      <c r="B12" s="22">
        <f t="shared" si="0"/>
        <v>108658.33333333334</v>
      </c>
      <c r="C12" s="22">
        <f t="shared" ref="C12" si="1">SUM(D12:E12)</f>
        <v>104954.33333333334</v>
      </c>
      <c r="D12" s="22">
        <v>76284.666666666672</v>
      </c>
      <c r="E12" s="5">
        <v>28669.666666666668</v>
      </c>
      <c r="F12" s="5">
        <v>3704</v>
      </c>
      <c r="G12" s="5"/>
    </row>
    <row r="13" spans="1:13" x14ac:dyDescent="0.25">
      <c r="A13" s="4" t="s">
        <v>86</v>
      </c>
      <c r="B13" s="22">
        <f t="shared" si="0"/>
        <v>107501</v>
      </c>
      <c r="C13" s="22">
        <v>103605</v>
      </c>
      <c r="D13" s="22"/>
      <c r="E13" s="22"/>
      <c r="F13" s="22">
        <v>3896</v>
      </c>
      <c r="G13" s="5"/>
    </row>
    <row r="14" spans="1:13" x14ac:dyDescent="0.25">
      <c r="C14" s="22"/>
    </row>
    <row r="15" spans="1:13" x14ac:dyDescent="0.25">
      <c r="A15" s="6" t="s">
        <v>5</v>
      </c>
      <c r="C15" s="22"/>
    </row>
    <row r="16" spans="1:13" x14ac:dyDescent="0.25">
      <c r="A16" s="4" t="s">
        <v>59</v>
      </c>
      <c r="B16" s="5">
        <f>+C16+F16+G16+H16</f>
        <v>28243946388.869999</v>
      </c>
      <c r="C16" s="22">
        <f t="shared" ref="C16:C20" si="2">SUM(D16:E16)</f>
        <v>21229736098.25</v>
      </c>
      <c r="D16" s="5">
        <v>15368202913.89452</v>
      </c>
      <c r="E16" s="22">
        <v>5861533184.3554802</v>
      </c>
      <c r="F16" s="22">
        <v>2673683176</v>
      </c>
      <c r="G16" s="22">
        <v>3224027114.6199999</v>
      </c>
      <c r="H16" s="22">
        <v>1116500000</v>
      </c>
    </row>
    <row r="17" spans="1:8" x14ac:dyDescent="0.25">
      <c r="A17" s="4" t="s">
        <v>84</v>
      </c>
      <c r="B17" s="5">
        <f t="shared" ref="B17:B18" si="3">+C17+F17+G17+H17</f>
        <v>29521832007.514999</v>
      </c>
      <c r="C17" s="22">
        <v>22991625000</v>
      </c>
      <c r="D17" s="5"/>
      <c r="E17" s="22"/>
      <c r="F17" s="22">
        <v>3004545297</v>
      </c>
      <c r="G17" s="22">
        <v>2946948125.915</v>
      </c>
      <c r="H17" s="22">
        <v>578713584.60000002</v>
      </c>
    </row>
    <row r="18" spans="1:8" x14ac:dyDescent="0.25">
      <c r="A18" s="4" t="s">
        <v>85</v>
      </c>
      <c r="B18" s="5">
        <f t="shared" si="3"/>
        <v>31563110143.619999</v>
      </c>
      <c r="C18" s="22">
        <f t="shared" si="2"/>
        <v>23944245938.989998</v>
      </c>
      <c r="D18" s="5">
        <v>17403999005.932964</v>
      </c>
      <c r="E18" s="22">
        <v>6540246933.0570335</v>
      </c>
      <c r="F18" s="22">
        <v>2905927353.1999998</v>
      </c>
      <c r="G18" s="22">
        <v>3462011851.4299998</v>
      </c>
      <c r="H18" s="22">
        <v>1250925000</v>
      </c>
    </row>
    <row r="19" spans="1:8" x14ac:dyDescent="0.25">
      <c r="A19" s="4" t="s">
        <v>86</v>
      </c>
      <c r="B19" s="5">
        <f>+C19+F19+G19+H19</f>
        <v>129073535477.06</v>
      </c>
      <c r="C19" s="22">
        <v>101323425000</v>
      </c>
      <c r="D19" s="22"/>
      <c r="E19" s="22"/>
      <c r="F19" s="22">
        <v>13647463635</v>
      </c>
      <c r="G19" s="22">
        <v>11787792503.659998</v>
      </c>
      <c r="H19" s="22">
        <v>2314854338.4000001</v>
      </c>
    </row>
    <row r="20" spans="1:8" x14ac:dyDescent="0.25">
      <c r="A20" s="4" t="s">
        <v>87</v>
      </c>
      <c r="B20" s="41">
        <f>C20+F20+G20</f>
        <v>30312185143.619999</v>
      </c>
      <c r="C20" s="22">
        <f t="shared" si="2"/>
        <v>23944245938.989998</v>
      </c>
      <c r="D20" s="5">
        <f>D18</f>
        <v>17403999005.932964</v>
      </c>
      <c r="E20" s="5">
        <f t="shared" ref="E20:G20" si="4">E18</f>
        <v>6540246933.0570335</v>
      </c>
      <c r="F20" s="5">
        <f t="shared" si="4"/>
        <v>2905927353.1999998</v>
      </c>
      <c r="G20" s="41">
        <f t="shared" si="4"/>
        <v>3462011851.4299998</v>
      </c>
      <c r="H20" s="5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84</v>
      </c>
      <c r="B23" s="8">
        <f>+B17</f>
        <v>29521832007.514999</v>
      </c>
      <c r="C23" s="8"/>
      <c r="D23" s="8"/>
      <c r="E23" s="8"/>
      <c r="F23" s="8"/>
      <c r="G23" s="8"/>
      <c r="H23" s="8"/>
    </row>
    <row r="24" spans="1:8" x14ac:dyDescent="0.25">
      <c r="A24" s="9" t="s">
        <v>85</v>
      </c>
      <c r="B24" s="8">
        <v>29473890884.270004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60</v>
      </c>
      <c r="B27" s="23">
        <v>1</v>
      </c>
      <c r="C27" s="23">
        <v>1</v>
      </c>
      <c r="D27" s="23">
        <v>1</v>
      </c>
      <c r="E27" s="23">
        <v>1</v>
      </c>
      <c r="F27" s="23">
        <v>1</v>
      </c>
      <c r="G27" s="23">
        <v>1</v>
      </c>
      <c r="H27" s="23">
        <v>1</v>
      </c>
    </row>
    <row r="28" spans="1:8" x14ac:dyDescent="0.25">
      <c r="A28" s="10" t="s">
        <v>88</v>
      </c>
      <c r="B28" s="23">
        <v>0.99</v>
      </c>
      <c r="C28" s="23">
        <v>0.99</v>
      </c>
      <c r="D28" s="23">
        <v>0.99</v>
      </c>
      <c r="E28" s="23">
        <v>0.99</v>
      </c>
      <c r="F28" s="23">
        <v>0.99</v>
      </c>
      <c r="G28" s="23">
        <v>0.99</v>
      </c>
      <c r="H28" s="23">
        <v>0.99</v>
      </c>
    </row>
    <row r="29" spans="1:8" x14ac:dyDescent="0.25">
      <c r="A29" s="4" t="s">
        <v>8</v>
      </c>
      <c r="B29" s="24">
        <f>+D29+F29</f>
        <v>97643</v>
      </c>
      <c r="C29" s="39"/>
      <c r="D29" s="24">
        <v>90768</v>
      </c>
      <c r="E29" s="24" t="s">
        <v>53</v>
      </c>
      <c r="F29" s="24">
        <v>6875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61</v>
      </c>
      <c r="B32" s="13">
        <f>B16/B27</f>
        <v>28243946388.869999</v>
      </c>
      <c r="C32" s="13">
        <f t="shared" ref="C32:D32" si="5">C16/C27</f>
        <v>21229736098.25</v>
      </c>
      <c r="D32" s="13">
        <f t="shared" si="5"/>
        <v>15368202913.89452</v>
      </c>
      <c r="E32" s="13">
        <f t="shared" ref="E32:H32" si="6">E16/E27</f>
        <v>5861533184.3554802</v>
      </c>
      <c r="F32" s="13">
        <f t="shared" si="6"/>
        <v>2673683176</v>
      </c>
      <c r="G32" s="13">
        <f t="shared" si="6"/>
        <v>3224027114.6199999</v>
      </c>
      <c r="H32" s="13">
        <f t="shared" si="6"/>
        <v>1116500000</v>
      </c>
    </row>
    <row r="33" spans="1:8" x14ac:dyDescent="0.25">
      <c r="A33" s="12" t="s">
        <v>89</v>
      </c>
      <c r="B33" s="13">
        <f>B18/B28</f>
        <v>31881929438</v>
      </c>
      <c r="C33" s="13">
        <f t="shared" ref="C33:D33" si="7">C18/C28</f>
        <v>24186107009.080807</v>
      </c>
      <c r="D33" s="13">
        <f t="shared" si="7"/>
        <v>17579796975.689861</v>
      </c>
      <c r="E33" s="13">
        <f t="shared" ref="E33:H33" si="8">E18/E28</f>
        <v>6606310033.3909426</v>
      </c>
      <c r="F33" s="13">
        <f t="shared" si="8"/>
        <v>2935280154.7474747</v>
      </c>
      <c r="G33" s="13">
        <f t="shared" si="8"/>
        <v>3496981668.1111112</v>
      </c>
      <c r="H33" s="13">
        <f t="shared" si="8"/>
        <v>1263560606.060606</v>
      </c>
    </row>
    <row r="34" spans="1:8" x14ac:dyDescent="0.25">
      <c r="A34" s="12" t="s">
        <v>62</v>
      </c>
      <c r="B34" s="13">
        <f>B32/B10</f>
        <v>270677.61908090446</v>
      </c>
      <c r="C34" s="13">
        <f t="shared" ref="C34:D34" si="9">C32/C10</f>
        <v>210470.47724005632</v>
      </c>
      <c r="D34" s="13">
        <f t="shared" si="9"/>
        <v>210480.07825644757</v>
      </c>
      <c r="E34" s="13">
        <f t="shared" ref="E34:F34" si="10">E32/E10</f>
        <v>210445.3087407274</v>
      </c>
      <c r="F34" s="13">
        <f t="shared" si="10"/>
        <v>768888.95015337423</v>
      </c>
      <c r="G34" s="13"/>
      <c r="H34" s="13"/>
    </row>
    <row r="35" spans="1:8" x14ac:dyDescent="0.25">
      <c r="A35" s="12" t="s">
        <v>90</v>
      </c>
      <c r="B35" s="13">
        <f>B33/B12</f>
        <v>293414.48980443284</v>
      </c>
      <c r="C35" s="13">
        <f t="shared" ref="C35:D35" si="11">C33/C12</f>
        <v>230444.10117175538</v>
      </c>
      <c r="D35" s="13">
        <f t="shared" si="11"/>
        <v>230449.94156566885</v>
      </c>
      <c r="E35" s="13">
        <f t="shared" ref="E35:F35" si="12">E33/E12</f>
        <v>230428.56096655963</v>
      </c>
      <c r="F35" s="13">
        <f t="shared" si="12"/>
        <v>792462.244802234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(B11/B29)*100</f>
        <v>108.53619819137062</v>
      </c>
      <c r="C40" s="14"/>
      <c r="D40" s="14">
        <f>(C11)/D29*100</f>
        <v>112.5782213996122</v>
      </c>
      <c r="E40" s="14"/>
      <c r="F40" s="14">
        <f>(F11)/F29*100</f>
        <v>55.170909090909092</v>
      </c>
      <c r="G40" s="14"/>
    </row>
    <row r="41" spans="1:8" x14ac:dyDescent="0.25">
      <c r="A41" s="1" t="s">
        <v>13</v>
      </c>
      <c r="B41" s="14">
        <f>(B12/B29)*100</f>
        <v>111.28123197088715</v>
      </c>
      <c r="C41" s="40"/>
      <c r="D41" s="14">
        <f>(D12)/D29*100</f>
        <v>84.043568952347385</v>
      </c>
      <c r="E41" s="14"/>
      <c r="F41" s="14">
        <f t="shared" ref="F41" si="13">(F12)/F29*100</f>
        <v>53.876363636363635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102.52914126831357</v>
      </c>
      <c r="C44" s="14">
        <f>C12/C11*100</f>
        <v>102.7101172709628</v>
      </c>
      <c r="D44" s="14"/>
      <c r="E44" s="14"/>
      <c r="F44" s="14">
        <f>F12/F11*100</f>
        <v>97.653572370155544</v>
      </c>
      <c r="G44" s="14"/>
      <c r="H44" s="14"/>
    </row>
    <row r="45" spans="1:8" x14ac:dyDescent="0.25">
      <c r="A45" s="1" t="s">
        <v>16</v>
      </c>
      <c r="B45" s="14">
        <f>B18/B17*100</f>
        <v>106.91446972391611</v>
      </c>
      <c r="C45" s="14">
        <f>C18/C17*100</f>
        <v>104.14333888531149</v>
      </c>
      <c r="D45" s="14"/>
      <c r="E45" s="14"/>
      <c r="F45" s="14">
        <f>F18/F17*100</f>
        <v>96.717708203684964</v>
      </c>
      <c r="G45" s="14">
        <f>G18/G17*100</f>
        <v>117.4778687478619</v>
      </c>
      <c r="H45" s="14">
        <f>H18/H17*100</f>
        <v>216.15614930909638</v>
      </c>
    </row>
    <row r="46" spans="1:8" x14ac:dyDescent="0.25">
      <c r="A46" s="12" t="s">
        <v>17</v>
      </c>
      <c r="B46" s="15">
        <f>AVERAGE(B44:B45)</f>
        <v>104.72180549611484</v>
      </c>
      <c r="C46" s="15">
        <f>AVERAGE(C44:C45)</f>
        <v>103.42672807813715</v>
      </c>
      <c r="D46" s="15"/>
      <c r="E46" s="15"/>
      <c r="F46" s="15">
        <f t="shared" ref="F46:H46" si="14">AVERAGE(F44:F45)</f>
        <v>97.185640286920261</v>
      </c>
      <c r="G46" s="15">
        <f>AVERAGE(G44:G45)</f>
        <v>117.4778687478619</v>
      </c>
      <c r="H46" s="15">
        <f t="shared" si="14"/>
        <v>216.15614930909638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9" x14ac:dyDescent="0.25">
      <c r="A49" s="1" t="s">
        <v>19</v>
      </c>
      <c r="B49" s="16">
        <f>B12/(B13)*100</f>
        <v>101.07657913259722</v>
      </c>
      <c r="C49" s="16">
        <f t="shared" ref="C49:F49" si="15">C12/(C13)*100</f>
        <v>101.30238244614964</v>
      </c>
      <c r="D49" s="16"/>
      <c r="E49" s="16"/>
      <c r="F49" s="16">
        <f t="shared" si="15"/>
        <v>95.071868583162228</v>
      </c>
      <c r="G49" s="16"/>
      <c r="H49" s="16"/>
      <c r="I49" s="43"/>
    </row>
    <row r="50" spans="1:9" x14ac:dyDescent="0.25">
      <c r="A50" s="1" t="s">
        <v>20</v>
      </c>
      <c r="B50" s="14">
        <f>B18/B19*100</f>
        <v>24.453587659903882</v>
      </c>
      <c r="C50" s="14">
        <f>C18/C19*100</f>
        <v>23.631500750186838</v>
      </c>
      <c r="D50" s="14"/>
      <c r="E50" s="14"/>
      <c r="F50" s="14">
        <f>F18/F19*100</f>
        <v>21.292801585105671</v>
      </c>
      <c r="G50" s="14">
        <f>G18/G19*100</f>
        <v>29.36946718696548</v>
      </c>
      <c r="H50" s="14">
        <f>H18/H19*100</f>
        <v>54.039037327274094</v>
      </c>
    </row>
    <row r="51" spans="1:9" x14ac:dyDescent="0.25">
      <c r="A51" s="1" t="s">
        <v>21</v>
      </c>
      <c r="B51" s="14">
        <f>(B49+B50)/2</f>
        <v>62.765083396250546</v>
      </c>
      <c r="C51" s="14">
        <f t="shared" ref="C51" si="16">(C49+C50)/2</f>
        <v>62.466941598168233</v>
      </c>
      <c r="D51" s="14"/>
      <c r="E51" s="14"/>
      <c r="F51" s="14">
        <f t="shared" ref="F51" si="17">(F49+F50)/2</f>
        <v>58.182335084133953</v>
      </c>
      <c r="G51" s="16">
        <f>AVERAGE(G49:G50)</f>
        <v>29.36946718696548</v>
      </c>
      <c r="H51" s="16">
        <f t="shared" ref="H51" si="18">AVERAGE(H49:H50)</f>
        <v>54.039037327274094</v>
      </c>
    </row>
    <row r="53" spans="1:9" x14ac:dyDescent="0.25">
      <c r="A53" s="1" t="s">
        <v>33</v>
      </c>
    </row>
    <row r="54" spans="1:9" x14ac:dyDescent="0.25">
      <c r="A54" s="1" t="s">
        <v>22</v>
      </c>
      <c r="B54" s="14">
        <f>(B20/B18)*100</f>
        <v>96.036749882036403</v>
      </c>
      <c r="C54" s="14"/>
      <c r="D54" s="14"/>
      <c r="E54" s="14"/>
      <c r="F54" s="14"/>
      <c r="G54" s="14"/>
      <c r="H54" s="14"/>
    </row>
    <row r="56" spans="1:9" x14ac:dyDescent="0.25">
      <c r="A56" s="1" t="s">
        <v>23</v>
      </c>
    </row>
    <row r="57" spans="1:9" x14ac:dyDescent="0.25">
      <c r="A57" s="1" t="s">
        <v>24</v>
      </c>
      <c r="B57" s="14">
        <f>((B12/B10)-1)*100</f>
        <v>4.1333904087708984</v>
      </c>
      <c r="C57" s="14">
        <f>((C12/C10)-1)*100</f>
        <v>4.0511691848091891</v>
      </c>
      <c r="D57" s="14">
        <f t="shared" ref="D57:F57" si="19">((D12/D10)-1)*100</f>
        <v>4.4780752813348812</v>
      </c>
      <c r="E57" s="14">
        <f t="shared" si="19"/>
        <v>2.9320599815699122</v>
      </c>
      <c r="F57" s="14">
        <f t="shared" si="19"/>
        <v>6.5184049079754613</v>
      </c>
      <c r="G57" s="14"/>
      <c r="H57" s="14"/>
    </row>
    <row r="58" spans="1:9" x14ac:dyDescent="0.25">
      <c r="A58" s="1" t="s">
        <v>25</v>
      </c>
      <c r="B58" s="14">
        <f>((B33/B32)-1)*100</f>
        <v>12.880576244697917</v>
      </c>
      <c r="C58" s="14">
        <f>((C33/C32)-1)*100</f>
        <v>13.925613098292366</v>
      </c>
      <c r="D58" s="14">
        <f t="shared" ref="D58" si="20">((D33/D32)-1)*100</f>
        <v>14.390713567399738</v>
      </c>
      <c r="E58" s="14">
        <f t="shared" ref="E58:G58" si="21">((E33/E32)-1)*100</f>
        <v>12.706178155286786</v>
      </c>
      <c r="F58" s="14">
        <f t="shared" si="21"/>
        <v>9.7841427546714996</v>
      </c>
      <c r="G58" s="14">
        <f t="shared" si="21"/>
        <v>8.4662611010107192</v>
      </c>
      <c r="H58" s="14">
        <f>((H33/H32)-1)*100</f>
        <v>13.171572419221311</v>
      </c>
    </row>
    <row r="59" spans="1:9" x14ac:dyDescent="0.25">
      <c r="A59" s="12" t="s">
        <v>26</v>
      </c>
      <c r="B59" s="15">
        <f>((B35/B34)-1)*100</f>
        <v>8.3999817941107437</v>
      </c>
      <c r="C59" s="15">
        <f>((C35/C34)-1)*100</f>
        <v>9.4899884266987922</v>
      </c>
      <c r="D59" s="15">
        <f t="shared" ref="D59:F59" si="22">((D35/D34)-1)*100</f>
        <v>9.4877688542523977</v>
      </c>
      <c r="E59" s="15">
        <f t="shared" si="22"/>
        <v>9.495698595235492</v>
      </c>
      <c r="F59" s="15">
        <f t="shared" si="22"/>
        <v>3.0658906782517148</v>
      </c>
      <c r="G59" s="15"/>
      <c r="H59" s="15"/>
    </row>
    <row r="60" spans="1:9" x14ac:dyDescent="0.25">
      <c r="B60" s="16"/>
      <c r="C60" s="16"/>
      <c r="D60" s="16"/>
      <c r="E60" s="16"/>
      <c r="F60" s="16"/>
      <c r="G60" s="16"/>
      <c r="H60" s="16"/>
    </row>
    <row r="61" spans="1:9" x14ac:dyDescent="0.25">
      <c r="A61" s="1" t="s">
        <v>27</v>
      </c>
    </row>
    <row r="62" spans="1:9" x14ac:dyDescent="0.25">
      <c r="A62" s="1" t="s">
        <v>34</v>
      </c>
      <c r="B62" s="5">
        <f>B17/(B11*3)</f>
        <v>92855.221547601075</v>
      </c>
      <c r="C62" s="5">
        <f>C17/(C11*3)</f>
        <v>75000</v>
      </c>
      <c r="D62" s="5"/>
      <c r="E62" s="5"/>
      <c r="F62" s="5">
        <f t="shared" ref="F62" si="23">F17/(F11*3)</f>
        <v>264043</v>
      </c>
      <c r="G62" s="5"/>
      <c r="H62" s="5"/>
    </row>
    <row r="63" spans="1:9" x14ac:dyDescent="0.25">
      <c r="A63" s="1" t="s">
        <v>35</v>
      </c>
      <c r="B63" s="5">
        <f>B18/(B12*3)</f>
        <v>96826.781635462845</v>
      </c>
      <c r="C63" s="5">
        <f>C18/(C12*3)</f>
        <v>76046.553386679283</v>
      </c>
      <c r="D63" s="5">
        <f t="shared" ref="D63:F63" si="24">D18/(D12*3)</f>
        <v>76048.480716670732</v>
      </c>
      <c r="E63" s="5">
        <f t="shared" si="24"/>
        <v>76041.425118964689</v>
      </c>
      <c r="F63" s="5">
        <f t="shared" si="24"/>
        <v>261512.54078473721</v>
      </c>
      <c r="G63" s="5"/>
      <c r="H63" s="5"/>
    </row>
    <row r="64" spans="1:9" x14ac:dyDescent="0.25">
      <c r="A64" s="12" t="s">
        <v>28</v>
      </c>
      <c r="B64" s="15">
        <f>(B63/B62)*B46</f>
        <v>109.20091756009266</v>
      </c>
      <c r="C64" s="15">
        <f t="shared" ref="C64:F64" si="25">(C63/C62)*C46</f>
        <v>104.86994931204825</v>
      </c>
      <c r="D64" s="15" t="e">
        <f t="shared" si="25"/>
        <v>#DIV/0!</v>
      </c>
      <c r="E64" s="15" t="e">
        <f t="shared" si="25"/>
        <v>#DIV/0!</v>
      </c>
      <c r="F64" s="15">
        <f t="shared" si="25"/>
        <v>96.254260553107002</v>
      </c>
      <c r="G64" s="15"/>
      <c r="H64" s="15"/>
    </row>
    <row r="65" spans="1:9" x14ac:dyDescent="0.25">
      <c r="A65" s="16" t="s">
        <v>36</v>
      </c>
      <c r="B65" s="5">
        <f>B17/B11</f>
        <v>278565.6646428032</v>
      </c>
      <c r="C65" s="5">
        <f>C17/C11</f>
        <v>225000</v>
      </c>
      <c r="D65" s="5"/>
      <c r="E65" s="5"/>
      <c r="F65" s="5">
        <f t="shared" ref="F65" si="26">F17/F11</f>
        <v>792129</v>
      </c>
      <c r="G65" s="16"/>
      <c r="H65" s="16"/>
    </row>
    <row r="66" spans="1:9" x14ac:dyDescent="0.25">
      <c r="A66" s="16" t="s">
        <v>37</v>
      </c>
      <c r="B66" s="5">
        <f>B18/B12</f>
        <v>290480.34490638849</v>
      </c>
      <c r="C66" s="5">
        <f>C18/C12</f>
        <v>228139.66016003781</v>
      </c>
      <c r="D66" s="44">
        <f>D18/D12</f>
        <v>228145.44215001218</v>
      </c>
      <c r="E66" s="5">
        <f t="shared" ref="E66:F66" si="27">E18/E12</f>
        <v>228124.27535689404</v>
      </c>
      <c r="F66" s="5">
        <f t="shared" si="27"/>
        <v>784537.62235421163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99.837607899019304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107.08837278238346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91</v>
      </c>
    </row>
    <row r="75" spans="1:9" x14ac:dyDescent="0.25">
      <c r="A75" s="1" t="s">
        <v>92</v>
      </c>
      <c r="B75" s="20"/>
      <c r="C75" s="20"/>
      <c r="D75" s="20"/>
      <c r="E75" s="20"/>
      <c r="F75" s="20"/>
    </row>
    <row r="76" spans="1:9" x14ac:dyDescent="0.25">
      <c r="A76" s="1" t="s">
        <v>93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94</v>
      </c>
    </row>
    <row r="148" spans="2:6" x14ac:dyDescent="0.25">
      <c r="B148" s="26"/>
      <c r="C148" s="26"/>
      <c r="D148" s="26"/>
      <c r="E148" s="26"/>
      <c r="F148" s="26"/>
    </row>
    <row r="149" spans="2:6" x14ac:dyDescent="0.25">
      <c r="B149" s="26"/>
      <c r="C149" s="26"/>
      <c r="D149" s="26"/>
      <c r="E149" s="26"/>
      <c r="F149" s="26"/>
    </row>
  </sheetData>
  <mergeCells count="5">
    <mergeCell ref="A4:A5"/>
    <mergeCell ref="A2:H2"/>
    <mergeCell ref="G4:G5"/>
    <mergeCell ref="H4:H5"/>
    <mergeCell ref="C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5"/>
  <sheetViews>
    <sheetView topLeftCell="A51" zoomScale="70" zoomScaleNormal="70" workbookViewId="0">
      <selection activeCell="B64" sqref="B64:F64"/>
    </sheetView>
  </sheetViews>
  <sheetFormatPr baseColWidth="10" defaultColWidth="11.42578125" defaultRowHeight="15" x14ac:dyDescent="0.25"/>
  <cols>
    <col min="1" max="1" width="55.140625" style="1" customWidth="1"/>
    <col min="2" max="2" width="20.85546875" style="1" customWidth="1"/>
    <col min="3" max="3" width="20.140625" style="1" customWidth="1"/>
    <col min="4" max="4" width="16.140625" style="1" customWidth="1"/>
    <col min="5" max="5" width="17" style="1" bestFit="1" customWidth="1"/>
    <col min="6" max="6" width="16.42578125" style="1" bestFit="1" customWidth="1"/>
    <col min="7" max="7" width="19" style="1" customWidth="1"/>
    <col min="8" max="8" width="17.5703125" style="1" bestFit="1" customWidth="1"/>
    <col min="9" max="9" width="11.42578125" style="1"/>
    <col min="10" max="12" width="13.5703125" style="1" bestFit="1" customWidth="1"/>
    <col min="13" max="14" width="11.5703125" style="1" bestFit="1" customWidth="1"/>
    <col min="15" max="16384" width="11.42578125" style="1"/>
  </cols>
  <sheetData>
    <row r="2" spans="1:8" ht="15.75" x14ac:dyDescent="0.25">
      <c r="A2" s="54" t="s">
        <v>95</v>
      </c>
      <c r="B2" s="54"/>
      <c r="C2" s="54"/>
      <c r="D2" s="54"/>
      <c r="E2" s="54"/>
      <c r="F2" s="54"/>
      <c r="G2" s="54"/>
      <c r="H2" s="54"/>
    </row>
    <row r="4" spans="1:8" x14ac:dyDescent="0.25">
      <c r="A4" s="52" t="s">
        <v>0</v>
      </c>
      <c r="B4" s="52" t="s">
        <v>38</v>
      </c>
      <c r="C4" s="36"/>
      <c r="D4" s="36"/>
      <c r="E4" s="37" t="s">
        <v>1</v>
      </c>
      <c r="F4" s="29"/>
      <c r="G4" s="52" t="s">
        <v>2</v>
      </c>
      <c r="H4" s="52" t="s">
        <v>3</v>
      </c>
    </row>
    <row r="5" spans="1:8" ht="15.75" thickBot="1" x14ac:dyDescent="0.3">
      <c r="A5" s="53"/>
      <c r="B5" s="53"/>
      <c r="C5" s="55" t="s">
        <v>39</v>
      </c>
      <c r="D5" s="55"/>
      <c r="E5" s="55"/>
      <c r="F5" s="35" t="s">
        <v>57</v>
      </c>
      <c r="G5" s="53"/>
      <c r="H5" s="53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63</v>
      </c>
      <c r="B10" s="22">
        <f>+C10+F10</f>
        <v>105344.66666666667</v>
      </c>
      <c r="C10" s="22">
        <f>SUM(D10:E10)</f>
        <v>101818</v>
      </c>
      <c r="D10" s="22">
        <v>73854.333333333328</v>
      </c>
      <c r="E10" s="5">
        <v>27963.666666666668</v>
      </c>
      <c r="F10" s="5">
        <v>3526.6666666666665</v>
      </c>
      <c r="G10" s="5"/>
    </row>
    <row r="11" spans="1:8" x14ac:dyDescent="0.25">
      <c r="A11" s="4" t="s">
        <v>96</v>
      </c>
      <c r="B11" s="22">
        <f t="shared" ref="B11:B12" si="0">+C11+F11</f>
        <v>106992</v>
      </c>
      <c r="C11" s="22">
        <v>103130</v>
      </c>
      <c r="D11" s="22"/>
      <c r="E11" s="22"/>
      <c r="F11" s="22">
        <v>3862</v>
      </c>
      <c r="G11" s="5"/>
    </row>
    <row r="12" spans="1:8" x14ac:dyDescent="0.25">
      <c r="A12" s="4" t="s">
        <v>97</v>
      </c>
      <c r="B12" s="22">
        <f t="shared" si="0"/>
        <v>109573</v>
      </c>
      <c r="C12" s="22">
        <f t="shared" ref="C12" si="1">SUM(D12:E12)</f>
        <v>105813.66666666667</v>
      </c>
      <c r="D12" s="22">
        <v>77033.666666666672</v>
      </c>
      <c r="E12" s="5">
        <v>28780</v>
      </c>
      <c r="F12" s="5">
        <v>3759.3333333333335</v>
      </c>
      <c r="G12" s="5"/>
    </row>
    <row r="13" spans="1:8" x14ac:dyDescent="0.25">
      <c r="A13" s="4" t="s">
        <v>86</v>
      </c>
      <c r="B13" s="22">
        <f>+C13+F13</f>
        <v>107501</v>
      </c>
      <c r="C13" s="22">
        <v>103605</v>
      </c>
      <c r="D13" s="22"/>
      <c r="E13" s="22"/>
      <c r="F13" s="22">
        <v>3896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63</v>
      </c>
      <c r="B16" s="5">
        <f>+C16+F16+G16+H16</f>
        <v>29260288440.110001</v>
      </c>
      <c r="C16" s="22">
        <f t="shared" ref="C16" si="2">SUM(D16:E16)</f>
        <v>21663568258.579998</v>
      </c>
      <c r="D16" s="22">
        <v>15712851917.934532</v>
      </c>
      <c r="E16" s="22">
        <v>5950716340.6454659</v>
      </c>
      <c r="F16" s="22">
        <v>2689034370.1500001</v>
      </c>
      <c r="G16" s="22">
        <v>3508485807.3599997</v>
      </c>
      <c r="H16" s="24">
        <v>1399200004.02</v>
      </c>
    </row>
    <row r="17" spans="1:9" x14ac:dyDescent="0.25">
      <c r="A17" s="4" t="s">
        <v>96</v>
      </c>
      <c r="B17" s="5">
        <f t="shared" ref="B17:B19" si="3">+C17+F17+G17+H17</f>
        <v>29789113908.514999</v>
      </c>
      <c r="C17" s="22">
        <v>23204250000</v>
      </c>
      <c r="D17" s="5"/>
      <c r="E17" s="22"/>
      <c r="F17" s="22">
        <v>3059202198</v>
      </c>
      <c r="G17" s="22">
        <v>2946948125.915</v>
      </c>
      <c r="H17" s="22">
        <v>578713584.60000002</v>
      </c>
    </row>
    <row r="18" spans="1:9" x14ac:dyDescent="0.25">
      <c r="A18" s="4" t="s">
        <v>97</v>
      </c>
      <c r="B18" s="5">
        <f t="shared" si="3"/>
        <v>33992442441.499996</v>
      </c>
      <c r="C18" s="42">
        <f>D18+E18</f>
        <v>24917288981.989998</v>
      </c>
      <c r="D18" s="22">
        <v>18140089363.201321</v>
      </c>
      <c r="E18" s="22">
        <v>6777199618.7886791</v>
      </c>
      <c r="F18" s="22">
        <v>3024707948.0999999</v>
      </c>
      <c r="G18" s="22">
        <v>3794520511.4099998</v>
      </c>
      <c r="H18" s="24">
        <v>2255925000</v>
      </c>
    </row>
    <row r="19" spans="1:9" x14ac:dyDescent="0.25">
      <c r="A19" s="4" t="s">
        <v>86</v>
      </c>
      <c r="B19" s="5">
        <f t="shared" si="3"/>
        <v>129073535477.06</v>
      </c>
      <c r="C19" s="22">
        <v>101323425000</v>
      </c>
      <c r="D19" s="22"/>
      <c r="E19" s="22"/>
      <c r="F19" s="22">
        <v>13647463635</v>
      </c>
      <c r="G19" s="22">
        <v>11787792503.659998</v>
      </c>
      <c r="H19" s="22">
        <v>2314854338.4000001</v>
      </c>
    </row>
    <row r="20" spans="1:9" x14ac:dyDescent="0.25">
      <c r="A20" s="4" t="s">
        <v>98</v>
      </c>
      <c r="B20" s="41">
        <f>C20+F20+G20</f>
        <v>31736517441.499996</v>
      </c>
      <c r="C20" s="44">
        <f t="shared" ref="C20" si="4">SUM(D20:E20)</f>
        <v>24917288981.989998</v>
      </c>
      <c r="D20" s="22">
        <f>+D18</f>
        <v>18140089363.201321</v>
      </c>
      <c r="E20" s="22">
        <f t="shared" ref="E20:G20" si="5">+E18</f>
        <v>6777199618.7886791</v>
      </c>
      <c r="F20" s="5">
        <f t="shared" si="5"/>
        <v>3024707948.0999999</v>
      </c>
      <c r="G20" s="41">
        <f t="shared" si="5"/>
        <v>3794520511.4099998</v>
      </c>
      <c r="H20" s="5"/>
      <c r="I20" s="43"/>
    </row>
    <row r="21" spans="1:9" x14ac:dyDescent="0.25">
      <c r="B21" s="5"/>
      <c r="C21" s="5"/>
      <c r="D21" s="5"/>
      <c r="E21" s="5"/>
      <c r="F21" s="5"/>
      <c r="G21" s="5"/>
    </row>
    <row r="22" spans="1:9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9" x14ac:dyDescent="0.25">
      <c r="A23" s="9" t="s">
        <v>96</v>
      </c>
      <c r="B23" s="8">
        <f>B17</f>
        <v>29789113908.514999</v>
      </c>
      <c r="C23" s="8"/>
      <c r="D23" s="8"/>
      <c r="E23" s="8"/>
      <c r="F23" s="8"/>
      <c r="G23" s="8"/>
      <c r="H23" s="8"/>
    </row>
    <row r="24" spans="1:9" x14ac:dyDescent="0.25">
      <c r="A24" s="9" t="s">
        <v>97</v>
      </c>
      <c r="B24" s="8">
        <v>32237365183.790001</v>
      </c>
      <c r="C24" s="8"/>
      <c r="D24" s="8"/>
      <c r="E24" s="8"/>
      <c r="F24" s="8"/>
      <c r="G24" s="8"/>
      <c r="H24" s="8"/>
    </row>
    <row r="26" spans="1:9" x14ac:dyDescent="0.25">
      <c r="A26" s="1" t="s">
        <v>7</v>
      </c>
    </row>
    <row r="27" spans="1:9" x14ac:dyDescent="0.25">
      <c r="A27" s="10" t="s">
        <v>64</v>
      </c>
      <c r="B27" s="23">
        <v>1</v>
      </c>
      <c r="C27" s="23">
        <v>1</v>
      </c>
      <c r="D27" s="23">
        <v>1</v>
      </c>
      <c r="E27" s="23">
        <v>1</v>
      </c>
      <c r="F27" s="23">
        <v>1</v>
      </c>
      <c r="G27" s="23">
        <v>1</v>
      </c>
      <c r="H27" s="23">
        <v>1</v>
      </c>
    </row>
    <row r="28" spans="1:9" x14ac:dyDescent="0.25">
      <c r="A28" s="10" t="s">
        <v>99</v>
      </c>
      <c r="B28" s="23">
        <v>0.99</v>
      </c>
      <c r="C28" s="23">
        <v>0.99</v>
      </c>
      <c r="D28" s="23">
        <v>0.99</v>
      </c>
      <c r="E28" s="23">
        <v>0.99</v>
      </c>
      <c r="F28" s="23">
        <v>0.99</v>
      </c>
      <c r="G28" s="23">
        <v>0.99</v>
      </c>
      <c r="H28" s="23">
        <v>0.99</v>
      </c>
    </row>
    <row r="29" spans="1:9" x14ac:dyDescent="0.25">
      <c r="A29" s="4" t="s">
        <v>8</v>
      </c>
      <c r="B29" s="24">
        <f>+D29+F29</f>
        <v>97643</v>
      </c>
      <c r="C29" s="39"/>
      <c r="D29" s="24">
        <v>90768</v>
      </c>
      <c r="E29" s="24" t="s">
        <v>53</v>
      </c>
      <c r="F29" s="24">
        <v>6875</v>
      </c>
      <c r="G29" s="24"/>
      <c r="H29" s="24"/>
    </row>
    <row r="31" spans="1:9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65</v>
      </c>
      <c r="B32" s="13">
        <f t="shared" ref="B32:H32" si="6">B16/B27</f>
        <v>29260288440.110001</v>
      </c>
      <c r="C32" s="13">
        <f t="shared" ref="C32" si="7">C16/C27</f>
        <v>21663568258.579998</v>
      </c>
      <c r="D32" s="13">
        <f t="shared" si="6"/>
        <v>15712851917.934532</v>
      </c>
      <c r="E32" s="13">
        <f t="shared" si="6"/>
        <v>5950716340.6454659</v>
      </c>
      <c r="F32" s="13">
        <f t="shared" si="6"/>
        <v>2689034370.1500001</v>
      </c>
      <c r="G32" s="13">
        <f t="shared" si="6"/>
        <v>3508485807.3599997</v>
      </c>
      <c r="H32" s="13">
        <f t="shared" si="6"/>
        <v>1399200004.02</v>
      </c>
    </row>
    <row r="33" spans="1:14" x14ac:dyDescent="0.25">
      <c r="A33" s="12" t="s">
        <v>100</v>
      </c>
      <c r="B33" s="13">
        <f>B18/B28</f>
        <v>34335800445.959591</v>
      </c>
      <c r="C33" s="13">
        <f>C18/C28</f>
        <v>25168978769.686867</v>
      </c>
      <c r="D33" s="13">
        <f t="shared" ref="D33" si="8">D18/D28</f>
        <v>18323322589.092243</v>
      </c>
      <c r="E33" s="13">
        <f>E18/E28</f>
        <v>6845656180.5946255</v>
      </c>
      <c r="F33" s="13">
        <f>F18/F28</f>
        <v>3055260553.6363635</v>
      </c>
      <c r="G33" s="13">
        <f>G18/G28</f>
        <v>3832849001.4242425</v>
      </c>
      <c r="H33" s="13">
        <f>H18/H28</f>
        <v>2278712121.212121</v>
      </c>
    </row>
    <row r="34" spans="1:14" x14ac:dyDescent="0.25">
      <c r="A34" s="12" t="s">
        <v>66</v>
      </c>
      <c r="B34" s="13">
        <f>B32/B10</f>
        <v>277757.66316386842</v>
      </c>
      <c r="C34" s="13">
        <f>C32/C10</f>
        <v>212767.56819599675</v>
      </c>
      <c r="D34" s="13">
        <f>D32/D10</f>
        <v>212754.63752433212</v>
      </c>
      <c r="E34" s="13">
        <f>E32/E10</f>
        <v>212801.71915862724</v>
      </c>
      <c r="F34" s="13">
        <f>F32/F10</f>
        <v>762486.11629962199</v>
      </c>
      <c r="G34" s="13"/>
      <c r="H34" s="13"/>
    </row>
    <row r="35" spans="1:14" x14ac:dyDescent="0.25">
      <c r="A35" s="12" t="s">
        <v>101</v>
      </c>
      <c r="B35" s="13">
        <f>B33/B12</f>
        <v>313360.04714628228</v>
      </c>
      <c r="C35" s="13">
        <f>C33/C12</f>
        <v>237861.32323505974</v>
      </c>
      <c r="D35" s="13">
        <f>D33/D12</f>
        <v>237861.2284986942</v>
      </c>
      <c r="E35" s="13">
        <f>E33/E12</f>
        <v>237861.57681009817</v>
      </c>
      <c r="F35" s="13">
        <f>F33/F12</f>
        <v>812713.39429944055</v>
      </c>
      <c r="G35" s="13"/>
      <c r="H35" s="13"/>
    </row>
    <row r="37" spans="1:14" x14ac:dyDescent="0.25">
      <c r="A37" s="3" t="s">
        <v>10</v>
      </c>
    </row>
    <row r="39" spans="1:14" x14ac:dyDescent="0.25">
      <c r="A39" s="1" t="s">
        <v>11</v>
      </c>
    </row>
    <row r="40" spans="1:14" x14ac:dyDescent="0.25">
      <c r="A40" s="1" t="s">
        <v>12</v>
      </c>
      <c r="B40" s="14">
        <f>(B11/B29)*100</f>
        <v>109.57467509191648</v>
      </c>
      <c r="C40" s="14"/>
      <c r="D40" s="14">
        <f>(C11)/D29*100</f>
        <v>113.61933721135202</v>
      </c>
      <c r="E40" s="14"/>
      <c r="F40" s="14">
        <f>(F11)/F29*100</f>
        <v>56.174545454545452</v>
      </c>
      <c r="G40" s="14"/>
      <c r="J40" s="26"/>
      <c r="K40" s="26"/>
      <c r="L40" s="26"/>
      <c r="M40" s="26"/>
      <c r="N40" s="26"/>
    </row>
    <row r="41" spans="1:14" x14ac:dyDescent="0.25">
      <c r="A41" s="1" t="s">
        <v>13</v>
      </c>
      <c r="B41" s="14">
        <f>(B12/B29)*100</f>
        <v>112.21797773521911</v>
      </c>
      <c r="C41" s="40"/>
      <c r="D41" s="14">
        <f>(D12)/D29*100</f>
        <v>84.868749632763382</v>
      </c>
      <c r="E41" s="14"/>
      <c r="F41" s="14">
        <f t="shared" ref="F41" si="9">(F12)/F29*100</f>
        <v>54.68121212121212</v>
      </c>
      <c r="G41" s="14"/>
      <c r="J41" s="26"/>
      <c r="K41" s="26"/>
      <c r="L41" s="26"/>
      <c r="M41" s="26"/>
      <c r="N41" s="26"/>
    </row>
    <row r="42" spans="1:14" x14ac:dyDescent="0.25">
      <c r="J42" s="26"/>
      <c r="K42" s="26"/>
      <c r="L42" s="26"/>
      <c r="M42" s="26"/>
      <c r="N42" s="26"/>
    </row>
    <row r="43" spans="1:14" x14ac:dyDescent="0.25">
      <c r="A43" s="1" t="s">
        <v>14</v>
      </c>
      <c r="J43" s="26"/>
      <c r="K43" s="26"/>
      <c r="L43" s="26"/>
      <c r="M43" s="26"/>
      <c r="N43" s="26"/>
    </row>
    <row r="44" spans="1:14" x14ac:dyDescent="0.25">
      <c r="A44" s="1" t="s">
        <v>15</v>
      </c>
      <c r="B44" s="14">
        <f>B12/B11*100</f>
        <v>102.41232989382382</v>
      </c>
      <c r="C44" s="14">
        <f>C12/C11*100</f>
        <v>102.60221726623355</v>
      </c>
      <c r="D44" s="14"/>
      <c r="E44" s="14"/>
      <c r="F44" s="14">
        <f>F12/F11*100</f>
        <v>97.341619195580876</v>
      </c>
      <c r="G44" s="14"/>
      <c r="J44" s="26"/>
      <c r="K44" s="26"/>
      <c r="L44" s="26"/>
      <c r="M44" s="26"/>
      <c r="N44" s="26"/>
    </row>
    <row r="45" spans="1:14" x14ac:dyDescent="0.25">
      <c r="A45" s="1" t="s">
        <v>16</v>
      </c>
      <c r="B45" s="14">
        <f>B18/B17*100</f>
        <v>114.11028386374227</v>
      </c>
      <c r="C45" s="14">
        <f>C18/C17*100</f>
        <v>107.38243632950859</v>
      </c>
      <c r="D45" s="14"/>
      <c r="E45" s="14"/>
      <c r="F45" s="14">
        <f>F18/F17*100</f>
        <v>98.872442955141992</v>
      </c>
      <c r="G45" s="14">
        <f>G18/G17*100</f>
        <v>128.76102154773548</v>
      </c>
      <c r="H45" s="14">
        <f>H18/H17*100</f>
        <v>389.81718418779968</v>
      </c>
      <c r="J45" s="26"/>
      <c r="K45" s="26"/>
      <c r="L45" s="26"/>
      <c r="M45" s="26"/>
      <c r="N45" s="26"/>
    </row>
    <row r="46" spans="1:14" x14ac:dyDescent="0.25">
      <c r="A46" s="12" t="s">
        <v>17</v>
      </c>
      <c r="B46" s="15">
        <f>AVERAGE(B44:B45)</f>
        <v>108.26130687878305</v>
      </c>
      <c r="C46" s="15">
        <f>AVERAGE(C44:C45)</f>
        <v>104.99232679787107</v>
      </c>
      <c r="D46" s="15"/>
      <c r="E46" s="15"/>
      <c r="F46" s="15">
        <f t="shared" ref="F46:H46" si="10">AVERAGE(F44:F45)</f>
        <v>98.107031075361434</v>
      </c>
      <c r="G46" s="15">
        <f>AVERAGE(G44:G45)</f>
        <v>128.76102154773548</v>
      </c>
      <c r="H46" s="15">
        <f t="shared" si="10"/>
        <v>389.81718418779968</v>
      </c>
      <c r="J46" s="26"/>
      <c r="K46" s="26"/>
      <c r="L46" s="26"/>
      <c r="M46" s="26"/>
      <c r="N46" s="26"/>
    </row>
    <row r="47" spans="1:14" x14ac:dyDescent="0.25">
      <c r="B47" s="14"/>
      <c r="C47" s="14"/>
      <c r="D47" s="14"/>
      <c r="E47" s="14"/>
      <c r="F47" s="14"/>
      <c r="G47" s="14"/>
      <c r="H47" s="14"/>
      <c r="J47" s="26"/>
      <c r="K47" s="26"/>
      <c r="L47" s="26"/>
      <c r="M47" s="26"/>
      <c r="N47" s="26"/>
    </row>
    <row r="48" spans="1:14" x14ac:dyDescent="0.25">
      <c r="A48" s="1" t="s">
        <v>18</v>
      </c>
      <c r="J48" s="26"/>
      <c r="K48" s="26"/>
      <c r="L48" s="26"/>
      <c r="M48" s="26"/>
      <c r="N48" s="26"/>
    </row>
    <row r="49" spans="1:14" x14ac:dyDescent="0.25">
      <c r="A49" s="1" t="s">
        <v>19</v>
      </c>
      <c r="B49" s="16">
        <f>B12/(B13)*100</f>
        <v>101.92742393094019</v>
      </c>
      <c r="C49" s="16">
        <f t="shared" ref="C49:F49" si="11">C12/(C13)*100</f>
        <v>102.13181474510561</v>
      </c>
      <c r="D49" s="16"/>
      <c r="E49" s="16"/>
      <c r="F49" s="16">
        <f t="shared" si="11"/>
        <v>96.492128678987001</v>
      </c>
      <c r="G49" s="16"/>
      <c r="H49" s="16"/>
      <c r="I49" s="43"/>
      <c r="J49" s="26"/>
      <c r="K49" s="26"/>
      <c r="L49" s="26"/>
      <c r="M49" s="26"/>
      <c r="N49" s="26"/>
    </row>
    <row r="50" spans="1:14" x14ac:dyDescent="0.25">
      <c r="A50" s="1" t="s">
        <v>20</v>
      </c>
      <c r="B50" s="14">
        <f>B18/B19*100</f>
        <v>26.335718097333295</v>
      </c>
      <c r="C50" s="14">
        <f>C18/C19*100</f>
        <v>24.591834496307243</v>
      </c>
      <c r="D50" s="14"/>
      <c r="E50" s="14"/>
      <c r="F50" s="14">
        <f>F18/F19*100</f>
        <v>22.163150816851399</v>
      </c>
      <c r="G50" s="14">
        <f>G18/G19*100</f>
        <v>32.190255386933877</v>
      </c>
      <c r="H50" s="14">
        <f>H18/H19*100</f>
        <v>97.454296046949921</v>
      </c>
      <c r="J50" s="26"/>
      <c r="K50" s="26"/>
      <c r="L50" s="26"/>
      <c r="M50" s="26"/>
      <c r="N50" s="26"/>
    </row>
    <row r="51" spans="1:14" x14ac:dyDescent="0.25">
      <c r="A51" s="1" t="s">
        <v>21</v>
      </c>
      <c r="B51" s="14">
        <f>(B49+B50)/2</f>
        <v>64.131571014136739</v>
      </c>
      <c r="C51" s="14">
        <f t="shared" ref="C51" si="12">(C49+C50)/2</f>
        <v>63.361824620706429</v>
      </c>
      <c r="D51" s="14"/>
      <c r="E51" s="14"/>
      <c r="F51" s="14">
        <f t="shared" ref="F51" si="13">(F49+F50)/2</f>
        <v>59.3276397479192</v>
      </c>
      <c r="G51" s="16">
        <f>AVERAGE(G49:G50)</f>
        <v>32.190255386933877</v>
      </c>
      <c r="H51" s="16">
        <f t="shared" ref="H51" si="14">AVERAGE(H49:H50)</f>
        <v>97.454296046949921</v>
      </c>
      <c r="J51" s="26"/>
      <c r="K51" s="26"/>
      <c r="L51" s="26"/>
      <c r="M51" s="26"/>
      <c r="N51" s="26"/>
    </row>
    <row r="52" spans="1:14" x14ac:dyDescent="0.25">
      <c r="J52" s="26"/>
      <c r="K52" s="26"/>
      <c r="L52" s="26"/>
      <c r="M52" s="26"/>
      <c r="N52" s="26"/>
    </row>
    <row r="53" spans="1:14" x14ac:dyDescent="0.25">
      <c r="A53" s="1" t="s">
        <v>33</v>
      </c>
      <c r="J53" s="26"/>
      <c r="K53" s="26"/>
      <c r="L53" s="26"/>
      <c r="M53" s="26"/>
      <c r="N53" s="26"/>
    </row>
    <row r="54" spans="1:14" x14ac:dyDescent="0.25">
      <c r="A54" s="1" t="s">
        <v>22</v>
      </c>
      <c r="B54" s="14">
        <f>(B20/B18)*100</f>
        <v>93.363451291026294</v>
      </c>
      <c r="C54" s="14"/>
      <c r="D54" s="14"/>
      <c r="E54" s="14"/>
      <c r="F54" s="14"/>
      <c r="G54" s="14"/>
      <c r="H54" s="14"/>
      <c r="J54" s="26"/>
      <c r="K54" s="26"/>
      <c r="L54" s="26"/>
      <c r="M54" s="26"/>
      <c r="N54" s="26"/>
    </row>
    <row r="55" spans="1:14" x14ac:dyDescent="0.25">
      <c r="J55" s="26"/>
      <c r="K55" s="26"/>
      <c r="L55" s="26"/>
      <c r="M55" s="26"/>
      <c r="N55" s="26"/>
    </row>
    <row r="56" spans="1:14" x14ac:dyDescent="0.25">
      <c r="A56" s="1" t="s">
        <v>23</v>
      </c>
      <c r="J56" s="26"/>
      <c r="K56" s="26"/>
      <c r="L56" s="26"/>
      <c r="M56" s="26"/>
      <c r="N56" s="26"/>
    </row>
    <row r="57" spans="1:14" x14ac:dyDescent="0.25">
      <c r="A57" s="1" t="s">
        <v>24</v>
      </c>
      <c r="B57" s="14">
        <f>((B12/B10)-1)*100</f>
        <v>4.0138086408424423</v>
      </c>
      <c r="C57" s="14">
        <f>((C12/C10)-1)*100</f>
        <v>3.9243224839091928</v>
      </c>
      <c r="D57" s="14">
        <f t="shared" ref="D57:F57" si="15">((D12/D10)-1)*100</f>
        <v>4.3048703980357761</v>
      </c>
      <c r="E57" s="14">
        <f t="shared" si="15"/>
        <v>2.9192642834153792</v>
      </c>
      <c r="F57" s="14">
        <f t="shared" si="15"/>
        <v>6.5973534971644598</v>
      </c>
      <c r="G57" s="14"/>
      <c r="H57" s="14"/>
      <c r="J57" s="26"/>
      <c r="K57" s="26"/>
      <c r="L57" s="26"/>
      <c r="M57" s="26"/>
      <c r="N57" s="26"/>
    </row>
    <row r="58" spans="1:14" x14ac:dyDescent="0.25">
      <c r="A58" s="1" t="s">
        <v>25</v>
      </c>
      <c r="B58" s="16">
        <f>((B33/B32)-1)*100</f>
        <v>17.3460764620901</v>
      </c>
      <c r="C58" s="16">
        <f>((C33/C32)-1)*100</f>
        <v>16.181131701230832</v>
      </c>
      <c r="D58" s="16">
        <f t="shared" ref="D58:G58" si="16">((D33/D32)-1)*100</f>
        <v>16.613601940575396</v>
      </c>
      <c r="E58" s="16">
        <f t="shared" si="16"/>
        <v>15.039195093814307</v>
      </c>
      <c r="F58" s="16">
        <f t="shared" si="16"/>
        <v>13.61924516665567</v>
      </c>
      <c r="G58" s="16">
        <f t="shared" si="16"/>
        <v>9.2451049220094728</v>
      </c>
      <c r="H58" s="16">
        <f>((H33/H32)-1)*100</f>
        <v>62.85821288344917</v>
      </c>
      <c r="J58" s="26"/>
      <c r="K58" s="26"/>
      <c r="L58" s="26"/>
      <c r="M58" s="26"/>
      <c r="N58" s="26"/>
    </row>
    <row r="59" spans="1:14" x14ac:dyDescent="0.25">
      <c r="A59" s="12" t="s">
        <v>26</v>
      </c>
      <c r="B59" s="15">
        <f>((B35/B34)-1)*100</f>
        <v>12.81778640303779</v>
      </c>
      <c r="C59" s="15">
        <f>((C35/C34)-1)*100</f>
        <v>11.793975581817605</v>
      </c>
      <c r="D59" s="15">
        <f t="shared" ref="D59:F59" si="17">((D35/D34)-1)*100</f>
        <v>11.800725599455241</v>
      </c>
      <c r="E59" s="15">
        <f t="shared" si="17"/>
        <v>11.776153759731024</v>
      </c>
      <c r="F59" s="15">
        <f t="shared" si="17"/>
        <v>6.5873039424735547</v>
      </c>
      <c r="G59" s="15"/>
      <c r="H59" s="15"/>
      <c r="J59" s="26"/>
      <c r="K59" s="26"/>
      <c r="L59" s="26"/>
      <c r="M59" s="26"/>
      <c r="N59" s="26"/>
    </row>
    <row r="60" spans="1:14" x14ac:dyDescent="0.25">
      <c r="A60" s="25"/>
      <c r="B60" s="16"/>
      <c r="C60" s="16"/>
      <c r="D60" s="16"/>
      <c r="E60" s="16"/>
      <c r="F60" s="16"/>
      <c r="G60" s="16"/>
      <c r="H60" s="16"/>
      <c r="J60" s="26"/>
      <c r="K60" s="26"/>
      <c r="L60" s="26"/>
      <c r="M60" s="26"/>
      <c r="N60" s="26"/>
    </row>
    <row r="61" spans="1:14" x14ac:dyDescent="0.25">
      <c r="A61" s="1" t="s">
        <v>27</v>
      </c>
      <c r="J61" s="26"/>
      <c r="K61" s="26"/>
      <c r="L61" s="26"/>
      <c r="M61" s="26"/>
      <c r="N61" s="26"/>
    </row>
    <row r="62" spans="1:14" x14ac:dyDescent="0.25">
      <c r="A62" s="1" t="s">
        <v>34</v>
      </c>
      <c r="B62" s="5">
        <f>B17/(B11*3)</f>
        <v>92807.916817815043</v>
      </c>
      <c r="C62" s="5">
        <f>C17/(C11*3)</f>
        <v>75000</v>
      </c>
      <c r="D62" s="5"/>
      <c r="E62" s="5"/>
      <c r="F62" s="5">
        <f t="shared" ref="F62" si="18">F17/(F11*3)</f>
        <v>264043</v>
      </c>
      <c r="G62" s="5"/>
      <c r="H62" s="5"/>
      <c r="J62" s="26"/>
      <c r="K62" s="26"/>
      <c r="L62" s="26"/>
      <c r="M62" s="26"/>
      <c r="N62" s="26"/>
    </row>
    <row r="63" spans="1:14" x14ac:dyDescent="0.25">
      <c r="A63" s="1" t="s">
        <v>35</v>
      </c>
      <c r="B63" s="5">
        <f>B18/(B12*3)</f>
        <v>103408.81555827317</v>
      </c>
      <c r="C63" s="5">
        <f>C18/(C12*3)</f>
        <v>78494.236667569712</v>
      </c>
      <c r="D63" s="5">
        <f t="shared" ref="D63:F63" si="19">D18/(D12*3)</f>
        <v>78494.205404569089</v>
      </c>
      <c r="E63" s="5">
        <f t="shared" si="19"/>
        <v>78494.320347332396</v>
      </c>
      <c r="F63" s="5">
        <f t="shared" si="19"/>
        <v>268195.42011881538</v>
      </c>
      <c r="G63" s="5"/>
      <c r="H63" s="5"/>
      <c r="J63" s="26"/>
      <c r="K63" s="26"/>
      <c r="L63" s="26"/>
      <c r="M63" s="26"/>
      <c r="N63" s="26"/>
    </row>
    <row r="64" spans="1:14" x14ac:dyDescent="0.25">
      <c r="A64" s="12" t="s">
        <v>28</v>
      </c>
      <c r="B64" s="15">
        <f>(B63/B62)*B46</f>
        <v>120.62735485273498</v>
      </c>
      <c r="C64" s="15">
        <f t="shared" ref="C64:F64" si="20">(C63/C62)*C46</f>
        <v>109.88390063934553</v>
      </c>
      <c r="D64" s="15" t="e">
        <f t="shared" si="20"/>
        <v>#DIV/0!</v>
      </c>
      <c r="E64" s="15" t="e">
        <f t="shared" si="20"/>
        <v>#DIV/0!</v>
      </c>
      <c r="F64" s="15">
        <f t="shared" si="20"/>
        <v>99.649891933761694</v>
      </c>
      <c r="G64" s="15"/>
      <c r="H64" s="15"/>
      <c r="J64" s="26"/>
      <c r="K64" s="26"/>
      <c r="L64" s="26"/>
      <c r="M64" s="26"/>
      <c r="N64" s="26"/>
    </row>
    <row r="65" spans="1:14" x14ac:dyDescent="0.25">
      <c r="A65" s="16" t="s">
        <v>36</v>
      </c>
      <c r="B65" s="5">
        <f>B17/B11</f>
        <v>278423.75045344513</v>
      </c>
      <c r="C65" s="5">
        <f>C17/C11</f>
        <v>225000</v>
      </c>
      <c r="D65" s="5"/>
      <c r="E65" s="5"/>
      <c r="F65" s="5">
        <f t="shared" ref="F65" si="21">F17/F11</f>
        <v>792129</v>
      </c>
      <c r="G65" s="16"/>
      <c r="H65" s="16"/>
      <c r="J65" s="26"/>
      <c r="K65" s="26"/>
      <c r="L65" s="26"/>
      <c r="M65" s="26"/>
      <c r="N65" s="26"/>
    </row>
    <row r="66" spans="1:14" x14ac:dyDescent="0.25">
      <c r="A66" s="16" t="s">
        <v>37</v>
      </c>
      <c r="B66" s="5">
        <f>B18/B12</f>
        <v>310226.44667481951</v>
      </c>
      <c r="C66" s="5">
        <f>C18/C12</f>
        <v>235482.71000270912</v>
      </c>
      <c r="D66" s="22">
        <f>D18/D12</f>
        <v>235482.61621370725</v>
      </c>
      <c r="E66" s="22">
        <f>E18/E12</f>
        <v>235482.96104199719</v>
      </c>
      <c r="F66" s="5">
        <f t="shared" ref="F66" si="22">F18/F12</f>
        <v>804586.26035644615</v>
      </c>
      <c r="G66" s="16"/>
      <c r="H66" s="16"/>
      <c r="I66" s="43"/>
      <c r="J66" s="26"/>
      <c r="K66" s="26"/>
      <c r="L66" s="26"/>
      <c r="M66" s="26"/>
      <c r="N66" s="26"/>
    </row>
    <row r="67" spans="1:14" x14ac:dyDescent="0.25">
      <c r="B67" s="14"/>
      <c r="C67" s="14"/>
      <c r="D67" s="14"/>
      <c r="E67" s="14"/>
      <c r="F67" s="14"/>
      <c r="G67" s="14"/>
      <c r="H67" s="14"/>
      <c r="J67" s="26"/>
      <c r="K67" s="26"/>
      <c r="L67" s="26"/>
      <c r="M67" s="26"/>
      <c r="N67" s="26"/>
    </row>
    <row r="68" spans="1:14" x14ac:dyDescent="0.25">
      <c r="A68" s="1" t="s">
        <v>29</v>
      </c>
      <c r="B68" s="14"/>
      <c r="C68" s="14"/>
      <c r="D68" s="14"/>
      <c r="E68" s="14"/>
      <c r="F68" s="14"/>
      <c r="G68" s="14"/>
      <c r="H68" s="14"/>
      <c r="J68" s="26"/>
      <c r="K68" s="26"/>
      <c r="L68" s="26"/>
      <c r="M68" s="26"/>
      <c r="N68" s="26"/>
    </row>
    <row r="69" spans="1:14" x14ac:dyDescent="0.25">
      <c r="A69" s="17" t="s">
        <v>30</v>
      </c>
      <c r="B69" s="18">
        <f>(B24/B23)*100</f>
        <v>108.21861060652492</v>
      </c>
      <c r="C69" s="18"/>
      <c r="D69" s="18"/>
      <c r="E69" s="18"/>
      <c r="F69" s="18"/>
      <c r="G69" s="18"/>
      <c r="H69" s="18"/>
      <c r="J69" s="26"/>
      <c r="K69" s="26"/>
      <c r="L69" s="26"/>
      <c r="M69" s="26"/>
      <c r="N69" s="26"/>
    </row>
    <row r="70" spans="1:14" x14ac:dyDescent="0.25">
      <c r="A70" s="17" t="s">
        <v>31</v>
      </c>
      <c r="B70" s="18">
        <f>(B18/B24)*100</f>
        <v>105.44423295050336</v>
      </c>
      <c r="C70" s="18"/>
      <c r="D70" s="18"/>
      <c r="E70" s="18"/>
      <c r="F70" s="18"/>
      <c r="G70" s="18"/>
      <c r="H70" s="18"/>
      <c r="J70" s="26"/>
      <c r="K70" s="26"/>
      <c r="L70" s="26"/>
      <c r="M70" s="26"/>
      <c r="N70" s="26"/>
    </row>
    <row r="71" spans="1:14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14" ht="15.75" thickTop="1" x14ac:dyDescent="0.25"/>
    <row r="73" spans="1:14" x14ac:dyDescent="0.25">
      <c r="A73" s="1" t="s">
        <v>32</v>
      </c>
    </row>
    <row r="74" spans="1:14" x14ac:dyDescent="0.25">
      <c r="A74" s="1" t="s">
        <v>102</v>
      </c>
    </row>
    <row r="75" spans="1:14" x14ac:dyDescent="0.25">
      <c r="A75" s="1" t="s">
        <v>92</v>
      </c>
      <c r="B75" s="20"/>
      <c r="C75" s="20"/>
      <c r="D75" s="20"/>
      <c r="E75" s="20"/>
      <c r="F75" s="20"/>
    </row>
    <row r="76" spans="1:14" x14ac:dyDescent="0.25">
      <c r="A76" s="1" t="s">
        <v>93</v>
      </c>
    </row>
    <row r="78" spans="1:14" x14ac:dyDescent="0.25">
      <c r="A78" s="1" t="s">
        <v>48</v>
      </c>
    </row>
    <row r="79" spans="1:14" x14ac:dyDescent="0.25">
      <c r="A79" s="1" t="s">
        <v>50</v>
      </c>
    </row>
    <row r="80" spans="1:14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24" t="s">
        <v>124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zoomScale="80" zoomScaleNormal="80" workbookViewId="0">
      <selection activeCell="A18" sqref="A18:XFD18"/>
    </sheetView>
  </sheetViews>
  <sheetFormatPr baseColWidth="10" defaultColWidth="11.42578125" defaultRowHeight="15" x14ac:dyDescent="0.25"/>
  <cols>
    <col min="1" max="1" width="55.140625" style="1" customWidth="1"/>
    <col min="2" max="2" width="20.42578125" style="1" customWidth="1"/>
    <col min="3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4" t="s">
        <v>103</v>
      </c>
      <c r="B2" s="54"/>
      <c r="C2" s="54"/>
      <c r="D2" s="54"/>
      <c r="E2" s="54"/>
      <c r="F2" s="54"/>
      <c r="G2" s="54"/>
      <c r="H2" s="54"/>
    </row>
    <row r="4" spans="1:8" x14ac:dyDescent="0.25">
      <c r="A4" s="52" t="s">
        <v>0</v>
      </c>
      <c r="B4" s="52" t="s">
        <v>38</v>
      </c>
      <c r="C4" s="36"/>
      <c r="D4" s="56" t="s">
        <v>1</v>
      </c>
      <c r="E4" s="56"/>
      <c r="F4" s="57"/>
      <c r="G4" s="52" t="s">
        <v>2</v>
      </c>
      <c r="H4" s="52" t="s">
        <v>3</v>
      </c>
    </row>
    <row r="5" spans="1:8" ht="15.75" thickBot="1" x14ac:dyDescent="0.3">
      <c r="A5" s="53"/>
      <c r="B5" s="53"/>
      <c r="C5" s="55" t="s">
        <v>39</v>
      </c>
      <c r="D5" s="55"/>
      <c r="E5" s="55"/>
      <c r="F5" s="35" t="s">
        <v>57</v>
      </c>
      <c r="G5" s="53"/>
      <c r="H5" s="53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67</v>
      </c>
      <c r="B10" s="22">
        <f>+C10+F10</f>
        <v>106552</v>
      </c>
      <c r="C10" s="22">
        <f>SUM(D10:E10)</f>
        <v>102962</v>
      </c>
      <c r="D10" s="5">
        <v>74751.333333333328</v>
      </c>
      <c r="E10" s="5">
        <v>28210.666666666668</v>
      </c>
      <c r="F10" s="5">
        <v>3590</v>
      </c>
      <c r="G10" s="5"/>
    </row>
    <row r="11" spans="1:8" x14ac:dyDescent="0.25">
      <c r="A11" s="4" t="s">
        <v>104</v>
      </c>
      <c r="B11" s="22">
        <f t="shared" ref="B11:B13" si="0">+C11+F11</f>
        <v>108006</v>
      </c>
      <c r="C11" s="22">
        <v>104075</v>
      </c>
      <c r="D11" s="22"/>
      <c r="E11" s="22"/>
      <c r="F11" s="22">
        <v>3931</v>
      </c>
      <c r="G11" s="5"/>
    </row>
    <row r="12" spans="1:8" x14ac:dyDescent="0.25">
      <c r="A12" s="4" t="s">
        <v>105</v>
      </c>
      <c r="B12" s="22">
        <f t="shared" si="0"/>
        <v>110637.33333333334</v>
      </c>
      <c r="C12" s="22">
        <f t="shared" ref="C12" si="1">SUM(D12:E12)</f>
        <v>106825.66666666667</v>
      </c>
      <c r="D12" s="5">
        <v>77912</v>
      </c>
      <c r="E12" s="5">
        <v>28913.666666666668</v>
      </c>
      <c r="F12" s="5">
        <v>3811.6666666666665</v>
      </c>
      <c r="G12" s="5"/>
    </row>
    <row r="13" spans="1:8" x14ac:dyDescent="0.25">
      <c r="A13" s="4" t="s">
        <v>86</v>
      </c>
      <c r="B13" s="22">
        <f t="shared" si="0"/>
        <v>107501</v>
      </c>
      <c r="C13" s="22">
        <v>103605</v>
      </c>
      <c r="D13" s="22"/>
      <c r="E13" s="22"/>
      <c r="F13" s="22">
        <v>3896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67</v>
      </c>
      <c r="B16" s="5">
        <f>+C16+F16+G16+H16</f>
        <v>28863812026.75</v>
      </c>
      <c r="C16" s="22">
        <f t="shared" ref="C16" si="2">SUM(D16:E16)</f>
        <v>21411780786.130001</v>
      </c>
      <c r="D16" s="22">
        <v>15545428755.462523</v>
      </c>
      <c r="E16" s="22">
        <v>5866352030.6674776</v>
      </c>
      <c r="F16" s="22">
        <v>2786181676.1500001</v>
      </c>
      <c r="G16" s="22">
        <v>3549349564.46</v>
      </c>
      <c r="H16" s="24">
        <v>1116500000.0099998</v>
      </c>
    </row>
    <row r="17" spans="1:9" x14ac:dyDescent="0.25">
      <c r="A17" s="4" t="s">
        <v>104</v>
      </c>
      <c r="B17" s="5">
        <f t="shared" ref="B17:B19" si="3">+C17+F17+G17+H17</f>
        <v>30149808162.514999</v>
      </c>
      <c r="C17" s="22">
        <v>23416875000</v>
      </c>
      <c r="D17" s="5"/>
      <c r="E17" s="22"/>
      <c r="F17" s="22">
        <v>3207271452</v>
      </c>
      <c r="G17" s="22">
        <v>2946948125.915</v>
      </c>
      <c r="H17" s="22">
        <v>578713584.60000002</v>
      </c>
    </row>
    <row r="18" spans="1:9" s="25" customFormat="1" x14ac:dyDescent="0.25">
      <c r="A18" s="51" t="s">
        <v>105</v>
      </c>
      <c r="B18" s="22">
        <f t="shared" si="3"/>
        <v>32397407783.279999</v>
      </c>
      <c r="C18" s="22">
        <f>D18+E18</f>
        <v>24286210846.420002</v>
      </c>
      <c r="D18" s="22">
        <v>17713374476.759422</v>
      </c>
      <c r="E18" s="22">
        <v>6572836369.6605797</v>
      </c>
      <c r="F18" s="22">
        <v>3023361135.1499996</v>
      </c>
      <c r="G18" s="22">
        <v>3836910801.71</v>
      </c>
      <c r="H18" s="24">
        <v>1250925000</v>
      </c>
    </row>
    <row r="19" spans="1:9" ht="13.5" customHeight="1" x14ac:dyDescent="0.25">
      <c r="A19" s="4" t="s">
        <v>86</v>
      </c>
      <c r="B19" s="5">
        <f t="shared" si="3"/>
        <v>129073535477.06</v>
      </c>
      <c r="C19" s="22">
        <v>101323425000</v>
      </c>
      <c r="D19" s="22"/>
      <c r="E19" s="22"/>
      <c r="F19" s="22">
        <v>13647463635</v>
      </c>
      <c r="G19" s="22">
        <v>11787792503.659998</v>
      </c>
      <c r="H19" s="22">
        <v>2314854338.4000001</v>
      </c>
    </row>
    <row r="20" spans="1:9" x14ac:dyDescent="0.25">
      <c r="A20" s="4" t="s">
        <v>106</v>
      </c>
      <c r="B20" s="41">
        <f>C20+F20+G20</f>
        <v>31146482783.279999</v>
      </c>
      <c r="C20" s="44">
        <f t="shared" ref="C20" si="4">SUM(D20:E20)</f>
        <v>24286210846.420002</v>
      </c>
      <c r="D20" s="22">
        <f>+D18</f>
        <v>17713374476.759422</v>
      </c>
      <c r="E20" s="22">
        <f t="shared" ref="E20:G20" si="5">+E18</f>
        <v>6572836369.6605797</v>
      </c>
      <c r="F20" s="5">
        <f t="shared" si="5"/>
        <v>3023361135.1499996</v>
      </c>
      <c r="G20" s="41">
        <f t="shared" si="5"/>
        <v>3836910801.71</v>
      </c>
      <c r="H20" s="5"/>
      <c r="I20" s="43"/>
    </row>
    <row r="21" spans="1:9" x14ac:dyDescent="0.25">
      <c r="B21" s="5"/>
      <c r="C21" s="5"/>
      <c r="D21" s="5"/>
      <c r="E21" s="5"/>
      <c r="F21" s="5"/>
      <c r="G21" s="5"/>
    </row>
    <row r="22" spans="1:9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9" x14ac:dyDescent="0.25">
      <c r="A23" s="9" t="s">
        <v>104</v>
      </c>
      <c r="B23" s="8">
        <f>B17</f>
        <v>30149808162.514999</v>
      </c>
      <c r="C23" s="8"/>
      <c r="D23" s="8"/>
      <c r="E23" s="8"/>
      <c r="F23" s="8"/>
      <c r="G23" s="8"/>
      <c r="H23" s="8"/>
    </row>
    <row r="24" spans="1:9" x14ac:dyDescent="0.25">
      <c r="A24" s="9" t="s">
        <v>105</v>
      </c>
      <c r="B24" s="8">
        <v>34742113620.330002</v>
      </c>
      <c r="C24" s="8"/>
      <c r="D24" s="8"/>
      <c r="E24" s="8"/>
      <c r="F24" s="8"/>
      <c r="G24" s="8"/>
      <c r="H24" s="8"/>
    </row>
    <row r="26" spans="1:9" x14ac:dyDescent="0.25">
      <c r="A26" s="1" t="s">
        <v>7</v>
      </c>
    </row>
    <row r="27" spans="1:9" x14ac:dyDescent="0.25">
      <c r="A27" s="10" t="s">
        <v>68</v>
      </c>
      <c r="B27" s="23">
        <v>0.99</v>
      </c>
      <c r="C27" s="23">
        <v>0.99</v>
      </c>
      <c r="D27" s="23">
        <v>0.99</v>
      </c>
      <c r="E27" s="23">
        <v>0.99</v>
      </c>
      <c r="F27" s="23">
        <v>0.99</v>
      </c>
      <c r="G27" s="23">
        <v>0.99</v>
      </c>
      <c r="H27" s="23">
        <v>0.99</v>
      </c>
    </row>
    <row r="28" spans="1:9" x14ac:dyDescent="0.25">
      <c r="A28" s="10" t="s">
        <v>107</v>
      </c>
      <c r="B28" s="23">
        <v>0.99</v>
      </c>
      <c r="C28" s="23">
        <v>0.99</v>
      </c>
      <c r="D28" s="23">
        <v>0.99</v>
      </c>
      <c r="E28" s="23">
        <v>0.99</v>
      </c>
      <c r="F28" s="23">
        <v>0.99</v>
      </c>
      <c r="G28" s="23">
        <v>0.99</v>
      </c>
      <c r="H28" s="23">
        <v>0.99</v>
      </c>
    </row>
    <row r="29" spans="1:9" x14ac:dyDescent="0.25">
      <c r="A29" s="4" t="s">
        <v>8</v>
      </c>
      <c r="B29" s="24">
        <f>+D29+F29</f>
        <v>97643</v>
      </c>
      <c r="C29" s="39"/>
      <c r="D29" s="24">
        <v>90768</v>
      </c>
      <c r="E29" s="24" t="s">
        <v>53</v>
      </c>
      <c r="F29" s="24">
        <v>6875</v>
      </c>
      <c r="G29" s="24"/>
      <c r="H29" s="24"/>
    </row>
    <row r="31" spans="1:9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69</v>
      </c>
      <c r="B32" s="13">
        <f t="shared" ref="B32:H32" si="6">B16/B27</f>
        <v>29155365683.585857</v>
      </c>
      <c r="C32" s="13">
        <f t="shared" si="6"/>
        <v>21628061400.131313</v>
      </c>
      <c r="D32" s="13">
        <f t="shared" si="6"/>
        <v>15702453288.345982</v>
      </c>
      <c r="E32" s="13">
        <f t="shared" si="6"/>
        <v>5925608111.7853308</v>
      </c>
      <c r="F32" s="13">
        <f t="shared" si="6"/>
        <v>2814324925.4040403</v>
      </c>
      <c r="G32" s="13">
        <f t="shared" si="6"/>
        <v>3585201580.2626262</v>
      </c>
      <c r="H32" s="13">
        <f t="shared" si="6"/>
        <v>1127777777.7878785</v>
      </c>
    </row>
    <row r="33" spans="1:8" x14ac:dyDescent="0.25">
      <c r="A33" s="12" t="s">
        <v>108</v>
      </c>
      <c r="B33" s="13">
        <f t="shared" ref="B33:H33" si="7">B18/B28</f>
        <v>32724654326.545452</v>
      </c>
      <c r="C33" s="13">
        <f t="shared" si="7"/>
        <v>24531526107.494953</v>
      </c>
      <c r="D33" s="13">
        <f t="shared" si="7"/>
        <v>17892297451.272144</v>
      </c>
      <c r="E33" s="13">
        <f t="shared" si="7"/>
        <v>6639228656.2228079</v>
      </c>
      <c r="F33" s="13">
        <f t="shared" si="7"/>
        <v>3053900136.515151</v>
      </c>
      <c r="G33" s="13">
        <f t="shared" si="7"/>
        <v>3875667476.4747477</v>
      </c>
      <c r="H33" s="13">
        <f t="shared" si="7"/>
        <v>1263560606.060606</v>
      </c>
    </row>
    <row r="34" spans="1:8" x14ac:dyDescent="0.25">
      <c r="A34" s="12" t="s">
        <v>70</v>
      </c>
      <c r="B34" s="13">
        <f>B32/B10</f>
        <v>273625.70091209793</v>
      </c>
      <c r="C34" s="13">
        <f t="shared" ref="C34:F34" si="8">C32/C10</f>
        <v>210058.67601766976</v>
      </c>
      <c r="D34" s="13">
        <f t="shared" si="8"/>
        <v>210062.51779249401</v>
      </c>
      <c r="E34" s="13">
        <f t="shared" si="8"/>
        <v>210048.49625857821</v>
      </c>
      <c r="F34" s="13">
        <f t="shared" si="8"/>
        <v>783934.51961115329</v>
      </c>
      <c r="G34" s="13"/>
      <c r="H34" s="13"/>
    </row>
    <row r="35" spans="1:8" x14ac:dyDescent="0.25">
      <c r="A35" s="12" t="s">
        <v>109</v>
      </c>
      <c r="B35" s="13">
        <f>B33/B12</f>
        <v>295783.10811189818</v>
      </c>
      <c r="C35" s="13">
        <f t="shared" ref="C35:F35" si="9">C33/C12</f>
        <v>229640.74901626279</v>
      </c>
      <c r="D35" s="13">
        <f t="shared" si="9"/>
        <v>229647.51837036843</v>
      </c>
      <c r="E35" s="13">
        <f t="shared" si="9"/>
        <v>229622.50802582887</v>
      </c>
      <c r="F35" s="13">
        <f t="shared" si="9"/>
        <v>801198.11189728498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(B11/B29)*100</f>
        <v>110.61315199246233</v>
      </c>
      <c r="C40" s="14"/>
      <c r="D40" s="14">
        <f>(C11)/D29*100</f>
        <v>114.66045302309185</v>
      </c>
      <c r="E40" s="14"/>
      <c r="F40" s="14">
        <f>(F11)/F29*100</f>
        <v>57.17818181818182</v>
      </c>
      <c r="G40" s="14"/>
    </row>
    <row r="41" spans="1:8" x14ac:dyDescent="0.25">
      <c r="A41" s="1" t="s">
        <v>13</v>
      </c>
      <c r="B41" s="14">
        <f>(B12/B29)*100</f>
        <v>113.30800296317538</v>
      </c>
      <c r="C41" s="40"/>
      <c r="D41" s="14">
        <f>(D12)/D29*100</f>
        <v>85.836418120923668</v>
      </c>
      <c r="E41" s="14"/>
      <c r="F41" s="14">
        <f t="shared" ref="F41" si="10">(F12)/F29*100</f>
        <v>55.442424242424238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102.43628440395287</v>
      </c>
      <c r="C44" s="14">
        <f>C12/C11*100</f>
        <v>102.64296580991272</v>
      </c>
      <c r="D44" s="14"/>
      <c r="E44" s="14"/>
      <c r="F44" s="14">
        <f>F12/F11*100</f>
        <v>96.964300856440261</v>
      </c>
      <c r="G44" s="14"/>
    </row>
    <row r="45" spans="1:8" x14ac:dyDescent="0.25">
      <c r="A45" s="1" t="s">
        <v>16</v>
      </c>
      <c r="B45" s="14">
        <f>B18/B17*100</f>
        <v>107.45477254332722</v>
      </c>
      <c r="C45" s="14">
        <f>C18/C17*100</f>
        <v>103.71243321929164</v>
      </c>
      <c r="D45" s="14"/>
      <c r="E45" s="14"/>
      <c r="F45" s="14">
        <f>F18/F17*100</f>
        <v>94.265832512077608</v>
      </c>
      <c r="G45" s="14">
        <f>G18/G17*100</f>
        <v>130.19946866281111</v>
      </c>
      <c r="H45" s="14">
        <f>H18/H17*100</f>
        <v>216.15614930909638</v>
      </c>
    </row>
    <row r="46" spans="1:8" x14ac:dyDescent="0.25">
      <c r="A46" s="12" t="s">
        <v>17</v>
      </c>
      <c r="B46" s="15">
        <f>AVERAGE(B44:B45)</f>
        <v>104.94552847364005</v>
      </c>
      <c r="C46" s="15">
        <f>AVERAGE(C44:C45)</f>
        <v>103.17769951460218</v>
      </c>
      <c r="D46" s="15"/>
      <c r="E46" s="15"/>
      <c r="F46" s="15">
        <f t="shared" ref="F46:H46" si="11">AVERAGE(F44:F45)</f>
        <v>95.615066684258935</v>
      </c>
      <c r="G46" s="15">
        <f>AVERAGE(G44:G45)</f>
        <v>130.19946866281111</v>
      </c>
      <c r="H46" s="15">
        <f t="shared" si="11"/>
        <v>216.15614930909638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9" s="25" customFormat="1" x14ac:dyDescent="0.25">
      <c r="A49" s="25" t="s">
        <v>19</v>
      </c>
      <c r="B49" s="16">
        <f>B12/(B13)*100</f>
        <v>102.91749224038227</v>
      </c>
      <c r="C49" s="16">
        <f t="shared" ref="C49:F49" si="12">C12/(C13)*100</f>
        <v>103.10860157971784</v>
      </c>
      <c r="D49" s="16"/>
      <c r="E49" s="16"/>
      <c r="F49" s="16">
        <f t="shared" si="12"/>
        <v>97.835386721423674</v>
      </c>
      <c r="G49" s="16"/>
      <c r="H49" s="16"/>
      <c r="I49" s="30"/>
    </row>
    <row r="50" spans="1:9" x14ac:dyDescent="0.25">
      <c r="A50" s="1" t="s">
        <v>20</v>
      </c>
      <c r="B50" s="14">
        <f>B18/B19*100</f>
        <v>25.099961555665246</v>
      </c>
      <c r="C50" s="14">
        <f>C18/C19*100</f>
        <v>23.968999119818545</v>
      </c>
      <c r="D50" s="14"/>
      <c r="E50" s="14"/>
      <c r="F50" s="14">
        <f>F18/F19*100</f>
        <v>22.153282221586952</v>
      </c>
      <c r="G50" s="14">
        <f>G18/G19*100</f>
        <v>32.549867165702786</v>
      </c>
      <c r="H50" s="14">
        <f>H18/H19*100</f>
        <v>54.039037327274094</v>
      </c>
    </row>
    <row r="51" spans="1:9" x14ac:dyDescent="0.25">
      <c r="A51" s="1" t="s">
        <v>21</v>
      </c>
      <c r="B51" s="14">
        <f>(B49+B50)/2</f>
        <v>64.008726898023752</v>
      </c>
      <c r="C51" s="14">
        <f t="shared" ref="C51" si="13">(C49+C50)/2</f>
        <v>63.538800349768195</v>
      </c>
      <c r="D51" s="14"/>
      <c r="E51" s="14"/>
      <c r="F51" s="14">
        <f t="shared" ref="F51" si="14">(F49+F50)/2</f>
        <v>59.994334471505312</v>
      </c>
      <c r="G51" s="14">
        <f>AVERAGE(G49:G50)</f>
        <v>32.549867165702786</v>
      </c>
      <c r="H51" s="14">
        <f t="shared" ref="H51" si="15">AVERAGE(H49:H50)</f>
        <v>54.039037327274094</v>
      </c>
    </row>
    <row r="53" spans="1:9" x14ac:dyDescent="0.25">
      <c r="A53" s="1" t="s">
        <v>33</v>
      </c>
    </row>
    <row r="54" spans="1:9" x14ac:dyDescent="0.25">
      <c r="A54" s="1" t="s">
        <v>22</v>
      </c>
      <c r="B54" s="14">
        <f>(B20/B18)*100</f>
        <v>96.138811449459254</v>
      </c>
      <c r="C54" s="14"/>
      <c r="D54" s="14"/>
      <c r="E54" s="14"/>
      <c r="F54" s="14"/>
      <c r="G54" s="14"/>
      <c r="H54" s="14"/>
    </row>
    <row r="56" spans="1:9" x14ac:dyDescent="0.25">
      <c r="A56" s="1" t="s">
        <v>23</v>
      </c>
    </row>
    <row r="57" spans="1:9" x14ac:dyDescent="0.25">
      <c r="A57" s="1" t="s">
        <v>24</v>
      </c>
      <c r="B57" s="14">
        <f>((B12/B10)-1)*100</f>
        <v>3.834121680806879</v>
      </c>
      <c r="C57" s="14">
        <f>((C12/C10)-1)*100</f>
        <v>3.7525171098722554</v>
      </c>
      <c r="D57" s="14">
        <f t="shared" ref="D57:F57" si="16">((D12/D10)-1)*100</f>
        <v>4.2282411907925921</v>
      </c>
      <c r="E57" s="14">
        <f t="shared" si="16"/>
        <v>2.4919652141034199</v>
      </c>
      <c r="F57" s="14">
        <f t="shared" si="16"/>
        <v>6.1745589600742834</v>
      </c>
      <c r="G57" s="14"/>
      <c r="H57" s="14"/>
    </row>
    <row r="58" spans="1:9" x14ac:dyDescent="0.25">
      <c r="A58" s="1" t="s">
        <v>25</v>
      </c>
      <c r="B58" s="14">
        <f>((B33/B32)-1)*100</f>
        <v>12.242304492750922</v>
      </c>
      <c r="C58" s="14">
        <f>((C33/C32)-1)*100</f>
        <v>13.424525914033204</v>
      </c>
      <c r="D58" s="14">
        <f t="shared" ref="D58:G58" si="17">((D33/D32)-1)*100</f>
        <v>13.94587280543873</v>
      </c>
      <c r="E58" s="14">
        <f t="shared" si="17"/>
        <v>12.042992566757338</v>
      </c>
      <c r="F58" s="14">
        <f t="shared" si="17"/>
        <v>8.5127061537400905</v>
      </c>
      <c r="G58" s="14">
        <f t="shared" si="17"/>
        <v>8.1018009645874365</v>
      </c>
      <c r="H58" s="14">
        <f>((H33/H32)-1)*100</f>
        <v>12.03985669402563</v>
      </c>
    </row>
    <row r="59" spans="1:9" x14ac:dyDescent="0.25">
      <c r="A59" s="12" t="s">
        <v>26</v>
      </c>
      <c r="B59" s="15">
        <f>((B35/B34)-1)*100</f>
        <v>8.0977068769275906</v>
      </c>
      <c r="C59" s="15">
        <f>((C35/C34)-1)*100</f>
        <v>9.3221919559970168</v>
      </c>
      <c r="D59" s="15">
        <f t="shared" ref="D59:F59" si="18">((D35/D34)-1)*100</f>
        <v>9.3234151354984149</v>
      </c>
      <c r="E59" s="15">
        <f t="shared" si="18"/>
        <v>9.3188059500098674</v>
      </c>
      <c r="F59" s="15">
        <f t="shared" si="18"/>
        <v>2.2021727394648583</v>
      </c>
      <c r="G59" s="15"/>
      <c r="H59" s="15"/>
    </row>
    <row r="60" spans="1:9" x14ac:dyDescent="0.25">
      <c r="A60" s="25"/>
      <c r="B60" s="16"/>
      <c r="C60" s="16"/>
      <c r="D60" s="16"/>
      <c r="E60" s="16"/>
      <c r="F60" s="16"/>
      <c r="G60" s="16"/>
      <c r="H60" s="16"/>
    </row>
    <row r="61" spans="1:9" x14ac:dyDescent="0.25">
      <c r="A61" s="1" t="s">
        <v>27</v>
      </c>
    </row>
    <row r="62" spans="1:9" x14ac:dyDescent="0.25">
      <c r="A62" s="1" t="s">
        <v>34</v>
      </c>
      <c r="B62" s="5">
        <f>B17/(B11*3)</f>
        <v>93049.794031550715</v>
      </c>
      <c r="C62" s="5">
        <f>C17/(C11*3)</f>
        <v>75000</v>
      </c>
      <c r="D62" s="5"/>
      <c r="E62" s="5"/>
      <c r="F62" s="5">
        <f t="shared" ref="F62" si="19">F17/(F11*3)</f>
        <v>271964</v>
      </c>
      <c r="G62" s="5"/>
      <c r="H62" s="5"/>
    </row>
    <row r="63" spans="1:9" x14ac:dyDescent="0.25">
      <c r="A63" s="1" t="s">
        <v>35</v>
      </c>
      <c r="B63" s="5">
        <f>B18/(B12*3)</f>
        <v>97608.425676926418</v>
      </c>
      <c r="C63" s="5">
        <f>C18/(C12*3)</f>
        <v>75781.447175366731</v>
      </c>
      <c r="D63" s="5">
        <f t="shared" ref="D63:F63" si="20">D18/(D12*3)</f>
        <v>75783.681062221571</v>
      </c>
      <c r="E63" s="5">
        <f t="shared" si="20"/>
        <v>75775.427648523531</v>
      </c>
      <c r="F63" s="5">
        <f t="shared" si="20"/>
        <v>264395.37692610401</v>
      </c>
      <c r="G63" s="5"/>
      <c r="H63" s="5"/>
    </row>
    <row r="64" spans="1:9" x14ac:dyDescent="0.25">
      <c r="A64" s="12" t="s">
        <v>28</v>
      </c>
      <c r="B64" s="15">
        <f>(B63/B62)*B46</f>
        <v>110.08694777628135</v>
      </c>
      <c r="C64" s="15">
        <f t="shared" ref="C64:F64" si="21">(C63/C62)*C46</f>
        <v>104.25273847255582</v>
      </c>
      <c r="D64" s="15" t="e">
        <f t="shared" si="21"/>
        <v>#DIV/0!</v>
      </c>
      <c r="E64" s="15" t="e">
        <f t="shared" si="21"/>
        <v>#DIV/0!</v>
      </c>
      <c r="F64" s="15">
        <f t="shared" si="21"/>
        <v>92.954146856934045</v>
      </c>
      <c r="G64" s="15"/>
      <c r="H64" s="15"/>
    </row>
    <row r="65" spans="1:9" x14ac:dyDescent="0.25">
      <c r="A65" s="16" t="s">
        <v>36</v>
      </c>
      <c r="B65" s="5">
        <f>B17/B11</f>
        <v>279149.38209465216</v>
      </c>
      <c r="C65" s="5">
        <f>C17/C11</f>
        <v>225000</v>
      </c>
      <c r="D65" s="5"/>
      <c r="E65" s="5"/>
      <c r="F65" s="5">
        <f t="shared" ref="F65" si="22">F17/F11</f>
        <v>815892</v>
      </c>
      <c r="G65" s="16"/>
      <c r="H65" s="16"/>
    </row>
    <row r="66" spans="1:9" x14ac:dyDescent="0.25">
      <c r="A66" s="16" t="s">
        <v>37</v>
      </c>
      <c r="B66" s="5">
        <f>B18/B12</f>
        <v>292825.27703077922</v>
      </c>
      <c r="C66" s="5">
        <f>C18/C12</f>
        <v>227344.34152610018</v>
      </c>
      <c r="D66" s="22">
        <f>D18/D12</f>
        <v>227351.04318666473</v>
      </c>
      <c r="E66" s="5">
        <f t="shared" ref="E66:F66" si="23">E18/E12</f>
        <v>227326.28294557059</v>
      </c>
      <c r="F66" s="5">
        <f t="shared" si="23"/>
        <v>793186.1307783121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115.23162413857271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93.251113439229698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91</v>
      </c>
    </row>
    <row r="75" spans="1:9" x14ac:dyDescent="0.25">
      <c r="A75" s="1" t="s">
        <v>92</v>
      </c>
      <c r="B75" s="20"/>
      <c r="C75" s="20"/>
      <c r="D75" s="20"/>
      <c r="E75" s="20"/>
      <c r="F75" s="20"/>
    </row>
    <row r="76" spans="1:9" x14ac:dyDescent="0.25">
      <c r="A76" s="1" t="s">
        <v>93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24" t="s">
        <v>125</v>
      </c>
    </row>
  </sheetData>
  <mergeCells count="7">
    <mergeCell ref="A2:H2"/>
    <mergeCell ref="A4:A5"/>
    <mergeCell ref="B4:B5"/>
    <mergeCell ref="G4:G5"/>
    <mergeCell ref="H4:H5"/>
    <mergeCell ref="D4:F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topLeftCell="B16" zoomScale="90" zoomScaleNormal="90" workbookViewId="0">
      <selection activeCell="F29" sqref="F29"/>
    </sheetView>
  </sheetViews>
  <sheetFormatPr baseColWidth="10" defaultColWidth="11.42578125" defaultRowHeight="15" x14ac:dyDescent="0.25"/>
  <cols>
    <col min="1" max="1" width="55.140625" style="1" customWidth="1"/>
    <col min="2" max="2" width="21" style="1" customWidth="1"/>
    <col min="3" max="3" width="27" style="1" customWidth="1"/>
    <col min="4" max="4" width="22.28515625" style="1" customWidth="1"/>
    <col min="5" max="5" width="17" style="1" bestFit="1" customWidth="1"/>
    <col min="6" max="6" width="20.7109375" style="1" customWidth="1"/>
    <col min="7" max="7" width="21.28515625" style="1" customWidth="1"/>
    <col min="8" max="8" width="17.5703125" style="1" bestFit="1" customWidth="1"/>
    <col min="9" max="16384" width="11.42578125" style="1"/>
  </cols>
  <sheetData>
    <row r="2" spans="1:8" ht="15.75" x14ac:dyDescent="0.25">
      <c r="A2" s="54" t="s">
        <v>110</v>
      </c>
      <c r="B2" s="54"/>
      <c r="C2" s="54"/>
      <c r="D2" s="54"/>
      <c r="E2" s="54"/>
      <c r="F2" s="54"/>
      <c r="G2" s="54"/>
      <c r="H2" s="54"/>
    </row>
    <row r="4" spans="1:8" x14ac:dyDescent="0.25">
      <c r="A4" s="52" t="s">
        <v>0</v>
      </c>
      <c r="B4" s="52" t="s">
        <v>38</v>
      </c>
      <c r="C4" s="36"/>
      <c r="D4" s="56" t="s">
        <v>1</v>
      </c>
      <c r="E4" s="56"/>
      <c r="F4" s="57"/>
      <c r="G4" s="52" t="s">
        <v>2</v>
      </c>
      <c r="H4" s="52" t="s">
        <v>3</v>
      </c>
    </row>
    <row r="5" spans="1:8" ht="15.75" thickBot="1" x14ac:dyDescent="0.3">
      <c r="A5" s="53"/>
      <c r="B5" s="53"/>
      <c r="C5" s="55" t="s">
        <v>39</v>
      </c>
      <c r="D5" s="55"/>
      <c r="E5" s="55"/>
      <c r="F5" s="35" t="s">
        <v>57</v>
      </c>
      <c r="G5" s="53"/>
      <c r="H5" s="53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71</v>
      </c>
      <c r="B10" s="22">
        <f>+C10+F10</f>
        <v>107697</v>
      </c>
      <c r="C10" s="22">
        <f>SUM(D10:E10)</f>
        <v>104034</v>
      </c>
      <c r="D10" s="22">
        <v>75568.666666666672</v>
      </c>
      <c r="E10" s="5">
        <v>28465.333333333332</v>
      </c>
      <c r="F10" s="5">
        <v>3663</v>
      </c>
      <c r="G10" s="5"/>
    </row>
    <row r="11" spans="1:8" x14ac:dyDescent="0.25">
      <c r="A11" s="4" t="s">
        <v>111</v>
      </c>
      <c r="B11" s="22">
        <f>C11+F11</f>
        <v>110342</v>
      </c>
      <c r="C11" s="22">
        <v>106454</v>
      </c>
      <c r="E11" s="22"/>
      <c r="F11" s="22">
        <v>3888</v>
      </c>
      <c r="G11" s="5"/>
    </row>
    <row r="12" spans="1:8" x14ac:dyDescent="0.25">
      <c r="A12" s="4" t="s">
        <v>112</v>
      </c>
      <c r="B12" s="22">
        <f t="shared" ref="B12:B13" si="0">+C12+F12</f>
        <v>111704.66666666667</v>
      </c>
      <c r="C12" s="22">
        <f t="shared" ref="C12" si="1">SUM(D12:E12)</f>
        <v>107858</v>
      </c>
      <c r="D12" s="22">
        <v>78795</v>
      </c>
      <c r="E12" s="5">
        <v>29063</v>
      </c>
      <c r="F12" s="5">
        <v>3846.6666666666665</v>
      </c>
      <c r="G12" s="5"/>
    </row>
    <row r="13" spans="1:8" x14ac:dyDescent="0.25">
      <c r="A13" s="4" t="s">
        <v>86</v>
      </c>
      <c r="B13" s="22">
        <f t="shared" si="0"/>
        <v>108890</v>
      </c>
      <c r="C13" s="22">
        <v>105097.41666666667</v>
      </c>
      <c r="D13" s="22"/>
      <c r="E13" s="22"/>
      <c r="F13" s="22">
        <v>3792.5833333333335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71</v>
      </c>
      <c r="B16" s="5">
        <f>+C16+F16+G16+H16</f>
        <v>39887632871.160011</v>
      </c>
      <c r="C16" s="22">
        <v>31943213452.930004</v>
      </c>
      <c r="D16" s="5">
        <v>23203246564.71653</v>
      </c>
      <c r="E16" s="22">
        <v>8739966888.2134743</v>
      </c>
      <c r="F16" s="22">
        <v>2851460931.5999999</v>
      </c>
      <c r="G16" s="22">
        <v>3976458486.6199999</v>
      </c>
      <c r="H16" s="24">
        <v>1116500000.0099998</v>
      </c>
    </row>
    <row r="17" spans="1:9" x14ac:dyDescent="0.25">
      <c r="A17" s="4" t="s">
        <v>111</v>
      </c>
      <c r="B17" s="5">
        <f t="shared" ref="B17:B18" si="2">+C17+F17+G17+H17</f>
        <v>40832585097.297501</v>
      </c>
      <c r="C17" s="22">
        <v>33258258807.700001</v>
      </c>
      <c r="D17" s="5"/>
      <c r="E17" s="22"/>
      <c r="F17" s="22">
        <v>4088573253.0500002</v>
      </c>
      <c r="G17" s="22">
        <v>2907039451.9475026</v>
      </c>
      <c r="H17" s="24">
        <v>578713584.60000002</v>
      </c>
    </row>
    <row r="18" spans="1:9" x14ac:dyDescent="0.25">
      <c r="A18" s="4" t="s">
        <v>112</v>
      </c>
      <c r="B18" s="47">
        <f t="shared" si="2"/>
        <v>39502463034.609993</v>
      </c>
      <c r="C18" s="48">
        <f>D18+E18</f>
        <v>30917721478.769997</v>
      </c>
      <c r="D18" s="47">
        <v>22587090911.453117</v>
      </c>
      <c r="E18" s="48">
        <v>8330630567.3168793</v>
      </c>
      <c r="F18" s="48">
        <v>3060744787.4000001</v>
      </c>
      <c r="G18" s="48">
        <v>4272991765.1300001</v>
      </c>
      <c r="H18" s="24">
        <v>1251005003.3099999</v>
      </c>
      <c r="I18" s="43"/>
    </row>
    <row r="19" spans="1:9" x14ac:dyDescent="0.25">
      <c r="A19" s="4" t="s">
        <v>86</v>
      </c>
      <c r="B19" s="5">
        <f>+C19+F19+G19+H19</f>
        <v>133573631824.62</v>
      </c>
      <c r="C19" s="22">
        <v>106719204807.7</v>
      </c>
      <c r="D19" s="22"/>
      <c r="E19" s="22"/>
      <c r="F19" s="22">
        <v>12911414870.730001</v>
      </c>
      <c r="G19" s="22">
        <v>11628157807.790014</v>
      </c>
      <c r="H19" s="22">
        <v>2314854338.4000001</v>
      </c>
    </row>
    <row r="20" spans="1:9" x14ac:dyDescent="0.25">
      <c r="A20" s="4" t="s">
        <v>113</v>
      </c>
      <c r="B20" s="41">
        <f>C20+F20+G20</f>
        <v>38251458031.299995</v>
      </c>
      <c r="C20" s="22">
        <f t="shared" ref="C20" si="3">SUM(D20:E20)</f>
        <v>30917721478.769997</v>
      </c>
      <c r="D20" s="5">
        <f>+D18</f>
        <v>22587090911.453117</v>
      </c>
      <c r="E20" s="5">
        <f t="shared" ref="E20:G20" si="4">+E18</f>
        <v>8330630567.3168793</v>
      </c>
      <c r="F20" s="5">
        <f t="shared" si="4"/>
        <v>3060744787.4000001</v>
      </c>
      <c r="G20" s="41">
        <f t="shared" si="4"/>
        <v>4272991765.1300001</v>
      </c>
      <c r="H20" s="5"/>
    </row>
    <row r="21" spans="1:9" x14ac:dyDescent="0.25">
      <c r="B21" s="5"/>
      <c r="C21" s="5"/>
      <c r="D21" s="5"/>
      <c r="E21" s="5"/>
      <c r="F21" s="5"/>
      <c r="G21" s="5"/>
    </row>
    <row r="22" spans="1:9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9" x14ac:dyDescent="0.25">
      <c r="A23" s="9" t="s">
        <v>111</v>
      </c>
      <c r="B23" s="8">
        <f>B17</f>
        <v>40832585097.297501</v>
      </c>
      <c r="C23" s="8"/>
      <c r="D23" s="8"/>
      <c r="E23" s="8"/>
      <c r="F23" s="8"/>
      <c r="G23" s="8"/>
      <c r="H23" s="8"/>
    </row>
    <row r="24" spans="1:9" x14ac:dyDescent="0.25">
      <c r="A24" s="9" t="s">
        <v>112</v>
      </c>
      <c r="B24" s="8">
        <v>37203205706.739998</v>
      </c>
      <c r="C24" s="8"/>
      <c r="D24" s="8"/>
      <c r="E24" s="8"/>
      <c r="F24" s="8"/>
      <c r="G24" s="8"/>
      <c r="H24" s="8"/>
    </row>
    <row r="26" spans="1:9" x14ac:dyDescent="0.25">
      <c r="A26" s="1" t="s">
        <v>7</v>
      </c>
    </row>
    <row r="27" spans="1:9" x14ac:dyDescent="0.25">
      <c r="A27" s="10" t="s">
        <v>72</v>
      </c>
      <c r="B27" s="23">
        <v>0.99</v>
      </c>
      <c r="C27" s="23">
        <v>0.99</v>
      </c>
      <c r="D27" s="23">
        <v>0.99</v>
      </c>
      <c r="E27" s="23">
        <v>0.99</v>
      </c>
      <c r="F27" s="23">
        <v>0.99</v>
      </c>
      <c r="G27" s="23">
        <v>0.99</v>
      </c>
      <c r="H27" s="23">
        <v>0.99</v>
      </c>
    </row>
    <row r="28" spans="1:9" x14ac:dyDescent="0.25">
      <c r="A28" s="10" t="s">
        <v>114</v>
      </c>
      <c r="B28" s="23">
        <v>0.99</v>
      </c>
      <c r="C28" s="23">
        <v>0.99</v>
      </c>
      <c r="D28" s="23">
        <v>0.99</v>
      </c>
      <c r="E28" s="23">
        <v>0.99</v>
      </c>
      <c r="F28" s="23">
        <v>0.99</v>
      </c>
      <c r="G28" s="23">
        <v>0.99</v>
      </c>
      <c r="H28" s="23">
        <v>0.99</v>
      </c>
      <c r="I28" s="50"/>
    </row>
    <row r="29" spans="1:9" x14ac:dyDescent="0.25">
      <c r="A29" s="4" t="s">
        <v>8</v>
      </c>
      <c r="B29" s="24">
        <f>+D29+F29</f>
        <v>97643</v>
      </c>
      <c r="C29" s="39"/>
      <c r="D29" s="24">
        <v>90768</v>
      </c>
      <c r="E29" s="24" t="s">
        <v>53</v>
      </c>
      <c r="F29" s="24">
        <v>6875</v>
      </c>
      <c r="G29" s="24"/>
      <c r="H29" s="24"/>
    </row>
    <row r="31" spans="1:9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73</v>
      </c>
      <c r="B32" s="13">
        <f>B16/B27</f>
        <v>40290538253.696983</v>
      </c>
      <c r="C32" s="13">
        <f>C16/C27</f>
        <v>32265872174.676773</v>
      </c>
      <c r="D32" s="13">
        <f>D16/D27</f>
        <v>23437622792.64296</v>
      </c>
      <c r="E32" s="13">
        <f t="shared" ref="E32:H32" si="5">E16/E27</f>
        <v>8828249382.0338116</v>
      </c>
      <c r="F32" s="13">
        <f t="shared" si="5"/>
        <v>2880263567.272727</v>
      </c>
      <c r="G32" s="13">
        <f t="shared" si="5"/>
        <v>4016624733.9595957</v>
      </c>
      <c r="H32" s="13">
        <f t="shared" si="5"/>
        <v>1127777777.7878785</v>
      </c>
    </row>
    <row r="33" spans="1:8" x14ac:dyDescent="0.25">
      <c r="A33" s="12" t="s">
        <v>115</v>
      </c>
      <c r="B33" s="13">
        <f>B18/B28</f>
        <v>39901477812.737366</v>
      </c>
      <c r="C33" s="13">
        <f>C18/C28</f>
        <v>31230021695.727268</v>
      </c>
      <c r="D33" s="13">
        <f>D18/D28</f>
        <v>22815243344.902138</v>
      </c>
      <c r="E33" s="13">
        <f t="shared" ref="E33:H33" si="6">E18/E28</f>
        <v>8414778350.8251305</v>
      </c>
      <c r="F33" s="13">
        <f t="shared" si="6"/>
        <v>3091661401.4141417</v>
      </c>
      <c r="G33" s="13">
        <f t="shared" si="6"/>
        <v>4316153298.1111116</v>
      </c>
      <c r="H33" s="13">
        <f t="shared" si="6"/>
        <v>1263641417.4848485</v>
      </c>
    </row>
    <row r="34" spans="1:8" x14ac:dyDescent="0.25">
      <c r="A34" s="12" t="s">
        <v>74</v>
      </c>
      <c r="B34" s="13">
        <f>B32/B10</f>
        <v>374110.12612883351</v>
      </c>
      <c r="C34" s="13">
        <f>C32/C10</f>
        <v>310147.37657570385</v>
      </c>
      <c r="D34" s="13">
        <f>D32/D10</f>
        <v>310150.01093014242</v>
      </c>
      <c r="E34" s="13">
        <f t="shared" ref="E34:F34" si="7">E32/E10</f>
        <v>310140.38299336546</v>
      </c>
      <c r="F34" s="13">
        <f t="shared" si="7"/>
        <v>786312.7401781946</v>
      </c>
      <c r="G34" s="13"/>
      <c r="H34" s="13"/>
    </row>
    <row r="35" spans="1:8" x14ac:dyDescent="0.25">
      <c r="A35" s="12" t="s">
        <v>116</v>
      </c>
      <c r="B35" s="13">
        <f>B33/B12</f>
        <v>357205.11061373766</v>
      </c>
      <c r="C35" s="13">
        <f>C33/C12</f>
        <v>289547.5689863271</v>
      </c>
      <c r="D35" s="13">
        <f>D33/D12</f>
        <v>289551.91756966989</v>
      </c>
      <c r="E35" s="13">
        <f t="shared" ref="E35:F35" si="8">E33/E12</f>
        <v>289535.77919778175</v>
      </c>
      <c r="F35" s="13">
        <f t="shared" si="8"/>
        <v>803724.80106086878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(B11/B29)*100</f>
        <v>113.00554059174748</v>
      </c>
      <c r="C40" s="14"/>
      <c r="D40" s="14">
        <f>C11/D29*100</f>
        <v>117.28142076502732</v>
      </c>
      <c r="E40" s="14"/>
      <c r="F40" s="14">
        <f>(F11)/F29*100</f>
        <v>56.552727272727275</v>
      </c>
      <c r="G40" s="14"/>
    </row>
    <row r="41" spans="1:8" x14ac:dyDescent="0.25">
      <c r="A41" s="1" t="s">
        <v>13</v>
      </c>
      <c r="B41" s="14">
        <f>(B12/B29)*100</f>
        <v>114.40110060799718</v>
      </c>
      <c r="C41" s="40"/>
      <c r="D41" s="14">
        <f>(D12)/D29*100</f>
        <v>86.809227921734532</v>
      </c>
      <c r="E41" s="14"/>
      <c r="F41" s="14">
        <f>(F12)/F29*100</f>
        <v>55.951515151515153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101.23494831221717</v>
      </c>
      <c r="C44" s="14">
        <f>C12/C11*100</f>
        <v>101.31887951603508</v>
      </c>
      <c r="D44" s="14"/>
      <c r="E44" s="14"/>
      <c r="F44" s="14">
        <f>F12/F11*100</f>
        <v>98.936899862825783</v>
      </c>
      <c r="G44" s="14"/>
    </row>
    <row r="45" spans="1:8" x14ac:dyDescent="0.25">
      <c r="A45" s="1" t="s">
        <v>16</v>
      </c>
      <c r="B45" s="14">
        <f>B18/B17*100</f>
        <v>96.742498522887928</v>
      </c>
      <c r="C45" s="14">
        <f>C18/C17*100</f>
        <v>92.962537989547073</v>
      </c>
      <c r="D45" s="14"/>
      <c r="E45" s="14"/>
      <c r="F45" s="14">
        <f>F18/F17*100</f>
        <v>74.860950213298523</v>
      </c>
      <c r="G45" s="14">
        <f>G18/G17*100</f>
        <v>146.98774597872796</v>
      </c>
      <c r="H45" s="14">
        <f>H18/H17*100</f>
        <v>216.16997364502507</v>
      </c>
    </row>
    <row r="46" spans="1:8" x14ac:dyDescent="0.25">
      <c r="A46" s="12" t="s">
        <v>17</v>
      </c>
      <c r="B46" s="15">
        <f>AVERAGE(B44:B45)</f>
        <v>98.988723417552549</v>
      </c>
      <c r="C46" s="15">
        <f>AVERAGE(C44:C45)</f>
        <v>97.140708752791085</v>
      </c>
      <c r="D46" s="15"/>
      <c r="E46" s="15"/>
      <c r="F46" s="15">
        <f t="shared" ref="F46:H46" si="9">AVERAGE(F44:F45)</f>
        <v>86.898925038062146</v>
      </c>
      <c r="G46" s="15">
        <f>AVERAGE(G44:G45)</f>
        <v>146.98774597872796</v>
      </c>
      <c r="H46" s="15">
        <f t="shared" si="9"/>
        <v>216.16997364502507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B12/B13*100</f>
        <v>102.58487158294302</v>
      </c>
      <c r="C49" s="16">
        <f t="shared" ref="C49:F49" si="10">C12/C13*100</f>
        <v>102.62668999951632</v>
      </c>
      <c r="D49" s="16"/>
      <c r="E49" s="16"/>
      <c r="F49" s="16">
        <f t="shared" si="10"/>
        <v>101.42602887214079</v>
      </c>
      <c r="G49" s="16"/>
      <c r="H49" s="16"/>
    </row>
    <row r="50" spans="1:8" x14ac:dyDescent="0.25">
      <c r="A50" s="1" t="s">
        <v>20</v>
      </c>
      <c r="B50" s="14">
        <f>B18/B19*100</f>
        <v>29.573548682479551</v>
      </c>
      <c r="C50" s="14">
        <f t="shared" ref="C50:H50" si="11">C18/C19*100</f>
        <v>28.971094316605349</v>
      </c>
      <c r="D50" s="14"/>
      <c r="E50" s="14"/>
      <c r="F50" s="14">
        <f t="shared" si="11"/>
        <v>23.705727203752598</v>
      </c>
      <c r="G50" s="14">
        <f t="shared" si="11"/>
        <v>36.746936494681975</v>
      </c>
      <c r="H50" s="14">
        <f t="shared" si="11"/>
        <v>54.042493411256267</v>
      </c>
    </row>
    <row r="51" spans="1:8" x14ac:dyDescent="0.25">
      <c r="A51" s="1" t="s">
        <v>21</v>
      </c>
      <c r="B51" s="14">
        <f>(B49+B50)/2</f>
        <v>66.079210132711282</v>
      </c>
      <c r="C51" s="14">
        <f t="shared" ref="C51:F51" si="12">(C49+C50)/2</f>
        <v>65.798892158060838</v>
      </c>
      <c r="D51" s="14"/>
      <c r="E51" s="14"/>
      <c r="F51" s="14">
        <f t="shared" si="12"/>
        <v>62.565878037946696</v>
      </c>
      <c r="G51" s="14">
        <f>AVERAGE(G49:G50)</f>
        <v>36.746936494681975</v>
      </c>
      <c r="H51" s="14">
        <f>AVERAGE(H49:H50)</f>
        <v>54.042493411256267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96.833096199054907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3.7212426220476713</v>
      </c>
      <c r="C57" s="14">
        <f t="shared" ref="C57:F57" si="13">((C12/C10)-1)*100</f>
        <v>3.6757213987734794</v>
      </c>
      <c r="D57" s="14">
        <f t="shared" si="13"/>
        <v>4.2694061912785575</v>
      </c>
      <c r="E57" s="14">
        <f t="shared" si="13"/>
        <v>2.0996299592486833</v>
      </c>
      <c r="F57" s="14">
        <f t="shared" si="13"/>
        <v>5.0141050141050192</v>
      </c>
      <c r="G57" s="14"/>
      <c r="H57" s="14"/>
    </row>
    <row r="58" spans="1:8" x14ac:dyDescent="0.25">
      <c r="A58" s="1" t="s">
        <v>25</v>
      </c>
      <c r="B58" s="14">
        <f>((B33/B32)-1)*100</f>
        <v>-0.96563723847475913</v>
      </c>
      <c r="C58" s="14">
        <f t="shared" ref="C58:H58" si="14">((C33/C32)-1)*100</f>
        <v>-3.2103594576391781</v>
      </c>
      <c r="D58" s="14">
        <f t="shared" si="14"/>
        <v>-2.6554717312721077</v>
      </c>
      <c r="E58" s="14">
        <f t="shared" si="14"/>
        <v>-4.6834996760527385</v>
      </c>
      <c r="F58" s="14">
        <f t="shared" si="14"/>
        <v>7.3395308868064335</v>
      </c>
      <c r="G58" s="14">
        <f t="shared" si="14"/>
        <v>7.4572205269532343</v>
      </c>
      <c r="H58" s="14">
        <f t="shared" si="14"/>
        <v>12.047022239032291</v>
      </c>
    </row>
    <row r="59" spans="1:8" x14ac:dyDescent="0.25">
      <c r="A59" s="12" t="s">
        <v>26</v>
      </c>
      <c r="B59" s="15">
        <f>((B35/B34)-1)*100</f>
        <v>-4.5187270630771987</v>
      </c>
      <c r="C59" s="15">
        <f t="shared" ref="C59:F59" si="15">((C35/C34)-1)*100</f>
        <v>-6.6419415881625365</v>
      </c>
      <c r="D59" s="15">
        <f t="shared" si="15"/>
        <v>-6.6413324631840798</v>
      </c>
      <c r="E59" s="15">
        <f t="shared" si="15"/>
        <v>-6.6436378251407806</v>
      </c>
      <c r="F59" s="15">
        <f t="shared" si="15"/>
        <v>2.214393840131379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5">
        <f>B17/(B11*3)</f>
        <v>123351.59503270891</v>
      </c>
      <c r="C62" s="5">
        <f>C17/(C11*3)</f>
        <v>104139.68727556817</v>
      </c>
      <c r="D62" s="5"/>
      <c r="E62" s="5"/>
      <c r="F62" s="5">
        <f t="shared" ref="F62:F63" si="16">F17/(F11*3)</f>
        <v>350529.25694873114</v>
      </c>
      <c r="G62" s="5"/>
      <c r="H62" s="5"/>
    </row>
    <row r="63" spans="1:8" x14ac:dyDescent="0.25">
      <c r="A63" s="1" t="s">
        <v>35</v>
      </c>
      <c r="B63" s="5">
        <f>B18/(B12*3)</f>
        <v>117877.68650253344</v>
      </c>
      <c r="C63" s="5">
        <f t="shared" ref="C63:E63" si="17">C18/(C12*3)</f>
        <v>95550.697765487945</v>
      </c>
      <c r="D63" s="5">
        <f t="shared" si="17"/>
        <v>95552.132797991057</v>
      </c>
      <c r="E63" s="5">
        <f t="shared" si="17"/>
        <v>95546.807135267969</v>
      </c>
      <c r="F63" s="5">
        <f t="shared" si="16"/>
        <v>265229.18435008667</v>
      </c>
      <c r="G63" s="5"/>
      <c r="H63" s="5"/>
    </row>
    <row r="64" spans="1:8" x14ac:dyDescent="0.25">
      <c r="A64" s="12" t="s">
        <v>28</v>
      </c>
      <c r="B64" s="15">
        <f>(B63/B62)*B46</f>
        <v>94.595953163038715</v>
      </c>
      <c r="C64" s="15">
        <f t="shared" ref="C64:F64" si="18">(C63/C62)*C46</f>
        <v>89.128964620396104</v>
      </c>
      <c r="D64" s="15" t="e">
        <f t="shared" si="18"/>
        <v>#DIV/0!</v>
      </c>
      <c r="E64" s="15" t="e">
        <f t="shared" si="18"/>
        <v>#DIV/0!</v>
      </c>
      <c r="F64" s="15">
        <f t="shared" si="18"/>
        <v>65.75237459313017</v>
      </c>
      <c r="G64" s="15"/>
      <c r="H64" s="15"/>
    </row>
    <row r="65" spans="1:8" x14ac:dyDescent="0.25">
      <c r="A65" s="16" t="s">
        <v>36</v>
      </c>
      <c r="B65" s="5">
        <f>B17/B11</f>
        <v>370054.78509812674</v>
      </c>
      <c r="C65" s="5">
        <f t="shared" ref="C65:F65" si="19">C17/C11</f>
        <v>312419.06182670448</v>
      </c>
      <c r="D65" s="5"/>
      <c r="E65" s="5"/>
      <c r="F65" s="5">
        <f t="shared" si="19"/>
        <v>1051587.7708461934</v>
      </c>
      <c r="G65" s="16"/>
      <c r="H65" s="16"/>
    </row>
    <row r="66" spans="1:8" x14ac:dyDescent="0.25">
      <c r="A66" s="16" t="s">
        <v>37</v>
      </c>
      <c r="B66" s="5">
        <f>B18/B12</f>
        <v>353633.05950760032</v>
      </c>
      <c r="C66" s="5">
        <f t="shared" ref="C66:F66" si="20">C18/C12</f>
        <v>286652.09329646383</v>
      </c>
      <c r="D66" s="5">
        <f t="shared" si="20"/>
        <v>286656.39839397318</v>
      </c>
      <c r="E66" s="5">
        <f t="shared" si="20"/>
        <v>286640.42140580394</v>
      </c>
      <c r="F66" s="5">
        <f t="shared" si="20"/>
        <v>795687.55305026006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91.111561068423001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106.18026668452781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4" spans="1:8" x14ac:dyDescent="0.25">
      <c r="A74" s="1" t="s">
        <v>32</v>
      </c>
    </row>
    <row r="75" spans="1:8" x14ac:dyDescent="0.25">
      <c r="A75" s="1" t="s">
        <v>91</v>
      </c>
      <c r="B75" s="20"/>
      <c r="C75" s="20"/>
      <c r="D75" s="20"/>
      <c r="E75" s="20"/>
      <c r="F75" s="20"/>
    </row>
    <row r="76" spans="1:8" x14ac:dyDescent="0.25">
      <c r="A76" s="1" t="s">
        <v>92</v>
      </c>
    </row>
    <row r="77" spans="1:8" x14ac:dyDescent="0.25">
      <c r="A77" s="1" t="s">
        <v>93</v>
      </c>
    </row>
    <row r="79" spans="1:8" x14ac:dyDescent="0.25">
      <c r="A79" s="1" t="s">
        <v>48</v>
      </c>
    </row>
    <row r="80" spans="1:8" x14ac:dyDescent="0.25">
      <c r="A80" s="1" t="s">
        <v>50</v>
      </c>
    </row>
    <row r="81" spans="1:1" x14ac:dyDescent="0.25">
      <c r="A81" s="1" t="s">
        <v>49</v>
      </c>
    </row>
    <row r="82" spans="1:1" x14ac:dyDescent="0.25">
      <c r="A82" s="1" t="s">
        <v>47</v>
      </c>
    </row>
    <row r="83" spans="1:1" x14ac:dyDescent="0.25">
      <c r="A83" s="33" t="s">
        <v>54</v>
      </c>
    </row>
    <row r="84" spans="1:1" x14ac:dyDescent="0.25">
      <c r="A84" s="34" t="s">
        <v>55</v>
      </c>
    </row>
    <row r="85" spans="1:1" x14ac:dyDescent="0.25">
      <c r="A85" s="34" t="s">
        <v>56</v>
      </c>
    </row>
    <row r="87" spans="1:1" x14ac:dyDescent="0.25">
      <c r="A87" s="24" t="s">
        <v>132</v>
      </c>
    </row>
  </sheetData>
  <mergeCells count="7">
    <mergeCell ref="A4:A5"/>
    <mergeCell ref="A2:H2"/>
    <mergeCell ref="B4:B5"/>
    <mergeCell ref="G4:G5"/>
    <mergeCell ref="H4:H5"/>
    <mergeCell ref="D4:F4"/>
    <mergeCell ref="C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topLeftCell="A19" zoomScale="90" zoomScaleNormal="90" workbookViewId="0">
      <selection activeCell="B64" sqref="B64:F64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4" t="s">
        <v>117</v>
      </c>
      <c r="B2" s="54"/>
      <c r="C2" s="54"/>
      <c r="D2" s="54"/>
      <c r="E2" s="54"/>
      <c r="F2" s="54"/>
      <c r="G2" s="54"/>
      <c r="H2" s="54"/>
    </row>
    <row r="4" spans="1:8" x14ac:dyDescent="0.25">
      <c r="A4" s="52" t="s">
        <v>0</v>
      </c>
      <c r="B4" s="52" t="s">
        <v>38</v>
      </c>
      <c r="C4" s="36"/>
      <c r="D4" s="36"/>
      <c r="E4" s="37" t="s">
        <v>1</v>
      </c>
      <c r="F4" s="29"/>
      <c r="G4" s="52" t="s">
        <v>2</v>
      </c>
      <c r="H4" s="52" t="s">
        <v>3</v>
      </c>
    </row>
    <row r="5" spans="1:8" ht="15.75" thickBot="1" x14ac:dyDescent="0.3">
      <c r="A5" s="53"/>
      <c r="B5" s="53"/>
      <c r="C5" s="55" t="s">
        <v>39</v>
      </c>
      <c r="D5" s="55"/>
      <c r="E5" s="55"/>
      <c r="F5" s="35" t="s">
        <v>57</v>
      </c>
      <c r="G5" s="53"/>
      <c r="H5" s="53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75</v>
      </c>
      <c r="B10" s="22">
        <f>+C10+F10</f>
        <v>104845</v>
      </c>
      <c r="C10" s="22">
        <f>SUM(D10:E10)</f>
        <v>101343</v>
      </c>
      <c r="D10" s="22">
        <f>(+'I Trimestre'!D10+'II Trimestre'!D10)/2</f>
        <v>73434.666666666657</v>
      </c>
      <c r="E10" s="5">
        <f>(+'I Trimestre'!E10+'II Trimestre'!E10)/2</f>
        <v>27908.333333333336</v>
      </c>
      <c r="F10" s="5">
        <f>(+'I Trimestre'!F10+'II Trimestre'!F10)/2</f>
        <v>3502</v>
      </c>
      <c r="G10" s="5">
        <f>+'I Trimestre'!G10+'II Trimestre'!G10/2</f>
        <v>0</v>
      </c>
      <c r="H10" s="5">
        <f>+'I Trimestre'!H10+'II Trimestre'!H10/2</f>
        <v>0</v>
      </c>
    </row>
    <row r="11" spans="1:8" x14ac:dyDescent="0.25">
      <c r="A11" s="4" t="s">
        <v>118</v>
      </c>
      <c r="B11" s="22">
        <f t="shared" ref="B11:B13" si="0">+C11+F11</f>
        <v>106485</v>
      </c>
      <c r="C11" s="22">
        <f>('I Trimestre'!C11+'II Trimestre'!C11)/2</f>
        <v>102657.5</v>
      </c>
      <c r="D11" s="22"/>
      <c r="E11" s="5"/>
      <c r="F11" s="5">
        <f>(+'I Trimestre'!F11+'II Trimestre'!F11)/2</f>
        <v>3827.5</v>
      </c>
      <c r="G11" s="5">
        <f>+'I Trimestre'!G11+'II Trimestre'!G11/2</f>
        <v>0</v>
      </c>
      <c r="H11" s="5">
        <f>+'I Trimestre'!H11+'II Trimestre'!H11/2</f>
        <v>0</v>
      </c>
    </row>
    <row r="12" spans="1:8" x14ac:dyDescent="0.25">
      <c r="A12" s="4" t="s">
        <v>119</v>
      </c>
      <c r="B12" s="22">
        <f t="shared" si="0"/>
        <v>109115.66666666667</v>
      </c>
      <c r="C12" s="22">
        <f t="shared" ref="C12" si="1">SUM(D12:E12)</f>
        <v>105384</v>
      </c>
      <c r="D12" s="22">
        <f>(+'I Trimestre'!D12+'II Trimestre'!D12)/2</f>
        <v>76659.166666666672</v>
      </c>
      <c r="E12" s="5">
        <f>(+'I Trimestre'!E12+'II Trimestre'!E12)/2</f>
        <v>28724.833333333336</v>
      </c>
      <c r="F12" s="5">
        <f>(+'I Trimestre'!F12+'II Trimestre'!F12)/2</f>
        <v>3731.666666666667</v>
      </c>
      <c r="G12" s="5">
        <f>+'I Trimestre'!G12+'II Trimestre'!G12/2</f>
        <v>0</v>
      </c>
      <c r="H12" s="5">
        <f>+'I Trimestre'!H12+'II Trimestre'!H12/2</f>
        <v>0</v>
      </c>
    </row>
    <row r="13" spans="1:8" x14ac:dyDescent="0.25">
      <c r="A13" s="4" t="s">
        <v>86</v>
      </c>
      <c r="B13" s="22">
        <f t="shared" si="0"/>
        <v>107501</v>
      </c>
      <c r="C13" s="22">
        <f>'II Trimestre'!C13</f>
        <v>103605</v>
      </c>
      <c r="D13" s="22"/>
      <c r="E13" s="22"/>
      <c r="F13" s="22">
        <f>'II Trimestre'!F13</f>
        <v>3896</v>
      </c>
      <c r="G13" s="22">
        <f>'II Trimestre'!G13</f>
        <v>0</v>
      </c>
      <c r="H13" s="22">
        <f>'II Trimestre'!H13</f>
        <v>0</v>
      </c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75</v>
      </c>
      <c r="B16" s="5">
        <f>+C16+F16+G16+H16</f>
        <v>57504234828.980003</v>
      </c>
      <c r="C16" s="22">
        <f t="shared" ref="C16:C20" si="2">SUM(D16:E16)</f>
        <v>42893304356.830002</v>
      </c>
      <c r="D16" s="5">
        <f>+'I Trimestre'!D16+'II Trimestre'!D16</f>
        <v>31081054831.829052</v>
      </c>
      <c r="E16" s="22">
        <f>+'I Trimestre'!E16+'II Trimestre'!E16</f>
        <v>11812249525.000946</v>
      </c>
      <c r="F16" s="22">
        <f>+'I Trimestre'!F16+'II Trimestre'!F16</f>
        <v>5362717546.1499996</v>
      </c>
      <c r="G16" s="22">
        <f>+'I Trimestre'!G16+'II Trimestre'!G16</f>
        <v>6732512921.9799995</v>
      </c>
      <c r="H16" s="22">
        <f>+'I Trimestre'!H16+'II Trimestre'!H16</f>
        <v>2515700004.02</v>
      </c>
    </row>
    <row r="17" spans="1:8" x14ac:dyDescent="0.25">
      <c r="A17" s="4" t="s">
        <v>118</v>
      </c>
      <c r="B17" s="5">
        <f t="shared" ref="B17:B19" si="3">+C17+F17+G17+H17</f>
        <v>59310945916.029999</v>
      </c>
      <c r="C17" s="22">
        <f>'I Trimestre'!C17+'II Trimestre'!C17</f>
        <v>46195875000</v>
      </c>
      <c r="D17" s="5"/>
      <c r="E17" s="22"/>
      <c r="F17" s="22">
        <f>+'I Trimestre'!F17+'II Trimestre'!F17</f>
        <v>6063747495</v>
      </c>
      <c r="G17" s="22">
        <f>+'I Trimestre'!G17+'II Trimestre'!G17</f>
        <v>5893896251.8299999</v>
      </c>
      <c r="H17" s="22">
        <f>+'I Trimestre'!H17+'II Trimestre'!H17</f>
        <v>1157427169.2</v>
      </c>
    </row>
    <row r="18" spans="1:8" x14ac:dyDescent="0.25">
      <c r="A18" s="4" t="s">
        <v>119</v>
      </c>
      <c r="B18" s="5">
        <f t="shared" si="3"/>
        <v>65555552585.119995</v>
      </c>
      <c r="C18" s="22">
        <f t="shared" si="2"/>
        <v>48861534920.979996</v>
      </c>
      <c r="D18" s="5">
        <f>+'I Trimestre'!D18+'II Trimestre'!D18</f>
        <v>35544088369.134285</v>
      </c>
      <c r="E18" s="22">
        <f>+'I Trimestre'!E18+'II Trimestre'!E18</f>
        <v>13317446551.845713</v>
      </c>
      <c r="F18" s="22">
        <f>+'I Trimestre'!F18+'II Trimestre'!F18</f>
        <v>5930635301.2999992</v>
      </c>
      <c r="G18" s="22">
        <f>+'I Trimestre'!G18+'II Trimestre'!G18</f>
        <v>7256532362.8400002</v>
      </c>
      <c r="H18" s="22">
        <f>+'I Trimestre'!H18+'II Trimestre'!H18</f>
        <v>3506850000</v>
      </c>
    </row>
    <row r="19" spans="1:8" x14ac:dyDescent="0.25">
      <c r="A19" s="4" t="s">
        <v>86</v>
      </c>
      <c r="B19" s="5">
        <f t="shared" si="3"/>
        <v>129073535477.06</v>
      </c>
      <c r="C19" s="22">
        <f>'II Trimestre'!C19</f>
        <v>101323425000</v>
      </c>
      <c r="D19" s="5"/>
      <c r="E19" s="22"/>
      <c r="F19" s="22">
        <f>+'II Trimestre'!F19</f>
        <v>13647463635</v>
      </c>
      <c r="G19" s="22">
        <f>+'II Trimestre'!G19</f>
        <v>11787792503.659998</v>
      </c>
      <c r="H19" s="22">
        <f>+'II Trimestre'!H19</f>
        <v>2314854338.4000001</v>
      </c>
    </row>
    <row r="20" spans="1:8" x14ac:dyDescent="0.25">
      <c r="A20" s="4" t="s">
        <v>120</v>
      </c>
      <c r="B20" s="41">
        <f>+C20+F20+G20</f>
        <v>62048702585.119995</v>
      </c>
      <c r="C20" s="22">
        <f t="shared" si="2"/>
        <v>48861534920.979996</v>
      </c>
      <c r="D20" s="5">
        <f>+D18</f>
        <v>35544088369.134285</v>
      </c>
      <c r="E20" s="22">
        <f>+E18</f>
        <v>13317446551.845713</v>
      </c>
      <c r="F20" s="22">
        <f t="shared" ref="F20:G20" si="4">+F18</f>
        <v>5930635301.2999992</v>
      </c>
      <c r="G20" s="22">
        <f t="shared" si="4"/>
        <v>7256532362.8400002</v>
      </c>
      <c r="H20" s="22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118</v>
      </c>
      <c r="B23" s="8">
        <f>B17</f>
        <v>59310945916.029999</v>
      </c>
      <c r="C23" s="8"/>
      <c r="D23" s="8"/>
      <c r="E23" s="8"/>
      <c r="F23" s="8"/>
      <c r="G23" s="8"/>
      <c r="H23" s="8"/>
    </row>
    <row r="24" spans="1:8" x14ac:dyDescent="0.25">
      <c r="A24" s="9" t="s">
        <v>119</v>
      </c>
      <c r="B24" s="8">
        <f>+'I Trimestre'!B24+'II Trimestre'!B24</f>
        <v>61711256068.060005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76</v>
      </c>
      <c r="B27" s="23">
        <v>1</v>
      </c>
      <c r="C27" s="23">
        <v>1</v>
      </c>
      <c r="D27" s="23">
        <v>1</v>
      </c>
      <c r="E27" s="23">
        <v>1</v>
      </c>
      <c r="F27" s="23">
        <v>1</v>
      </c>
      <c r="G27" s="23">
        <v>1</v>
      </c>
      <c r="H27" s="23">
        <v>1</v>
      </c>
    </row>
    <row r="28" spans="1:8" x14ac:dyDescent="0.25">
      <c r="A28" s="10" t="s">
        <v>121</v>
      </c>
      <c r="B28" s="23">
        <v>0.99</v>
      </c>
      <c r="C28" s="23">
        <v>0.99</v>
      </c>
      <c r="D28" s="23">
        <v>0.99</v>
      </c>
      <c r="E28" s="23">
        <v>0.99</v>
      </c>
      <c r="F28" s="23">
        <v>0.99</v>
      </c>
      <c r="G28" s="23">
        <v>0.99</v>
      </c>
      <c r="H28" s="23">
        <v>0.99</v>
      </c>
    </row>
    <row r="29" spans="1:8" x14ac:dyDescent="0.25">
      <c r="A29" s="4" t="s">
        <v>8</v>
      </c>
      <c r="B29" s="24">
        <f>+D29+F29</f>
        <v>97643</v>
      </c>
      <c r="C29" s="39"/>
      <c r="D29" s="24">
        <v>90768</v>
      </c>
      <c r="E29" s="24" t="s">
        <v>53</v>
      </c>
      <c r="F29" s="24">
        <v>6875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77</v>
      </c>
      <c r="B32" s="13">
        <f>B16/B27</f>
        <v>57504234828.980003</v>
      </c>
      <c r="C32" s="13">
        <f>C16/C27</f>
        <v>42893304356.830002</v>
      </c>
      <c r="D32" s="13">
        <f>D16/D27</f>
        <v>31081054831.829052</v>
      </c>
      <c r="E32" s="13">
        <f t="shared" ref="E32:H32" si="5">E16/E27</f>
        <v>11812249525.000946</v>
      </c>
      <c r="F32" s="13">
        <f t="shared" si="5"/>
        <v>5362717546.1499996</v>
      </c>
      <c r="G32" s="13">
        <f t="shared" si="5"/>
        <v>6732512921.9799995</v>
      </c>
      <c r="H32" s="13">
        <f t="shared" si="5"/>
        <v>2515700004.02</v>
      </c>
    </row>
    <row r="33" spans="1:8" x14ac:dyDescent="0.25">
      <c r="A33" s="12" t="s">
        <v>122</v>
      </c>
      <c r="B33" s="13">
        <f>B18/B28</f>
        <v>66217729883.959595</v>
      </c>
      <c r="C33" s="13">
        <f t="shared" ref="C33:H33" si="6">C18/C28</f>
        <v>49355085778.76767</v>
      </c>
      <c r="D33" s="13">
        <f t="shared" si="6"/>
        <v>35903119564.782104</v>
      </c>
      <c r="E33" s="13">
        <f t="shared" si="6"/>
        <v>13451966213.985569</v>
      </c>
      <c r="F33" s="13">
        <f t="shared" si="6"/>
        <v>5990540708.3838377</v>
      </c>
      <c r="G33" s="13">
        <f t="shared" si="6"/>
        <v>7329830669.5353537</v>
      </c>
      <c r="H33" s="13">
        <f t="shared" si="6"/>
        <v>3542272727.2727275</v>
      </c>
    </row>
    <row r="34" spans="1:8" x14ac:dyDescent="0.25">
      <c r="A34" s="12" t="s">
        <v>78</v>
      </c>
      <c r="B34" s="13">
        <f>B32/B10</f>
        <v>548469.02407344175</v>
      </c>
      <c r="C34" s="13">
        <f>C32/C10</f>
        <v>423248.81202283339</v>
      </c>
      <c r="D34" s="13">
        <f>D32/D10</f>
        <v>423247.71450126718</v>
      </c>
      <c r="E34" s="13">
        <f t="shared" ref="E34:F34" si="7">E32/E10</f>
        <v>423251.69991045486</v>
      </c>
      <c r="F34" s="13">
        <f t="shared" si="7"/>
        <v>1531329.9674900055</v>
      </c>
      <c r="G34" s="13"/>
      <c r="H34" s="13"/>
    </row>
    <row r="35" spans="1:8" x14ac:dyDescent="0.25">
      <c r="A35" s="12" t="s">
        <v>123</v>
      </c>
      <c r="B35" s="13">
        <f>B33/B12</f>
        <v>606858.13418750977</v>
      </c>
      <c r="C35" s="13">
        <f>C33/C12</f>
        <v>468335.66555423662</v>
      </c>
      <c r="D35" s="13">
        <f>D33/D12</f>
        <v>468347.37613177946</v>
      </c>
      <c r="E35" s="13">
        <f t="shared" ref="E35:F35" si="8">E33/E12</f>
        <v>468304.41304512013</v>
      </c>
      <c r="F35" s="13">
        <f t="shared" si="8"/>
        <v>1605325.7816124619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(B17/B29)*100</f>
        <v>60742650.180791251</v>
      </c>
      <c r="C40" s="14"/>
      <c r="D40" s="14">
        <f>(C11)/D29*100</f>
        <v>113.09877930548211</v>
      </c>
      <c r="E40" s="14"/>
      <c r="F40" s="14">
        <f>(F11)/F29*100</f>
        <v>55.672727272727272</v>
      </c>
      <c r="G40" s="14"/>
    </row>
    <row r="41" spans="1:8" x14ac:dyDescent="0.25">
      <c r="A41" s="1" t="s">
        <v>13</v>
      </c>
      <c r="B41" s="14">
        <f>(B18/B29)*100</f>
        <v>67137995.130342171</v>
      </c>
      <c r="C41" s="40"/>
      <c r="D41" s="14">
        <f>(D12)/D29*100</f>
        <v>84.456159292555384</v>
      </c>
      <c r="E41" s="14"/>
      <c r="F41" s="14">
        <f t="shared" ref="F41" si="9">(F12)/F29*100</f>
        <v>54.278787878787881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102.47045749792616</v>
      </c>
      <c r="C44" s="14">
        <f>C12/C11*100</f>
        <v>102.65591895380268</v>
      </c>
      <c r="D44" s="14"/>
      <c r="E44" s="14"/>
      <c r="F44" s="14">
        <f>F12/F11*100</f>
        <v>97.496189854125845</v>
      </c>
      <c r="G44" s="14"/>
    </row>
    <row r="45" spans="1:8" x14ac:dyDescent="0.25">
      <c r="A45" s="1" t="s">
        <v>16</v>
      </c>
      <c r="B45" s="14">
        <f>B18/B17*100</f>
        <v>110.52859058752975</v>
      </c>
      <c r="C45" s="14">
        <f>C18/C17*100</f>
        <v>105.77034187788411</v>
      </c>
      <c r="D45" s="14"/>
      <c r="E45" s="14"/>
      <c r="F45" s="14">
        <f>F18/F17*100</f>
        <v>97.804786663531729</v>
      </c>
      <c r="G45" s="14">
        <f>G18/G17*100</f>
        <v>123.11944514779869</v>
      </c>
      <c r="H45" s="14">
        <f>H18/H17*100</f>
        <v>302.98666674844804</v>
      </c>
    </row>
    <row r="46" spans="1:8" x14ac:dyDescent="0.25">
      <c r="A46" s="12" t="s">
        <v>17</v>
      </c>
      <c r="B46" s="15">
        <f>AVERAGE(B44:B45)</f>
        <v>106.49952404272796</v>
      </c>
      <c r="C46" s="15">
        <f>AVERAGE(C44:C45)</f>
        <v>104.21313041584339</v>
      </c>
      <c r="D46" s="15"/>
      <c r="E46" s="15"/>
      <c r="F46" s="15">
        <f t="shared" ref="F46:H46" si="10">AVERAGE(F44:F45)</f>
        <v>97.650488258828787</v>
      </c>
      <c r="G46" s="15">
        <f>AVERAGE(G44:G45)</f>
        <v>123.11944514779869</v>
      </c>
      <c r="H46" s="15">
        <f t="shared" si="10"/>
        <v>302.98666674844804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B12/B13*100</f>
        <v>101.5020015317687</v>
      </c>
      <c r="C49" s="16">
        <f>C12/C13*100</f>
        <v>101.71709859562763</v>
      </c>
      <c r="D49" s="16"/>
      <c r="E49" s="16"/>
      <c r="F49" s="16">
        <f>F12/F13*100</f>
        <v>95.781998631074615</v>
      </c>
      <c r="G49" s="16"/>
      <c r="H49" s="16"/>
    </row>
    <row r="50" spans="1:8" x14ac:dyDescent="0.25">
      <c r="A50" s="1" t="s">
        <v>20</v>
      </c>
      <c r="B50" s="14">
        <f>B18/B19*100</f>
        <v>50.789305757237166</v>
      </c>
      <c r="C50" s="14">
        <f>C18/C19*100</f>
        <v>48.223335246494081</v>
      </c>
      <c r="D50" s="14"/>
      <c r="E50" s="14"/>
      <c r="F50" s="14">
        <f>F18/F19*100</f>
        <v>43.455952401957063</v>
      </c>
      <c r="G50" s="14">
        <f>G18/G19*100</f>
        <v>61.559722573899357</v>
      </c>
      <c r="H50" s="14">
        <f>H18/H19*100</f>
        <v>151.49333337422402</v>
      </c>
    </row>
    <row r="51" spans="1:8" x14ac:dyDescent="0.25">
      <c r="A51" s="1" t="s">
        <v>21</v>
      </c>
      <c r="B51" s="14">
        <f>(B49+B50)/2</f>
        <v>76.145653644502929</v>
      </c>
      <c r="C51" s="14">
        <f t="shared" ref="C51" si="11">(C49+C50)/2</f>
        <v>74.970216921060853</v>
      </c>
      <c r="D51" s="14"/>
      <c r="E51" s="14"/>
      <c r="F51" s="14">
        <f t="shared" ref="F51" si="12">(F49+F50)/2</f>
        <v>69.618975516515832</v>
      </c>
      <c r="G51" s="14">
        <f>AVERAGE(G49:G50)</f>
        <v>61.559722573899357</v>
      </c>
      <c r="H51" s="14">
        <f t="shared" ref="H51" si="13">AVERAGE(H49:H50)</f>
        <v>151.49333337422402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94.650567554218128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4.0733145754844546</v>
      </c>
      <c r="C57" s="14">
        <f>((C12/C10)-1)*100</f>
        <v>3.9874485657618086</v>
      </c>
      <c r="D57" s="14">
        <f t="shared" ref="D57:F57" si="14">((D12/D10)-1)*100</f>
        <v>4.3909779214176936</v>
      </c>
      <c r="E57" s="14">
        <f t="shared" si="14"/>
        <v>2.9256494475963013</v>
      </c>
      <c r="F57" s="14">
        <f t="shared" si="14"/>
        <v>6.5581572434799229</v>
      </c>
      <c r="G57" s="14"/>
      <c r="H57" s="14"/>
    </row>
    <row r="58" spans="1:8" x14ac:dyDescent="0.25">
      <c r="A58" s="1" t="s">
        <v>25</v>
      </c>
      <c r="B58" s="14">
        <f>((B33/B32)-1)*100</f>
        <v>15.152788452700715</v>
      </c>
      <c r="C58" s="14">
        <f>((C33/C32)-1)*100</f>
        <v>15.06477880132997</v>
      </c>
      <c r="D58" s="14">
        <f t="shared" ref="D58:G58" si="15">((D33/D32)-1)*100</f>
        <v>15.514482243424176</v>
      </c>
      <c r="E58" s="14">
        <f t="shared" si="15"/>
        <v>13.881493829893433</v>
      </c>
      <c r="F58" s="14">
        <f t="shared" si="15"/>
        <v>11.707183099444872</v>
      </c>
      <c r="G58" s="14">
        <f t="shared" si="15"/>
        <v>8.8721366669087143</v>
      </c>
      <c r="H58" s="14">
        <f>((H33/H32)-1)*100</f>
        <v>40.806643145538033</v>
      </c>
    </row>
    <row r="59" spans="1:8" x14ac:dyDescent="0.25">
      <c r="A59" s="12" t="s">
        <v>26</v>
      </c>
      <c r="B59" s="15">
        <f>((B35/B34)-1)*100</f>
        <v>10.645835507795166</v>
      </c>
      <c r="C59" s="15">
        <f>((C35/C34)-1)*100</f>
        <v>10.652564697327694</v>
      </c>
      <c r="D59" s="15">
        <f t="shared" ref="D59:F59" si="16">((D35/D34)-1)*100</f>
        <v>10.655618467699313</v>
      </c>
      <c r="E59" s="15">
        <f t="shared" si="16"/>
        <v>10.644425797745605</v>
      </c>
      <c r="F59" s="15">
        <f t="shared" si="16"/>
        <v>4.8321273463838965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41">
        <f>B17/(B11*6)</f>
        <v>92831.456568264693</v>
      </c>
      <c r="C62" s="41">
        <f t="shared" ref="C62:F62" si="17">C17/(C11*6)</f>
        <v>75000</v>
      </c>
      <c r="D62" s="41"/>
      <c r="E62" s="41"/>
      <c r="F62" s="41">
        <f t="shared" si="17"/>
        <v>264043</v>
      </c>
      <c r="G62" s="5"/>
      <c r="H62" s="5"/>
    </row>
    <row r="63" spans="1:8" x14ac:dyDescent="0.25">
      <c r="A63" s="1" t="s">
        <v>35</v>
      </c>
      <c r="B63" s="41">
        <f>B18/(B12*6)</f>
        <v>100131.59214093912</v>
      </c>
      <c r="C63" s="41">
        <f t="shared" ref="C63:F63" si="18">C18/(C12*6)</f>
        <v>77275.384816449048</v>
      </c>
      <c r="D63" s="41">
        <f t="shared" si="18"/>
        <v>77277.317061743612</v>
      </c>
      <c r="E63" s="41">
        <f t="shared" si="18"/>
        <v>77270.228152444819</v>
      </c>
      <c r="F63" s="41">
        <f t="shared" si="18"/>
        <v>264878.75396605622</v>
      </c>
      <c r="G63" s="5"/>
      <c r="H63" s="5"/>
    </row>
    <row r="64" spans="1:8" x14ac:dyDescent="0.25">
      <c r="A64" s="12" t="s">
        <v>28</v>
      </c>
      <c r="B64" s="15">
        <f>(B63/B62)*B46</f>
        <v>114.87449727570205</v>
      </c>
      <c r="C64" s="15">
        <f t="shared" ref="C64:F64" si="19">(C63/C62)*C46</f>
        <v>107.37479674414787</v>
      </c>
      <c r="D64" s="15" t="e">
        <f t="shared" si="19"/>
        <v>#DIV/0!</v>
      </c>
      <c r="E64" s="15" t="e">
        <f t="shared" si="19"/>
        <v>#DIV/0!</v>
      </c>
      <c r="F64" s="15">
        <f t="shared" si="19"/>
        <v>97.959573456503577</v>
      </c>
      <c r="G64" s="15"/>
      <c r="H64" s="15"/>
    </row>
    <row r="65" spans="1:9" s="25" customFormat="1" x14ac:dyDescent="0.25">
      <c r="A65" s="16" t="s">
        <v>40</v>
      </c>
      <c r="B65" s="5">
        <f>B17/B11</f>
        <v>556988.73940958816</v>
      </c>
      <c r="C65" s="5">
        <f>C17/C11</f>
        <v>450000</v>
      </c>
      <c r="D65" s="5"/>
      <c r="E65" s="5"/>
      <c r="F65" s="5">
        <f t="shared" ref="F65" si="20">F17/F11</f>
        <v>1584258</v>
      </c>
      <c r="G65" s="16"/>
      <c r="H65" s="16"/>
    </row>
    <row r="66" spans="1:9" s="25" customFormat="1" x14ac:dyDescent="0.25">
      <c r="A66" s="16" t="s">
        <v>41</v>
      </c>
      <c r="B66" s="5">
        <f>B18/B12</f>
        <v>600789.55284563464</v>
      </c>
      <c r="C66" s="5">
        <f>C18/C12</f>
        <v>463652.30889869423</v>
      </c>
      <c r="D66" s="22">
        <f>D18/D12</f>
        <v>463663.90237046167</v>
      </c>
      <c r="E66" s="5">
        <f t="shared" ref="E66:F66" si="21">E18/E12</f>
        <v>463621.36891466891</v>
      </c>
      <c r="F66" s="5">
        <f t="shared" si="21"/>
        <v>1589272.5237963374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104.04699354387009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106.22948998610593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91</v>
      </c>
    </row>
    <row r="75" spans="1:9" x14ac:dyDescent="0.25">
      <c r="A75" s="1" t="s">
        <v>92</v>
      </c>
      <c r="B75" s="20"/>
      <c r="C75" s="20"/>
      <c r="D75" s="20"/>
      <c r="E75" s="20"/>
      <c r="F75" s="20"/>
    </row>
    <row r="76" spans="1:9" x14ac:dyDescent="0.25">
      <c r="A76" s="1" t="s">
        <v>93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24" t="s">
        <v>124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workbookViewId="0">
      <selection activeCell="F68" sqref="F68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4" t="s">
        <v>133</v>
      </c>
      <c r="B2" s="54"/>
      <c r="C2" s="54"/>
      <c r="D2" s="54"/>
      <c r="E2" s="54"/>
      <c r="F2" s="54"/>
      <c r="G2" s="54"/>
      <c r="H2" s="54"/>
    </row>
    <row r="4" spans="1:8" x14ac:dyDescent="0.25">
      <c r="A4" s="52" t="s">
        <v>0</v>
      </c>
      <c r="B4" s="52" t="s">
        <v>38</v>
      </c>
      <c r="C4" s="36"/>
      <c r="D4" s="36"/>
      <c r="E4" s="37" t="s">
        <v>1</v>
      </c>
      <c r="F4" s="29"/>
      <c r="G4" s="52" t="s">
        <v>2</v>
      </c>
      <c r="H4" s="52" t="s">
        <v>3</v>
      </c>
    </row>
    <row r="5" spans="1:8" ht="15.75" thickBot="1" x14ac:dyDescent="0.3">
      <c r="A5" s="53"/>
      <c r="B5" s="53"/>
      <c r="C5" s="55" t="s">
        <v>39</v>
      </c>
      <c r="D5" s="55"/>
      <c r="E5" s="55"/>
      <c r="F5" s="35" t="s">
        <v>57</v>
      </c>
      <c r="G5" s="53"/>
      <c r="H5" s="53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67</v>
      </c>
      <c r="B10" s="22">
        <f>+C10+F10</f>
        <v>105413.99999999999</v>
      </c>
      <c r="C10" s="22">
        <f>SUM(D10:E10)</f>
        <v>101882.66666666666</v>
      </c>
      <c r="D10" s="22">
        <f>(+'I Trimestre'!D10+'II Trimestre'!D10+'III Trimestre'!D10)/3</f>
        <v>73873.555555555547</v>
      </c>
      <c r="E10" s="5">
        <f>(+'I Trimestre'!E10+'II Trimestre'!E10+'III Trimestre'!E10)/3</f>
        <v>28009.111111111113</v>
      </c>
      <c r="F10" s="5">
        <f>(+'I Trimestre'!F10+'II Trimestre'!F10+'III Trimestre'!F10)/3</f>
        <v>3531.3333333333335</v>
      </c>
      <c r="G10" s="5"/>
      <c r="H10" s="5"/>
    </row>
    <row r="11" spans="1:8" x14ac:dyDescent="0.25">
      <c r="A11" s="4" t="s">
        <v>104</v>
      </c>
      <c r="B11" s="22">
        <f t="shared" ref="B11:B13" si="0">+C11+F11</f>
        <v>106992</v>
      </c>
      <c r="C11" s="22">
        <f>('I Trimestre'!C11+'II Trimestre'!C11+'III Trimestre'!C11)/3</f>
        <v>103130</v>
      </c>
      <c r="D11" s="22"/>
      <c r="E11" s="5">
        <f>(+'I Trimestre'!E11+'II Trimestre'!E11+'III Trimestre'!E11)/3</f>
        <v>0</v>
      </c>
      <c r="F11" s="5">
        <f>(+'I Trimestre'!F11+'II Trimestre'!F11+'III Trimestre'!F11)/3</f>
        <v>3862</v>
      </c>
      <c r="G11" s="5"/>
      <c r="H11" s="5"/>
    </row>
    <row r="12" spans="1:8" x14ac:dyDescent="0.25">
      <c r="A12" s="4" t="s">
        <v>105</v>
      </c>
      <c r="B12" s="22">
        <f t="shared" si="0"/>
        <v>109622.88888888889</v>
      </c>
      <c r="C12" s="22">
        <f t="shared" ref="C12" si="1">SUM(D12:E12)</f>
        <v>105864.55555555556</v>
      </c>
      <c r="D12" s="22">
        <f>(+'I Trimestre'!D12+'II Trimestre'!D12+'III Trimestre'!D12)/3</f>
        <v>77076.777777777781</v>
      </c>
      <c r="E12" s="5">
        <f>(+'I Trimestre'!E12+'II Trimestre'!E12+'III Trimestre'!E12)/3</f>
        <v>28787.777777777781</v>
      </c>
      <c r="F12" s="5">
        <f>(+'I Trimestre'!F12+'II Trimestre'!F12+'III Trimestre'!F12)/3</f>
        <v>3758.3333333333335</v>
      </c>
      <c r="G12" s="5"/>
      <c r="H12" s="5"/>
    </row>
    <row r="13" spans="1:8" x14ac:dyDescent="0.25">
      <c r="A13" s="4" t="s">
        <v>86</v>
      </c>
      <c r="B13" s="22">
        <f t="shared" si="0"/>
        <v>107501</v>
      </c>
      <c r="C13" s="22">
        <f>'III Trimestre'!C13</f>
        <v>103605</v>
      </c>
      <c r="D13" s="22"/>
      <c r="E13" s="22">
        <f>'III Trimestre'!E13</f>
        <v>0</v>
      </c>
      <c r="F13" s="22">
        <f>'III Trimestre'!F13</f>
        <v>3896</v>
      </c>
      <c r="G13" s="22"/>
      <c r="H13" s="22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67</v>
      </c>
      <c r="B16" s="5">
        <f>+C16+F16+G16+H16</f>
        <v>86368046855.729996</v>
      </c>
      <c r="C16" s="22">
        <f t="shared" ref="C16:C20" si="2">SUM(D16:E16)</f>
        <v>64305085142.959991</v>
      </c>
      <c r="D16" s="5">
        <f>+'I Trimestre'!D16+'II Trimestre'!D16+'III Trimestre'!D16</f>
        <v>46626483587.291573</v>
      </c>
      <c r="E16" s="22">
        <f>+'I Trimestre'!E16+'II Trimestre'!E16+'III Trimestre'!E16</f>
        <v>17678601555.668423</v>
      </c>
      <c r="F16" s="22">
        <f>+'I Trimestre'!F16+'II Trimestre'!F16+'III Trimestre'!F16</f>
        <v>8148899222.2999992</v>
      </c>
      <c r="G16" s="22">
        <f>+'I Trimestre'!G16+'II Trimestre'!G16+'III Trimestre'!G16</f>
        <v>10281862486.439999</v>
      </c>
      <c r="H16" s="22">
        <f>+'I Trimestre'!H16+'II Trimestre'!H16+'III Trimestre'!H16</f>
        <v>3632200004.0299997</v>
      </c>
    </row>
    <row r="17" spans="1:9" x14ac:dyDescent="0.25">
      <c r="A17" s="4" t="s">
        <v>104</v>
      </c>
      <c r="B17" s="5">
        <f t="shared" ref="B17:B19" si="3">+C17+F17+G17+H17</f>
        <v>89460754078.544998</v>
      </c>
      <c r="C17" s="22">
        <f>'I Trimestre'!C17+'II Trimestre'!C17+'III Trimestre'!C17</f>
        <v>69612750000</v>
      </c>
      <c r="D17" s="5"/>
      <c r="E17" s="22"/>
      <c r="F17" s="22">
        <f>+'I Trimestre'!F17+'II Trimestre'!F17+'III Trimestre'!F17</f>
        <v>9271018947</v>
      </c>
      <c r="G17" s="22">
        <f>+'I Trimestre'!G17+'II Trimestre'!G17+'III Trimestre'!G17</f>
        <v>8840844377.7449989</v>
      </c>
      <c r="H17" s="22">
        <f>+'I Trimestre'!H17+'II Trimestre'!H17+'III Trimestre'!H17</f>
        <v>1736140753.8000002</v>
      </c>
    </row>
    <row r="18" spans="1:9" x14ac:dyDescent="0.25">
      <c r="A18" s="4" t="s">
        <v>105</v>
      </c>
      <c r="B18" s="5">
        <f t="shared" si="3"/>
        <v>97952960368.399994</v>
      </c>
      <c r="C18" s="22">
        <f t="shared" si="2"/>
        <v>73147745767.399994</v>
      </c>
      <c r="D18" s="5">
        <f>+'I Trimestre'!D18+'II Trimestre'!D18+'III Trimestre'!D18</f>
        <v>53257462845.893707</v>
      </c>
      <c r="E18" s="22">
        <f>+'I Trimestre'!E18+'II Trimestre'!E18+'III Trimestre'!E18</f>
        <v>19890282921.506294</v>
      </c>
      <c r="F18" s="22">
        <f>+'I Trimestre'!F18+'II Trimestre'!F18+'III Trimestre'!F18</f>
        <v>8953996436.4499989</v>
      </c>
      <c r="G18" s="22">
        <f>+'I Trimestre'!G18+'II Trimestre'!G18+'III Trimestre'!G18</f>
        <v>11093443164.549999</v>
      </c>
      <c r="H18" s="22">
        <f>+'I Trimestre'!H18+'II Trimestre'!H18+'III Trimestre'!H18</f>
        <v>4757775000</v>
      </c>
    </row>
    <row r="19" spans="1:9" x14ac:dyDescent="0.25">
      <c r="A19" s="4" t="s">
        <v>86</v>
      </c>
      <c r="B19" s="5">
        <f t="shared" si="3"/>
        <v>129073535477.06</v>
      </c>
      <c r="C19" s="22">
        <f>'III Trimestre'!C19</f>
        <v>101323425000</v>
      </c>
      <c r="D19" s="22"/>
      <c r="E19" s="22"/>
      <c r="F19" s="22">
        <f>+'III Trimestre'!F19</f>
        <v>13647463635</v>
      </c>
      <c r="G19" s="22">
        <f>+'III Trimestre'!G19</f>
        <v>11787792503.659998</v>
      </c>
      <c r="H19" s="22">
        <f>+'III Trimestre'!H19</f>
        <v>2314854338.4000001</v>
      </c>
    </row>
    <row r="20" spans="1:9" x14ac:dyDescent="0.25">
      <c r="A20" s="4" t="s">
        <v>106</v>
      </c>
      <c r="B20" s="41">
        <f>+C20+F20+G20</f>
        <v>93195185368.399994</v>
      </c>
      <c r="C20" s="22">
        <f t="shared" si="2"/>
        <v>73147745767.399994</v>
      </c>
      <c r="D20" s="5">
        <f>+D18</f>
        <v>53257462845.893707</v>
      </c>
      <c r="E20" s="22">
        <f>+E18</f>
        <v>19890282921.506294</v>
      </c>
      <c r="F20" s="22">
        <f t="shared" ref="F20:G20" si="4">+F18</f>
        <v>8953996436.4499989</v>
      </c>
      <c r="G20" s="22">
        <f t="shared" si="4"/>
        <v>11093443164.549999</v>
      </c>
      <c r="H20" s="22"/>
    </row>
    <row r="21" spans="1:9" x14ac:dyDescent="0.25">
      <c r="B21" s="5"/>
      <c r="C21" s="5"/>
      <c r="D21" s="5"/>
      <c r="E21" s="5"/>
      <c r="F21" s="5"/>
      <c r="G21" s="5"/>
    </row>
    <row r="22" spans="1:9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9" x14ac:dyDescent="0.25">
      <c r="A23" s="9" t="s">
        <v>104</v>
      </c>
      <c r="B23" s="8">
        <f>B17</f>
        <v>89460754078.544998</v>
      </c>
      <c r="C23" s="8"/>
      <c r="D23" s="8"/>
      <c r="E23" s="8"/>
      <c r="F23" s="8"/>
      <c r="G23" s="8"/>
      <c r="H23" s="8"/>
    </row>
    <row r="24" spans="1:9" x14ac:dyDescent="0.25">
      <c r="A24" s="9" t="s">
        <v>105</v>
      </c>
      <c r="B24" s="8">
        <f>+'I Trimestre'!B24+'II Trimestre'!B24+'III Trimestre'!B24</f>
        <v>96453369688.390015</v>
      </c>
      <c r="C24" s="8"/>
      <c r="D24" s="8"/>
      <c r="E24" s="8"/>
      <c r="F24" s="8"/>
      <c r="G24" s="8"/>
      <c r="H24" s="8"/>
    </row>
    <row r="26" spans="1:9" x14ac:dyDescent="0.25">
      <c r="A26" s="1" t="s">
        <v>7</v>
      </c>
    </row>
    <row r="27" spans="1:9" x14ac:dyDescent="0.25">
      <c r="A27" s="10" t="s">
        <v>68</v>
      </c>
      <c r="B27" s="45">
        <v>0.99</v>
      </c>
      <c r="C27" s="45">
        <v>0.99</v>
      </c>
      <c r="D27" s="45">
        <v>0.99</v>
      </c>
      <c r="E27" s="45">
        <v>0.99</v>
      </c>
      <c r="F27" s="45">
        <v>0.99</v>
      </c>
      <c r="G27" s="45">
        <v>0.99</v>
      </c>
      <c r="H27" s="45">
        <v>0.99</v>
      </c>
    </row>
    <row r="28" spans="1:9" x14ac:dyDescent="0.25">
      <c r="A28" s="10" t="s">
        <v>107</v>
      </c>
      <c r="B28" s="49">
        <v>0.99</v>
      </c>
      <c r="C28" s="49">
        <v>0.99</v>
      </c>
      <c r="D28" s="49">
        <v>0.99</v>
      </c>
      <c r="E28" s="49">
        <v>0.99</v>
      </c>
      <c r="F28" s="49">
        <v>0.99</v>
      </c>
      <c r="G28" s="49">
        <v>0.99</v>
      </c>
      <c r="H28" s="49">
        <v>0.99</v>
      </c>
      <c r="I28" s="43"/>
    </row>
    <row r="29" spans="1:9" x14ac:dyDescent="0.25">
      <c r="A29" s="4" t="s">
        <v>8</v>
      </c>
      <c r="B29" s="24">
        <f>+D29+F29</f>
        <v>97643</v>
      </c>
      <c r="C29" s="39"/>
      <c r="D29" s="24">
        <v>90768</v>
      </c>
      <c r="E29" s="24" t="s">
        <v>53</v>
      </c>
      <c r="F29" s="24">
        <v>6875</v>
      </c>
      <c r="G29" s="24"/>
      <c r="H29" s="24"/>
    </row>
    <row r="31" spans="1:9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69</v>
      </c>
      <c r="B32" s="13">
        <f>B16/B27</f>
        <v>87240451369.42424</v>
      </c>
      <c r="C32" s="13">
        <f t="shared" ref="C32:H32" si="5">C16/C27</f>
        <v>64954631457.535347</v>
      </c>
      <c r="D32" s="13">
        <f t="shared" si="5"/>
        <v>47097458168.981384</v>
      </c>
      <c r="E32" s="13">
        <f t="shared" si="5"/>
        <v>17857173288.553963</v>
      </c>
      <c r="F32" s="13">
        <f t="shared" si="5"/>
        <v>8231211335.6565647</v>
      </c>
      <c r="G32" s="13">
        <f t="shared" si="5"/>
        <v>10385719683.272726</v>
      </c>
      <c r="H32" s="13">
        <f t="shared" si="5"/>
        <v>3668888892.9595957</v>
      </c>
    </row>
    <row r="33" spans="1:8" x14ac:dyDescent="0.25">
      <c r="A33" s="12" t="s">
        <v>108</v>
      </c>
      <c r="B33" s="13">
        <f>B18/B28</f>
        <v>98942384210.505051</v>
      </c>
      <c r="C33" s="13">
        <f t="shared" ref="C33:H33" si="6">C18/C28</f>
        <v>73886611886.262619</v>
      </c>
      <c r="D33" s="13">
        <f t="shared" si="6"/>
        <v>53795417016.054253</v>
      </c>
      <c r="E33" s="13">
        <f t="shared" si="6"/>
        <v>20091194870.208378</v>
      </c>
      <c r="F33" s="13">
        <f t="shared" si="6"/>
        <v>9044440844.8989887</v>
      </c>
      <c r="G33" s="13">
        <f t="shared" si="6"/>
        <v>11205498146.010099</v>
      </c>
      <c r="H33" s="13">
        <f t="shared" si="6"/>
        <v>4805833333.333333</v>
      </c>
    </row>
    <row r="34" spans="1:8" x14ac:dyDescent="0.25">
      <c r="A34" s="12" t="s">
        <v>70</v>
      </c>
      <c r="B34" s="13">
        <f>B32/B10</f>
        <v>827598.33958889951</v>
      </c>
      <c r="C34" s="13">
        <f>C32/C10</f>
        <v>637543.49569637643</v>
      </c>
      <c r="D34" s="13">
        <f>D32/D10</f>
        <v>637541.51014922268</v>
      </c>
      <c r="E34" s="13">
        <f t="shared" ref="E34:F34" si="7">E32/E10</f>
        <v>637548.73254332179</v>
      </c>
      <c r="F34" s="13">
        <f t="shared" si="7"/>
        <v>2330907.4954662728</v>
      </c>
      <c r="G34" s="13"/>
      <c r="H34" s="13"/>
    </row>
    <row r="35" spans="1:8" x14ac:dyDescent="0.25">
      <c r="A35" s="12" t="s">
        <v>109</v>
      </c>
      <c r="B35" s="13">
        <f>B33/B12</f>
        <v>902570.48699738842</v>
      </c>
      <c r="C35" s="13">
        <f>C33/C12</f>
        <v>697935.31459628558</v>
      </c>
      <c r="D35" s="13">
        <f>D33/D12</f>
        <v>697945.84785515198</v>
      </c>
      <c r="E35" s="13">
        <f t="shared" ref="E35:F35" si="8">E33/E12</f>
        <v>697907.11270938814</v>
      </c>
      <c r="F35" s="13">
        <f t="shared" si="8"/>
        <v>2406503.1072901962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(B11/B29)*100</f>
        <v>109.57467509191648</v>
      </c>
      <c r="C40" s="14"/>
      <c r="D40" s="14">
        <f>(C11)/D29*100</f>
        <v>113.61933721135202</v>
      </c>
      <c r="E40" s="14"/>
      <c r="F40" s="14">
        <f>(F11)/F29*100</f>
        <v>56.174545454545452</v>
      </c>
      <c r="G40" s="14"/>
    </row>
    <row r="41" spans="1:8" x14ac:dyDescent="0.25">
      <c r="A41" s="1" t="s">
        <v>13</v>
      </c>
      <c r="B41" s="14">
        <f>(B12/B29)*100</f>
        <v>112.26907088976054</v>
      </c>
      <c r="C41" s="40"/>
      <c r="D41" s="14">
        <f>(D12)/D29*100</f>
        <v>84.91624556867815</v>
      </c>
      <c r="E41" s="14"/>
      <c r="F41" s="14">
        <f t="shared" ref="F41" si="9">(F12)/F29*100</f>
        <v>54.666666666666664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102.4589585098782</v>
      </c>
      <c r="C44" s="14">
        <f>C12/C11*100</f>
        <v>102.65156167512417</v>
      </c>
      <c r="D44" s="14"/>
      <c r="E44" s="14"/>
      <c r="F44" s="14">
        <f>F12/F11*100</f>
        <v>97.315725876057314</v>
      </c>
      <c r="G44" s="14"/>
    </row>
    <row r="45" spans="1:8" x14ac:dyDescent="0.25">
      <c r="A45" s="1" t="s">
        <v>16</v>
      </c>
      <c r="B45" s="14">
        <f>B18/B17*100</f>
        <v>109.49266119800308</v>
      </c>
      <c r="C45" s="14">
        <f>C18/C17*100</f>
        <v>105.07808665424076</v>
      </c>
      <c r="D45" s="14"/>
      <c r="E45" s="14"/>
      <c r="F45" s="14">
        <f>F18/F17*100</f>
        <v>96.580499809542658</v>
      </c>
      <c r="G45" s="14">
        <f>G18/G17*100</f>
        <v>125.47945298613618</v>
      </c>
      <c r="H45" s="14">
        <f>H18/H17*100</f>
        <v>274.04316093533083</v>
      </c>
    </row>
    <row r="46" spans="1:8" x14ac:dyDescent="0.25">
      <c r="A46" s="12" t="s">
        <v>17</v>
      </c>
      <c r="B46" s="15">
        <f>AVERAGE(B44:B45)</f>
        <v>105.97580985394063</v>
      </c>
      <c r="C46" s="15">
        <f>AVERAGE(C44:C45)</f>
        <v>103.86482416468246</v>
      </c>
      <c r="D46" s="15"/>
      <c r="E46" s="15"/>
      <c r="F46" s="15">
        <f t="shared" ref="F46:H46" si="10">AVERAGE(F44:F45)</f>
        <v>96.948112842799986</v>
      </c>
      <c r="G46" s="15">
        <f>AVERAGE(G44:G45)</f>
        <v>125.47945298613618</v>
      </c>
      <c r="H46" s="15">
        <f t="shared" si="10"/>
        <v>274.04316093533083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B12/B13*100</f>
        <v>101.97383176797321</v>
      </c>
      <c r="C49" s="16">
        <f>C12/C13*100</f>
        <v>102.18093292365771</v>
      </c>
      <c r="D49" s="16"/>
      <c r="E49" s="16"/>
      <c r="F49" s="16">
        <f>F12/F13*100</f>
        <v>96.46646132785763</v>
      </c>
      <c r="G49" s="16"/>
      <c r="H49" s="16"/>
    </row>
    <row r="50" spans="1:8" x14ac:dyDescent="0.25">
      <c r="A50" s="1" t="s">
        <v>20</v>
      </c>
      <c r="B50" s="14">
        <f>B18/B19*100</f>
        <v>75.889267312902405</v>
      </c>
      <c r="C50" s="14">
        <f>C18/C19*100</f>
        <v>72.192334366312622</v>
      </c>
      <c r="D50" s="14"/>
      <c r="E50" s="14"/>
      <c r="F50" s="14">
        <f>F18/F19*100</f>
        <v>65.609234623544026</v>
      </c>
      <c r="G50" s="14">
        <f>G18/G19*100</f>
        <v>94.109589739602143</v>
      </c>
      <c r="H50" s="14">
        <f>H18/H19*100</f>
        <v>205.53237070149811</v>
      </c>
    </row>
    <row r="51" spans="1:8" x14ac:dyDescent="0.25">
      <c r="A51" s="1" t="s">
        <v>21</v>
      </c>
      <c r="B51" s="14">
        <f>(B49+B50)/2</f>
        <v>88.9315495404378</v>
      </c>
      <c r="C51" s="14">
        <f t="shared" ref="C51" si="11">(C49+C50)/2</f>
        <v>87.186633644985164</v>
      </c>
      <c r="D51" s="14"/>
      <c r="E51" s="14"/>
      <c r="F51" s="14">
        <f t="shared" ref="F51" si="12">(F49+F50)/2</f>
        <v>81.037847975700828</v>
      </c>
      <c r="G51" s="14">
        <f>AVERAGE(G49:G50)</f>
        <v>94.109589739602143</v>
      </c>
      <c r="H51" s="14">
        <f t="shared" ref="H51" si="13">AVERAGE(H49:H50)</f>
        <v>205.53237070149811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95.142796111413006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3.9927228725680664</v>
      </c>
      <c r="C57" s="14">
        <f>((C12/C10)-1)*100</f>
        <v>3.9083084681289293</v>
      </c>
      <c r="D57" s="14">
        <f t="shared" ref="D57:F57" si="14">((D12/D10)-1)*100</f>
        <v>4.336087789646581</v>
      </c>
      <c r="E57" s="14">
        <f t="shared" si="14"/>
        <v>2.7800477622361042</v>
      </c>
      <c r="F57" s="14">
        <f t="shared" si="14"/>
        <v>6.4281668869171193</v>
      </c>
      <c r="G57" s="14"/>
      <c r="H57" s="14"/>
    </row>
    <row r="58" spans="1:8" x14ac:dyDescent="0.25">
      <c r="A58" s="1" t="s">
        <v>25</v>
      </c>
      <c r="B58" s="14">
        <f>((B33/B32)-1)*100</f>
        <v>13.413425374805055</v>
      </c>
      <c r="C58" s="14">
        <f>((C33/C32)-1)*100</f>
        <v>13.75110631574692</v>
      </c>
      <c r="D58" s="14">
        <f t="shared" ref="D58:G58" si="15">((D33/D32)-1)*100</f>
        <v>14.221486907087865</v>
      </c>
      <c r="E58" s="14">
        <f t="shared" si="15"/>
        <v>12.510499537384078</v>
      </c>
      <c r="F58" s="14">
        <f t="shared" si="15"/>
        <v>9.8798278416156968</v>
      </c>
      <c r="G58" s="14">
        <f t="shared" si="15"/>
        <v>7.8933235994970152</v>
      </c>
      <c r="H58" s="14">
        <f>((H33/H32)-1)*100</f>
        <v>30.988794524562291</v>
      </c>
    </row>
    <row r="59" spans="1:8" x14ac:dyDescent="0.25">
      <c r="A59" s="12" t="s">
        <v>26</v>
      </c>
      <c r="B59" s="15">
        <f>((B35/B34)-1)*100</f>
        <v>9.0590016705121013</v>
      </c>
      <c r="C59" s="15">
        <f>((C35/C34)-1)*100</f>
        <v>9.4725801937551424</v>
      </c>
      <c r="D59" s="15">
        <f t="shared" ref="D59:F59" si="16">((D35/D34)-1)*100</f>
        <v>9.4745733013982267</v>
      </c>
      <c r="E59" s="15">
        <f t="shared" si="16"/>
        <v>9.4672574950127384</v>
      </c>
      <c r="F59" s="15">
        <f t="shared" si="16"/>
        <v>3.2431836943748626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41">
        <f>B17/(B11*9)</f>
        <v>92904.925475783239</v>
      </c>
      <c r="C62" s="41">
        <f t="shared" ref="C62:F62" si="17">C17/(C11*9)</f>
        <v>75000</v>
      </c>
      <c r="D62" s="41"/>
      <c r="E62" s="41"/>
      <c r="F62" s="41">
        <f t="shared" si="17"/>
        <v>266730.50655964093</v>
      </c>
      <c r="G62" s="5"/>
      <c r="H62" s="5"/>
    </row>
    <row r="63" spans="1:8" x14ac:dyDescent="0.25">
      <c r="A63" s="1" t="s">
        <v>35</v>
      </c>
      <c r="B63" s="41">
        <f>B18/(B12*9)</f>
        <v>99282.753569712731</v>
      </c>
      <c r="C63" s="41">
        <f t="shared" ref="C63:F63" si="18">C18/(C12*9)</f>
        <v>76772.884605591418</v>
      </c>
      <c r="D63" s="41">
        <f t="shared" si="18"/>
        <v>76774.043264066713</v>
      </c>
      <c r="E63" s="41">
        <f t="shared" si="18"/>
        <v>76769.782398032694</v>
      </c>
      <c r="F63" s="41">
        <f t="shared" si="18"/>
        <v>264715.3418019216</v>
      </c>
      <c r="G63" s="5"/>
      <c r="H63" s="5"/>
    </row>
    <row r="64" spans="1:8" x14ac:dyDescent="0.25">
      <c r="A64" s="12" t="s">
        <v>28</v>
      </c>
      <c r="B64" s="15">
        <f>(B63/B62)*B46</f>
        <v>113.25094078916294</v>
      </c>
      <c r="C64" s="15">
        <f t="shared" ref="C64:F64" si="19">(C63/C62)*C46</f>
        <v>106.32002880233613</v>
      </c>
      <c r="D64" s="15" t="e">
        <f t="shared" si="19"/>
        <v>#DIV/0!</v>
      </c>
      <c r="E64" s="15" t="e">
        <f t="shared" si="19"/>
        <v>#DIV/0!</v>
      </c>
      <c r="F64" s="15">
        <f t="shared" si="19"/>
        <v>96.215664114500797</v>
      </c>
      <c r="G64" s="15"/>
      <c r="H64" s="15"/>
    </row>
    <row r="65" spans="1:9" x14ac:dyDescent="0.25">
      <c r="A65" s="16" t="s">
        <v>42</v>
      </c>
      <c r="B65" s="5">
        <f>B17/B11</f>
        <v>836144.32928204909</v>
      </c>
      <c r="C65" s="5">
        <f>C17/C11</f>
        <v>675000</v>
      </c>
      <c r="D65" s="5"/>
      <c r="E65" s="5"/>
      <c r="F65" s="5">
        <f t="shared" ref="F65" si="20">F17/F11</f>
        <v>2400574.5590367685</v>
      </c>
      <c r="G65" s="16"/>
      <c r="H65" s="16"/>
    </row>
    <row r="66" spans="1:9" x14ac:dyDescent="0.25">
      <c r="A66" s="16" t="s">
        <v>43</v>
      </c>
      <c r="B66" s="5">
        <f>B18/B12</f>
        <v>893544.78212741448</v>
      </c>
      <c r="C66" s="5">
        <f>C18/C12</f>
        <v>690955.96145032265</v>
      </c>
      <c r="D66" s="22">
        <f>D18/D12</f>
        <v>690966.38937660051</v>
      </c>
      <c r="E66" s="5">
        <f t="shared" ref="E66:F66" si="21">E18/E12</f>
        <v>690928.04158229427</v>
      </c>
      <c r="F66" s="5">
        <f t="shared" si="21"/>
        <v>2382438.0762172947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107.81640584395882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101.5547312497787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91</v>
      </c>
    </row>
    <row r="75" spans="1:9" x14ac:dyDescent="0.25">
      <c r="A75" s="1" t="s">
        <v>92</v>
      </c>
      <c r="B75" s="20"/>
      <c r="C75" s="20"/>
      <c r="D75" s="20"/>
      <c r="E75" s="20"/>
      <c r="F75" s="20"/>
    </row>
    <row r="76" spans="1:9" x14ac:dyDescent="0.25">
      <c r="A76" s="1" t="s">
        <v>93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24" t="s">
        <v>125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5"/>
  <sheetViews>
    <sheetView tabSelected="1" zoomScale="90" zoomScaleNormal="90" workbookViewId="0">
      <selection activeCell="A18" sqref="A18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4" t="s">
        <v>134</v>
      </c>
      <c r="B2" s="54"/>
      <c r="C2" s="54"/>
      <c r="D2" s="54"/>
      <c r="E2" s="54"/>
      <c r="F2" s="54"/>
      <c r="G2" s="54"/>
      <c r="H2" s="54"/>
    </row>
    <row r="4" spans="1:8" x14ac:dyDescent="0.25">
      <c r="A4" s="52" t="s">
        <v>0</v>
      </c>
      <c r="B4" s="52" t="s">
        <v>38</v>
      </c>
      <c r="C4" s="36"/>
      <c r="D4" s="36"/>
      <c r="E4" s="37" t="s">
        <v>1</v>
      </c>
      <c r="F4" s="29"/>
      <c r="G4" s="52" t="s">
        <v>2</v>
      </c>
      <c r="H4" s="52" t="s">
        <v>3</v>
      </c>
    </row>
    <row r="5" spans="1:8" ht="15.75" thickBot="1" x14ac:dyDescent="0.3">
      <c r="A5" s="53"/>
      <c r="B5" s="53"/>
      <c r="C5" s="55" t="s">
        <v>39</v>
      </c>
      <c r="D5" s="55"/>
      <c r="E5" s="55"/>
      <c r="F5" s="35" t="s">
        <v>57</v>
      </c>
      <c r="G5" s="53"/>
      <c r="H5" s="53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79</v>
      </c>
      <c r="B10" s="22">
        <f>+C10+F10</f>
        <v>105984.75</v>
      </c>
      <c r="C10" s="22">
        <f>SUM(D10:E10)</f>
        <v>102420.5</v>
      </c>
      <c r="D10" s="22">
        <f>(+'I Trimestre'!D10+'II Trimestre'!D10+'III Trimestre'!D10+'IV Trimestre'!D10)/4</f>
        <v>74297.333333333328</v>
      </c>
      <c r="E10" s="5">
        <f>(+'I Trimestre'!E10+'II Trimestre'!E10+'III Trimestre'!E10+'IV Trimestre'!E10)/4</f>
        <v>28123.166666666668</v>
      </c>
      <c r="F10" s="5">
        <f>(+'I Trimestre'!F10+'II Trimestre'!F10+'III Trimestre'!F10+'IV Trimestre'!F10)/4</f>
        <v>3564.25</v>
      </c>
      <c r="G10" s="5"/>
      <c r="H10" s="5"/>
    </row>
    <row r="11" spans="1:8" x14ac:dyDescent="0.25">
      <c r="A11" s="4" t="s">
        <v>126</v>
      </c>
      <c r="B11" s="22">
        <f>+C11+F11</f>
        <v>108890</v>
      </c>
      <c r="C11" s="22">
        <f>'IV Trimestre'!C13</f>
        <v>105097.41666666667</v>
      </c>
      <c r="D11" s="5"/>
      <c r="E11" s="5"/>
      <c r="F11" s="5">
        <f>'IV Trimestre'!F13</f>
        <v>3792.5833333333335</v>
      </c>
      <c r="G11" s="5"/>
      <c r="H11" s="5"/>
    </row>
    <row r="12" spans="1:8" x14ac:dyDescent="0.25">
      <c r="A12" s="4" t="s">
        <v>127</v>
      </c>
      <c r="B12" s="22">
        <f t="shared" ref="B12" si="0">+C12+F12</f>
        <v>110143.33333333336</v>
      </c>
      <c r="C12" s="22">
        <f t="shared" ref="C12" si="1">SUM(D12:E12)</f>
        <v>106362.91666666669</v>
      </c>
      <c r="D12" s="22">
        <f>(+'I Trimestre'!D12+'II Trimestre'!D12+'III Trimestre'!D12+'IV Trimestre'!D12)/4</f>
        <v>77506.333333333343</v>
      </c>
      <c r="E12" s="5">
        <f>(+'I Trimestre'!E12+'II Trimestre'!E12+'III Trimestre'!E12+'IV Trimestre'!E12)/4</f>
        <v>28856.583333333336</v>
      </c>
      <c r="F12" s="5">
        <f>(+'I Trimestre'!F12+'II Trimestre'!F12+'III Trimestre'!F12+'IV Trimestre'!F12)/4</f>
        <v>3780.4166666666665</v>
      </c>
      <c r="G12" s="5"/>
      <c r="H12" s="5"/>
    </row>
    <row r="13" spans="1:8" x14ac:dyDescent="0.25">
      <c r="A13" s="4" t="s">
        <v>86</v>
      </c>
      <c r="B13" s="22">
        <f>+C13+F13</f>
        <v>108890</v>
      </c>
      <c r="C13" s="22">
        <f>'IV Trimestre'!C13</f>
        <v>105097.41666666667</v>
      </c>
      <c r="D13" s="22"/>
      <c r="E13" s="22"/>
      <c r="F13" s="22">
        <f>'IV Trimestre'!F13</f>
        <v>3792.5833333333335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79</v>
      </c>
      <c r="B16" s="5">
        <f>+C16+F16+G16+H16</f>
        <v>126255679726.88998</v>
      </c>
      <c r="C16" s="22">
        <f t="shared" ref="C16:C18" si="2">SUM(D16:E16)</f>
        <v>96248298595.889999</v>
      </c>
      <c r="D16" s="5">
        <f>+'I Trimestre'!D16+'II Trimestre'!D16+'III Trimestre'!D16+'IV Trimestre'!D16</f>
        <v>69829730152.008102</v>
      </c>
      <c r="E16" s="22">
        <f>+'I Trimestre'!E16+'II Trimestre'!E16+'III Trimestre'!E16+'IV Trimestre'!E16</f>
        <v>26418568443.881897</v>
      </c>
      <c r="F16" s="22">
        <f>+'I Trimestre'!F16+'II Trimestre'!F16+'III Trimestre'!F16+'IV Trimestre'!F16</f>
        <v>11000360153.9</v>
      </c>
      <c r="G16" s="22">
        <f>+'I Trimestre'!G16+'II Trimestre'!G16+'III Trimestre'!G16+'IV Trimestre'!G16</f>
        <v>14258320973.059998</v>
      </c>
      <c r="H16" s="22">
        <f>+'I Trimestre'!H16+'II Trimestre'!H16+'III Trimestre'!H16+'IV Trimestre'!H16</f>
        <v>4748700004.039999</v>
      </c>
    </row>
    <row r="17" spans="1:8" x14ac:dyDescent="0.25">
      <c r="A17" s="4" t="s">
        <v>126</v>
      </c>
      <c r="B17" s="5">
        <f t="shared" ref="B17:B18" si="3">+C17+F17+G17+H17</f>
        <v>133573631824.62</v>
      </c>
      <c r="C17" s="22">
        <f>C19</f>
        <v>106719204807.7</v>
      </c>
      <c r="D17" s="5"/>
      <c r="E17" s="22"/>
      <c r="F17" s="22">
        <f>F19</f>
        <v>12911414870.730001</v>
      </c>
      <c r="G17" s="22">
        <f>G19</f>
        <v>11628157807.790014</v>
      </c>
      <c r="H17" s="22">
        <f>+'I Trimestre'!H17+'II Trimestre'!H17+'III Trimestre'!H17+'IV Trimestre'!H17</f>
        <v>2314854338.4000001</v>
      </c>
    </row>
    <row r="18" spans="1:8" x14ac:dyDescent="0.25">
      <c r="A18" s="4" t="s">
        <v>127</v>
      </c>
      <c r="B18" s="5">
        <f t="shared" si="3"/>
        <v>137455423403.01001</v>
      </c>
      <c r="C18" s="22">
        <f t="shared" si="2"/>
        <v>104065467246.17001</v>
      </c>
      <c r="D18" s="5">
        <f>+'I Trimestre'!D18+'II Trimestre'!D18+'III Trimestre'!D18+'IV Trimestre'!D18</f>
        <v>75844553757.346832</v>
      </c>
      <c r="E18" s="22">
        <f>+'I Trimestre'!E18+'II Trimestre'!E18+'III Trimestre'!E18+'IV Trimestre'!E18</f>
        <v>28220913488.823174</v>
      </c>
      <c r="F18" s="22">
        <f>+'I Trimestre'!F18+'II Trimestre'!F18+'III Trimestre'!F18+'IV Trimestre'!F18</f>
        <v>12014741223.849998</v>
      </c>
      <c r="G18" s="22">
        <f>+'I Trimestre'!G18+'II Trimestre'!G18+'III Trimestre'!G18+'IV Trimestre'!G18</f>
        <v>15366434929.68</v>
      </c>
      <c r="H18" s="22">
        <f>+'I Trimestre'!H18+'II Trimestre'!H18+'III Trimestre'!H18+'IV Trimestre'!H18</f>
        <v>6008780003.3099995</v>
      </c>
    </row>
    <row r="19" spans="1:8" x14ac:dyDescent="0.25">
      <c r="A19" s="4" t="s">
        <v>86</v>
      </c>
      <c r="B19" s="5">
        <f>+C19+F19+G19+H19</f>
        <v>133573631824.62</v>
      </c>
      <c r="C19" s="22">
        <f>'IV Trimestre'!C19</f>
        <v>106719204807.7</v>
      </c>
      <c r="D19" s="5"/>
      <c r="E19" s="22"/>
      <c r="F19" s="22">
        <f>+'IV Trimestre'!F19</f>
        <v>12911414870.730001</v>
      </c>
      <c r="G19" s="22">
        <f>+'IV Trimestre'!G19</f>
        <v>11628157807.790014</v>
      </c>
      <c r="H19" s="22">
        <f>+'IV Trimestre'!H19</f>
        <v>2314854338.4000001</v>
      </c>
    </row>
    <row r="20" spans="1:8" x14ac:dyDescent="0.25">
      <c r="A20" s="4" t="s">
        <v>128</v>
      </c>
      <c r="B20" s="41">
        <f>C20+F20+G20</f>
        <v>131446643399.70001</v>
      </c>
      <c r="C20" s="22">
        <f>SUM(D20:E20)</f>
        <v>104065467246.17001</v>
      </c>
      <c r="D20" s="5">
        <f>+D18</f>
        <v>75844553757.346832</v>
      </c>
      <c r="E20" s="22">
        <f>+E18</f>
        <v>28220913488.823174</v>
      </c>
      <c r="F20" s="22">
        <f t="shared" ref="F20:G20" si="4">+F18</f>
        <v>12014741223.849998</v>
      </c>
      <c r="G20" s="22">
        <f t="shared" si="4"/>
        <v>15366434929.68</v>
      </c>
      <c r="H20" s="22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126</v>
      </c>
      <c r="B23" s="8">
        <f>B17</f>
        <v>133573631824.62</v>
      </c>
      <c r="C23" s="8"/>
      <c r="D23" s="8"/>
      <c r="E23" s="8"/>
      <c r="F23" s="8"/>
      <c r="G23" s="8"/>
      <c r="H23" s="8"/>
    </row>
    <row r="24" spans="1:8" x14ac:dyDescent="0.25">
      <c r="A24" s="9" t="s">
        <v>127</v>
      </c>
      <c r="B24" s="8">
        <f>+'I Trimestre'!B24+'II Trimestre'!B24+'III Trimestre'!B24+'IV Trimestre'!B24</f>
        <v>133656575395.13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80</v>
      </c>
      <c r="B27" s="12">
        <v>0.99</v>
      </c>
      <c r="C27" s="12">
        <v>0.99</v>
      </c>
      <c r="D27" s="12">
        <v>0.99</v>
      </c>
      <c r="E27" s="12">
        <v>0.99</v>
      </c>
      <c r="F27" s="12">
        <v>0.99</v>
      </c>
      <c r="G27" s="12">
        <v>0.99</v>
      </c>
      <c r="H27" s="12">
        <v>0.99</v>
      </c>
    </row>
    <row r="28" spans="1:8" x14ac:dyDescent="0.25">
      <c r="A28" s="10" t="s">
        <v>129</v>
      </c>
      <c r="B28" s="12">
        <v>0.99</v>
      </c>
      <c r="C28" s="12">
        <v>0.99</v>
      </c>
      <c r="D28" s="12">
        <v>0.99</v>
      </c>
      <c r="E28" s="12">
        <v>0.99</v>
      </c>
      <c r="F28" s="12">
        <v>0.99</v>
      </c>
      <c r="G28" s="12">
        <v>0.99</v>
      </c>
      <c r="H28" s="12">
        <v>0.99</v>
      </c>
    </row>
    <row r="29" spans="1:8" x14ac:dyDescent="0.25">
      <c r="A29" s="4" t="s">
        <v>8</v>
      </c>
      <c r="B29" s="24">
        <f>+D29+F29</f>
        <v>97643</v>
      </c>
      <c r="C29" s="39"/>
      <c r="D29" s="24">
        <v>90768</v>
      </c>
      <c r="E29" s="24" t="s">
        <v>53</v>
      </c>
      <c r="F29" s="24">
        <v>6875</v>
      </c>
      <c r="G29" s="21"/>
      <c r="H29" s="21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81</v>
      </c>
      <c r="B32" s="13">
        <f>B16/B27</f>
        <v>127530989623.1212</v>
      </c>
      <c r="C32" s="13">
        <f t="shared" ref="C32:H32" si="5">C16/C27</f>
        <v>97220503632.212128</v>
      </c>
      <c r="D32" s="13">
        <f t="shared" si="5"/>
        <v>70535080961.624344</v>
      </c>
      <c r="E32" s="13">
        <f t="shared" si="5"/>
        <v>26685422670.587776</v>
      </c>
      <c r="F32" s="13">
        <f t="shared" si="5"/>
        <v>11111474902.929293</v>
      </c>
      <c r="G32" s="13">
        <f t="shared" si="5"/>
        <v>14402344417.232321</v>
      </c>
      <c r="H32" s="13">
        <f t="shared" si="5"/>
        <v>4796666670.7474737</v>
      </c>
    </row>
    <row r="33" spans="1:9" x14ac:dyDescent="0.25">
      <c r="A33" s="12" t="s">
        <v>130</v>
      </c>
      <c r="B33" s="13">
        <f>B18/B28</f>
        <v>138843862023.24243</v>
      </c>
      <c r="C33" s="13">
        <f t="shared" ref="C33:H33" si="6">C18/C28</f>
        <v>105116633581.98991</v>
      </c>
      <c r="D33" s="13">
        <f t="shared" si="6"/>
        <v>76610660360.95639</v>
      </c>
      <c r="E33" s="13">
        <f t="shared" si="6"/>
        <v>28505973221.033508</v>
      </c>
      <c r="F33" s="13">
        <f t="shared" si="6"/>
        <v>12136102246.313129</v>
      </c>
      <c r="G33" s="13">
        <f t="shared" si="6"/>
        <v>15521651444.121212</v>
      </c>
      <c r="H33" s="13">
        <f t="shared" si="6"/>
        <v>6069474750.818181</v>
      </c>
    </row>
    <row r="34" spans="1:9" x14ac:dyDescent="0.25">
      <c r="A34" s="12" t="s">
        <v>82</v>
      </c>
      <c r="B34" s="13">
        <f>B32/B10</f>
        <v>1203295.6592634432</v>
      </c>
      <c r="C34" s="13">
        <f t="shared" ref="C34:F34" si="7">C32/C10</f>
        <v>949228.94959712296</v>
      </c>
      <c r="D34" s="13">
        <f t="shared" si="7"/>
        <v>949362.21526511968</v>
      </c>
      <c r="E34" s="13">
        <f t="shared" si="7"/>
        <v>948876.88100277144</v>
      </c>
      <c r="F34" s="13">
        <f t="shared" si="7"/>
        <v>3117479.1058229059</v>
      </c>
      <c r="G34" s="13"/>
      <c r="H34" s="13"/>
    </row>
    <row r="35" spans="1:9" x14ac:dyDescent="0.25">
      <c r="A35" s="12" t="s">
        <v>131</v>
      </c>
      <c r="B35" s="13">
        <f>B33/B12</f>
        <v>1260574.3608925557</v>
      </c>
      <c r="C35" s="13">
        <f t="shared" ref="C35:F35" si="8">C33/C12</f>
        <v>988282.72932207631</v>
      </c>
      <c r="D35" s="13">
        <f t="shared" si="8"/>
        <v>988443.87376029114</v>
      </c>
      <c r="E35" s="13">
        <f t="shared" si="8"/>
        <v>987849.90903982648</v>
      </c>
      <c r="F35" s="13">
        <f t="shared" si="8"/>
        <v>3210255.1957623181</v>
      </c>
      <c r="G35" s="13"/>
      <c r="H35" s="13"/>
    </row>
    <row r="37" spans="1:9" x14ac:dyDescent="0.25">
      <c r="A37" s="3" t="s">
        <v>10</v>
      </c>
    </row>
    <row r="39" spans="1:9" x14ac:dyDescent="0.25">
      <c r="A39" s="1" t="s">
        <v>11</v>
      </c>
    </row>
    <row r="40" spans="1:9" x14ac:dyDescent="0.25">
      <c r="A40" s="1" t="s">
        <v>12</v>
      </c>
      <c r="B40" s="14">
        <f>(B11/B29)*100</f>
        <v>111.51849082883565</v>
      </c>
      <c r="C40" s="14"/>
      <c r="D40" s="14">
        <f>(C11)/D29*100</f>
        <v>115.78685953933838</v>
      </c>
      <c r="E40" s="14"/>
      <c r="F40" s="14">
        <f>(F11)/F29*100</f>
        <v>55.164848484848484</v>
      </c>
      <c r="G40" s="14"/>
      <c r="I40" s="30"/>
    </row>
    <row r="41" spans="1:9" x14ac:dyDescent="0.25">
      <c r="A41" s="1" t="s">
        <v>13</v>
      </c>
      <c r="B41" s="14">
        <f>(B12/B29)*100</f>
        <v>112.80207831931972</v>
      </c>
      <c r="C41" s="40"/>
      <c r="D41" s="14">
        <f>(D12)/D29*100</f>
        <v>85.389491156942256</v>
      </c>
      <c r="E41" s="14"/>
      <c r="F41" s="14">
        <f>(F12)/F29*100</f>
        <v>54.987878787878785</v>
      </c>
      <c r="G41" s="14"/>
      <c r="I41" s="30"/>
    </row>
    <row r="43" spans="1:9" x14ac:dyDescent="0.25">
      <c r="A43" s="1" t="s">
        <v>14</v>
      </c>
    </row>
    <row r="44" spans="1:9" x14ac:dyDescent="0.25">
      <c r="A44" s="1" t="s">
        <v>15</v>
      </c>
      <c r="B44" s="14">
        <f>B12/B11*100</f>
        <v>101.15100866317692</v>
      </c>
      <c r="C44" s="14">
        <f>C12/C11*100</f>
        <v>101.20412093858953</v>
      </c>
      <c r="D44" s="14"/>
      <c r="E44" s="14"/>
      <c r="F44" s="14">
        <f>F12/F11*100</f>
        <v>99.679198435543043</v>
      </c>
      <c r="G44" s="14"/>
    </row>
    <row r="45" spans="1:9" x14ac:dyDescent="0.25">
      <c r="A45" s="1" t="s">
        <v>16</v>
      </c>
      <c r="B45" s="14">
        <f>B18/B17*100</f>
        <v>102.90610618680095</v>
      </c>
      <c r="C45" s="14">
        <f>C18/C17*100</f>
        <v>97.513345825325615</v>
      </c>
      <c r="D45" s="14"/>
      <c r="E45" s="14"/>
      <c r="F45" s="14">
        <f>F18/F17*100</f>
        <v>93.055186779624364</v>
      </c>
      <c r="G45" s="14">
        <f>G18/G17*100</f>
        <v>132.1484897580734</v>
      </c>
      <c r="H45" s="14">
        <f>H18/H17*100</f>
        <v>259.57486411275437</v>
      </c>
    </row>
    <row r="46" spans="1:9" x14ac:dyDescent="0.25">
      <c r="A46" s="12" t="s">
        <v>17</v>
      </c>
      <c r="B46" s="15">
        <f>AVERAGE(B44:B45)</f>
        <v>102.02855742498895</v>
      </c>
      <c r="C46" s="15">
        <f>AVERAGE(C44:C45)</f>
        <v>99.358733381957563</v>
      </c>
      <c r="D46" s="15"/>
      <c r="E46" s="15"/>
      <c r="F46" s="15">
        <f t="shared" ref="F46:H46" si="9">AVERAGE(F44:F45)</f>
        <v>96.367192607583704</v>
      </c>
      <c r="G46" s="15">
        <f>AVERAGE(G44:G45)</f>
        <v>132.1484897580734</v>
      </c>
      <c r="H46" s="15">
        <f t="shared" si="9"/>
        <v>259.57486411275437</v>
      </c>
    </row>
    <row r="47" spans="1:9" x14ac:dyDescent="0.25">
      <c r="B47" s="14"/>
      <c r="C47" s="14"/>
      <c r="D47" s="14"/>
      <c r="E47" s="14"/>
      <c r="F47" s="14"/>
      <c r="G47" s="14"/>
      <c r="H47" s="14"/>
    </row>
    <row r="48" spans="1:9" x14ac:dyDescent="0.25">
      <c r="A48" s="1" t="s">
        <v>18</v>
      </c>
    </row>
    <row r="49" spans="1:16" x14ac:dyDescent="0.25">
      <c r="A49" s="1" t="s">
        <v>19</v>
      </c>
      <c r="B49" s="16">
        <f>B12/B13*100</f>
        <v>101.15100866317692</v>
      </c>
      <c r="C49" s="16">
        <f>C12/C13*100</f>
        <v>101.20412093858953</v>
      </c>
      <c r="D49" s="16"/>
      <c r="E49" s="16"/>
      <c r="F49" s="16">
        <f>F12/F13*100</f>
        <v>99.679198435543043</v>
      </c>
      <c r="G49" s="16"/>
      <c r="H49" s="16"/>
    </row>
    <row r="50" spans="1:16" x14ac:dyDescent="0.25">
      <c r="A50" s="1" t="s">
        <v>20</v>
      </c>
      <c r="B50" s="14">
        <f>B18/B19*100</f>
        <v>102.90610618680095</v>
      </c>
      <c r="C50" s="14">
        <f>C18/C19*100</f>
        <v>97.513345825325615</v>
      </c>
      <c r="D50" s="14"/>
      <c r="E50" s="14"/>
      <c r="F50" s="14">
        <f>F18/F19*100</f>
        <v>93.055186779624364</v>
      </c>
      <c r="G50" s="14">
        <f>G18/G19*100</f>
        <v>132.1484897580734</v>
      </c>
      <c r="H50" s="14">
        <f>H18/H19*100</f>
        <v>259.57486411275437</v>
      </c>
    </row>
    <row r="51" spans="1:16" x14ac:dyDescent="0.25">
      <c r="A51" s="1" t="s">
        <v>21</v>
      </c>
      <c r="B51" s="14">
        <f>(B49+B50)/2</f>
        <v>102.02855742498895</v>
      </c>
      <c r="C51" s="14">
        <f>(C49+C50)/2</f>
        <v>99.358733381957563</v>
      </c>
      <c r="D51" s="14"/>
      <c r="E51" s="14"/>
      <c r="F51" s="14">
        <f>(F49+F50)/2</f>
        <v>96.367192607583704</v>
      </c>
      <c r="G51" s="46">
        <f>AVERAGE(G49:G50)</f>
        <v>132.1484897580734</v>
      </c>
      <c r="H51" s="46">
        <f t="shared" ref="H51" si="10">AVERAGE(H49:H50)</f>
        <v>259.57486411275437</v>
      </c>
      <c r="I51" s="30"/>
      <c r="J51" s="25"/>
      <c r="K51" s="25"/>
      <c r="L51" s="25"/>
      <c r="M51" s="25"/>
      <c r="N51" s="25"/>
      <c r="O51" s="25"/>
      <c r="P51" s="25"/>
    </row>
    <row r="53" spans="1:16" x14ac:dyDescent="0.25">
      <c r="A53" s="1" t="s">
        <v>33</v>
      </c>
    </row>
    <row r="54" spans="1:16" x14ac:dyDescent="0.25">
      <c r="A54" s="1" t="s">
        <v>22</v>
      </c>
      <c r="B54" s="14">
        <f>(B20/B18)*100</f>
        <v>95.62856098759184</v>
      </c>
      <c r="C54" s="14"/>
      <c r="D54" s="14"/>
      <c r="E54" s="14"/>
      <c r="F54" s="14"/>
      <c r="G54" s="14"/>
      <c r="H54" s="14"/>
    </row>
    <row r="56" spans="1:16" x14ac:dyDescent="0.25">
      <c r="A56" s="25" t="s">
        <v>23</v>
      </c>
    </row>
    <row r="57" spans="1:16" x14ac:dyDescent="0.25">
      <c r="A57" s="1" t="s">
        <v>24</v>
      </c>
      <c r="B57" s="14">
        <f>((B12/B10)-1)*100</f>
        <v>3.9237563265784425</v>
      </c>
      <c r="C57" s="14">
        <f t="shared" ref="C57:F57" si="11">((C12/C10)-1)*100</f>
        <v>3.8492456751008763</v>
      </c>
      <c r="D57" s="14">
        <f t="shared" si="11"/>
        <v>4.3191321357428869</v>
      </c>
      <c r="E57" s="14">
        <f t="shared" si="11"/>
        <v>2.6078736984336714</v>
      </c>
      <c r="F57" s="14">
        <f t="shared" si="11"/>
        <v>6.0648570292955561</v>
      </c>
      <c r="G57" s="14"/>
      <c r="H57" s="14"/>
    </row>
    <row r="58" spans="1:16" x14ac:dyDescent="0.25">
      <c r="A58" s="1" t="s">
        <v>25</v>
      </c>
      <c r="B58" s="14">
        <f>((B33/B32)-1)*100</f>
        <v>8.8706850260889212</v>
      </c>
      <c r="C58" s="14">
        <f t="shared" ref="C58:H58" si="12">((C33/C32)-1)*100</f>
        <v>8.1218772324499255</v>
      </c>
      <c r="D58" s="14">
        <f t="shared" si="12"/>
        <v>8.6135569939127965</v>
      </c>
      <c r="E58" s="14">
        <f t="shared" si="12"/>
        <v>6.8222661222912206</v>
      </c>
      <c r="F58" s="14">
        <f t="shared" si="12"/>
        <v>9.2213441719939162</v>
      </c>
      <c r="G58" s="14">
        <f t="shared" si="12"/>
        <v>7.7717001792405815</v>
      </c>
      <c r="H58" s="14">
        <f t="shared" si="12"/>
        <v>26.535262244361114</v>
      </c>
    </row>
    <row r="59" spans="1:16" x14ac:dyDescent="0.25">
      <c r="A59" s="12" t="s">
        <v>26</v>
      </c>
      <c r="B59" s="15">
        <f>((B35/B34)-1)*100</f>
        <v>4.7601519367379552</v>
      </c>
      <c r="C59" s="15">
        <f t="shared" ref="C59:F59" si="13">((C35/C34)-1)*100</f>
        <v>4.1142634494585106</v>
      </c>
      <c r="D59" s="15">
        <f t="shared" si="13"/>
        <v>4.1166224931605822</v>
      </c>
      <c r="E59" s="15">
        <f t="shared" si="13"/>
        <v>4.1072797553954876</v>
      </c>
      <c r="F59" s="15">
        <f t="shared" si="13"/>
        <v>2.9759971691910581</v>
      </c>
      <c r="G59" s="15"/>
      <c r="H59" s="15"/>
    </row>
    <row r="60" spans="1:16" x14ac:dyDescent="0.25">
      <c r="A60" s="25"/>
      <c r="B60" s="16"/>
      <c r="C60" s="16"/>
      <c r="D60" s="16"/>
      <c r="E60" s="16"/>
      <c r="F60" s="16"/>
      <c r="G60" s="16"/>
      <c r="H60" s="16"/>
    </row>
    <row r="61" spans="1:16" x14ac:dyDescent="0.25">
      <c r="A61" s="1" t="s">
        <v>27</v>
      </c>
    </row>
    <row r="62" spans="1:16" x14ac:dyDescent="0.25">
      <c r="A62" s="1" t="s">
        <v>34</v>
      </c>
      <c r="B62" s="5">
        <f>B17/(B11*12)</f>
        <v>102223.67513440168</v>
      </c>
      <c r="C62" s="5">
        <f t="shared" ref="C62:F62" si="14">C17/(C11*12)</f>
        <v>84619.27371169129</v>
      </c>
      <c r="D62" s="5"/>
      <c r="E62" s="5"/>
      <c r="F62" s="5">
        <f t="shared" si="14"/>
        <v>283698.7732796467</v>
      </c>
      <c r="G62" s="5"/>
      <c r="H62" s="5"/>
    </row>
    <row r="63" spans="1:16" x14ac:dyDescent="0.25">
      <c r="A63" s="1" t="s">
        <v>35</v>
      </c>
      <c r="B63" s="5">
        <f>B18/(B12*12)</f>
        <v>103997.38477363586</v>
      </c>
      <c r="C63" s="5">
        <f t="shared" ref="C63:F63" si="15">C18/(C12*12)</f>
        <v>81533.325169071293</v>
      </c>
      <c r="D63" s="5">
        <f t="shared" si="15"/>
        <v>81546.619585224034</v>
      </c>
      <c r="E63" s="5">
        <f t="shared" si="15"/>
        <v>81497.617495785686</v>
      </c>
      <c r="F63" s="5">
        <f t="shared" si="15"/>
        <v>264846.05365039123</v>
      </c>
      <c r="G63" s="5"/>
      <c r="H63" s="5"/>
    </row>
    <row r="64" spans="1:16" x14ac:dyDescent="0.25">
      <c r="A64" s="12" t="s">
        <v>28</v>
      </c>
      <c r="B64" s="27">
        <f>(B63/B62)*B46</f>
        <v>103.7988815259756</v>
      </c>
      <c r="C64" s="27">
        <f t="shared" ref="C64:F64" si="16">(C63/C62)*C46</f>
        <v>95.735257015080421</v>
      </c>
      <c r="D64" s="27" t="e">
        <f t="shared" si="16"/>
        <v>#DIV/0!</v>
      </c>
      <c r="E64" s="27" t="e">
        <f t="shared" si="16"/>
        <v>#DIV/0!</v>
      </c>
      <c r="F64" s="27">
        <f t="shared" si="16"/>
        <v>89.963274667838505</v>
      </c>
      <c r="G64" s="15"/>
      <c r="H64" s="15"/>
    </row>
    <row r="65" spans="1:8" x14ac:dyDescent="0.25">
      <c r="A65" s="16" t="s">
        <v>44</v>
      </c>
      <c r="B65" s="5">
        <f>B17/B11</f>
        <v>1226684.1016128203</v>
      </c>
      <c r="C65" s="5">
        <f>C17/C11</f>
        <v>1015431.2845402955</v>
      </c>
      <c r="D65" s="5"/>
      <c r="E65" s="5"/>
      <c r="F65" s="5">
        <f t="shared" ref="F65" si="17">F17/F11</f>
        <v>3404385.2793557602</v>
      </c>
      <c r="G65" s="16"/>
      <c r="H65" s="16"/>
    </row>
    <row r="66" spans="1:8" x14ac:dyDescent="0.25">
      <c r="A66" s="16" t="s">
        <v>45</v>
      </c>
      <c r="B66" s="5">
        <f>B18/B12</f>
        <v>1247968.6172836302</v>
      </c>
      <c r="C66" s="5">
        <f>C18/C12</f>
        <v>978399.90202885552</v>
      </c>
      <c r="D66" s="5">
        <f>D18/(D12)</f>
        <v>978559.43502268835</v>
      </c>
      <c r="E66" s="5">
        <f t="shared" ref="E66:F66" si="18">E18/E12</f>
        <v>977971.40994942817</v>
      </c>
      <c r="F66" s="5">
        <f t="shared" si="18"/>
        <v>3178152.643804695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100.06209576648999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102.84224550617837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3" spans="1:8" x14ac:dyDescent="0.25">
      <c r="A73" s="1" t="s">
        <v>32</v>
      </c>
    </row>
    <row r="74" spans="1:8" x14ac:dyDescent="0.25">
      <c r="A74" s="1" t="s">
        <v>91</v>
      </c>
    </row>
    <row r="75" spans="1:8" x14ac:dyDescent="0.25">
      <c r="A75" s="1" t="s">
        <v>92</v>
      </c>
      <c r="B75" s="20"/>
      <c r="C75" s="20"/>
      <c r="D75" s="20"/>
      <c r="E75" s="20"/>
      <c r="F75" s="20"/>
    </row>
    <row r="76" spans="1:8" x14ac:dyDescent="0.25">
      <c r="A76" s="1" t="s">
        <v>93</v>
      </c>
    </row>
    <row r="78" spans="1:8" x14ac:dyDescent="0.25">
      <c r="A78" s="1" t="s">
        <v>48</v>
      </c>
    </row>
    <row r="79" spans="1:8" x14ac:dyDescent="0.25">
      <c r="A79" s="1" t="s">
        <v>50</v>
      </c>
    </row>
    <row r="80" spans="1:8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24" t="s">
        <v>132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1" sqref="N11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  <vt:lpstr>Observaciones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 Rodriguez</cp:lastModifiedBy>
  <dcterms:created xsi:type="dcterms:W3CDTF">2012-04-23T14:39:07Z</dcterms:created>
  <dcterms:modified xsi:type="dcterms:W3CDTF">2017-04-04T20:04:05Z</dcterms:modified>
</cp:coreProperties>
</file>