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07180055\Desktop\ACTUALIZACIÓN PW 2025\2024\Indicadores\"/>
    </mc:Choice>
  </mc:AlternateContent>
  <xr:revisionPtr revIDLastSave="0" documentId="13_ncr:1_{CCDD88C9-A732-40D3-BC67-8B5FEF3E89AA}" xr6:coauthVersionLast="47" xr6:coauthVersionMax="47" xr10:uidLastSave="{00000000-0000-0000-0000-000000000000}"/>
  <bookViews>
    <workbookView xWindow="-108" yWindow="-108" windowWidth="23256" windowHeight="13896" tabRatio="615" xr2:uid="{00000000-000D-0000-FFFF-FFFF00000000}"/>
  </bookViews>
  <sheets>
    <sheet name="I trimestre" sheetId="4" r:id="rId1"/>
    <sheet name="II Trimestre" sheetId="5" r:id="rId2"/>
    <sheet name="I Semestre" sheetId="1" r:id="rId3"/>
    <sheet name="III Trimestre" sheetId="6" r:id="rId4"/>
    <sheet name="III T Acumulado" sheetId="2" r:id="rId5"/>
    <sheet name="IV Trimestre" sheetId="7" r:id="rId6"/>
    <sheet name="Anual" sheetId="3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5" i="3" l="1"/>
  <c r="E74" i="3"/>
  <c r="G65" i="3" l="1"/>
  <c r="D52" i="3"/>
  <c r="D53" i="3"/>
  <c r="B15" i="3"/>
  <c r="E49" i="3"/>
  <c r="G75" i="3"/>
  <c r="G74" i="3"/>
  <c r="F75" i="3"/>
  <c r="F74" i="3"/>
  <c r="D75" i="3"/>
  <c r="D74" i="3"/>
  <c r="C75" i="3"/>
  <c r="C74" i="3"/>
  <c r="E70" i="7"/>
  <c r="C70" i="1"/>
  <c r="G74" i="5"/>
  <c r="G75" i="4"/>
  <c r="G74" i="4"/>
  <c r="F75" i="4"/>
  <c r="F74" i="4"/>
  <c r="C75" i="4"/>
  <c r="C74" i="4"/>
  <c r="G75" i="7"/>
  <c r="G74" i="7"/>
  <c r="D75" i="7"/>
  <c r="D74" i="7"/>
  <c r="D70" i="7"/>
  <c r="E75" i="7"/>
  <c r="E74" i="7"/>
  <c r="C70" i="7"/>
  <c r="C48" i="7"/>
  <c r="D48" i="7"/>
  <c r="E48" i="7"/>
  <c r="F48" i="7"/>
  <c r="G48" i="7"/>
  <c r="C49" i="7"/>
  <c r="D49" i="7"/>
  <c r="E49" i="7"/>
  <c r="F49" i="7"/>
  <c r="G49" i="7"/>
  <c r="B27" i="3" l="1"/>
  <c r="B24" i="3" l="1"/>
  <c r="G24" i="3"/>
  <c r="B16" i="3"/>
  <c r="G16" i="3"/>
  <c r="G15" i="3"/>
  <c r="F15" i="3"/>
  <c r="B27" i="7" l="1"/>
  <c r="B27" i="2"/>
  <c r="E21" i="2" l="1"/>
  <c r="D25" i="1"/>
  <c r="F48" i="5"/>
  <c r="C48" i="5"/>
  <c r="D48" i="5"/>
  <c r="E48" i="5"/>
  <c r="G48" i="5"/>
  <c r="C49" i="5"/>
  <c r="D49" i="5"/>
  <c r="E49" i="5"/>
  <c r="F49" i="5"/>
  <c r="G49" i="5"/>
  <c r="F49" i="4"/>
  <c r="C48" i="4"/>
  <c r="D48" i="4"/>
  <c r="E48" i="4"/>
  <c r="F48" i="4"/>
  <c r="G48" i="4"/>
  <c r="C49" i="4"/>
  <c r="D49" i="4"/>
  <c r="E49" i="4"/>
  <c r="G49" i="4"/>
  <c r="B37" i="3"/>
  <c r="B37" i="7"/>
  <c r="B37" i="2"/>
  <c r="B37" i="6"/>
  <c r="B37" i="1"/>
  <c r="B37" i="5"/>
  <c r="F70" i="7"/>
  <c r="G70" i="7"/>
  <c r="C71" i="7"/>
  <c r="E71" i="7"/>
  <c r="F71" i="7"/>
  <c r="G71" i="7"/>
  <c r="C72" i="7"/>
  <c r="E72" i="7"/>
  <c r="F72" i="7"/>
  <c r="G72" i="7"/>
  <c r="C74" i="7"/>
  <c r="F74" i="7"/>
  <c r="C75" i="7"/>
  <c r="F75" i="7"/>
  <c r="C65" i="7"/>
  <c r="E65" i="7"/>
  <c r="F65" i="7"/>
  <c r="G65" i="7"/>
  <c r="C52" i="7"/>
  <c r="E52" i="7"/>
  <c r="F52" i="7"/>
  <c r="G52" i="7"/>
  <c r="G54" i="7" s="1"/>
  <c r="C53" i="7"/>
  <c r="D53" i="7"/>
  <c r="E53" i="7"/>
  <c r="F53" i="7"/>
  <c r="F54" i="7" s="1"/>
  <c r="G53" i="7"/>
  <c r="C54" i="7"/>
  <c r="C57" i="7"/>
  <c r="E57" i="7"/>
  <c r="F57" i="7"/>
  <c r="G57" i="7"/>
  <c r="C58" i="7"/>
  <c r="D58" i="7"/>
  <c r="E58" i="7"/>
  <c r="F58" i="7"/>
  <c r="G58" i="7"/>
  <c r="C40" i="7"/>
  <c r="E40" i="7"/>
  <c r="E42" i="7" s="1"/>
  <c r="F40" i="7"/>
  <c r="G40" i="7"/>
  <c r="G42" i="7" s="1"/>
  <c r="C41" i="7"/>
  <c r="C43" i="7" s="1"/>
  <c r="C67" i="7" s="1"/>
  <c r="D41" i="7"/>
  <c r="E41" i="7"/>
  <c r="E43" i="7" s="1"/>
  <c r="F41" i="7"/>
  <c r="G41" i="7"/>
  <c r="G43" i="7" s="1"/>
  <c r="C42" i="7"/>
  <c r="F42" i="7"/>
  <c r="B24" i="7"/>
  <c r="B16" i="7"/>
  <c r="B15" i="7"/>
  <c r="C66" i="7" l="1"/>
  <c r="G67" i="7"/>
  <c r="F66" i="7"/>
  <c r="E67" i="7"/>
  <c r="F59" i="7"/>
  <c r="F43" i="7"/>
  <c r="F67" i="7" s="1"/>
  <c r="G66" i="7"/>
  <c r="G59" i="7"/>
  <c r="E66" i="7"/>
  <c r="C59" i="7"/>
  <c r="E54" i="7"/>
  <c r="C73" i="7"/>
  <c r="F73" i="7"/>
  <c r="G73" i="7"/>
  <c r="E59" i="7"/>
  <c r="E73" i="7"/>
  <c r="G75" i="6"/>
  <c r="G74" i="6"/>
  <c r="C65" i="6"/>
  <c r="E65" i="6"/>
  <c r="F65" i="6"/>
  <c r="C66" i="6"/>
  <c r="E66" i="6"/>
  <c r="F66" i="6"/>
  <c r="C67" i="6"/>
  <c r="E67" i="6"/>
  <c r="F67" i="6"/>
  <c r="C70" i="6"/>
  <c r="E70" i="6"/>
  <c r="E73" i="6" s="1"/>
  <c r="F70" i="6"/>
  <c r="G70" i="6"/>
  <c r="C71" i="6"/>
  <c r="E71" i="6"/>
  <c r="F71" i="6"/>
  <c r="G71" i="6"/>
  <c r="G73" i="6" s="1"/>
  <c r="C72" i="6"/>
  <c r="E72" i="6"/>
  <c r="F72" i="6"/>
  <c r="G72" i="6"/>
  <c r="C73" i="6"/>
  <c r="C74" i="6"/>
  <c r="E74" i="6"/>
  <c r="F74" i="6"/>
  <c r="C75" i="6"/>
  <c r="E75" i="6"/>
  <c r="F75" i="6"/>
  <c r="C52" i="6"/>
  <c r="E52" i="6"/>
  <c r="F52" i="6"/>
  <c r="F54" i="6" s="1"/>
  <c r="F73" i="6" s="1"/>
  <c r="G52" i="6"/>
  <c r="C53" i="6"/>
  <c r="E53" i="6"/>
  <c r="E54" i="6" s="1"/>
  <c r="F53" i="6"/>
  <c r="G53" i="6"/>
  <c r="C54" i="6"/>
  <c r="G54" i="6"/>
  <c r="C57" i="6"/>
  <c r="C59" i="6" s="1"/>
  <c r="D57" i="6"/>
  <c r="E57" i="6"/>
  <c r="F57" i="6"/>
  <c r="G57" i="6"/>
  <c r="C58" i="6"/>
  <c r="D58" i="6"/>
  <c r="D59" i="6" s="1"/>
  <c r="E58" i="6"/>
  <c r="E59" i="6" s="1"/>
  <c r="F58" i="6"/>
  <c r="F59" i="6" s="1"/>
  <c r="G58" i="6"/>
  <c r="G59" i="6"/>
  <c r="C40" i="6"/>
  <c r="E40" i="6"/>
  <c r="F40" i="6"/>
  <c r="F42" i="6" s="1"/>
  <c r="C41" i="6"/>
  <c r="D41" i="6"/>
  <c r="E41" i="6"/>
  <c r="E43" i="6" s="1"/>
  <c r="F41" i="6"/>
  <c r="G41" i="6"/>
  <c r="C42" i="6"/>
  <c r="E42" i="6"/>
  <c r="C43" i="6"/>
  <c r="F43" i="6"/>
  <c r="G43" i="6"/>
  <c r="C70" i="5"/>
  <c r="E70" i="5"/>
  <c r="E73" i="5" s="1"/>
  <c r="F70" i="5"/>
  <c r="G70" i="5"/>
  <c r="C71" i="5"/>
  <c r="C73" i="5" s="1"/>
  <c r="E71" i="5"/>
  <c r="F71" i="5"/>
  <c r="C72" i="5"/>
  <c r="E72" i="5"/>
  <c r="F72" i="5"/>
  <c r="F73" i="5"/>
  <c r="C74" i="5"/>
  <c r="E74" i="5"/>
  <c r="F74" i="5"/>
  <c r="C75" i="5"/>
  <c r="E75" i="5"/>
  <c r="F75" i="5"/>
  <c r="C65" i="5"/>
  <c r="E65" i="5"/>
  <c r="F65" i="5"/>
  <c r="C66" i="5"/>
  <c r="E66" i="5"/>
  <c r="F66" i="5"/>
  <c r="C67" i="5"/>
  <c r="E67" i="5"/>
  <c r="F67" i="5"/>
  <c r="C57" i="5"/>
  <c r="C59" i="5" s="1"/>
  <c r="D57" i="5"/>
  <c r="E57" i="5"/>
  <c r="E59" i="5" s="1"/>
  <c r="F57" i="5"/>
  <c r="G57" i="5"/>
  <c r="C58" i="5"/>
  <c r="D58" i="5"/>
  <c r="D59" i="5" s="1"/>
  <c r="E58" i="5"/>
  <c r="F58" i="5"/>
  <c r="F59" i="5" s="1"/>
  <c r="G58" i="5"/>
  <c r="G59" i="5"/>
  <c r="C52" i="5"/>
  <c r="E52" i="5"/>
  <c r="F52" i="5"/>
  <c r="G52" i="5"/>
  <c r="C53" i="5"/>
  <c r="C54" i="5" s="1"/>
  <c r="E53" i="5"/>
  <c r="E54" i="5" s="1"/>
  <c r="F53" i="5"/>
  <c r="G53" i="5"/>
  <c r="F54" i="5"/>
  <c r="G54" i="5"/>
  <c r="E40" i="5"/>
  <c r="F40" i="5"/>
  <c r="E41" i="5"/>
  <c r="E43" i="5" s="1"/>
  <c r="F41" i="5"/>
  <c r="F43" i="5" s="1"/>
  <c r="G41" i="5"/>
  <c r="E42" i="5"/>
  <c r="F42" i="5"/>
  <c r="D41" i="5"/>
  <c r="C40" i="5"/>
  <c r="C42" i="5" s="1"/>
  <c r="C41" i="5"/>
  <c r="C43" i="5"/>
  <c r="C70" i="4"/>
  <c r="C73" i="4" s="1"/>
  <c r="E70" i="4"/>
  <c r="F70" i="4"/>
  <c r="G70" i="4"/>
  <c r="C71" i="4"/>
  <c r="E71" i="4"/>
  <c r="F71" i="4"/>
  <c r="F73" i="4" s="1"/>
  <c r="G71" i="4"/>
  <c r="G73" i="4" s="1"/>
  <c r="C72" i="4"/>
  <c r="E72" i="4"/>
  <c r="F72" i="4"/>
  <c r="G72" i="4"/>
  <c r="E73" i="4"/>
  <c r="E74" i="4"/>
  <c r="E75" i="4"/>
  <c r="F65" i="4"/>
  <c r="F66" i="4"/>
  <c r="F67" i="4"/>
  <c r="E65" i="4"/>
  <c r="E66" i="4"/>
  <c r="E67" i="4"/>
  <c r="C65" i="4"/>
  <c r="C66" i="4"/>
  <c r="C67" i="4"/>
  <c r="C52" i="4"/>
  <c r="E52" i="4"/>
  <c r="F52" i="4"/>
  <c r="G52" i="4"/>
  <c r="G54" i="4" s="1"/>
  <c r="C53" i="4"/>
  <c r="C54" i="4" s="1"/>
  <c r="E53" i="4"/>
  <c r="E54" i="4" s="1"/>
  <c r="F53" i="4"/>
  <c r="G53" i="4"/>
  <c r="F54" i="4"/>
  <c r="C40" i="4"/>
  <c r="E40" i="4"/>
  <c r="F40" i="4"/>
  <c r="C41" i="4"/>
  <c r="D41" i="4"/>
  <c r="E41" i="4"/>
  <c r="E43" i="4" s="1"/>
  <c r="F41" i="4"/>
  <c r="G41" i="4"/>
  <c r="C42" i="4"/>
  <c r="E42" i="4"/>
  <c r="F42" i="4"/>
  <c r="C43" i="4"/>
  <c r="F43" i="4"/>
  <c r="B25" i="7" l="1"/>
  <c r="B31" i="7" s="1"/>
  <c r="B21" i="7"/>
  <c r="B18" i="7"/>
  <c r="B17" i="7"/>
  <c r="B26" i="7"/>
  <c r="C15" i="1" l="1"/>
  <c r="E15" i="1"/>
  <c r="F15" i="1"/>
  <c r="C16" i="1"/>
  <c r="E16" i="1"/>
  <c r="F16" i="1"/>
  <c r="C17" i="1"/>
  <c r="D17" i="1"/>
  <c r="E17" i="1"/>
  <c r="F17" i="1"/>
  <c r="G17" i="1"/>
  <c r="C18" i="1"/>
  <c r="D18" i="1"/>
  <c r="E18" i="1"/>
  <c r="F18" i="1"/>
  <c r="G18" i="1"/>
  <c r="C19" i="1"/>
  <c r="D19" i="1"/>
  <c r="E19" i="1"/>
  <c r="F19" i="1"/>
  <c r="G19" i="1"/>
  <c r="C20" i="1"/>
  <c r="D20" i="1"/>
  <c r="E20" i="1"/>
  <c r="F20" i="1"/>
  <c r="G20" i="1"/>
  <c r="C21" i="1"/>
  <c r="D21" i="1"/>
  <c r="E21" i="1"/>
  <c r="F21" i="1"/>
  <c r="G21" i="1"/>
  <c r="C24" i="1"/>
  <c r="E24" i="1"/>
  <c r="E40" i="1" s="1"/>
  <c r="E42" i="1" s="1"/>
  <c r="F24" i="1"/>
  <c r="F40" i="1" s="1"/>
  <c r="F42" i="1" s="1"/>
  <c r="C25" i="1"/>
  <c r="E25" i="1"/>
  <c r="F25" i="1"/>
  <c r="G25" i="1"/>
  <c r="C26" i="1"/>
  <c r="D26" i="1"/>
  <c r="E26" i="1"/>
  <c r="F26" i="1"/>
  <c r="G26" i="1"/>
  <c r="C27" i="1"/>
  <c r="D27" i="1"/>
  <c r="E27" i="1"/>
  <c r="F27" i="1"/>
  <c r="G27" i="1"/>
  <c r="C57" i="4"/>
  <c r="D57" i="4"/>
  <c r="E57" i="4"/>
  <c r="F57" i="4"/>
  <c r="G57" i="4"/>
  <c r="G59" i="4" s="1"/>
  <c r="C58" i="4"/>
  <c r="D58" i="4"/>
  <c r="E58" i="4"/>
  <c r="F58" i="4"/>
  <c r="G58" i="4"/>
  <c r="C65" i="1" l="1"/>
  <c r="C57" i="1"/>
  <c r="C52" i="1"/>
  <c r="C54" i="1" s="1"/>
  <c r="F65" i="1"/>
  <c r="F52" i="1"/>
  <c r="F57" i="1"/>
  <c r="F59" i="1" s="1"/>
  <c r="C58" i="1"/>
  <c r="C75" i="1"/>
  <c r="C71" i="1"/>
  <c r="C72" i="1"/>
  <c r="C53" i="1"/>
  <c r="C41" i="1"/>
  <c r="F74" i="1"/>
  <c r="F70" i="1"/>
  <c r="C40" i="1"/>
  <c r="C42" i="1" s="1"/>
  <c r="B24" i="1"/>
  <c r="D57" i="1"/>
  <c r="E53" i="1"/>
  <c r="E41" i="1"/>
  <c r="E71" i="1"/>
  <c r="E58" i="1"/>
  <c r="E72" i="1"/>
  <c r="E75" i="1"/>
  <c r="D58" i="1"/>
  <c r="D41" i="1"/>
  <c r="E52" i="1"/>
  <c r="E54" i="1" s="1"/>
  <c r="E57" i="1"/>
  <c r="E65" i="1"/>
  <c r="B16" i="1"/>
  <c r="G74" i="1"/>
  <c r="G70" i="1"/>
  <c r="E70" i="1"/>
  <c r="E74" i="1"/>
  <c r="G72" i="1"/>
  <c r="G53" i="1"/>
  <c r="G41" i="1"/>
  <c r="G71" i="1"/>
  <c r="G75" i="1"/>
  <c r="G58" i="1"/>
  <c r="F53" i="1"/>
  <c r="F75" i="1"/>
  <c r="F71" i="1"/>
  <c r="F58" i="1"/>
  <c r="F41" i="1"/>
  <c r="F72" i="1"/>
  <c r="C74" i="1"/>
  <c r="G52" i="1"/>
  <c r="G54" i="1" s="1"/>
  <c r="G57" i="1"/>
  <c r="B15" i="1"/>
  <c r="E59" i="4"/>
  <c r="D59" i="4"/>
  <c r="C59" i="4"/>
  <c r="F59" i="4"/>
  <c r="E43" i="1" l="1"/>
  <c r="E67" i="1" s="1"/>
  <c r="E66" i="1"/>
  <c r="C66" i="1"/>
  <c r="C43" i="1"/>
  <c r="C67" i="1" s="1"/>
  <c r="E73" i="1"/>
  <c r="F54" i="1"/>
  <c r="F73" i="1" s="1"/>
  <c r="F43" i="1"/>
  <c r="F67" i="1" s="1"/>
  <c r="F66" i="1"/>
  <c r="G59" i="1"/>
  <c r="C59" i="1"/>
  <c r="G73" i="1"/>
  <c r="D59" i="1"/>
  <c r="E59" i="1"/>
  <c r="C73" i="1"/>
  <c r="B37" i="4"/>
  <c r="C21" i="3"/>
  <c r="E20" i="3"/>
  <c r="F20" i="3"/>
  <c r="G20" i="3"/>
  <c r="C20" i="3"/>
  <c r="C19" i="3"/>
  <c r="D21" i="3"/>
  <c r="E21" i="3"/>
  <c r="F21" i="3"/>
  <c r="G21" i="3"/>
  <c r="B21" i="3" l="1"/>
  <c r="C57" i="3"/>
  <c r="G17" i="3" l="1"/>
  <c r="F17" i="2" l="1"/>
  <c r="F18" i="2"/>
  <c r="G18" i="3"/>
  <c r="F18" i="3"/>
  <c r="E18" i="3"/>
  <c r="D18" i="3"/>
  <c r="C18" i="3"/>
  <c r="G18" i="2"/>
  <c r="E18" i="2"/>
  <c r="D18" i="2"/>
  <c r="C18" i="2"/>
  <c r="B18" i="6"/>
  <c r="B18" i="5"/>
  <c r="B18" i="4"/>
  <c r="B18" i="3" l="1"/>
  <c r="B18" i="1"/>
  <c r="B18" i="2"/>
  <c r="B26" i="4" l="1"/>
  <c r="B79" i="4" s="1"/>
  <c r="B25" i="4"/>
  <c r="B17" i="4"/>
  <c r="B26" i="5"/>
  <c r="B41" i="5" s="1"/>
  <c r="B19" i="5"/>
  <c r="B25" i="5"/>
  <c r="B17" i="5"/>
  <c r="B26" i="6"/>
  <c r="B79" i="6" s="1"/>
  <c r="B19" i="6"/>
  <c r="B25" i="6"/>
  <c r="B31" i="6" s="1"/>
  <c r="B78" i="6" s="1"/>
  <c r="B17" i="6"/>
  <c r="C49" i="1"/>
  <c r="C48" i="1"/>
  <c r="D49" i="1"/>
  <c r="D48" i="1"/>
  <c r="F28" i="1"/>
  <c r="F48" i="1"/>
  <c r="G48" i="1"/>
  <c r="C26" i="2"/>
  <c r="C19" i="2"/>
  <c r="C25" i="2"/>
  <c r="C17" i="2"/>
  <c r="C48" i="2" s="1"/>
  <c r="D26" i="2"/>
  <c r="D19" i="2"/>
  <c r="D25" i="2"/>
  <c r="D17" i="2"/>
  <c r="D48" i="2" s="1"/>
  <c r="E26" i="2"/>
  <c r="E25" i="2"/>
  <c r="E17" i="2"/>
  <c r="E48" i="2" s="1"/>
  <c r="F26" i="2"/>
  <c r="F19" i="2"/>
  <c r="F25" i="2"/>
  <c r="G26" i="2"/>
  <c r="G19" i="2"/>
  <c r="G25" i="2"/>
  <c r="G17" i="2"/>
  <c r="G48" i="2" s="1"/>
  <c r="C26" i="3"/>
  <c r="C25" i="3"/>
  <c r="C17" i="3"/>
  <c r="C52" i="3" s="1"/>
  <c r="D26" i="3"/>
  <c r="D25" i="3"/>
  <c r="D17" i="3"/>
  <c r="D48" i="3" s="1"/>
  <c r="E26" i="3"/>
  <c r="E25" i="3"/>
  <c r="E17" i="3"/>
  <c r="E48" i="3" s="1"/>
  <c r="F26" i="3"/>
  <c r="F19" i="3"/>
  <c r="F25" i="3"/>
  <c r="F17" i="3"/>
  <c r="G26" i="3"/>
  <c r="G19" i="3"/>
  <c r="G25" i="3"/>
  <c r="G48" i="3"/>
  <c r="G27" i="2"/>
  <c r="G21" i="2"/>
  <c r="G28" i="7"/>
  <c r="C49" i="6"/>
  <c r="D49" i="6"/>
  <c r="E49" i="6"/>
  <c r="F49" i="6"/>
  <c r="G49" i="6"/>
  <c r="C48" i="6"/>
  <c r="D48" i="6"/>
  <c r="E48" i="6"/>
  <c r="F48" i="6"/>
  <c r="G48" i="6"/>
  <c r="B32" i="3"/>
  <c r="B15" i="5"/>
  <c r="B15" i="4"/>
  <c r="D28" i="7"/>
  <c r="E28" i="7"/>
  <c r="F28" i="7"/>
  <c r="C28" i="7"/>
  <c r="F27" i="2"/>
  <c r="E27" i="2"/>
  <c r="D27" i="2"/>
  <c r="C27" i="2"/>
  <c r="B27" i="4"/>
  <c r="B24" i="4"/>
  <c r="B40" i="4" s="1"/>
  <c r="F24" i="3"/>
  <c r="F40" i="3" s="1"/>
  <c r="F16" i="3"/>
  <c r="F24" i="2"/>
  <c r="F40" i="2" s="1"/>
  <c r="F42" i="2" s="1"/>
  <c r="F15" i="2"/>
  <c r="F16" i="2"/>
  <c r="E16" i="2"/>
  <c r="D20" i="2"/>
  <c r="C16" i="2"/>
  <c r="C20" i="2"/>
  <c r="D28" i="6"/>
  <c r="E28" i="6"/>
  <c r="F28" i="6"/>
  <c r="G28" i="6"/>
  <c r="C28" i="6"/>
  <c r="D28" i="5"/>
  <c r="E28" i="5"/>
  <c r="F28" i="5"/>
  <c r="G28" i="5"/>
  <c r="C28" i="5"/>
  <c r="D28" i="4"/>
  <c r="E28" i="4"/>
  <c r="F28" i="4"/>
  <c r="G28" i="4"/>
  <c r="C28" i="4"/>
  <c r="F21" i="2"/>
  <c r="D21" i="2"/>
  <c r="C21" i="2"/>
  <c r="E24" i="3"/>
  <c r="E40" i="3" s="1"/>
  <c r="G40" i="3"/>
  <c r="C24" i="3"/>
  <c r="C40" i="3" s="1"/>
  <c r="D27" i="3"/>
  <c r="E27" i="3"/>
  <c r="F27" i="3"/>
  <c r="G27" i="3"/>
  <c r="C27" i="3"/>
  <c r="E24" i="2"/>
  <c r="E40" i="2" s="1"/>
  <c r="C24" i="2"/>
  <c r="E16" i="3"/>
  <c r="C16" i="3"/>
  <c r="E15" i="3"/>
  <c r="C15" i="3"/>
  <c r="E15" i="2"/>
  <c r="F20" i="2"/>
  <c r="G20" i="2"/>
  <c r="C15" i="2"/>
  <c r="B40" i="7"/>
  <c r="B24" i="6"/>
  <c r="B40" i="6" s="1"/>
  <c r="B27" i="6"/>
  <c r="B16" i="6"/>
  <c r="B20" i="6"/>
  <c r="B21" i="6"/>
  <c r="B15" i="6"/>
  <c r="B16" i="5"/>
  <c r="B21" i="5"/>
  <c r="B24" i="5"/>
  <c r="B40" i="5" s="1"/>
  <c r="B27" i="5"/>
  <c r="B16" i="4"/>
  <c r="B21" i="4"/>
  <c r="B32" i="2"/>
  <c r="B32" i="1"/>
  <c r="B20" i="5"/>
  <c r="F48" i="3" l="1"/>
  <c r="B17" i="3"/>
  <c r="F70" i="2"/>
  <c r="F74" i="2"/>
  <c r="D57" i="2"/>
  <c r="D59" i="2" s="1"/>
  <c r="E42" i="2"/>
  <c r="F71" i="2"/>
  <c r="F53" i="2"/>
  <c r="F54" i="2" s="1"/>
  <c r="F75" i="2"/>
  <c r="F72" i="2"/>
  <c r="F58" i="2"/>
  <c r="F41" i="2"/>
  <c r="E74" i="2"/>
  <c r="E70" i="2"/>
  <c r="C49" i="2"/>
  <c r="C52" i="2"/>
  <c r="C54" i="2" s="1"/>
  <c r="C57" i="2"/>
  <c r="C65" i="2"/>
  <c r="G74" i="2"/>
  <c r="G70" i="2"/>
  <c r="E53" i="2"/>
  <c r="E41" i="2"/>
  <c r="E58" i="2"/>
  <c r="C28" i="2"/>
  <c r="C58" i="2"/>
  <c r="C71" i="2"/>
  <c r="C41" i="2"/>
  <c r="C72" i="2"/>
  <c r="C75" i="2"/>
  <c r="C53" i="2"/>
  <c r="B24" i="2"/>
  <c r="C40" i="2"/>
  <c r="C42" i="2" s="1"/>
  <c r="F65" i="2"/>
  <c r="F57" i="2"/>
  <c r="F52" i="2"/>
  <c r="B16" i="2"/>
  <c r="D58" i="2"/>
  <c r="D41" i="2"/>
  <c r="C74" i="2"/>
  <c r="C70" i="2"/>
  <c r="B15" i="2"/>
  <c r="G52" i="2"/>
  <c r="G57" i="2"/>
  <c r="G75" i="2"/>
  <c r="G53" i="2"/>
  <c r="G54" i="2" s="1"/>
  <c r="G71" i="2"/>
  <c r="G72" i="2"/>
  <c r="G58" i="2"/>
  <c r="G41" i="2"/>
  <c r="C65" i="3"/>
  <c r="E42" i="3"/>
  <c r="E58" i="3"/>
  <c r="E53" i="3"/>
  <c r="E72" i="3"/>
  <c r="E71" i="3"/>
  <c r="E41" i="3"/>
  <c r="D70" i="3"/>
  <c r="G52" i="3"/>
  <c r="G57" i="3"/>
  <c r="G53" i="3"/>
  <c r="G58" i="3"/>
  <c r="G71" i="3"/>
  <c r="G41" i="3"/>
  <c r="G72" i="3"/>
  <c r="C42" i="3"/>
  <c r="F70" i="3"/>
  <c r="G42" i="3"/>
  <c r="F65" i="3"/>
  <c r="F52" i="3"/>
  <c r="F57" i="3"/>
  <c r="D58" i="3"/>
  <c r="D41" i="3"/>
  <c r="F71" i="3"/>
  <c r="F41" i="3"/>
  <c r="F58" i="3"/>
  <c r="F53" i="3"/>
  <c r="F72" i="3"/>
  <c r="C70" i="3"/>
  <c r="F42" i="3"/>
  <c r="G70" i="3"/>
  <c r="E70" i="3"/>
  <c r="C41" i="3"/>
  <c r="C58" i="3"/>
  <c r="C59" i="3" s="1"/>
  <c r="C72" i="3"/>
  <c r="C53" i="3"/>
  <c r="C54" i="3" s="1"/>
  <c r="C71" i="3"/>
  <c r="B48" i="3"/>
  <c r="B25" i="3"/>
  <c r="B40" i="3"/>
  <c r="B26" i="3"/>
  <c r="B79" i="3" s="1"/>
  <c r="B28" i="7"/>
  <c r="B62" i="7" s="1"/>
  <c r="C48" i="3"/>
  <c r="B79" i="5"/>
  <c r="B65" i="5"/>
  <c r="G49" i="3"/>
  <c r="F49" i="3"/>
  <c r="C49" i="3"/>
  <c r="B72" i="5"/>
  <c r="G28" i="2"/>
  <c r="B58" i="4"/>
  <c r="B58" i="5"/>
  <c r="B43" i="5"/>
  <c r="B42" i="6"/>
  <c r="B42" i="4"/>
  <c r="B48" i="7"/>
  <c r="B42" i="7"/>
  <c r="B70" i="4"/>
  <c r="B74" i="4"/>
  <c r="B31" i="4"/>
  <c r="B78" i="4" s="1"/>
  <c r="B42" i="5"/>
  <c r="B74" i="7"/>
  <c r="B70" i="7"/>
  <c r="B53" i="4"/>
  <c r="B71" i="5"/>
  <c r="B75" i="5"/>
  <c r="B53" i="7"/>
  <c r="B66" i="5"/>
  <c r="B65" i="6"/>
  <c r="B70" i="5"/>
  <c r="B74" i="5"/>
  <c r="B28" i="5"/>
  <c r="B62" i="5" s="1"/>
  <c r="B48" i="4"/>
  <c r="B48" i="5"/>
  <c r="B49" i="5"/>
  <c r="B28" i="6"/>
  <c r="B62" i="6" s="1"/>
  <c r="B41" i="6"/>
  <c r="B66" i="6" s="1"/>
  <c r="B57" i="6"/>
  <c r="B71" i="6"/>
  <c r="B75" i="6"/>
  <c r="B74" i="6"/>
  <c r="B70" i="6"/>
  <c r="B27" i="1"/>
  <c r="B58" i="7"/>
  <c r="B41" i="7"/>
  <c r="B66" i="7" s="1"/>
  <c r="C28" i="3"/>
  <c r="B78" i="7"/>
  <c r="B49" i="6"/>
  <c r="B58" i="6"/>
  <c r="B72" i="6"/>
  <c r="G49" i="2"/>
  <c r="G28" i="3"/>
  <c r="F49" i="2"/>
  <c r="B25" i="1"/>
  <c r="G49" i="1"/>
  <c r="E48" i="1"/>
  <c r="B57" i="5"/>
  <c r="D28" i="2"/>
  <c r="B40" i="1"/>
  <c r="E28" i="1"/>
  <c r="F28" i="3"/>
  <c r="D28" i="1"/>
  <c r="E28" i="2"/>
  <c r="F28" i="2"/>
  <c r="B25" i="2"/>
  <c r="F48" i="2"/>
  <c r="D49" i="2"/>
  <c r="B26" i="2"/>
  <c r="B53" i="6"/>
  <c r="D28" i="3"/>
  <c r="B21" i="2"/>
  <c r="B28" i="4"/>
  <c r="B62" i="4" s="1"/>
  <c r="E28" i="3"/>
  <c r="B17" i="2"/>
  <c r="B48" i="2" s="1"/>
  <c r="B17" i="1"/>
  <c r="B48" i="1" s="1"/>
  <c r="C28" i="1"/>
  <c r="B48" i="6"/>
  <c r="B31" i="5"/>
  <c r="B78" i="5" s="1"/>
  <c r="B53" i="5"/>
  <c r="B26" i="1"/>
  <c r="G28" i="1"/>
  <c r="B79" i="7"/>
  <c r="B21" i="1"/>
  <c r="F49" i="1"/>
  <c r="B41" i="4"/>
  <c r="B52" i="6"/>
  <c r="B52" i="5"/>
  <c r="B40" i="2"/>
  <c r="F73" i="2" l="1"/>
  <c r="G73" i="2"/>
  <c r="F66" i="2"/>
  <c r="F43" i="2"/>
  <c r="F67" i="2" s="1"/>
  <c r="E66" i="2"/>
  <c r="G43" i="2"/>
  <c r="F59" i="2"/>
  <c r="G59" i="2"/>
  <c r="C73" i="2"/>
  <c r="C43" i="2"/>
  <c r="C67" i="2" s="1"/>
  <c r="C66" i="2"/>
  <c r="C59" i="2"/>
  <c r="C73" i="3"/>
  <c r="E66" i="3"/>
  <c r="F66" i="3"/>
  <c r="F43" i="3"/>
  <c r="F67" i="3" s="1"/>
  <c r="F59" i="3"/>
  <c r="G59" i="3"/>
  <c r="G66" i="3"/>
  <c r="G43" i="3"/>
  <c r="G67" i="3" s="1"/>
  <c r="F54" i="3"/>
  <c r="F73" i="3" s="1"/>
  <c r="G54" i="3"/>
  <c r="G73" i="3" s="1"/>
  <c r="C43" i="3"/>
  <c r="C67" i="3" s="1"/>
  <c r="C66" i="3"/>
  <c r="B28" i="3"/>
  <c r="B62" i="3" s="1"/>
  <c r="B59" i="6"/>
  <c r="B67" i="5"/>
  <c r="B59" i="5"/>
  <c r="B31" i="1"/>
  <c r="B78" i="1" s="1"/>
  <c r="B74" i="1"/>
  <c r="B70" i="1"/>
  <c r="B54" i="5"/>
  <c r="B73" i="5" s="1"/>
  <c r="B43" i="6"/>
  <c r="B67" i="6" s="1"/>
  <c r="B74" i="3"/>
  <c r="B70" i="3"/>
  <c r="B54" i="6"/>
  <c r="B73" i="6" s="1"/>
  <c r="B70" i="2"/>
  <c r="B74" i="2"/>
  <c r="B28" i="1"/>
  <c r="B62" i="1" s="1"/>
  <c r="B41" i="1"/>
  <c r="B28" i="2"/>
  <c r="B62" i="2" s="1"/>
  <c r="B31" i="2"/>
  <c r="B78" i="2" s="1"/>
  <c r="B79" i="1"/>
  <c r="B53" i="1"/>
  <c r="B58" i="1"/>
  <c r="B66" i="4"/>
  <c r="B58" i="2"/>
  <c r="B53" i="2"/>
  <c r="B41" i="2"/>
  <c r="B79" i="2"/>
  <c r="B31" i="3"/>
  <c r="B78" i="3" s="1"/>
  <c r="B53" i="3"/>
  <c r="B58" i="3"/>
  <c r="B41" i="3"/>
  <c r="B42" i="2"/>
  <c r="B42" i="1"/>
  <c r="B42" i="3"/>
  <c r="B66" i="2" l="1"/>
  <c r="B66" i="1"/>
  <c r="B66" i="3"/>
  <c r="E19" i="2"/>
  <c r="E20" i="2"/>
  <c r="B20" i="4"/>
  <c r="B75" i="4" s="1"/>
  <c r="B19" i="4"/>
  <c r="B49" i="4" s="1"/>
  <c r="E19" i="3"/>
  <c r="E72" i="2" l="1"/>
  <c r="E71" i="2"/>
  <c r="E75" i="2"/>
  <c r="E65" i="2"/>
  <c r="E52" i="2"/>
  <c r="E54" i="2" s="1"/>
  <c r="E57" i="2"/>
  <c r="E59" i="2" s="1"/>
  <c r="E43" i="2"/>
  <c r="E67" i="2" s="1"/>
  <c r="E65" i="3"/>
  <c r="E52" i="3"/>
  <c r="E54" i="3" s="1"/>
  <c r="E73" i="3" s="1"/>
  <c r="E57" i="3"/>
  <c r="E59" i="3" s="1"/>
  <c r="E43" i="3"/>
  <c r="E67" i="3" s="1"/>
  <c r="B65" i="4"/>
  <c r="B57" i="4"/>
  <c r="B59" i="4" s="1"/>
  <c r="B52" i="4"/>
  <c r="B54" i="4" s="1"/>
  <c r="B43" i="4"/>
  <c r="B67" i="4" s="1"/>
  <c r="B72" i="4"/>
  <c r="B71" i="4"/>
  <c r="B73" i="4" s="1"/>
  <c r="E49" i="2"/>
  <c r="E49" i="1"/>
  <c r="B20" i="2"/>
  <c r="B19" i="1"/>
  <c r="B20" i="1"/>
  <c r="B19" i="2"/>
  <c r="E73" i="2" l="1"/>
  <c r="B72" i="2"/>
  <c r="B75" i="2"/>
  <c r="B71" i="2"/>
  <c r="B72" i="1"/>
  <c r="B75" i="1"/>
  <c r="B71" i="1"/>
  <c r="B49" i="2"/>
  <c r="B65" i="2"/>
  <c r="B52" i="2"/>
  <c r="B54" i="2" s="1"/>
  <c r="B57" i="2"/>
  <c r="B59" i="2" s="1"/>
  <c r="B43" i="2"/>
  <c r="B67" i="2" s="1"/>
  <c r="B49" i="1"/>
  <c r="B65" i="1"/>
  <c r="B43" i="1"/>
  <c r="B67" i="1" s="1"/>
  <c r="B57" i="1"/>
  <c r="B59" i="1" s="1"/>
  <c r="B52" i="1"/>
  <c r="B54" i="1" s="1"/>
  <c r="B73" i="1" l="1"/>
  <c r="B73" i="2"/>
  <c r="D19" i="3" l="1"/>
  <c r="D49" i="3" s="1"/>
  <c r="D20" i="3"/>
  <c r="D72" i="3" s="1"/>
  <c r="D71" i="7"/>
  <c r="D43" i="7"/>
  <c r="D57" i="7"/>
  <c r="D59" i="7" s="1"/>
  <c r="D52" i="7"/>
  <c r="D54" i="7" s="1"/>
  <c r="D72" i="7"/>
  <c r="B19" i="7"/>
  <c r="B57" i="7" s="1"/>
  <c r="B59" i="7" s="1"/>
  <c r="B20" i="7"/>
  <c r="B75" i="7" s="1"/>
  <c r="D71" i="3" l="1"/>
  <c r="B72" i="7"/>
  <c r="B52" i="7"/>
  <c r="B54" i="7" s="1"/>
  <c r="B20" i="3"/>
  <c r="B49" i="7"/>
  <c r="B65" i="7"/>
  <c r="B43" i="7"/>
  <c r="B67" i="7" s="1"/>
  <c r="D73" i="7"/>
  <c r="D43" i="3"/>
  <c r="D57" i="3"/>
  <c r="D59" i="3" s="1"/>
  <c r="B71" i="7"/>
  <c r="D54" i="3"/>
  <c r="B19" i="3"/>
  <c r="D73" i="3" l="1"/>
  <c r="B73" i="7"/>
  <c r="B71" i="3"/>
  <c r="B72" i="3"/>
  <c r="B75" i="3"/>
  <c r="B43" i="3"/>
  <c r="B67" i="3" s="1"/>
  <c r="B65" i="3"/>
  <c r="B52" i="3"/>
  <c r="B54" i="3" s="1"/>
  <c r="B73" i="3" s="1"/>
  <c r="B57" i="3"/>
  <c r="B59" i="3" s="1"/>
  <c r="B49" i="3"/>
</calcChain>
</file>

<file path=xl/sharedStrings.xml><?xml version="1.0" encoding="utf-8"?>
<sst xmlns="http://schemas.openxmlformats.org/spreadsheetml/2006/main" count="609" uniqueCount="128">
  <si>
    <t>Indicador</t>
  </si>
  <si>
    <t>Total programa</t>
  </si>
  <si>
    <t>Productos</t>
  </si>
  <si>
    <t>Obra comunal</t>
  </si>
  <si>
    <t>Insumos</t>
  </si>
  <si>
    <t xml:space="preserve">Beneficiarios </t>
  </si>
  <si>
    <t>Gasto FODESAF</t>
  </si>
  <si>
    <t>Ingresos FODESAF</t>
  </si>
  <si>
    <t>Otros insumos</t>
  </si>
  <si>
    <t>Población objetivo</t>
  </si>
  <si>
    <t>Cálculos intermedios</t>
  </si>
  <si>
    <t>Indicadores</t>
  </si>
  <si>
    <t>De Cobertura Potencial</t>
  </si>
  <si>
    <t>Cobertura Programada</t>
  </si>
  <si>
    <t>Cobertura Efectiva</t>
  </si>
  <si>
    <t>De resultado</t>
  </si>
  <si>
    <t>Índice efectividad en beneficiarios (IEB)</t>
  </si>
  <si>
    <t xml:space="preserve">Índice efectividad en gasto (IEG) </t>
  </si>
  <si>
    <t>Índice efectividad total (IET)</t>
  </si>
  <si>
    <t xml:space="preserve">De avance </t>
  </si>
  <si>
    <t xml:space="preserve">Índice avance beneficiarios (IAB) </t>
  </si>
  <si>
    <t>Índice avance gasto (IAG)</t>
  </si>
  <si>
    <t xml:space="preserve">Índice avance total (IAT) </t>
  </si>
  <si>
    <t>Índice transferencia efectiva del gasto (ITG)</t>
  </si>
  <si>
    <t>De expansión</t>
  </si>
  <si>
    <t xml:space="preserve">Índice de crecimiento beneficiarios (ICB) </t>
  </si>
  <si>
    <t xml:space="preserve">Índice de crecimiento del gasto real (ICGR) </t>
  </si>
  <si>
    <t xml:space="preserve">Índice de crecimiento del gasto real por beneficiario (ICGRB) </t>
  </si>
  <si>
    <t>De gasto medio</t>
  </si>
  <si>
    <t xml:space="preserve">Índice de eficiencia (IE) </t>
  </si>
  <si>
    <t>De giro de recursos</t>
  </si>
  <si>
    <t>Índice de giro efectivo (IGE)</t>
  </si>
  <si>
    <t xml:space="preserve">Índice de uso de recursos (IUR) </t>
  </si>
  <si>
    <t>Subsidios</t>
  </si>
  <si>
    <t xml:space="preserve">Gasto efectivo por subsidio (GEB) </t>
  </si>
  <si>
    <t xml:space="preserve">Gasto programado acumulado por beneficiario (GPB) </t>
  </si>
  <si>
    <t xml:space="preserve">Gasto efectivo acumulado por beneficiario (GEB) </t>
  </si>
  <si>
    <t xml:space="preserve">Gasto programado trimestral  por beneficiario (GPB) </t>
  </si>
  <si>
    <t xml:space="preserve">Gasto efectivo trimestral por beneficiario (GEB) </t>
  </si>
  <si>
    <t xml:space="preserve">Gasto programado semestral por beneficiario (GPB) </t>
  </si>
  <si>
    <t xml:space="preserve">Gasto efectivo semestral por beneficiario (GEB) </t>
  </si>
  <si>
    <t xml:space="preserve">Gasto programado anual por beneficiario (GPB) </t>
  </si>
  <si>
    <t xml:space="preserve">Gasto efectivo anual por beneficiario (GEB) </t>
  </si>
  <si>
    <t xml:space="preserve">Gasto programado mensual por beneficiario (GPB) </t>
  </si>
  <si>
    <t xml:space="preserve">Gasto efectivo mensual por beneficiario (GEB) </t>
  </si>
  <si>
    <t>,</t>
  </si>
  <si>
    <t>Apoyo población indígena</t>
  </si>
  <si>
    <t>De composición</t>
  </si>
  <si>
    <t>n.d.</t>
  </si>
  <si>
    <t>Efectivos 1T 2023</t>
  </si>
  <si>
    <t>IPC (1T 2023)</t>
  </si>
  <si>
    <t>Gasto efectivo real 1T 2023</t>
  </si>
  <si>
    <t>Gasto efectivo real por beneficiario 1T 2023</t>
  </si>
  <si>
    <t>Efectivos 2T 2023</t>
  </si>
  <si>
    <t>IPC (2T 2023)</t>
  </si>
  <si>
    <t>Gasto efectivo real 2T 2023</t>
  </si>
  <si>
    <t>Gasto efectivo real por beneficiario 2T 2023</t>
  </si>
  <si>
    <t>Efectivos 1S 2023</t>
  </si>
  <si>
    <t>IPC (1S 2023)</t>
  </si>
  <si>
    <t>Gasto efectivo real 1S 2023</t>
  </si>
  <si>
    <t>Gasto efectivo real por beneficiario 1S 2023</t>
  </si>
  <si>
    <t>Efectivos 3T 2023</t>
  </si>
  <si>
    <t>IPC (3T 2023)</t>
  </si>
  <si>
    <t>Gasto efectivo real 3T 2023</t>
  </si>
  <si>
    <t>Gasto efectivo real por beneficiario 3T 2023</t>
  </si>
  <si>
    <t>Efectivos 3 TA 2023</t>
  </si>
  <si>
    <t>IPC (3 TA 2023)</t>
  </si>
  <si>
    <t>Gasto efectivo real por beneficiario 3 TA 2023</t>
  </si>
  <si>
    <t>Efectivos 4T 2023</t>
  </si>
  <si>
    <t>IPC (4T 2023)</t>
  </si>
  <si>
    <t>Gasto efectivo real 4T 2023</t>
  </si>
  <si>
    <t>Gasto efectivo real por beneficiario 4T 2023</t>
  </si>
  <si>
    <t>Efectivos 2023</t>
  </si>
  <si>
    <t>IPC (2023)</t>
  </si>
  <si>
    <t>Gasto efectivo real 2023</t>
  </si>
  <si>
    <t>Gasto efectivo real por beneficiario 2023</t>
  </si>
  <si>
    <t>Empléate
PpR</t>
  </si>
  <si>
    <t>Empléate
TMC</t>
  </si>
  <si>
    <t>Proyectos de BAE</t>
  </si>
  <si>
    <t>Programados 1T 2024</t>
  </si>
  <si>
    <t>Efectivos 1T 2024</t>
  </si>
  <si>
    <t>Programados año 2024</t>
  </si>
  <si>
    <t>En transferencias 1T 2024</t>
  </si>
  <si>
    <t>IPC (1T 2024)</t>
  </si>
  <si>
    <t>Gasto efectivo real 1T 2024</t>
  </si>
  <si>
    <t>Gasto efectivo real por beneficiario 1T 2024</t>
  </si>
  <si>
    <r>
      <rPr>
        <b/>
        <sz val="11"/>
        <color theme="1"/>
        <rFont val="Palatino Linotype"/>
        <family val="1"/>
      </rPr>
      <t xml:space="preserve">Fuentes: </t>
    </r>
    <r>
      <rPr>
        <sz val="11"/>
        <color theme="1"/>
        <rFont val="Palatino Linotype"/>
        <family val="1"/>
      </rPr>
      <t xml:space="preserve"> Informes Trimestrales PRONAE 2023 y 2024 - Cronogramas de Metas e Inversión - Modificaciones 2024 - IPC, INEC 2023 y 2024</t>
    </r>
  </si>
  <si>
    <r>
      <rPr>
        <b/>
        <sz val="11"/>
        <color theme="1"/>
        <rFont val="Palatino Linotype"/>
        <family val="1"/>
      </rPr>
      <t xml:space="preserve">Nota: </t>
    </r>
    <r>
      <rPr>
        <sz val="11"/>
        <color theme="1"/>
        <rFont val="Palatino Linotype"/>
        <family val="1"/>
      </rPr>
      <t xml:space="preserve">El dato de los beneficiarios y el gasto para el año 2023 no es el mismo que se encuentra en los indicadores de dicho año, esto debido a que los productos variaron para el período 2024. </t>
    </r>
  </si>
  <si>
    <t>Programados 2T 2024</t>
  </si>
  <si>
    <t>Efectivos 2T 2024</t>
  </si>
  <si>
    <t>En transferencias 2T 2024</t>
  </si>
  <si>
    <t>IPC (2T 2024)</t>
  </si>
  <si>
    <t>Gasto efectivo real 2T 2024</t>
  </si>
  <si>
    <t>Gasto efectivo real por beneficiario 2T 2024</t>
  </si>
  <si>
    <t>Programados 1S 2024</t>
  </si>
  <si>
    <t>Efectivos 1S 2024</t>
  </si>
  <si>
    <t>Efectivos1S 2023</t>
  </si>
  <si>
    <t>En transferencias 1S 2024</t>
  </si>
  <si>
    <t>IPC (1S 2024)</t>
  </si>
  <si>
    <t>Gasto efectivo real 1S 2024</t>
  </si>
  <si>
    <t>Gasto efectivo real por beneficiario 1S 2024</t>
  </si>
  <si>
    <t>Programados 3T 2024</t>
  </si>
  <si>
    <t>Efectivos 3T 2024</t>
  </si>
  <si>
    <t>En transferencias 3T 2024</t>
  </si>
  <si>
    <t>IPC (3T 2024)</t>
  </si>
  <si>
    <t>Gasto efectivo real 3T 2024</t>
  </si>
  <si>
    <t>Gasto efectivo real por beneficiario 3T 2024</t>
  </si>
  <si>
    <t>Programados 3 TA 2024</t>
  </si>
  <si>
    <t>Efectivos 3 TA 2024</t>
  </si>
  <si>
    <t>Efectivos3 TA 2023</t>
  </si>
  <si>
    <t>Efectivos 3 TA  2024</t>
  </si>
  <si>
    <t>En transferencias 3 TA 2024</t>
  </si>
  <si>
    <t>IPC (3 TA 2024)</t>
  </si>
  <si>
    <t>Gasto efectivo real 3TA 2023</t>
  </si>
  <si>
    <t>Gasto efectivo real 3 TA 2024</t>
  </si>
  <si>
    <t>Gasto efectivo real por beneficiario 3 TA 2024</t>
  </si>
  <si>
    <t>Programados 4T 2024</t>
  </si>
  <si>
    <t>Efectivos 4T 2024</t>
  </si>
  <si>
    <t>En transferencias 4T 2024</t>
  </si>
  <si>
    <t>IPC (4T 2024)</t>
  </si>
  <si>
    <t>Gasto efectivo real 4T 2024</t>
  </si>
  <si>
    <t>Gasto efectivo real por beneficiario 4T 2024</t>
  </si>
  <si>
    <t>Programados 2024</t>
  </si>
  <si>
    <t>Efectivos 2024</t>
  </si>
  <si>
    <t>En transferencias 2024</t>
  </si>
  <si>
    <t>IPC (2024)</t>
  </si>
  <si>
    <t>Gasto efectivo real 2024</t>
  </si>
  <si>
    <t>Gasto efectivo real por beneficiario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</si>
</sst>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_(* #,##0_);_(* \(#,##0\);_(* &quot;-&quot;??_);_(@_)"/>
    <numFmt numFmtId="167" formatCode="#,##0.0000"/>
    <numFmt numFmtId="168" formatCode="_-* #,##0.00\ _€_-;\-* #,##0.00\ _€_-;_-* &quot;-&quot;??\ _€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Palatino Linotype"/>
      <family val="1"/>
    </font>
    <font>
      <sz val="11"/>
      <color theme="1"/>
      <name val="Palatino Linotype"/>
      <family val="1"/>
    </font>
    <font>
      <i/>
      <sz val="11"/>
      <color theme="1"/>
      <name val="Palatino Linotype"/>
      <family val="1"/>
    </font>
    <font>
      <sz val="10"/>
      <color theme="1"/>
      <name val="Palatino Linotype"/>
      <family val="1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8">
    <xf numFmtId="0" fontId="0" fillId="0" borderId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5" borderId="7" applyNumberFormat="0" applyAlignment="0" applyProtection="0"/>
    <xf numFmtId="0" fontId="14" fillId="6" borderId="8" applyNumberFormat="0" applyAlignment="0" applyProtection="0"/>
    <xf numFmtId="0" fontId="15" fillId="6" borderId="7" applyNumberFormat="0" applyAlignment="0" applyProtection="0"/>
    <xf numFmtId="0" fontId="16" fillId="0" borderId="9" applyNumberFormat="0" applyFill="0" applyAlignment="0" applyProtection="0"/>
    <xf numFmtId="0" fontId="17" fillId="7" borderId="10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2" fillId="0" borderId="0"/>
    <xf numFmtId="168" fontId="23" fillId="0" borderId="0" applyFont="0" applyFill="0" applyBorder="0" applyAlignment="0" applyProtection="0"/>
    <xf numFmtId="0" fontId="24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1" fillId="8" borderId="11" applyNumberFormat="0" applyFont="0" applyAlignment="0" applyProtection="0"/>
  </cellStyleXfs>
  <cellXfs count="58">
    <xf numFmtId="0" fontId="0" fillId="0" borderId="0" xfId="0"/>
    <xf numFmtId="166" fontId="0" fillId="0" borderId="0" xfId="1" applyNumberFormat="1" applyFont="1" applyFill="1"/>
    <xf numFmtId="166" fontId="0" fillId="0" borderId="0" xfId="2" applyNumberFormat="1" applyFont="1" applyFill="1"/>
    <xf numFmtId="0" fontId="0" fillId="0" borderId="0" xfId="0" applyFont="1" applyFill="1"/>
    <xf numFmtId="3" fontId="0" fillId="0" borderId="0" xfId="0" applyNumberFormat="1" applyFont="1" applyFill="1"/>
    <xf numFmtId="1" fontId="0" fillId="0" borderId="0" xfId="0" applyNumberFormat="1" applyFont="1" applyFill="1"/>
    <xf numFmtId="166" fontId="0" fillId="0" borderId="0" xfId="0" applyNumberFormat="1" applyFont="1" applyFill="1"/>
    <xf numFmtId="0" fontId="4" fillId="0" borderId="0" xfId="0" applyFont="1" applyFill="1"/>
    <xf numFmtId="0" fontId="3" fillId="0" borderId="0" xfId="0" applyFont="1" applyFill="1"/>
    <xf numFmtId="0" fontId="4" fillId="0" borderId="0" xfId="0" applyFont="1" applyFill="1" applyAlignment="1">
      <alignment horizontal="left" indent="1"/>
    </xf>
    <xf numFmtId="3" fontId="4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left" indent="2"/>
    </xf>
    <xf numFmtId="0" fontId="3" fillId="0" borderId="0" xfId="0" applyFont="1" applyFill="1" applyAlignment="1">
      <alignment horizontal="left"/>
    </xf>
    <xf numFmtId="3" fontId="4" fillId="0" borderId="0" xfId="0" applyNumberFormat="1" applyFont="1" applyFill="1"/>
    <xf numFmtId="0" fontId="4" fillId="0" borderId="0" xfId="0" applyFont="1" applyFill="1" applyAlignment="1">
      <alignment horizontal="right"/>
    </xf>
    <xf numFmtId="4" fontId="4" fillId="0" borderId="0" xfId="0" applyNumberFormat="1" applyFont="1" applyFill="1"/>
    <xf numFmtId="4" fontId="4" fillId="0" borderId="0" xfId="0" applyNumberFormat="1" applyFont="1" applyFill="1" applyAlignment="1">
      <alignment horizontal="right"/>
    </xf>
    <xf numFmtId="2" fontId="4" fillId="0" borderId="0" xfId="0" applyNumberFormat="1" applyFont="1" applyFill="1" applyAlignment="1">
      <alignment horizontal="right"/>
    </xf>
    <xf numFmtId="0" fontId="4" fillId="0" borderId="2" xfId="0" applyFont="1" applyFill="1" applyBorder="1"/>
    <xf numFmtId="0" fontId="4" fillId="0" borderId="2" xfId="0" applyFont="1" applyFill="1" applyBorder="1" applyAlignment="1">
      <alignment horizontal="right"/>
    </xf>
    <xf numFmtId="166" fontId="4" fillId="0" borderId="0" xfId="2" applyNumberFormat="1" applyFont="1" applyFill="1"/>
    <xf numFmtId="166" fontId="4" fillId="0" borderId="0" xfId="1" applyNumberFormat="1" applyFont="1" applyFill="1"/>
    <xf numFmtId="3" fontId="4" fillId="0" borderId="0" xfId="1" applyNumberFormat="1" applyFont="1" applyFill="1" applyAlignment="1">
      <alignment horizontal="right"/>
    </xf>
    <xf numFmtId="4" fontId="4" fillId="0" borderId="0" xfId="1" applyNumberFormat="1" applyFont="1" applyFill="1" applyAlignment="1">
      <alignment horizontal="right"/>
    </xf>
    <xf numFmtId="167" fontId="4" fillId="0" borderId="0" xfId="0" applyNumberFormat="1" applyFont="1" applyFill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 indent="1"/>
    </xf>
    <xf numFmtId="0" fontId="5" fillId="0" borderId="0" xfId="0" applyFont="1" applyAlignment="1">
      <alignment horizontal="left" indent="2"/>
    </xf>
    <xf numFmtId="0" fontId="3" fillId="0" borderId="0" xfId="0" applyFont="1" applyAlignment="1">
      <alignment horizontal="left"/>
    </xf>
    <xf numFmtId="4" fontId="4" fillId="0" borderId="0" xfId="0" applyNumberFormat="1" applyFont="1"/>
    <xf numFmtId="165" fontId="4" fillId="0" borderId="0" xfId="0" applyNumberFormat="1" applyFont="1"/>
    <xf numFmtId="0" fontId="6" fillId="0" borderId="0" xfId="0" applyFont="1"/>
    <xf numFmtId="3" fontId="4" fillId="0" borderId="0" xfId="0" applyNumberFormat="1" applyFont="1" applyAlignment="1">
      <alignment horizontal="right"/>
    </xf>
    <xf numFmtId="2" fontId="4" fillId="0" borderId="0" xfId="0" applyNumberFormat="1" applyFont="1" applyAlignment="1">
      <alignment horizontal="right"/>
    </xf>
    <xf numFmtId="0" fontId="2" fillId="0" borderId="0" xfId="0" applyFont="1"/>
    <xf numFmtId="0" fontId="4" fillId="0" borderId="0" xfId="0" applyFont="1" applyFill="1" applyBorder="1"/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/>
    <xf numFmtId="164" fontId="4" fillId="0" borderId="0" xfId="1" applyFont="1" applyFill="1" applyAlignment="1">
      <alignment horizontal="right"/>
    </xf>
    <xf numFmtId="0" fontId="0" fillId="0" borderId="0" xfId="0" applyFont="1"/>
    <xf numFmtId="0" fontId="3" fillId="0" borderId="2" xfId="0" applyFont="1" applyFill="1" applyBorder="1" applyAlignment="1">
      <alignment horizontal="center" vertical="center" wrapText="1"/>
    </xf>
    <xf numFmtId="165" fontId="4" fillId="0" borderId="0" xfId="0" applyNumberFormat="1" applyFont="1" applyFill="1"/>
    <xf numFmtId="3" fontId="3" fillId="0" borderId="0" xfId="0" applyNumberFormat="1" applyFont="1" applyFill="1" applyAlignment="1">
      <alignment horizontal="right"/>
    </xf>
    <xf numFmtId="3" fontId="3" fillId="0" borderId="0" xfId="1" applyNumberFormat="1" applyFont="1" applyFill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top" wrapText="1"/>
    </xf>
  </cellXfs>
  <cellStyles count="48">
    <cellStyle name="20% - Énfasis1" xfId="19" builtinId="30" customBuiltin="1"/>
    <cellStyle name="20% - Énfasis2" xfId="22" builtinId="34" customBuiltin="1"/>
    <cellStyle name="20% - Énfasis3" xfId="25" builtinId="38" customBuiltin="1"/>
    <cellStyle name="20% - Énfasis4" xfId="28" builtinId="42" customBuiltin="1"/>
    <cellStyle name="20% - Énfasis5" xfId="31" builtinId="46" customBuiltin="1"/>
    <cellStyle name="20% - Énfasis6" xfId="34" builtinId="50" customBuiltin="1"/>
    <cellStyle name="40% - Énfasis1" xfId="20" builtinId="31" customBuiltin="1"/>
    <cellStyle name="40% - Énfasis2" xfId="23" builtinId="35" customBuiltin="1"/>
    <cellStyle name="40% - Énfasis3" xfId="26" builtinId="39" customBuiltin="1"/>
    <cellStyle name="40% - Énfasis4" xfId="29" builtinId="43" customBuiltin="1"/>
    <cellStyle name="40% - Énfasis5" xfId="32" builtinId="47" customBuiltin="1"/>
    <cellStyle name="40% - Énfasis6" xfId="35" builtinId="51" customBuiltin="1"/>
    <cellStyle name="60% - Énfasis1 2" xfId="39" xr:uid="{00000000-0005-0000-0000-00000C000000}"/>
    <cellStyle name="60% - Énfasis2 2" xfId="40" xr:uid="{00000000-0005-0000-0000-00000D000000}"/>
    <cellStyle name="60% - Énfasis3 2" xfId="41" xr:uid="{00000000-0005-0000-0000-00000E000000}"/>
    <cellStyle name="60% - Énfasis4 2" xfId="42" xr:uid="{00000000-0005-0000-0000-00000F000000}"/>
    <cellStyle name="60% - Énfasis5 2" xfId="43" xr:uid="{00000000-0005-0000-0000-000010000000}"/>
    <cellStyle name="60% - Énfasis6 2" xfId="44" xr:uid="{00000000-0005-0000-0000-000011000000}"/>
    <cellStyle name="Bueno" xfId="8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4" builtinId="16" customBuiltin="1"/>
    <cellStyle name="Encabezado 4" xfId="7" builtinId="19" customBuiltin="1"/>
    <cellStyle name="Énfasis1" xfId="18" builtinId="29" customBuiltin="1"/>
    <cellStyle name="Énfasis2" xfId="21" builtinId="33" customBuiltin="1"/>
    <cellStyle name="Énfasis3" xfId="24" builtinId="37" customBuiltin="1"/>
    <cellStyle name="Énfasis4" xfId="27" builtinId="41" customBuiltin="1"/>
    <cellStyle name="Énfasis5" xfId="30" builtinId="45" customBuiltin="1"/>
    <cellStyle name="Énfasis6" xfId="33" builtinId="49" customBuiltin="1"/>
    <cellStyle name="Entrada" xfId="10" builtinId="20" customBuiltin="1"/>
    <cellStyle name="Incorrecto" xfId="9" builtinId="27" customBuiltin="1"/>
    <cellStyle name="Millares" xfId="1" builtinId="3"/>
    <cellStyle name="Millares 2" xfId="2" xr:uid="{00000000-0005-0000-0000-000021000000}"/>
    <cellStyle name="Millares 2 2" xfId="46" xr:uid="{00000000-0005-0000-0000-000022000000}"/>
    <cellStyle name="Millares 3" xfId="37" xr:uid="{00000000-0005-0000-0000-000023000000}"/>
    <cellStyle name="Neutral 2" xfId="38" xr:uid="{00000000-0005-0000-0000-000024000000}"/>
    <cellStyle name="Normal" xfId="0" builtinId="0"/>
    <cellStyle name="Normal 2" xfId="45" xr:uid="{00000000-0005-0000-0000-000026000000}"/>
    <cellStyle name="Normal 3" xfId="36" xr:uid="{00000000-0005-0000-0000-000027000000}"/>
    <cellStyle name="Notas 2" xfId="47" xr:uid="{00000000-0005-0000-0000-000028000000}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C1C5C8"/>
      <color rgb="FF0035A0"/>
      <color rgb="FF192952"/>
      <color rgb="FF4071B9"/>
      <color rgb="FF102D7C"/>
      <color rgb="FFA2BF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lang="es-CR"/>
            </a:pPr>
            <a:r>
              <a:rPr lang="x-none" sz="1400"/>
              <a:t>PRONAE: </a:t>
            </a:r>
            <a:r>
              <a:rPr lang="es-CR" sz="1400"/>
              <a:t>Gasto programado trimestral por beneficiario 2013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Primer Trimestre</c:v>
          </c:tx>
          <c:invertIfNegative val="0"/>
          <c:cat>
            <c:strRef>
              <c:f>('I trimestre'!$B$9:$B$10,'I trimestre'!$C$10,'I trimestre'!$D$10,'I trimestre'!$E$10,'I trimestre'!$F$10)</c:f>
              <c:strCache>
                <c:ptCount val="5"/>
                <c:pt idx="0">
                  <c:v>Total programa</c:v>
                </c:pt>
                <c:pt idx="1">
                  <c:v>Obra comunal</c:v>
                </c:pt>
                <c:pt idx="2">
                  <c:v>Empléate
PpR</c:v>
                </c:pt>
                <c:pt idx="3">
                  <c:v>Empléate
TMC</c:v>
                </c:pt>
                <c:pt idx="4">
                  <c:v>Apoyo población indígena</c:v>
                </c:pt>
              </c:strCache>
            </c:strRef>
          </c:cat>
          <c:val>
            <c:numRef>
              <c:f>'I trimestre'!$B$74:$F$74</c:f>
              <c:numCache>
                <c:formatCode>#,##0.00</c:formatCode>
                <c:ptCount val="5"/>
                <c:pt idx="0">
                  <c:v>879072.34154697601</c:v>
                </c:pt>
                <c:pt idx="1">
                  <c:v>460000</c:v>
                </c:pt>
                <c:pt idx="2" formatCode="#,##0">
                  <c:v>0</c:v>
                </c:pt>
                <c:pt idx="3">
                  <c:v>891000</c:v>
                </c:pt>
                <c:pt idx="4">
                  <c:v>460000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B2-4CA6-865B-5311D77F8F4E}"/>
            </c:ext>
          </c:extLst>
        </c:ser>
        <c:ser>
          <c:idx val="1"/>
          <c:order val="1"/>
          <c:tx>
            <c:v>Segundo Trimestre</c:v>
          </c:tx>
          <c:invertIfNegative val="0"/>
          <c:val>
            <c:numRef>
              <c:f>'II Trimestre'!$B$74:$F$74</c:f>
              <c:numCache>
                <c:formatCode>#,##0.00</c:formatCode>
                <c:ptCount val="5"/>
                <c:pt idx="0">
                  <c:v>864076.193134245</c:v>
                </c:pt>
                <c:pt idx="1">
                  <c:v>705000</c:v>
                </c:pt>
                <c:pt idx="2" formatCode="#,##0">
                  <c:v>0</c:v>
                </c:pt>
                <c:pt idx="3">
                  <c:v>891000</c:v>
                </c:pt>
                <c:pt idx="4">
                  <c:v>705000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B2-4CA6-865B-5311D77F8F4E}"/>
            </c:ext>
          </c:extLst>
        </c:ser>
        <c:ser>
          <c:idx val="2"/>
          <c:order val="2"/>
          <c:tx>
            <c:v>Tercer Trimestre</c:v>
          </c:tx>
          <c:invertIfNegative val="0"/>
          <c:val>
            <c:numRef>
              <c:f>'III Trimestre'!$B$74:$F$74</c:f>
              <c:numCache>
                <c:formatCode>#,##0.00</c:formatCode>
                <c:ptCount val="5"/>
                <c:pt idx="0">
                  <c:v>788566.5774850793</c:v>
                </c:pt>
                <c:pt idx="1">
                  <c:v>705000</c:v>
                </c:pt>
                <c:pt idx="2" formatCode="#,##0">
                  <c:v>0</c:v>
                </c:pt>
                <c:pt idx="3">
                  <c:v>891000</c:v>
                </c:pt>
                <c:pt idx="4">
                  <c:v>705000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B2-4CA6-865B-5311D77F8F4E}"/>
            </c:ext>
          </c:extLst>
        </c:ser>
        <c:ser>
          <c:idx val="3"/>
          <c:order val="3"/>
          <c:tx>
            <c:v>Cuarto Trimestre</c:v>
          </c:tx>
          <c:invertIfNegative val="0"/>
          <c:val>
            <c:numRef>
              <c:f>'IV Trimestre'!$B$74:$F$74</c:f>
              <c:numCache>
                <c:formatCode>#,##0.00</c:formatCode>
                <c:ptCount val="5"/>
                <c:pt idx="0">
                  <c:v>692650.83771554357</c:v>
                </c:pt>
                <c:pt idx="1">
                  <c:v>705000</c:v>
                </c:pt>
                <c:pt idx="2">
                  <c:v>90385</c:v>
                </c:pt>
                <c:pt idx="3">
                  <c:v>891000</c:v>
                </c:pt>
                <c:pt idx="4">
                  <c:v>705000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6B2-4CA6-865B-5311D77F8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8084096"/>
        <c:axId val="48085632"/>
      </c:barChart>
      <c:catAx>
        <c:axId val="480840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CR"/>
            </a:pPr>
            <a:endParaRPr lang="es-CR"/>
          </a:p>
        </c:txPr>
        <c:crossAx val="48085632"/>
        <c:crosses val="autoZero"/>
        <c:auto val="1"/>
        <c:lblAlgn val="ctr"/>
        <c:lblOffset val="100"/>
        <c:noMultiLvlLbl val="0"/>
      </c:catAx>
      <c:valAx>
        <c:axId val="48085632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lang="es-CR"/>
            </a:pPr>
            <a:endParaRPr lang="es-CR"/>
          </a:p>
        </c:txPr>
        <c:crossAx val="4808409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lang="es-CR"/>
          </a:pPr>
          <a:endParaRPr lang="es-CR"/>
        </a:p>
      </c:txPr>
    </c:legend>
    <c:plotVisOnly val="1"/>
    <c:dispBlanksAs val="gap"/>
    <c:showDLblsOverMax val="0"/>
  </c:chart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lang="es-CR"/>
            </a:pPr>
            <a:r>
              <a:rPr lang="x-none" sz="1400"/>
              <a:t>PRONAE: </a:t>
            </a:r>
            <a:r>
              <a:rPr lang="es-CR" sz="1400"/>
              <a:t>Gasto Efectivo Trimestral por Beneficiario 2013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Primer Trimestre</c:v>
          </c:tx>
          <c:invertIfNegative val="0"/>
          <c:cat>
            <c:strRef>
              <c:f>('I trimestre'!$B$9:$B$10,'I trimestre'!$C$10,'I trimestre'!$D$10,'I trimestre'!$E$10,'I trimestre'!$F$10,'I trimestre'!$G$10)</c:f>
              <c:strCache>
                <c:ptCount val="6"/>
                <c:pt idx="0">
                  <c:v>Total programa</c:v>
                </c:pt>
                <c:pt idx="1">
                  <c:v>Obra comunal</c:v>
                </c:pt>
                <c:pt idx="2">
                  <c:v>Empléate
PpR</c:v>
                </c:pt>
                <c:pt idx="3">
                  <c:v>Empléate
TMC</c:v>
                </c:pt>
                <c:pt idx="4">
                  <c:v>Apoyo población indígena</c:v>
                </c:pt>
                <c:pt idx="5">
                  <c:v>Proyectos de BAE</c:v>
                </c:pt>
              </c:strCache>
            </c:strRef>
          </c:cat>
          <c:val>
            <c:numRef>
              <c:f>'I trimestre'!$B$75:$F$75</c:f>
              <c:numCache>
                <c:formatCode>#,##0.00</c:formatCode>
                <c:ptCount val="5"/>
                <c:pt idx="0">
                  <c:v>882129.07894736854</c:v>
                </c:pt>
                <c:pt idx="1">
                  <c:v>463670.4119850187</c:v>
                </c:pt>
                <c:pt idx="2" formatCode="#,##0">
                  <c:v>0</c:v>
                </c:pt>
                <c:pt idx="3">
                  <c:v>897011.8495742667</c:v>
                </c:pt>
                <c:pt idx="4">
                  <c:v>465773.19587628864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37-4068-A1F5-D46F83DD0F85}"/>
            </c:ext>
          </c:extLst>
        </c:ser>
        <c:ser>
          <c:idx val="1"/>
          <c:order val="1"/>
          <c:tx>
            <c:v>Segundo Trimestre</c:v>
          </c:tx>
          <c:invertIfNegative val="0"/>
          <c:cat>
            <c:strRef>
              <c:f>('I trimestre'!$B$9:$B$10,'I trimestre'!$C$10,'I trimestre'!$D$10,'I trimestre'!$E$10,'I trimestre'!$F$10,'I trimestre'!$G$10)</c:f>
              <c:strCache>
                <c:ptCount val="6"/>
                <c:pt idx="0">
                  <c:v>Total programa</c:v>
                </c:pt>
                <c:pt idx="1">
                  <c:v>Obra comunal</c:v>
                </c:pt>
                <c:pt idx="2">
                  <c:v>Empléate
PpR</c:v>
                </c:pt>
                <c:pt idx="3">
                  <c:v>Empléate
TMC</c:v>
                </c:pt>
                <c:pt idx="4">
                  <c:v>Apoyo población indígena</c:v>
                </c:pt>
                <c:pt idx="5">
                  <c:v>Proyectos de BAE</c:v>
                </c:pt>
              </c:strCache>
            </c:strRef>
          </c:cat>
          <c:val>
            <c:numRef>
              <c:f>'II Trimestre'!$B$75:$F$75</c:f>
              <c:numCache>
                <c:formatCode>#,##0.00</c:formatCode>
                <c:ptCount val="5"/>
                <c:pt idx="0">
                  <c:v>820378.66069002985</c:v>
                </c:pt>
                <c:pt idx="1">
                  <c:v>210779.22077922075</c:v>
                </c:pt>
                <c:pt idx="2" formatCode="#,##0">
                  <c:v>0</c:v>
                </c:pt>
                <c:pt idx="3">
                  <c:v>2946819.1081330869</c:v>
                </c:pt>
                <c:pt idx="4">
                  <c:v>705000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37-4068-A1F5-D46F83DD0F85}"/>
            </c:ext>
          </c:extLst>
        </c:ser>
        <c:ser>
          <c:idx val="2"/>
          <c:order val="2"/>
          <c:tx>
            <c:v>Tercer Trimestre</c:v>
          </c:tx>
          <c:invertIfNegative val="0"/>
          <c:cat>
            <c:strRef>
              <c:f>('I trimestre'!$B$9:$B$10,'I trimestre'!$C$10,'I trimestre'!$D$10,'I trimestre'!$E$10,'I trimestre'!$F$10,'I trimestre'!$G$10)</c:f>
              <c:strCache>
                <c:ptCount val="6"/>
                <c:pt idx="0">
                  <c:v>Total programa</c:v>
                </c:pt>
                <c:pt idx="1">
                  <c:v>Obra comunal</c:v>
                </c:pt>
                <c:pt idx="2">
                  <c:v>Empléate
PpR</c:v>
                </c:pt>
                <c:pt idx="3">
                  <c:v>Empléate
TMC</c:v>
                </c:pt>
                <c:pt idx="4">
                  <c:v>Apoyo población indígena</c:v>
                </c:pt>
                <c:pt idx="5">
                  <c:v>Proyectos de BAE</c:v>
                </c:pt>
              </c:strCache>
            </c:strRef>
          </c:cat>
          <c:val>
            <c:numRef>
              <c:f>'III Trimestre'!$B$75:$F$75</c:f>
              <c:numCache>
                <c:formatCode>#,##0.00</c:formatCode>
                <c:ptCount val="5"/>
                <c:pt idx="0">
                  <c:v>638238.68537733692</c:v>
                </c:pt>
                <c:pt idx="1">
                  <c:v>705000</c:v>
                </c:pt>
                <c:pt idx="2" formatCode="#,##0">
                  <c:v>0</c:v>
                </c:pt>
                <c:pt idx="3">
                  <c:v>617002.77423312888</c:v>
                </c:pt>
                <c:pt idx="4">
                  <c:v>704860.11812247429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37-4068-A1F5-D46F83DD0F85}"/>
            </c:ext>
          </c:extLst>
        </c:ser>
        <c:ser>
          <c:idx val="3"/>
          <c:order val="3"/>
          <c:tx>
            <c:v>Cuarto Trimestre</c:v>
          </c:tx>
          <c:invertIfNegative val="0"/>
          <c:cat>
            <c:strRef>
              <c:f>('I trimestre'!$B$9:$B$10,'I trimestre'!$C$10,'I trimestre'!$D$10,'I trimestre'!$E$10,'I trimestre'!$F$10,'I trimestre'!$G$10)</c:f>
              <c:strCache>
                <c:ptCount val="6"/>
                <c:pt idx="0">
                  <c:v>Total programa</c:v>
                </c:pt>
                <c:pt idx="1">
                  <c:v>Obra comunal</c:v>
                </c:pt>
                <c:pt idx="2">
                  <c:v>Empléate
PpR</c:v>
                </c:pt>
                <c:pt idx="3">
                  <c:v>Empléate
TMC</c:v>
                </c:pt>
                <c:pt idx="4">
                  <c:v>Apoyo población indígena</c:v>
                </c:pt>
                <c:pt idx="5">
                  <c:v>Proyectos de BAE</c:v>
                </c:pt>
              </c:strCache>
            </c:strRef>
          </c:cat>
          <c:val>
            <c:numRef>
              <c:f>'IV Trimestre'!$B$75:$F$75</c:f>
              <c:numCache>
                <c:formatCode>#,##0.00</c:formatCode>
                <c:ptCount val="5"/>
                <c:pt idx="0">
                  <c:v>688713.67911219783</c:v>
                </c:pt>
                <c:pt idx="1">
                  <c:v>705000</c:v>
                </c:pt>
                <c:pt idx="2">
                  <c:v>135535.45966228892</c:v>
                </c:pt>
                <c:pt idx="3">
                  <c:v>725270.21128542512</c:v>
                </c:pt>
                <c:pt idx="4">
                  <c:v>705000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37-4068-A1F5-D46F83DD0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7757568"/>
        <c:axId val="50593792"/>
      </c:barChart>
      <c:catAx>
        <c:axId val="477575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CR"/>
            </a:pPr>
            <a:endParaRPr lang="es-CR"/>
          </a:p>
        </c:txPr>
        <c:crossAx val="50593792"/>
        <c:crosses val="autoZero"/>
        <c:auto val="1"/>
        <c:lblAlgn val="ctr"/>
        <c:lblOffset val="100"/>
        <c:noMultiLvlLbl val="0"/>
      </c:catAx>
      <c:valAx>
        <c:axId val="50593792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lang="es-CR"/>
            </a:pPr>
            <a:endParaRPr lang="es-CR"/>
          </a:p>
        </c:txPr>
        <c:crossAx val="4775756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lang="es-CR"/>
          </a:pPr>
          <a:endParaRPr lang="es-CR"/>
        </a:p>
      </c:txPr>
    </c:legend>
    <c:plotVisOnly val="1"/>
    <c:dispBlanksAs val="gap"/>
    <c:showDLblsOverMax val="0"/>
  </c:chart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s-CR"/>
              <a:t>PRONAE: Indicadores de cobertura 2024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5"/>
      <c:rotY val="0"/>
      <c:rAngAx val="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Anual!$A$48</c:f>
              <c:strCache>
                <c:ptCount val="1"/>
                <c:pt idx="0">
                  <c:v>Cobertura Programada</c:v>
                </c:pt>
              </c:strCache>
            </c:strRef>
          </c:tx>
          <c:spPr>
            <a:solidFill>
              <a:srgbClr val="192952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192952"/>
              </a:solidFill>
              <a:ln>
                <a:solidFill>
                  <a:srgbClr val="192952"/>
                </a:solidFill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5284-456C-9111-5E933F721C48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(Anual!$B$9,Anual!$C$10,Anual!$D$10,Anual!$E$10,Anual!$F$10,Anual!$G$10)</c:f>
              <c:strCache>
                <c:ptCount val="6"/>
                <c:pt idx="0">
                  <c:v>Total programa</c:v>
                </c:pt>
                <c:pt idx="1">
                  <c:v>Obra comunal</c:v>
                </c:pt>
                <c:pt idx="2">
                  <c:v>Empléate
PpR</c:v>
                </c:pt>
                <c:pt idx="3">
                  <c:v>Empléate
TMC</c:v>
                </c:pt>
                <c:pt idx="4">
                  <c:v>Apoyo población indígena</c:v>
                </c:pt>
                <c:pt idx="5">
                  <c:v>Proyectos de BAE</c:v>
                </c:pt>
              </c:strCache>
            </c:strRef>
          </c:cat>
          <c:val>
            <c:numRef>
              <c:f>(Anual!$B$48,Anual!$C$48,Anual!$D$48,Anual!$E$48,Anual!$F$48,Anual!$G$48)</c:f>
              <c:numCache>
                <c:formatCode>#,##0.00</c:formatCode>
                <c:ptCount val="6"/>
                <c:pt idx="0">
                  <c:v>11.085465828991726</c:v>
                </c:pt>
                <c:pt idx="1">
                  <c:v>2.116661635979475</c:v>
                </c:pt>
                <c:pt idx="2">
                  <c:v>0.98098400241472994</c:v>
                </c:pt>
                <c:pt idx="3">
                  <c:v>29.151943462897528</c:v>
                </c:pt>
                <c:pt idx="4">
                  <c:v>1.7318140658013885</c:v>
                </c:pt>
                <c:pt idx="5">
                  <c:v>0.59739410403461113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AA-447B-B8BC-487DB39C491E}"/>
            </c:ext>
          </c:extLst>
        </c:ser>
        <c:ser>
          <c:idx val="1"/>
          <c:order val="1"/>
          <c:tx>
            <c:strRef>
              <c:f>Anual!$A$49</c:f>
              <c:strCache>
                <c:ptCount val="1"/>
                <c:pt idx="0">
                  <c:v>Cobertura Efectiva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(Anual!$B$9,Anual!$C$10,Anual!$D$10,Anual!$E$10,Anual!$F$10,Anual!$G$10)</c:f>
              <c:strCache>
                <c:ptCount val="6"/>
                <c:pt idx="0">
                  <c:v>Total programa</c:v>
                </c:pt>
                <c:pt idx="1">
                  <c:v>Obra comunal</c:v>
                </c:pt>
                <c:pt idx="2">
                  <c:v>Empléate
PpR</c:v>
                </c:pt>
                <c:pt idx="3">
                  <c:v>Empléate
TMC</c:v>
                </c:pt>
                <c:pt idx="4">
                  <c:v>Apoyo población indígena</c:v>
                </c:pt>
                <c:pt idx="5">
                  <c:v>Proyectos de BAE</c:v>
                </c:pt>
              </c:strCache>
            </c:strRef>
          </c:cat>
          <c:val>
            <c:numRef>
              <c:f>(Anual!$B$49,Anual!$C$49,Anual!$D$49,Anual!$E$49,Anual!$F$49,Anual!$G$49)</c:f>
              <c:numCache>
                <c:formatCode>#,##0.00</c:formatCode>
                <c:ptCount val="6"/>
                <c:pt idx="0">
                  <c:v>16.767545203800182</c:v>
                </c:pt>
                <c:pt idx="1">
                  <c:v>2.1531341181205352</c:v>
                </c:pt>
                <c:pt idx="2">
                  <c:v>1.0161988127578228</c:v>
                </c:pt>
                <c:pt idx="3">
                  <c:v>48.337616447157082</c:v>
                </c:pt>
                <c:pt idx="4">
                  <c:v>3.2737196901096688</c:v>
                </c:pt>
                <c:pt idx="5">
                  <c:v>0.43641211389475804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AA-447B-B8BC-487DB39C491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shape val="box"/>
        <c:axId val="50800128"/>
        <c:axId val="50801664"/>
        <c:axId val="0"/>
      </c:bar3DChart>
      <c:catAx>
        <c:axId val="5080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50801664"/>
        <c:crosses val="autoZero"/>
        <c:auto val="1"/>
        <c:lblAlgn val="ctr"/>
        <c:lblOffset val="100"/>
        <c:noMultiLvlLbl val="0"/>
      </c:catAx>
      <c:valAx>
        <c:axId val="50801664"/>
        <c:scaling>
          <c:orientation val="minMax"/>
          <c:max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50800128"/>
        <c:crosses val="autoZero"/>
        <c:crossBetween val="between"/>
        <c:majorUnit val="20"/>
      </c:valAx>
    </c:plotArea>
    <c:legend>
      <c:legendPos val="b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s-CR"/>
              <a:t>PRONAE:  Indicadores de resultado 2024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Anual!$A$52</c:f>
              <c:strCache>
                <c:ptCount val="1"/>
                <c:pt idx="0">
                  <c:v>Índice efectividad en beneficiarios (IEB)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(Anual!$B$9,Anual!$C$10,Anual!$D$10,Anual!$E$10,Anual!$F$10,Anual!$G$10)</c:f>
              <c:strCache>
                <c:ptCount val="6"/>
                <c:pt idx="0">
                  <c:v>Total programa</c:v>
                </c:pt>
                <c:pt idx="1">
                  <c:v>Obra comunal</c:v>
                </c:pt>
                <c:pt idx="2">
                  <c:v>Empléate
PpR</c:v>
                </c:pt>
                <c:pt idx="3">
                  <c:v>Empléate
TMC</c:v>
                </c:pt>
                <c:pt idx="4">
                  <c:v>Apoyo población indígena</c:v>
                </c:pt>
                <c:pt idx="5">
                  <c:v>Proyectos de BAE</c:v>
                </c:pt>
              </c:strCache>
            </c:strRef>
          </c:cat>
          <c:val>
            <c:numRef>
              <c:f>Anual!$B$52:$G$52</c:f>
              <c:numCache>
                <c:formatCode>#,##0.00</c:formatCode>
                <c:ptCount val="6"/>
                <c:pt idx="0">
                  <c:v>151.25701943844493</c:v>
                </c:pt>
                <c:pt idx="1">
                  <c:v>101.72311348781938</c:v>
                </c:pt>
                <c:pt idx="2">
                  <c:v>103.58974358974361</c:v>
                </c:pt>
                <c:pt idx="3">
                  <c:v>165.81267217630855</c:v>
                </c:pt>
                <c:pt idx="4">
                  <c:v>189.03413217138706</c:v>
                </c:pt>
                <c:pt idx="5">
                  <c:v>73.05263157894737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D0-4E67-8EF4-FCF920418588}"/>
            </c:ext>
          </c:extLst>
        </c:ser>
        <c:ser>
          <c:idx val="1"/>
          <c:order val="1"/>
          <c:tx>
            <c:strRef>
              <c:f>Anual!$A$53</c:f>
              <c:strCache>
                <c:ptCount val="1"/>
                <c:pt idx="0">
                  <c:v>Índice efectividad en gasto (IEG) 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(Anual!$B$9,Anual!$C$10,Anual!$D$10,Anual!$E$10,Anual!$F$10,Anual!$G$10)</c:f>
              <c:strCache>
                <c:ptCount val="6"/>
                <c:pt idx="0">
                  <c:v>Total programa</c:v>
                </c:pt>
                <c:pt idx="1">
                  <c:v>Obra comunal</c:v>
                </c:pt>
                <c:pt idx="2">
                  <c:v>Empléate
PpR</c:v>
                </c:pt>
                <c:pt idx="3">
                  <c:v>Empléate
TMC</c:v>
                </c:pt>
                <c:pt idx="4">
                  <c:v>Apoyo población indígena</c:v>
                </c:pt>
                <c:pt idx="5">
                  <c:v>Proyectos de BAE</c:v>
                </c:pt>
              </c:strCache>
            </c:strRef>
          </c:cat>
          <c:val>
            <c:numRef>
              <c:f>Anual!$B$53:$G$53</c:f>
              <c:numCache>
                <c:formatCode>#,##0.00</c:formatCode>
                <c:ptCount val="6"/>
                <c:pt idx="0">
                  <c:v>101.03397020391782</c:v>
                </c:pt>
                <c:pt idx="1">
                  <c:v>94.114370338165571</c:v>
                </c:pt>
                <c:pt idx="2">
                  <c:v>307.40464934191772</c:v>
                </c:pt>
                <c:pt idx="3">
                  <c:v>100.69586288506642</c:v>
                </c:pt>
                <c:pt idx="4">
                  <c:v>101.05762312964404</c:v>
                </c:pt>
                <c:pt idx="5">
                  <c:v>95.373886851754847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D0-4E67-8EF4-FCF920418588}"/>
            </c:ext>
          </c:extLst>
        </c:ser>
        <c:ser>
          <c:idx val="2"/>
          <c:order val="2"/>
          <c:tx>
            <c:strRef>
              <c:f>Anual!$A$54</c:f>
              <c:strCache>
                <c:ptCount val="1"/>
                <c:pt idx="0">
                  <c:v>Índice efectividad total (IET)</c:v>
                </c:pt>
              </c:strCache>
            </c:strRef>
          </c:tx>
          <c:spPr>
            <a:solidFill>
              <a:srgbClr val="C1C5C8"/>
            </a:solidFill>
            <a:ln>
              <a:solidFill>
                <a:srgbClr val="C1C5C8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(Anual!$B$9,Anual!$C$10,Anual!$D$10,Anual!$E$10,Anual!$F$10,Anual!$G$10)</c:f>
              <c:strCache>
                <c:ptCount val="6"/>
                <c:pt idx="0">
                  <c:v>Total programa</c:v>
                </c:pt>
                <c:pt idx="1">
                  <c:v>Obra comunal</c:v>
                </c:pt>
                <c:pt idx="2">
                  <c:v>Empléate
PpR</c:v>
                </c:pt>
                <c:pt idx="3">
                  <c:v>Empléate
TMC</c:v>
                </c:pt>
                <c:pt idx="4">
                  <c:v>Apoyo población indígena</c:v>
                </c:pt>
                <c:pt idx="5">
                  <c:v>Proyectos de BAE</c:v>
                </c:pt>
              </c:strCache>
            </c:strRef>
          </c:cat>
          <c:val>
            <c:numRef>
              <c:f>Anual!$B$54:$G$54</c:f>
              <c:numCache>
                <c:formatCode>#,##0.00</c:formatCode>
                <c:ptCount val="6"/>
                <c:pt idx="0">
                  <c:v>126.14549482118137</c:v>
                </c:pt>
                <c:pt idx="1">
                  <c:v>97.918741912992473</c:v>
                </c:pt>
                <c:pt idx="2">
                  <c:v>205.49719646583065</c:v>
                </c:pt>
                <c:pt idx="3">
                  <c:v>133.25426753068749</c:v>
                </c:pt>
                <c:pt idx="4">
                  <c:v>145.04587765051554</c:v>
                </c:pt>
                <c:pt idx="5">
                  <c:v>84.213259215351115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1D0-4E67-8EF4-FCF92041858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shape val="box"/>
        <c:axId val="50849280"/>
        <c:axId val="50850816"/>
        <c:axId val="0"/>
      </c:bar3DChart>
      <c:catAx>
        <c:axId val="50849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50850816"/>
        <c:crosses val="autoZero"/>
        <c:auto val="1"/>
        <c:lblAlgn val="ctr"/>
        <c:lblOffset val="100"/>
        <c:noMultiLvlLbl val="0"/>
      </c:catAx>
      <c:valAx>
        <c:axId val="50850816"/>
        <c:scaling>
          <c:orientation val="minMax"/>
          <c:max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50849280"/>
        <c:crosses val="autoZero"/>
        <c:crossBetween val="between"/>
        <c:majorUnit val="100"/>
      </c:valAx>
    </c:plotArea>
    <c:legend>
      <c:legendPos val="b"/>
      <c:layout>
        <c:manualLayout>
          <c:xMode val="edge"/>
          <c:yMode val="edge"/>
          <c:x val="7.6081593063553277E-2"/>
          <c:y val="0.90394196343658673"/>
          <c:w val="0.83553777477342317"/>
          <c:h val="6.4593892226517874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800"/>
            </a:pPr>
            <a:r>
              <a:rPr lang="es-CR" sz="1800"/>
              <a:t>PRONAE: Indicadores de avance 2024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Anual!$A$57</c:f>
              <c:strCache>
                <c:ptCount val="1"/>
                <c:pt idx="0">
                  <c:v>Índice avance beneficiarios (IAB) 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(Anual!$B$9,Anual!$C$10,Anual!$D$10,Anual!$E$10,Anual!$F$10,Anual!$G$10)</c:f>
              <c:strCache>
                <c:ptCount val="6"/>
                <c:pt idx="0">
                  <c:v>Total programa</c:v>
                </c:pt>
                <c:pt idx="1">
                  <c:v>Obra comunal</c:v>
                </c:pt>
                <c:pt idx="2">
                  <c:v>Empléate
PpR</c:v>
                </c:pt>
                <c:pt idx="3">
                  <c:v>Empléate
TMC</c:v>
                </c:pt>
                <c:pt idx="4">
                  <c:v>Apoyo población indígena</c:v>
                </c:pt>
                <c:pt idx="5">
                  <c:v>Proyectos de BAE</c:v>
                </c:pt>
              </c:strCache>
            </c:strRef>
          </c:cat>
          <c:val>
            <c:numRef>
              <c:f>(Anual!$B$57,Anual!$C$57,Anual!$D$57,Anual!$E$57,Anual!$F$57,Anual!$G$57)</c:f>
              <c:numCache>
                <c:formatCode>#,##0.00</c:formatCode>
                <c:ptCount val="6"/>
                <c:pt idx="0">
                  <c:v>151.25701943844493</c:v>
                </c:pt>
                <c:pt idx="1">
                  <c:v>101.72311348781938</c:v>
                </c:pt>
                <c:pt idx="2">
                  <c:v>103.58974358974361</c:v>
                </c:pt>
                <c:pt idx="3">
                  <c:v>165.81267217630855</c:v>
                </c:pt>
                <c:pt idx="4">
                  <c:v>189.03413217138706</c:v>
                </c:pt>
                <c:pt idx="5">
                  <c:v>73.05263157894737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4D-447C-B81D-7BC4C6B3EE55}"/>
            </c:ext>
          </c:extLst>
        </c:ser>
        <c:ser>
          <c:idx val="1"/>
          <c:order val="1"/>
          <c:tx>
            <c:strRef>
              <c:f>Anual!$A$58</c:f>
              <c:strCache>
                <c:ptCount val="1"/>
                <c:pt idx="0">
                  <c:v>Índice avance gasto (IAG)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(Anual!$B$9,Anual!$C$10,Anual!$D$10,Anual!$E$10,Anual!$F$10,Anual!$G$10)</c:f>
              <c:strCache>
                <c:ptCount val="6"/>
                <c:pt idx="0">
                  <c:v>Total programa</c:v>
                </c:pt>
                <c:pt idx="1">
                  <c:v>Obra comunal</c:v>
                </c:pt>
                <c:pt idx="2">
                  <c:v>Empléate
PpR</c:v>
                </c:pt>
                <c:pt idx="3">
                  <c:v>Empléate
TMC</c:v>
                </c:pt>
                <c:pt idx="4">
                  <c:v>Apoyo población indígena</c:v>
                </c:pt>
                <c:pt idx="5">
                  <c:v>Proyectos de BAE</c:v>
                </c:pt>
              </c:strCache>
            </c:strRef>
          </c:cat>
          <c:val>
            <c:numRef>
              <c:f>(Anual!$B$58,Anual!$C$58,Anual!$D$58,Anual!$E$58,Anual!$F$58,Anual!$G$58)</c:f>
              <c:numCache>
                <c:formatCode>#,##0.00</c:formatCode>
                <c:ptCount val="6"/>
                <c:pt idx="0">
                  <c:v>101.03397020391782</c:v>
                </c:pt>
                <c:pt idx="1">
                  <c:v>94.114370338165571</c:v>
                </c:pt>
                <c:pt idx="2">
                  <c:v>307.40464934191772</c:v>
                </c:pt>
                <c:pt idx="3">
                  <c:v>100.69586288506642</c:v>
                </c:pt>
                <c:pt idx="4">
                  <c:v>101.05762312964404</c:v>
                </c:pt>
                <c:pt idx="5">
                  <c:v>95.373886851754847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4D-447C-B81D-7BC4C6B3EE55}"/>
            </c:ext>
          </c:extLst>
        </c:ser>
        <c:ser>
          <c:idx val="2"/>
          <c:order val="2"/>
          <c:tx>
            <c:strRef>
              <c:f>Anual!$A$59</c:f>
              <c:strCache>
                <c:ptCount val="1"/>
                <c:pt idx="0">
                  <c:v>Índice avance total (IAT) </c:v>
                </c:pt>
              </c:strCache>
            </c:strRef>
          </c:tx>
          <c:spPr>
            <a:solidFill>
              <a:srgbClr val="C1C5C8"/>
            </a:solidFill>
            <a:ln>
              <a:solidFill>
                <a:srgbClr val="C1C5C8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(Anual!$B$9,Anual!$C$10,Anual!$D$10,Anual!$E$10,Anual!$F$10,Anual!$G$10)</c:f>
              <c:strCache>
                <c:ptCount val="6"/>
                <c:pt idx="0">
                  <c:v>Total programa</c:v>
                </c:pt>
                <c:pt idx="1">
                  <c:v>Obra comunal</c:v>
                </c:pt>
                <c:pt idx="2">
                  <c:v>Empléate
PpR</c:v>
                </c:pt>
                <c:pt idx="3">
                  <c:v>Empléate
TMC</c:v>
                </c:pt>
                <c:pt idx="4">
                  <c:v>Apoyo población indígena</c:v>
                </c:pt>
                <c:pt idx="5">
                  <c:v>Proyectos de BAE</c:v>
                </c:pt>
              </c:strCache>
            </c:strRef>
          </c:cat>
          <c:val>
            <c:numRef>
              <c:f>(Anual!$B$59,Anual!$C$59,Anual!$D$59,Anual!$E$59,Anual!$F$59,Anual!$G$59)</c:f>
              <c:numCache>
                <c:formatCode>#,##0.00</c:formatCode>
                <c:ptCount val="6"/>
                <c:pt idx="0">
                  <c:v>126.14549482118137</c:v>
                </c:pt>
                <c:pt idx="1">
                  <c:v>97.918741912992473</c:v>
                </c:pt>
                <c:pt idx="2">
                  <c:v>205.49719646583065</c:v>
                </c:pt>
                <c:pt idx="3">
                  <c:v>133.25426753068749</c:v>
                </c:pt>
                <c:pt idx="4">
                  <c:v>145.04587765051554</c:v>
                </c:pt>
                <c:pt idx="5">
                  <c:v>84.213259215351115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4D-447C-B81D-7BC4C6B3EE5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53614080"/>
        <c:axId val="53615616"/>
        <c:axId val="0"/>
      </c:bar3DChart>
      <c:catAx>
        <c:axId val="53614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53615616"/>
        <c:crosses val="autoZero"/>
        <c:auto val="1"/>
        <c:lblAlgn val="ctr"/>
        <c:lblOffset val="100"/>
        <c:noMultiLvlLbl val="0"/>
      </c:catAx>
      <c:valAx>
        <c:axId val="53615616"/>
        <c:scaling>
          <c:orientation val="minMax"/>
          <c:max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53614080"/>
        <c:crosses val="autoZero"/>
        <c:crossBetween val="between"/>
        <c:majorUnit val="100"/>
      </c:valAx>
    </c:plotArea>
    <c:legend>
      <c:legendPos val="b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0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s-CR"/>
              <a:t>PRONAE: Indicadores de expansión 2024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4.2810042568452639E-2"/>
          <c:y val="0.13749081952907038"/>
          <c:w val="0.94376509156248622"/>
          <c:h val="0.612094782126840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Anual!$A$65</c:f>
              <c:strCache>
                <c:ptCount val="1"/>
                <c:pt idx="0">
                  <c:v>Índice de crecimiento beneficiarios (ICB) 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(Anual!$B$9,Anual!$C$10,Anual!$D$10,Anual!$E$10,Anual!$F$10,Anual!$G$10)</c:f>
              <c:strCache>
                <c:ptCount val="6"/>
                <c:pt idx="0">
                  <c:v>Total programa</c:v>
                </c:pt>
                <c:pt idx="1">
                  <c:v>Obra comunal</c:v>
                </c:pt>
                <c:pt idx="2">
                  <c:v>Empléate
PpR</c:v>
                </c:pt>
                <c:pt idx="3">
                  <c:v>Empléate
TMC</c:v>
                </c:pt>
                <c:pt idx="4">
                  <c:v>Apoyo población indígena</c:v>
                </c:pt>
                <c:pt idx="5">
                  <c:v>Proyectos de BAE</c:v>
                </c:pt>
              </c:strCache>
            </c:strRef>
          </c:cat>
          <c:val>
            <c:numRef>
              <c:f>(Anual!$B$65,Anual!$C$65,Anual!$E$65,Anual!$F$65,Anual!$G$65)</c:f>
              <c:numCache>
                <c:formatCode>#,##0.00</c:formatCode>
                <c:ptCount val="5"/>
                <c:pt idx="0">
                  <c:v>16.868032841599366</c:v>
                </c:pt>
                <c:pt idx="1">
                  <c:v>-10.178384050367262</c:v>
                </c:pt>
                <c:pt idx="2">
                  <c:v>25.657620041753649</c:v>
                </c:pt>
                <c:pt idx="3">
                  <c:v>-24.375363160952933</c:v>
                </c:pt>
                <c:pt idx="4">
                  <c:v>554.71698113207549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DA-443D-A278-5F87DEFEE98C}"/>
            </c:ext>
          </c:extLst>
        </c:ser>
        <c:ser>
          <c:idx val="1"/>
          <c:order val="1"/>
          <c:tx>
            <c:strRef>
              <c:f>Anual!$A$66</c:f>
              <c:strCache>
                <c:ptCount val="1"/>
                <c:pt idx="0">
                  <c:v>Índice de crecimiento del gasto real (ICGR) 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(Anual!$B$9,Anual!$C$10,Anual!$D$10,Anual!$E$10,Anual!$F$10,Anual!$G$10)</c:f>
              <c:strCache>
                <c:ptCount val="6"/>
                <c:pt idx="0">
                  <c:v>Total programa</c:v>
                </c:pt>
                <c:pt idx="1">
                  <c:v>Obra comunal</c:v>
                </c:pt>
                <c:pt idx="2">
                  <c:v>Empléate
PpR</c:v>
                </c:pt>
                <c:pt idx="3">
                  <c:v>Empléate
TMC</c:v>
                </c:pt>
                <c:pt idx="4">
                  <c:v>Apoyo población indígena</c:v>
                </c:pt>
                <c:pt idx="5">
                  <c:v>Proyectos de BAE</c:v>
                </c:pt>
              </c:strCache>
            </c:strRef>
          </c:cat>
          <c:val>
            <c:numRef>
              <c:f>(Anual!$B$66,Anual!$C$66,Anual!$E$66,Anual!$F$66,Anual!$G$66)</c:f>
              <c:numCache>
                <c:formatCode>#,##0.00</c:formatCode>
                <c:ptCount val="5"/>
                <c:pt idx="0">
                  <c:v>7.4200472129357875</c:v>
                </c:pt>
                <c:pt idx="1">
                  <c:v>21.077383352647438</c:v>
                </c:pt>
                <c:pt idx="2">
                  <c:v>13.618681322805193</c:v>
                </c:pt>
                <c:pt idx="3">
                  <c:v>-33.786836896132009</c:v>
                </c:pt>
                <c:pt idx="4">
                  <c:v>578.60951006085293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DA-443D-A278-5F87DEFEE98C}"/>
            </c:ext>
          </c:extLst>
        </c:ser>
        <c:ser>
          <c:idx val="2"/>
          <c:order val="2"/>
          <c:tx>
            <c:strRef>
              <c:f>Anual!$A$67</c:f>
              <c:strCache>
                <c:ptCount val="1"/>
                <c:pt idx="0">
                  <c:v>Índice de crecimiento del gasto real por beneficiario (ICGRB) </c:v>
                </c:pt>
              </c:strCache>
            </c:strRef>
          </c:tx>
          <c:spPr>
            <a:solidFill>
              <a:srgbClr val="C1C5C8"/>
            </a:solidFill>
            <a:ln>
              <a:solidFill>
                <a:srgbClr val="C1C5C8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(Anual!$B$9,Anual!$C$10,Anual!$D$10,Anual!$E$10,Anual!$F$10,Anual!$G$10)</c:f>
              <c:strCache>
                <c:ptCount val="6"/>
                <c:pt idx="0">
                  <c:v>Total programa</c:v>
                </c:pt>
                <c:pt idx="1">
                  <c:v>Obra comunal</c:v>
                </c:pt>
                <c:pt idx="2">
                  <c:v>Empléate
PpR</c:v>
                </c:pt>
                <c:pt idx="3">
                  <c:v>Empléate
TMC</c:v>
                </c:pt>
                <c:pt idx="4">
                  <c:v>Apoyo población indígena</c:v>
                </c:pt>
                <c:pt idx="5">
                  <c:v>Proyectos de BAE</c:v>
                </c:pt>
              </c:strCache>
            </c:strRef>
          </c:cat>
          <c:val>
            <c:numRef>
              <c:f>(Anual!$B$67,Anual!$C$67,Anual!$E$67,Anual!$F$67,Anual!$G$67)</c:f>
              <c:numCache>
                <c:formatCode>#,##0.00</c:formatCode>
                <c:ptCount val="5"/>
                <c:pt idx="0">
                  <c:v>-8.0843198939347101</c:v>
                </c:pt>
                <c:pt idx="1">
                  <c:v>34.797600858730164</c:v>
                </c:pt>
                <c:pt idx="2">
                  <c:v>-9.5807470449847507</c:v>
                </c:pt>
                <c:pt idx="3">
                  <c:v>-12.444983709752755</c:v>
                </c:pt>
                <c:pt idx="4">
                  <c:v>3.6492911620322754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DA-443D-A278-5F87DEFEE98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shape val="box"/>
        <c:axId val="53766784"/>
        <c:axId val="53780864"/>
        <c:axId val="0"/>
      </c:bar3DChart>
      <c:catAx>
        <c:axId val="53766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53780864"/>
        <c:crosses val="autoZero"/>
        <c:auto val="1"/>
        <c:lblAlgn val="ctr"/>
        <c:lblOffset val="100"/>
        <c:noMultiLvlLbl val="0"/>
      </c:catAx>
      <c:valAx>
        <c:axId val="53780864"/>
        <c:scaling>
          <c:orientation val="minMax"/>
          <c:max val="800"/>
          <c:min val="-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53766784"/>
        <c:crosses val="autoZero"/>
        <c:crossBetween val="between"/>
        <c:majorUnit val="200"/>
      </c:valAx>
    </c:plotArea>
    <c:legend>
      <c:legendPos val="b"/>
      <c:layout>
        <c:manualLayout>
          <c:xMode val="edge"/>
          <c:yMode val="edge"/>
          <c:x val="9.2414618312351322E-3"/>
          <c:y val="0.87702757917627627"/>
          <c:w val="0.99075850929010356"/>
          <c:h val="0.10752866844596067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sz="900"/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s-CR"/>
              <a:t>PRONAE: Indicadores de gasto medio 2024</a:t>
            </a:r>
          </a:p>
        </c:rich>
      </c:tx>
      <c:layout>
        <c:manualLayout>
          <c:xMode val="edge"/>
          <c:yMode val="edge"/>
          <c:x val="0.24713570922005512"/>
          <c:y val="1.875339628436646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5"/>
      <c:rotY val="0"/>
      <c:rAngAx val="0"/>
      <c:perspective val="1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Anual!$A$74</c:f>
              <c:strCache>
                <c:ptCount val="1"/>
                <c:pt idx="0">
                  <c:v>Gasto programado anual por beneficiario (GPB) 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(Anual!$B$9,Anual!$C$10,Anual!$D$10,Anual!$E$10,Anual!$F$10,Anual!$G$10)</c:f>
              <c:strCache>
                <c:ptCount val="6"/>
                <c:pt idx="0">
                  <c:v>Total programa</c:v>
                </c:pt>
                <c:pt idx="1">
                  <c:v>Obra comunal</c:v>
                </c:pt>
                <c:pt idx="2">
                  <c:v>Empléate
PpR</c:v>
                </c:pt>
                <c:pt idx="3">
                  <c:v>Empléate
TMC</c:v>
                </c:pt>
                <c:pt idx="4">
                  <c:v>Apoyo población indígena</c:v>
                </c:pt>
                <c:pt idx="5">
                  <c:v>Proyectos de BAE</c:v>
                </c:pt>
              </c:strCache>
            </c:strRef>
          </c:cat>
          <c:val>
            <c:numRef>
              <c:f>(Anual!$B$74,Anual!$C$74,Anual!$D$74,Anual!$E$74,Anual!$F$74,Anual!$G$74)</c:f>
              <c:numCache>
                <c:formatCode>#,##0.00</c:formatCode>
                <c:ptCount val="6"/>
                <c:pt idx="0">
                  <c:v>3316454.9595939238</c:v>
                </c:pt>
                <c:pt idx="1">
                  <c:v>2114353.6546441112</c:v>
                </c:pt>
                <c:pt idx="2">
                  <c:v>90385</c:v>
                </c:pt>
                <c:pt idx="3">
                  <c:v>3564000</c:v>
                </c:pt>
                <c:pt idx="4">
                  <c:v>2582743.1267952402</c:v>
                </c:pt>
                <c:pt idx="5">
                  <c:v>920000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CA-4741-BB6E-194851A0A14B}"/>
            </c:ext>
          </c:extLst>
        </c:ser>
        <c:ser>
          <c:idx val="1"/>
          <c:order val="1"/>
          <c:tx>
            <c:strRef>
              <c:f>Anual!$A$75</c:f>
              <c:strCache>
                <c:ptCount val="1"/>
                <c:pt idx="0">
                  <c:v>Gasto efectivo anual por beneficiario (GEB) 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(Anual!$B$9,Anual!$C$10,Anual!$D$10,Anual!$E$10,Anual!$F$10,Anual!$G$10)</c:f>
              <c:strCache>
                <c:ptCount val="6"/>
                <c:pt idx="0">
                  <c:v>Total programa</c:v>
                </c:pt>
                <c:pt idx="1">
                  <c:v>Obra comunal</c:v>
                </c:pt>
                <c:pt idx="2">
                  <c:v>Empléate
PpR</c:v>
                </c:pt>
                <c:pt idx="3">
                  <c:v>Empléate
TMC</c:v>
                </c:pt>
                <c:pt idx="4">
                  <c:v>Apoyo población indígena</c:v>
                </c:pt>
                <c:pt idx="5">
                  <c:v>Proyectos de BAE</c:v>
                </c:pt>
              </c:strCache>
            </c:strRef>
          </c:cat>
          <c:val>
            <c:numRef>
              <c:f>(Anual!$B$75,Anual!$C$75,Anual!$D$75,Anual!$E$75,Anual!$F$75,Anual!$G$75)</c:f>
              <c:numCache>
                <c:formatCode>#,##0.00</c:formatCode>
                <c:ptCount val="6"/>
                <c:pt idx="0">
                  <c:v>2888408.1489906171</c:v>
                </c:pt>
                <c:pt idx="1">
                  <c:v>1136314.5903581518</c:v>
                </c:pt>
                <c:pt idx="2">
                  <c:v>135535.45966228892</c:v>
                </c:pt>
                <c:pt idx="3">
                  <c:v>3321874.6929413965</c:v>
                </c:pt>
                <c:pt idx="4">
                  <c:v>2583555.375033848</c:v>
                </c:pt>
                <c:pt idx="5">
                  <c:v>939709.67741935479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CA-4741-BB6E-194851A0A1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3707904"/>
        <c:axId val="53709440"/>
        <c:axId val="0"/>
      </c:bar3DChart>
      <c:catAx>
        <c:axId val="53707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es-CR"/>
          </a:p>
        </c:txPr>
        <c:crossAx val="53709440"/>
        <c:crosses val="autoZero"/>
        <c:auto val="1"/>
        <c:lblAlgn val="ctr"/>
        <c:lblOffset val="100"/>
        <c:noMultiLvlLbl val="0"/>
      </c:catAx>
      <c:valAx>
        <c:axId val="53709440"/>
        <c:scaling>
          <c:orientation val="minMax"/>
          <c:max val="4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53707904"/>
        <c:crosses val="autoZero"/>
        <c:crossBetween val="between"/>
        <c:majorUnit val="1000000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/>
              <a:t>PRONAE: Índice de eficiencia (IE) 2024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Anual!$A$73</c:f>
              <c:strCache>
                <c:ptCount val="1"/>
                <c:pt idx="0">
                  <c:v>Índice de eficiencia (IE) 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(Anual!$B$9,Anual!$C$10,Anual!$D$10,Anual!$E$10,Anual!$F$10,Anual!$G$10)</c:f>
              <c:strCache>
                <c:ptCount val="6"/>
                <c:pt idx="0">
                  <c:v>Total programa</c:v>
                </c:pt>
                <c:pt idx="1">
                  <c:v>Obra comunal</c:v>
                </c:pt>
                <c:pt idx="2">
                  <c:v>Empléate
PpR</c:v>
                </c:pt>
                <c:pt idx="3">
                  <c:v>Empléate
TMC</c:v>
                </c:pt>
                <c:pt idx="4">
                  <c:v>Apoyo población indígena</c:v>
                </c:pt>
                <c:pt idx="5">
                  <c:v>Proyectos de BAE</c:v>
                </c:pt>
              </c:strCache>
            </c:strRef>
          </c:cat>
          <c:val>
            <c:numRef>
              <c:f>(Anual!$B$73,Anual!$C$73,Anual!$D$73,Anual!$E$73,Anual!$F$73,Anual!$G$73)</c:f>
              <c:numCache>
                <c:formatCode>#,##0.00</c:formatCode>
                <c:ptCount val="6"/>
                <c:pt idx="0">
                  <c:v>109.86420127489602</c:v>
                </c:pt>
                <c:pt idx="1">
                  <c:v>52.624353953679552</c:v>
                </c:pt>
                <c:pt idx="2">
                  <c:v>308.15021278207723</c:v>
                </c:pt>
                <c:pt idx="3">
                  <c:v>124.20145315281516</c:v>
                </c:pt>
                <c:pt idx="4">
                  <c:v>145.09149320454281</c:v>
                </c:pt>
                <c:pt idx="5">
                  <c:v>86.017407230097945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06-441B-94CE-786DCC85269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shape val="box"/>
        <c:axId val="53812224"/>
        <c:axId val="53814016"/>
        <c:axId val="0"/>
      </c:bar3DChart>
      <c:catAx>
        <c:axId val="53812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53814016"/>
        <c:crosses val="autoZero"/>
        <c:auto val="1"/>
        <c:lblAlgn val="ctr"/>
        <c:lblOffset val="100"/>
        <c:noMultiLvlLbl val="0"/>
      </c:catAx>
      <c:valAx>
        <c:axId val="53814016"/>
        <c:scaling>
          <c:orientation val="minMax"/>
          <c:max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ln>
            <a:noFill/>
          </a:ln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53812224"/>
        <c:crosses val="autoZero"/>
        <c:crossBetween val="between"/>
        <c:majorUnit val="100"/>
      </c:valAx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800" b="1" i="0" u="none" strike="noStrike" kern="1200" spc="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r>
              <a:rPr lang="es-CR" sz="1800" b="1"/>
              <a:t>PRONAE: Indicadores de giro de recursos 2024</a:t>
            </a:r>
          </a:p>
        </c:rich>
      </c:tx>
      <c:layout>
        <c:manualLayout>
          <c:xMode val="edge"/>
          <c:yMode val="edge"/>
          <c:x val="0.21951189453073991"/>
          <c:y val="3.36427816907238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800" b="1" i="0" u="none" strike="noStrike" kern="1200" spc="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title>
    <c:autoTitleDeleted val="0"/>
    <c:plotArea>
      <c:layout>
        <c:manualLayout>
          <c:layoutTarget val="inner"/>
          <c:xMode val="edge"/>
          <c:yMode val="edge"/>
          <c:x val="0.17794152834798377"/>
          <c:y val="0.1555339610916629"/>
          <c:w val="0.77747588343450114"/>
          <c:h val="0.6017089343627355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Anual!$A$78</c:f>
              <c:strCache>
                <c:ptCount val="1"/>
                <c:pt idx="0">
                  <c:v>Índice de giro efectivo (IGE)</c:v>
                </c:pt>
              </c:strCache>
            </c:strRef>
          </c:tx>
          <c:spPr>
            <a:solidFill>
              <a:srgbClr val="0035A0"/>
            </a:solidFill>
            <a:ln w="19050">
              <a:solidFill>
                <a:srgbClr val="0035A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35A0"/>
              </a:solidFill>
              <a:ln w="19050">
                <a:solidFill>
                  <a:srgbClr val="0035A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CC7D-45CD-B5F6-8D7E623C744F}"/>
              </c:ext>
            </c:extLst>
          </c:dPt>
          <c:dPt>
            <c:idx val="1"/>
            <c:invertIfNegative val="0"/>
            <c:bubble3D val="0"/>
            <c:spPr>
              <a:solidFill>
                <a:srgbClr val="0035A0"/>
              </a:solidFill>
              <a:ln w="19050">
                <a:solidFill>
                  <a:srgbClr val="0035A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CB5E-4DDA-AEB0-77FB3DDBB3A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Anual!$B$9</c:f>
              <c:strCache>
                <c:ptCount val="1"/>
                <c:pt idx="0">
                  <c:v>Total programa</c:v>
                </c:pt>
              </c:strCache>
            </c:strRef>
          </c:cat>
          <c:val>
            <c:numRef>
              <c:f>Anual!$B$78</c:f>
              <c:numCache>
                <c:formatCode>#,##0.00</c:formatCode>
                <c:ptCount val="1"/>
                <c:pt idx="0">
                  <c:v>100.00702191307988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5E-4DDA-AEB0-77FB3DDBB3A5}"/>
            </c:ext>
          </c:extLst>
        </c:ser>
        <c:ser>
          <c:idx val="1"/>
          <c:order val="1"/>
          <c:tx>
            <c:strRef>
              <c:f>Anual!$A$79</c:f>
              <c:strCache>
                <c:ptCount val="1"/>
                <c:pt idx="0">
                  <c:v>Índice de uso de recursos (IUR) </c:v>
                </c:pt>
              </c:strCache>
            </c:strRef>
          </c:tx>
          <c:spPr>
            <a:solidFill>
              <a:srgbClr val="192952"/>
            </a:solidFill>
            <a:ln w="19050">
              <a:solidFill>
                <a:srgbClr val="19295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Anual!$B$9</c:f>
              <c:strCache>
                <c:ptCount val="1"/>
                <c:pt idx="0">
                  <c:v>Total programa</c:v>
                </c:pt>
              </c:strCache>
            </c:strRef>
          </c:cat>
          <c:val>
            <c:numRef>
              <c:f>Anual!$B$79</c:f>
              <c:numCache>
                <c:formatCode>#,##0.00</c:formatCode>
                <c:ptCount val="1"/>
                <c:pt idx="0">
                  <c:v>101.02687618448482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979-4C3C-8E45-3066F195657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623248728"/>
        <c:axId val="623246432"/>
      </c:barChart>
      <c:valAx>
        <c:axId val="623246432"/>
        <c:scaling>
          <c:orientation val="minMax"/>
          <c:max val="12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623248728"/>
        <c:crosses val="autoZero"/>
        <c:crossBetween val="between"/>
        <c:majorUnit val="30"/>
      </c:valAx>
      <c:catAx>
        <c:axId val="6232487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6232464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Relationship Id="rId9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126546</xdr:colOff>
      <xdr:row>149</xdr:row>
      <xdr:rowOff>84364</xdr:rowOff>
    </xdr:from>
    <xdr:to>
      <xdr:col>20</xdr:col>
      <xdr:colOff>122464</xdr:colOff>
      <xdr:row>163</xdr:row>
      <xdr:rowOff>160564</xdr:rowOff>
    </xdr:to>
    <xdr:graphicFrame macro="">
      <xdr:nvGraphicFramePr>
        <xdr:cNvPr id="17" name="16 Gráfic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190500</xdr:colOff>
      <xdr:row>165</xdr:row>
      <xdr:rowOff>95248</xdr:rowOff>
    </xdr:from>
    <xdr:to>
      <xdr:col>20</xdr:col>
      <xdr:colOff>190500</xdr:colOff>
      <xdr:row>179</xdr:row>
      <xdr:rowOff>176890</xdr:rowOff>
    </xdr:to>
    <xdr:graphicFrame macro="">
      <xdr:nvGraphicFramePr>
        <xdr:cNvPr id="18" name="17 Gráfic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7</xdr:col>
      <xdr:colOff>0</xdr:colOff>
      <xdr:row>5</xdr:row>
      <xdr:rowOff>178592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3F4121CC-DD6D-4669-A87A-40CC1266E61D}"/>
            </a:ext>
          </a:extLst>
        </xdr:cNvPr>
        <xdr:cNvSpPr/>
      </xdr:nvSpPr>
      <xdr:spPr>
        <a:xfrm>
          <a:off x="0" y="0"/>
          <a:ext cx="12334875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214068</xdr:colOff>
      <xdr:row>0</xdr:row>
      <xdr:rowOff>130969</xdr:rowOff>
    </xdr:from>
    <xdr:to>
      <xdr:col>0</xdr:col>
      <xdr:colOff>3512343</xdr:colOff>
      <xdr:row>5</xdr:row>
      <xdr:rowOff>107156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3F7DBBCA-456F-4BDF-A648-5BD5CEE17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4068" y="130969"/>
          <a:ext cx="3298275" cy="928687"/>
        </a:xfrm>
        <a:prstGeom prst="rect">
          <a:avLst/>
        </a:prstGeom>
      </xdr:spPr>
    </xdr:pic>
    <xdr:clientData/>
  </xdr:twoCellAnchor>
  <xdr:twoCellAnchor editAs="oneCell">
    <xdr:from>
      <xdr:col>0</xdr:col>
      <xdr:colOff>3476623</xdr:colOff>
      <xdr:row>1</xdr:row>
      <xdr:rowOff>11907</xdr:rowOff>
    </xdr:from>
    <xdr:to>
      <xdr:col>2</xdr:col>
      <xdr:colOff>354805</xdr:colOff>
      <xdr:row>5</xdr:row>
      <xdr:rowOff>35719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51055AA5-750B-4D41-A08C-F11309DEA9D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63388" r="1826" b="1724"/>
        <a:stretch/>
      </xdr:blipFill>
      <xdr:spPr>
        <a:xfrm>
          <a:off x="3476623" y="202407"/>
          <a:ext cx="2307432" cy="78581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1</xdr:rowOff>
    </xdr:from>
    <xdr:to>
      <xdr:col>7</xdr:col>
      <xdr:colOff>0</xdr:colOff>
      <xdr:row>8</xdr:row>
      <xdr:rowOff>13608</xdr:rowOff>
    </xdr:to>
    <xdr:sp macro="" textlink="">
      <xdr:nvSpPr>
        <xdr:cNvPr id="12" name="Rectángulo 11">
          <a:extLst>
            <a:ext uri="{FF2B5EF4-FFF2-40B4-BE49-F238E27FC236}">
              <a16:creationId xmlns:a16="http://schemas.microsoft.com/office/drawing/2014/main" id="{0BD5C333-6BA9-49C2-8512-9A9B5B4A0D70}"/>
            </a:ext>
          </a:extLst>
        </xdr:cNvPr>
        <xdr:cNvSpPr/>
      </xdr:nvSpPr>
      <xdr:spPr>
        <a:xfrm>
          <a:off x="0" y="1143001"/>
          <a:ext cx="12334875" cy="423182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714375</xdr:colOff>
      <xdr:row>6</xdr:row>
      <xdr:rowOff>59532</xdr:rowOff>
    </xdr:from>
    <xdr:to>
      <xdr:col>6</xdr:col>
      <xdr:colOff>226218</xdr:colOff>
      <xdr:row>7</xdr:row>
      <xdr:rowOff>166687</xdr:rowOff>
    </xdr:to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id="{7D28E8C5-43DB-44D4-BA8A-B949BA69C87D}"/>
            </a:ext>
          </a:extLst>
        </xdr:cNvPr>
        <xdr:cNvSpPr txBox="1"/>
      </xdr:nvSpPr>
      <xdr:spPr>
        <a:xfrm>
          <a:off x="714375" y="1202532"/>
          <a:ext cx="10465593" cy="29765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Palatino Linotype" panose="02040502050505030304" pitchFamily="18" charset="0"/>
              <a:ea typeface="+mn-ea"/>
              <a:cs typeface="+mn-cs"/>
            </a:rPr>
            <a:t>                     Ministerio de Trabajo y Seguridad Social             Programa  Nacional de Empleo </a:t>
          </a:r>
          <a:r>
            <a:rPr kumimoji="0" lang="es-CR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alatino Linotype" panose="02040502050505030304" pitchFamily="18" charset="0"/>
              <a:ea typeface="+mn-ea"/>
              <a:cs typeface="+mn-cs"/>
            </a:rPr>
            <a:t>            </a:t>
          </a:r>
          <a:r>
            <a:rPr kumimoji="0" lang="es-C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Palatino Linotype" panose="02040502050505030304" pitchFamily="18" charset="0"/>
              <a:ea typeface="+mn-ea"/>
              <a:cs typeface="+mn-cs"/>
            </a:rPr>
            <a:t>Período:  I Trimestre 2024</a:t>
          </a:r>
          <a:r>
            <a:rPr kumimoji="0" lang="es-CR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alatino Linotype" panose="02040502050505030304" pitchFamily="18" charset="0"/>
              <a:ea typeface="+mn-ea"/>
              <a:cs typeface="+mn-cs"/>
            </a:rPr>
            <a:t>           </a:t>
          </a:r>
          <a:r>
            <a:rPr kumimoji="0" lang="es-C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Palatino Linotype" panose="02040502050505030304" pitchFamily="18" charset="0"/>
              <a:ea typeface="+mn-ea"/>
              <a:cs typeface="+mn-cs"/>
            </a:rPr>
            <a:t>Fecha Actualización: 09-05-2024</a:t>
          </a:r>
          <a:endParaRPr kumimoji="0" lang="es-CR" sz="18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Palatino Linotype" panose="02040502050505030304" pitchFamily="18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CR" sz="18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CR" sz="11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CR" sz="18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CR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0</xdr:colOff>
      <xdr:row>5</xdr:row>
      <xdr:rowOff>178592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0A0D23C6-7F43-4B1B-A1C2-D84D51B782A2}"/>
            </a:ext>
          </a:extLst>
        </xdr:cNvPr>
        <xdr:cNvSpPr/>
      </xdr:nvSpPr>
      <xdr:spPr>
        <a:xfrm>
          <a:off x="0" y="0"/>
          <a:ext cx="12334875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214068</xdr:colOff>
      <xdr:row>0</xdr:row>
      <xdr:rowOff>130969</xdr:rowOff>
    </xdr:from>
    <xdr:to>
      <xdr:col>0</xdr:col>
      <xdr:colOff>3512343</xdr:colOff>
      <xdr:row>5</xdr:row>
      <xdr:rowOff>107156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D6BE616-ED30-4712-9EA4-A96ACBE8B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4068" y="130969"/>
          <a:ext cx="3298275" cy="928687"/>
        </a:xfrm>
        <a:prstGeom prst="rect">
          <a:avLst/>
        </a:prstGeom>
      </xdr:spPr>
    </xdr:pic>
    <xdr:clientData/>
  </xdr:twoCellAnchor>
  <xdr:twoCellAnchor editAs="oneCell">
    <xdr:from>
      <xdr:col>0</xdr:col>
      <xdr:colOff>3476623</xdr:colOff>
      <xdr:row>1</xdr:row>
      <xdr:rowOff>11907</xdr:rowOff>
    </xdr:from>
    <xdr:to>
      <xdr:col>2</xdr:col>
      <xdr:colOff>354805</xdr:colOff>
      <xdr:row>5</xdr:row>
      <xdr:rowOff>35719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EC4EE479-8CA8-4626-B06F-CD06C3D932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476623" y="202407"/>
          <a:ext cx="2307432" cy="78581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1</xdr:rowOff>
    </xdr:from>
    <xdr:to>
      <xdr:col>7</xdr:col>
      <xdr:colOff>0</xdr:colOff>
      <xdr:row>8</xdr:row>
      <xdr:rowOff>13608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21C2994C-41EA-4296-98D0-6107483668BF}"/>
            </a:ext>
          </a:extLst>
        </xdr:cNvPr>
        <xdr:cNvSpPr/>
      </xdr:nvSpPr>
      <xdr:spPr>
        <a:xfrm>
          <a:off x="0" y="1143001"/>
          <a:ext cx="12334875" cy="423182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357187</xdr:colOff>
      <xdr:row>6</xdr:row>
      <xdr:rowOff>59531</xdr:rowOff>
    </xdr:from>
    <xdr:to>
      <xdr:col>6</xdr:col>
      <xdr:colOff>690562</xdr:colOff>
      <xdr:row>7</xdr:row>
      <xdr:rowOff>166686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1ACFC03E-1700-4D29-A551-40F3E76AE8FF}"/>
            </a:ext>
          </a:extLst>
        </xdr:cNvPr>
        <xdr:cNvSpPr txBox="1"/>
      </xdr:nvSpPr>
      <xdr:spPr>
        <a:xfrm>
          <a:off x="357187" y="1202531"/>
          <a:ext cx="11287125" cy="29765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Palatino Linotype" panose="02040502050505030304" pitchFamily="18" charset="0"/>
              <a:ea typeface="+mn-ea"/>
              <a:cs typeface="+mn-cs"/>
            </a:rPr>
            <a:t>                     Ministerio de Trabajo y Seguridad Social             Programa  Nacional de Empleo </a:t>
          </a:r>
          <a:r>
            <a:rPr kumimoji="0" lang="es-CR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alatino Linotype" panose="02040502050505030304" pitchFamily="18" charset="0"/>
              <a:ea typeface="+mn-ea"/>
              <a:cs typeface="+mn-cs"/>
            </a:rPr>
            <a:t>            </a:t>
          </a:r>
          <a:r>
            <a:rPr kumimoji="0" lang="es-C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Palatino Linotype" panose="02040502050505030304" pitchFamily="18" charset="0"/>
              <a:ea typeface="+mn-ea"/>
              <a:cs typeface="+mn-cs"/>
            </a:rPr>
            <a:t>Período:  II Trimestre 2024</a:t>
          </a:r>
          <a:r>
            <a:rPr kumimoji="0" lang="es-CR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alatino Linotype" panose="02040502050505030304" pitchFamily="18" charset="0"/>
              <a:ea typeface="+mn-ea"/>
              <a:cs typeface="+mn-cs"/>
            </a:rPr>
            <a:t>           </a:t>
          </a:r>
          <a:r>
            <a:rPr kumimoji="0" lang="es-C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Palatino Linotype" panose="02040502050505030304" pitchFamily="18" charset="0"/>
              <a:ea typeface="+mn-ea"/>
              <a:cs typeface="+mn-cs"/>
            </a:rPr>
            <a:t>Fecha Actualización: 26-08-2024</a:t>
          </a:r>
          <a:endParaRPr kumimoji="0" lang="es-CR" sz="18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Palatino Linotype" panose="02040502050505030304" pitchFamily="18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CR" sz="18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CR" sz="11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CR" sz="18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CR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0</xdr:colOff>
      <xdr:row>5</xdr:row>
      <xdr:rowOff>178592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FCD49B71-7D6A-4B3A-9E61-35851E0A3CDA}"/>
            </a:ext>
          </a:extLst>
        </xdr:cNvPr>
        <xdr:cNvSpPr/>
      </xdr:nvSpPr>
      <xdr:spPr>
        <a:xfrm>
          <a:off x="0" y="0"/>
          <a:ext cx="12334875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214068</xdr:colOff>
      <xdr:row>0</xdr:row>
      <xdr:rowOff>130969</xdr:rowOff>
    </xdr:from>
    <xdr:to>
      <xdr:col>0</xdr:col>
      <xdr:colOff>3512343</xdr:colOff>
      <xdr:row>5</xdr:row>
      <xdr:rowOff>107156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E4530A06-7C89-4718-8D2C-42ED543B25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4068" y="130969"/>
          <a:ext cx="3298275" cy="928687"/>
        </a:xfrm>
        <a:prstGeom prst="rect">
          <a:avLst/>
        </a:prstGeom>
      </xdr:spPr>
    </xdr:pic>
    <xdr:clientData/>
  </xdr:twoCellAnchor>
  <xdr:twoCellAnchor editAs="oneCell">
    <xdr:from>
      <xdr:col>0</xdr:col>
      <xdr:colOff>3476623</xdr:colOff>
      <xdr:row>1</xdr:row>
      <xdr:rowOff>11907</xdr:rowOff>
    </xdr:from>
    <xdr:to>
      <xdr:col>2</xdr:col>
      <xdr:colOff>354805</xdr:colOff>
      <xdr:row>5</xdr:row>
      <xdr:rowOff>35719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29306611-3FF7-4855-B078-3E14CE0D6E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476623" y="202407"/>
          <a:ext cx="2307432" cy="78581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1</xdr:rowOff>
    </xdr:from>
    <xdr:to>
      <xdr:col>7</xdr:col>
      <xdr:colOff>0</xdr:colOff>
      <xdr:row>8</xdr:row>
      <xdr:rowOff>13608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833E4970-12A7-4143-8575-2BA0A0DD478C}"/>
            </a:ext>
          </a:extLst>
        </xdr:cNvPr>
        <xdr:cNvSpPr/>
      </xdr:nvSpPr>
      <xdr:spPr>
        <a:xfrm>
          <a:off x="0" y="1143001"/>
          <a:ext cx="12334875" cy="423182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309562</xdr:colOff>
      <xdr:row>6</xdr:row>
      <xdr:rowOff>59531</xdr:rowOff>
    </xdr:from>
    <xdr:to>
      <xdr:col>6</xdr:col>
      <xdr:colOff>642937</xdr:colOff>
      <xdr:row>7</xdr:row>
      <xdr:rowOff>166686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78F4BEA8-4F2F-451B-889C-9BA6057FA438}"/>
            </a:ext>
          </a:extLst>
        </xdr:cNvPr>
        <xdr:cNvSpPr txBox="1"/>
      </xdr:nvSpPr>
      <xdr:spPr>
        <a:xfrm>
          <a:off x="309562" y="1202531"/>
          <a:ext cx="11287125" cy="29765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Palatino Linotype" panose="02040502050505030304" pitchFamily="18" charset="0"/>
              <a:ea typeface="+mn-ea"/>
              <a:cs typeface="+mn-cs"/>
            </a:rPr>
            <a:t>                     Ministerio de Trabajo y Seguridad Social             Programa  Nacional de Empleo </a:t>
          </a:r>
          <a:r>
            <a:rPr kumimoji="0" lang="es-CR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alatino Linotype" panose="02040502050505030304" pitchFamily="18" charset="0"/>
              <a:ea typeface="+mn-ea"/>
              <a:cs typeface="+mn-cs"/>
            </a:rPr>
            <a:t>            </a:t>
          </a:r>
          <a:r>
            <a:rPr kumimoji="0" lang="es-C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Palatino Linotype" panose="02040502050505030304" pitchFamily="18" charset="0"/>
              <a:ea typeface="+mn-ea"/>
              <a:cs typeface="+mn-cs"/>
            </a:rPr>
            <a:t>Período:  I Semestre 2024</a:t>
          </a:r>
          <a:r>
            <a:rPr kumimoji="0" lang="es-CR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alatino Linotype" panose="02040502050505030304" pitchFamily="18" charset="0"/>
              <a:ea typeface="+mn-ea"/>
              <a:cs typeface="+mn-cs"/>
            </a:rPr>
            <a:t>           </a:t>
          </a:r>
          <a:r>
            <a:rPr kumimoji="0" lang="es-C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Palatino Linotype" panose="02040502050505030304" pitchFamily="18" charset="0"/>
              <a:ea typeface="+mn-ea"/>
              <a:cs typeface="+mn-cs"/>
            </a:rPr>
            <a:t>Fecha Actualización: 26-08-2024</a:t>
          </a:r>
          <a:endParaRPr kumimoji="0" lang="es-CR" sz="18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Palatino Linotype" panose="02040502050505030304" pitchFamily="18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CR" sz="18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CR" sz="11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CR" sz="18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CR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0</xdr:colOff>
      <xdr:row>5</xdr:row>
      <xdr:rowOff>178592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64FE3357-7A16-42F1-B1D6-B29FCA56DF5A}"/>
            </a:ext>
          </a:extLst>
        </xdr:cNvPr>
        <xdr:cNvSpPr/>
      </xdr:nvSpPr>
      <xdr:spPr>
        <a:xfrm>
          <a:off x="0" y="0"/>
          <a:ext cx="12334875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214068</xdr:colOff>
      <xdr:row>0</xdr:row>
      <xdr:rowOff>130969</xdr:rowOff>
    </xdr:from>
    <xdr:to>
      <xdr:col>0</xdr:col>
      <xdr:colOff>3512343</xdr:colOff>
      <xdr:row>5</xdr:row>
      <xdr:rowOff>107156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FBDA04A1-2716-4917-882D-48EB64CFA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4068" y="130969"/>
          <a:ext cx="3298275" cy="928687"/>
        </a:xfrm>
        <a:prstGeom prst="rect">
          <a:avLst/>
        </a:prstGeom>
      </xdr:spPr>
    </xdr:pic>
    <xdr:clientData/>
  </xdr:twoCellAnchor>
  <xdr:twoCellAnchor editAs="oneCell">
    <xdr:from>
      <xdr:col>0</xdr:col>
      <xdr:colOff>3476623</xdr:colOff>
      <xdr:row>1</xdr:row>
      <xdr:rowOff>11907</xdr:rowOff>
    </xdr:from>
    <xdr:to>
      <xdr:col>2</xdr:col>
      <xdr:colOff>354805</xdr:colOff>
      <xdr:row>5</xdr:row>
      <xdr:rowOff>35719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DC482C10-FA62-4069-A68D-28C252E670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476623" y="202407"/>
          <a:ext cx="2307432" cy="78581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1</xdr:rowOff>
    </xdr:from>
    <xdr:to>
      <xdr:col>7</xdr:col>
      <xdr:colOff>0</xdr:colOff>
      <xdr:row>8</xdr:row>
      <xdr:rowOff>13608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15883B0E-DA90-4D28-9493-C37C6B6FE1A9}"/>
            </a:ext>
          </a:extLst>
        </xdr:cNvPr>
        <xdr:cNvSpPr/>
      </xdr:nvSpPr>
      <xdr:spPr>
        <a:xfrm>
          <a:off x="0" y="1143001"/>
          <a:ext cx="12334875" cy="423182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345281</xdr:colOff>
      <xdr:row>6</xdr:row>
      <xdr:rowOff>59531</xdr:rowOff>
    </xdr:from>
    <xdr:to>
      <xdr:col>6</xdr:col>
      <xdr:colOff>678656</xdr:colOff>
      <xdr:row>7</xdr:row>
      <xdr:rowOff>166686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DCB13ED8-9808-4BFE-8997-7BC09EE6C6A5}"/>
            </a:ext>
          </a:extLst>
        </xdr:cNvPr>
        <xdr:cNvSpPr txBox="1"/>
      </xdr:nvSpPr>
      <xdr:spPr>
        <a:xfrm>
          <a:off x="345281" y="1202531"/>
          <a:ext cx="11287125" cy="29765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Palatino Linotype" panose="02040502050505030304" pitchFamily="18" charset="0"/>
              <a:ea typeface="+mn-ea"/>
              <a:cs typeface="+mn-cs"/>
            </a:rPr>
            <a:t>                  Ministerio de Trabajo y Seguridad Social             Programa  Nacional de Empleo </a:t>
          </a:r>
          <a:r>
            <a:rPr kumimoji="0" lang="es-CR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alatino Linotype" panose="02040502050505030304" pitchFamily="18" charset="0"/>
              <a:ea typeface="+mn-ea"/>
              <a:cs typeface="+mn-cs"/>
            </a:rPr>
            <a:t>            </a:t>
          </a:r>
          <a:r>
            <a:rPr kumimoji="0" lang="es-C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Palatino Linotype" panose="02040502050505030304" pitchFamily="18" charset="0"/>
              <a:ea typeface="+mn-ea"/>
              <a:cs typeface="+mn-cs"/>
            </a:rPr>
            <a:t>Período:  III Trimestre 2024</a:t>
          </a:r>
          <a:r>
            <a:rPr kumimoji="0" lang="es-CR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alatino Linotype" panose="02040502050505030304" pitchFamily="18" charset="0"/>
              <a:ea typeface="+mn-ea"/>
              <a:cs typeface="+mn-cs"/>
            </a:rPr>
            <a:t>           </a:t>
          </a:r>
          <a:r>
            <a:rPr kumimoji="0" lang="es-C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Palatino Linotype" panose="02040502050505030304" pitchFamily="18" charset="0"/>
              <a:ea typeface="+mn-ea"/>
              <a:cs typeface="+mn-cs"/>
            </a:rPr>
            <a:t>Fecha Actualización: 14-11-2024</a:t>
          </a:r>
          <a:endParaRPr kumimoji="0" lang="es-CR" sz="18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Palatino Linotype" panose="02040502050505030304" pitchFamily="18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CR" sz="18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CR" sz="11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CR" sz="18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CR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0</xdr:colOff>
      <xdr:row>5</xdr:row>
      <xdr:rowOff>178592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644D2CFB-0C57-4012-B1E0-759A4400E85A}"/>
            </a:ext>
          </a:extLst>
        </xdr:cNvPr>
        <xdr:cNvSpPr/>
      </xdr:nvSpPr>
      <xdr:spPr>
        <a:xfrm>
          <a:off x="0" y="0"/>
          <a:ext cx="12334875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214068</xdr:colOff>
      <xdr:row>0</xdr:row>
      <xdr:rowOff>130969</xdr:rowOff>
    </xdr:from>
    <xdr:to>
      <xdr:col>0</xdr:col>
      <xdr:colOff>3512343</xdr:colOff>
      <xdr:row>5</xdr:row>
      <xdr:rowOff>107156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51E4DF1-B0AF-46A0-BDAA-6C7205126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4068" y="130969"/>
          <a:ext cx="3298275" cy="928687"/>
        </a:xfrm>
        <a:prstGeom prst="rect">
          <a:avLst/>
        </a:prstGeom>
      </xdr:spPr>
    </xdr:pic>
    <xdr:clientData/>
  </xdr:twoCellAnchor>
  <xdr:twoCellAnchor editAs="oneCell">
    <xdr:from>
      <xdr:col>0</xdr:col>
      <xdr:colOff>3476623</xdr:colOff>
      <xdr:row>1</xdr:row>
      <xdr:rowOff>11907</xdr:rowOff>
    </xdr:from>
    <xdr:to>
      <xdr:col>2</xdr:col>
      <xdr:colOff>354805</xdr:colOff>
      <xdr:row>5</xdr:row>
      <xdr:rowOff>35719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44B036BA-4B54-4862-8DF6-D6510F2674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476623" y="202407"/>
          <a:ext cx="2307432" cy="78581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1</xdr:rowOff>
    </xdr:from>
    <xdr:to>
      <xdr:col>7</xdr:col>
      <xdr:colOff>0</xdr:colOff>
      <xdr:row>8</xdr:row>
      <xdr:rowOff>13608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B0909A9D-9A89-416D-8FA8-7834597285EA}"/>
            </a:ext>
          </a:extLst>
        </xdr:cNvPr>
        <xdr:cNvSpPr/>
      </xdr:nvSpPr>
      <xdr:spPr>
        <a:xfrm>
          <a:off x="0" y="1143001"/>
          <a:ext cx="12334875" cy="423182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47626</xdr:colOff>
      <xdr:row>6</xdr:row>
      <xdr:rowOff>59531</xdr:rowOff>
    </xdr:from>
    <xdr:to>
      <xdr:col>6</xdr:col>
      <xdr:colOff>1250156</xdr:colOff>
      <xdr:row>7</xdr:row>
      <xdr:rowOff>166686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FF1F38DB-4243-4B1C-9449-E594B05BB9DE}"/>
            </a:ext>
          </a:extLst>
        </xdr:cNvPr>
        <xdr:cNvSpPr txBox="1"/>
      </xdr:nvSpPr>
      <xdr:spPr>
        <a:xfrm>
          <a:off x="47626" y="1202531"/>
          <a:ext cx="12156280" cy="29765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Palatino Linotype" panose="02040502050505030304" pitchFamily="18" charset="0"/>
              <a:ea typeface="+mn-ea"/>
              <a:cs typeface="+mn-cs"/>
            </a:rPr>
            <a:t>           Ministerio de Trabajo y Seguridad Social             Programa  Nacional de Empleo </a:t>
          </a:r>
          <a:r>
            <a:rPr kumimoji="0" lang="es-CR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alatino Linotype" panose="02040502050505030304" pitchFamily="18" charset="0"/>
              <a:ea typeface="+mn-ea"/>
              <a:cs typeface="+mn-cs"/>
            </a:rPr>
            <a:t>            </a:t>
          </a:r>
          <a:r>
            <a:rPr kumimoji="0" lang="es-C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Palatino Linotype" panose="02040502050505030304" pitchFamily="18" charset="0"/>
              <a:ea typeface="+mn-ea"/>
              <a:cs typeface="+mn-cs"/>
            </a:rPr>
            <a:t>Período:  III Trimestre Acumulado 2024</a:t>
          </a:r>
          <a:r>
            <a:rPr kumimoji="0" lang="es-CR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alatino Linotype" panose="02040502050505030304" pitchFamily="18" charset="0"/>
              <a:ea typeface="+mn-ea"/>
              <a:cs typeface="+mn-cs"/>
            </a:rPr>
            <a:t>           </a:t>
          </a:r>
          <a:r>
            <a:rPr kumimoji="0" lang="es-C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Palatino Linotype" panose="02040502050505030304" pitchFamily="18" charset="0"/>
              <a:ea typeface="+mn-ea"/>
              <a:cs typeface="+mn-cs"/>
            </a:rPr>
            <a:t>Fecha Actualización: 14-11-2024</a:t>
          </a:r>
          <a:endParaRPr kumimoji="0" lang="es-CR" sz="18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Palatino Linotype" panose="02040502050505030304" pitchFamily="18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CR" sz="18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CR" sz="11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CR" sz="18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CR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0</xdr:colOff>
      <xdr:row>5</xdr:row>
      <xdr:rowOff>178592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92531788-CD29-48EF-BC74-64986A6E5A93}"/>
            </a:ext>
          </a:extLst>
        </xdr:cNvPr>
        <xdr:cNvSpPr/>
      </xdr:nvSpPr>
      <xdr:spPr>
        <a:xfrm>
          <a:off x="0" y="0"/>
          <a:ext cx="13706475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214068</xdr:colOff>
      <xdr:row>0</xdr:row>
      <xdr:rowOff>130969</xdr:rowOff>
    </xdr:from>
    <xdr:to>
      <xdr:col>0</xdr:col>
      <xdr:colOff>3512343</xdr:colOff>
      <xdr:row>5</xdr:row>
      <xdr:rowOff>107156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B044BC2C-8E64-4F2E-B7E7-5ED0FA225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4068" y="130969"/>
          <a:ext cx="3298275" cy="928687"/>
        </a:xfrm>
        <a:prstGeom prst="rect">
          <a:avLst/>
        </a:prstGeom>
      </xdr:spPr>
    </xdr:pic>
    <xdr:clientData/>
  </xdr:twoCellAnchor>
  <xdr:twoCellAnchor editAs="oneCell">
    <xdr:from>
      <xdr:col>0</xdr:col>
      <xdr:colOff>3476623</xdr:colOff>
      <xdr:row>1</xdr:row>
      <xdr:rowOff>11907</xdr:rowOff>
    </xdr:from>
    <xdr:to>
      <xdr:col>2</xdr:col>
      <xdr:colOff>354805</xdr:colOff>
      <xdr:row>5</xdr:row>
      <xdr:rowOff>35719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B8641CCA-0C75-435D-9747-C9F52C82D5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476623" y="202407"/>
          <a:ext cx="2307432" cy="78581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1</xdr:rowOff>
    </xdr:from>
    <xdr:to>
      <xdr:col>7</xdr:col>
      <xdr:colOff>0</xdr:colOff>
      <xdr:row>8</xdr:row>
      <xdr:rowOff>13608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8A9C36E4-97CA-40F3-A6DA-0A0BB9495F07}"/>
            </a:ext>
          </a:extLst>
        </xdr:cNvPr>
        <xdr:cNvSpPr/>
      </xdr:nvSpPr>
      <xdr:spPr>
        <a:xfrm>
          <a:off x="0" y="1143001"/>
          <a:ext cx="13706475" cy="423182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1416843</xdr:colOff>
      <xdr:row>6</xdr:row>
      <xdr:rowOff>35717</xdr:rowOff>
    </xdr:from>
    <xdr:to>
      <xdr:col>6</xdr:col>
      <xdr:colOff>845343</xdr:colOff>
      <xdr:row>7</xdr:row>
      <xdr:rowOff>142872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471DDE3F-61D5-4A3C-B4A5-E0B179F73456}"/>
            </a:ext>
          </a:extLst>
        </xdr:cNvPr>
        <xdr:cNvSpPr txBox="1"/>
      </xdr:nvSpPr>
      <xdr:spPr>
        <a:xfrm>
          <a:off x="1416843" y="1178717"/>
          <a:ext cx="10382250" cy="2976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Ministerio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de Trabajo y Seguridad Social             Programa  Nacional de Empleo 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IV Trimestre 2024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25-03-2025</a:t>
          </a:r>
          <a:endParaRPr lang="es-CR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285749</xdr:colOff>
      <xdr:row>13</xdr:row>
      <xdr:rowOff>71436</xdr:rowOff>
    </xdr:from>
    <xdr:to>
      <xdr:col>19</xdr:col>
      <xdr:colOff>250030</xdr:colOff>
      <xdr:row>32</xdr:row>
      <xdr:rowOff>95249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179913</xdr:colOff>
      <xdr:row>74</xdr:row>
      <xdr:rowOff>23415</xdr:rowOff>
    </xdr:from>
    <xdr:to>
      <xdr:col>25</xdr:col>
      <xdr:colOff>365125</xdr:colOff>
      <xdr:row>91</xdr:row>
      <xdr:rowOff>126999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535781</xdr:colOff>
      <xdr:row>13</xdr:row>
      <xdr:rowOff>71437</xdr:rowOff>
    </xdr:from>
    <xdr:to>
      <xdr:col>31</xdr:col>
      <xdr:colOff>595313</xdr:colOff>
      <xdr:row>32</xdr:row>
      <xdr:rowOff>107156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309562</xdr:colOff>
      <xdr:row>33</xdr:row>
      <xdr:rowOff>162322</xdr:rowOff>
    </xdr:from>
    <xdr:to>
      <xdr:col>19</xdr:col>
      <xdr:colOff>238126</xdr:colOff>
      <xdr:row>53</xdr:row>
      <xdr:rowOff>35717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547687</xdr:colOff>
      <xdr:row>33</xdr:row>
      <xdr:rowOff>154381</xdr:rowOff>
    </xdr:from>
    <xdr:to>
      <xdr:col>31</xdr:col>
      <xdr:colOff>587374</xdr:colOff>
      <xdr:row>53</xdr:row>
      <xdr:rowOff>67467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297656</xdr:colOff>
      <xdr:row>54</xdr:row>
      <xdr:rowOff>27383</xdr:rowOff>
    </xdr:from>
    <xdr:to>
      <xdr:col>19</xdr:col>
      <xdr:colOff>254000</xdr:colOff>
      <xdr:row>72</xdr:row>
      <xdr:rowOff>59530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19</xdr:col>
      <xdr:colOff>517920</xdr:colOff>
      <xdr:row>54</xdr:row>
      <xdr:rowOff>31352</xdr:rowOff>
    </xdr:from>
    <xdr:to>
      <xdr:col>31</xdr:col>
      <xdr:colOff>571500</xdr:colOff>
      <xdr:row>72</xdr:row>
      <xdr:rowOff>83345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7</xdr:col>
      <xdr:colOff>0</xdr:colOff>
      <xdr:row>5</xdr:row>
      <xdr:rowOff>178592</xdr:rowOff>
    </xdr:to>
    <xdr:sp macro="" textlink="">
      <xdr:nvSpPr>
        <xdr:cNvPr id="27" name="Rectángulo 26">
          <a:extLst>
            <a:ext uri="{FF2B5EF4-FFF2-40B4-BE49-F238E27FC236}">
              <a16:creationId xmlns:a16="http://schemas.microsoft.com/office/drawing/2014/main" id="{206BDE5C-A105-42BA-A8C6-A0381F0BCC98}"/>
            </a:ext>
          </a:extLst>
        </xdr:cNvPr>
        <xdr:cNvSpPr/>
      </xdr:nvSpPr>
      <xdr:spPr>
        <a:xfrm>
          <a:off x="0" y="0"/>
          <a:ext cx="13704094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214068</xdr:colOff>
      <xdr:row>0</xdr:row>
      <xdr:rowOff>130969</xdr:rowOff>
    </xdr:from>
    <xdr:to>
      <xdr:col>0</xdr:col>
      <xdr:colOff>3512343</xdr:colOff>
      <xdr:row>5</xdr:row>
      <xdr:rowOff>107156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5E7484E5-F114-48AE-B249-0421177F3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4068" y="130969"/>
          <a:ext cx="3298275" cy="928687"/>
        </a:xfrm>
        <a:prstGeom prst="rect">
          <a:avLst/>
        </a:prstGeom>
      </xdr:spPr>
    </xdr:pic>
    <xdr:clientData/>
  </xdr:twoCellAnchor>
  <xdr:twoCellAnchor editAs="oneCell">
    <xdr:from>
      <xdr:col>0</xdr:col>
      <xdr:colOff>3476623</xdr:colOff>
      <xdr:row>1</xdr:row>
      <xdr:rowOff>11907</xdr:rowOff>
    </xdr:from>
    <xdr:to>
      <xdr:col>2</xdr:col>
      <xdr:colOff>364330</xdr:colOff>
      <xdr:row>5</xdr:row>
      <xdr:rowOff>35719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9AEBD1E0-F5A8-4FD8-87E0-3F684781AB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63388" r="1826" b="1724"/>
        <a:stretch/>
      </xdr:blipFill>
      <xdr:spPr>
        <a:xfrm>
          <a:off x="3476623" y="202407"/>
          <a:ext cx="2305051" cy="78581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1</xdr:rowOff>
    </xdr:from>
    <xdr:to>
      <xdr:col>7</xdr:col>
      <xdr:colOff>0</xdr:colOff>
      <xdr:row>8</xdr:row>
      <xdr:rowOff>13608</xdr:rowOff>
    </xdr:to>
    <xdr:sp macro="" textlink="">
      <xdr:nvSpPr>
        <xdr:cNvPr id="30" name="Rectángulo 29">
          <a:extLst>
            <a:ext uri="{FF2B5EF4-FFF2-40B4-BE49-F238E27FC236}">
              <a16:creationId xmlns:a16="http://schemas.microsoft.com/office/drawing/2014/main" id="{60949DED-D4EF-4E56-84D0-B3E63430EBBC}"/>
            </a:ext>
          </a:extLst>
        </xdr:cNvPr>
        <xdr:cNvSpPr/>
      </xdr:nvSpPr>
      <xdr:spPr>
        <a:xfrm>
          <a:off x="0" y="1143001"/>
          <a:ext cx="13704094" cy="418420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1452561</xdr:colOff>
      <xdr:row>6</xdr:row>
      <xdr:rowOff>47625</xdr:rowOff>
    </xdr:from>
    <xdr:to>
      <xdr:col>6</xdr:col>
      <xdr:colOff>619123</xdr:colOff>
      <xdr:row>7</xdr:row>
      <xdr:rowOff>154780</xdr:rowOff>
    </xdr:to>
    <xdr:sp macro="" textlink="">
      <xdr:nvSpPr>
        <xdr:cNvPr id="18" name="CuadroTexto 17">
          <a:extLst>
            <a:ext uri="{FF2B5EF4-FFF2-40B4-BE49-F238E27FC236}">
              <a16:creationId xmlns:a16="http://schemas.microsoft.com/office/drawing/2014/main" id="{97A55929-33A5-4EC5-AB6E-2579E5FF38D4}"/>
            </a:ext>
          </a:extLst>
        </xdr:cNvPr>
        <xdr:cNvSpPr txBox="1"/>
      </xdr:nvSpPr>
      <xdr:spPr>
        <a:xfrm>
          <a:off x="1452561" y="1190625"/>
          <a:ext cx="10108406" cy="2976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Ministerio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de Trabajo y Seguridad Social             Programa  Nacional de Empleo 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Anual 2024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25-03-2025</a:t>
          </a:r>
          <a:endParaRPr lang="es-CR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169"/>
  <sheetViews>
    <sheetView showGridLines="0" tabSelected="1" zoomScale="80" zoomScaleNormal="80" workbookViewId="0">
      <pane ySplit="10" topLeftCell="A11" activePane="bottomLeft" state="frozen"/>
      <selection activeCell="A9" sqref="A9:A10"/>
      <selection pane="bottomLeft" activeCell="A9" sqref="A9:A10"/>
    </sheetView>
  </sheetViews>
  <sheetFormatPr baseColWidth="10" defaultColWidth="11.44140625" defaultRowHeight="14.4" x14ac:dyDescent="0.3"/>
  <cols>
    <col min="1" max="1" width="60.6640625" style="3" customWidth="1"/>
    <col min="2" max="7" width="20.6640625" style="3" customWidth="1"/>
    <col min="8" max="8" width="11.44140625" style="3"/>
    <col min="9" max="9" width="12.6640625" style="3" bestFit="1" customWidth="1"/>
    <col min="10" max="16384" width="11.44140625" style="3"/>
  </cols>
  <sheetData>
    <row r="2" spans="1:7" s="40" customFormat="1" x14ac:dyDescent="0.3"/>
    <row r="3" spans="1:7" s="40" customFormat="1" x14ac:dyDescent="0.3"/>
    <row r="4" spans="1:7" s="40" customFormat="1" x14ac:dyDescent="0.3"/>
    <row r="5" spans="1:7" s="40" customFormat="1" x14ac:dyDescent="0.3"/>
    <row r="6" spans="1:7" s="40" customFormat="1" x14ac:dyDescent="0.3"/>
    <row r="7" spans="1:7" s="40" customFormat="1" x14ac:dyDescent="0.3"/>
    <row r="8" spans="1:7" s="40" customFormat="1" ht="17.25" customHeight="1" x14ac:dyDescent="0.3"/>
    <row r="9" spans="1:7" s="26" customFormat="1" ht="15.6" x14ac:dyDescent="0.35">
      <c r="A9" s="47" t="s">
        <v>0</v>
      </c>
      <c r="B9" s="49" t="s">
        <v>1</v>
      </c>
      <c r="C9" s="46" t="s">
        <v>2</v>
      </c>
      <c r="D9" s="46"/>
      <c r="E9" s="46"/>
      <c r="F9" s="46"/>
      <c r="G9" s="46"/>
    </row>
    <row r="10" spans="1:7" s="26" customFormat="1" ht="31.8" thickBot="1" x14ac:dyDescent="0.4">
      <c r="A10" s="48"/>
      <c r="B10" s="50"/>
      <c r="C10" s="37" t="s">
        <v>3</v>
      </c>
      <c r="D10" s="37" t="s">
        <v>76</v>
      </c>
      <c r="E10" s="37" t="s">
        <v>77</v>
      </c>
      <c r="F10" s="37" t="s">
        <v>46</v>
      </c>
      <c r="G10" s="37" t="s">
        <v>78</v>
      </c>
    </row>
    <row r="11" spans="1:7" s="26" customFormat="1" ht="16.2" thickTop="1" x14ac:dyDescent="0.35"/>
    <row r="12" spans="1:7" s="26" customFormat="1" ht="15.6" x14ac:dyDescent="0.35">
      <c r="A12" s="25" t="s">
        <v>4</v>
      </c>
    </row>
    <row r="13" spans="1:7" s="26" customFormat="1" ht="15.6" x14ac:dyDescent="0.35"/>
    <row r="14" spans="1:7" s="26" customFormat="1" ht="15.6" x14ac:dyDescent="0.35">
      <c r="A14" s="25" t="s">
        <v>5</v>
      </c>
    </row>
    <row r="15" spans="1:7" s="7" customFormat="1" ht="15.6" x14ac:dyDescent="0.35">
      <c r="A15" s="27" t="s">
        <v>49</v>
      </c>
      <c r="B15" s="10">
        <f>SUM(C15:G15)</f>
        <v>1151</v>
      </c>
      <c r="C15" s="33">
        <v>364</v>
      </c>
      <c r="D15" s="33" t="s">
        <v>48</v>
      </c>
      <c r="E15" s="33">
        <v>644</v>
      </c>
      <c r="F15" s="33">
        <v>143</v>
      </c>
      <c r="G15" s="33" t="s">
        <v>48</v>
      </c>
    </row>
    <row r="16" spans="1:7" s="7" customFormat="1" ht="15.6" x14ac:dyDescent="0.35">
      <c r="A16" s="28" t="s">
        <v>33</v>
      </c>
      <c r="B16" s="10">
        <f t="shared" ref="B16:B21" si="0">SUM(C16:G16)</f>
        <v>5090</v>
      </c>
      <c r="C16" s="33">
        <v>553</v>
      </c>
      <c r="D16" s="33" t="s">
        <v>48</v>
      </c>
      <c r="E16" s="33">
        <v>4355</v>
      </c>
      <c r="F16" s="33">
        <v>182</v>
      </c>
      <c r="G16" s="33" t="s">
        <v>48</v>
      </c>
    </row>
    <row r="17" spans="1:9" s="7" customFormat="1" ht="15.6" x14ac:dyDescent="0.35">
      <c r="A17" s="27" t="s">
        <v>79</v>
      </c>
      <c r="B17" s="10">
        <f t="shared" si="0"/>
        <v>5795</v>
      </c>
      <c r="C17" s="33">
        <v>70</v>
      </c>
      <c r="D17" s="33">
        <v>0</v>
      </c>
      <c r="E17" s="33">
        <v>5400</v>
      </c>
      <c r="F17" s="33">
        <v>200</v>
      </c>
      <c r="G17" s="33">
        <v>125</v>
      </c>
    </row>
    <row r="18" spans="1:9" s="7" customFormat="1" ht="15.6" x14ac:dyDescent="0.35">
      <c r="A18" s="28" t="s">
        <v>33</v>
      </c>
      <c r="B18" s="10">
        <f t="shared" si="0"/>
        <v>15178</v>
      </c>
      <c r="C18" s="33">
        <v>90</v>
      </c>
      <c r="D18" s="33">
        <v>0</v>
      </c>
      <c r="E18" s="33">
        <v>14600</v>
      </c>
      <c r="F18" s="33">
        <v>300</v>
      </c>
      <c r="G18" s="33">
        <v>188</v>
      </c>
    </row>
    <row r="19" spans="1:9" s="7" customFormat="1" ht="15.6" x14ac:dyDescent="0.35">
      <c r="A19" s="27" t="s">
        <v>80</v>
      </c>
      <c r="B19" s="10">
        <f t="shared" si="0"/>
        <v>956</v>
      </c>
      <c r="C19" s="33">
        <v>105</v>
      </c>
      <c r="D19" s="33">
        <v>0</v>
      </c>
      <c r="E19" s="33">
        <v>711</v>
      </c>
      <c r="F19" s="33">
        <v>140</v>
      </c>
      <c r="G19" s="33">
        <v>0</v>
      </c>
    </row>
    <row r="20" spans="1:9" s="7" customFormat="1" ht="15.6" x14ac:dyDescent="0.35">
      <c r="A20" s="28" t="s">
        <v>33</v>
      </c>
      <c r="B20" s="10">
        <f t="shared" si="0"/>
        <v>9120</v>
      </c>
      <c r="C20" s="33">
        <v>267</v>
      </c>
      <c r="D20" s="33">
        <v>0</v>
      </c>
      <c r="E20" s="33">
        <v>8456</v>
      </c>
      <c r="F20" s="33">
        <v>388</v>
      </c>
      <c r="G20" s="33">
        <v>9</v>
      </c>
    </row>
    <row r="21" spans="1:9" s="7" customFormat="1" ht="15.6" x14ac:dyDescent="0.35">
      <c r="A21" s="27" t="s">
        <v>81</v>
      </c>
      <c r="B21" s="10">
        <f t="shared" si="0"/>
        <v>12844</v>
      </c>
      <c r="C21" s="33">
        <v>1007</v>
      </c>
      <c r="D21" s="33">
        <v>2487</v>
      </c>
      <c r="E21" s="33">
        <v>7632</v>
      </c>
      <c r="F21" s="33">
        <v>1220</v>
      </c>
      <c r="G21" s="33">
        <v>498</v>
      </c>
    </row>
    <row r="22" spans="1:9" s="7" customFormat="1" ht="15.6" x14ac:dyDescent="0.35">
      <c r="A22" s="26"/>
      <c r="B22" s="10"/>
      <c r="C22" s="33"/>
      <c r="D22" s="33"/>
      <c r="E22" s="33"/>
      <c r="F22" s="33"/>
      <c r="G22" s="33"/>
    </row>
    <row r="23" spans="1:9" s="7" customFormat="1" ht="15.6" x14ac:dyDescent="0.35">
      <c r="A23" s="29" t="s">
        <v>6</v>
      </c>
      <c r="B23" s="10"/>
      <c r="C23" s="33"/>
      <c r="D23" s="33"/>
      <c r="E23" s="33"/>
      <c r="F23" s="33"/>
      <c r="G23" s="33"/>
    </row>
    <row r="24" spans="1:9" s="7" customFormat="1" ht="15.6" x14ac:dyDescent="0.35">
      <c r="A24" s="27" t="s">
        <v>49</v>
      </c>
      <c r="B24" s="10">
        <f>SUM(C24:G24)</f>
        <v>1143157500</v>
      </c>
      <c r="C24" s="33">
        <v>127190000</v>
      </c>
      <c r="D24" s="33" t="s">
        <v>48</v>
      </c>
      <c r="E24" s="33">
        <v>974107500</v>
      </c>
      <c r="F24" s="33">
        <v>41860000</v>
      </c>
      <c r="G24" s="33" t="s">
        <v>48</v>
      </c>
    </row>
    <row r="25" spans="1:9" s="7" customFormat="1" ht="15.6" x14ac:dyDescent="0.35">
      <c r="A25" s="27" t="s">
        <v>79</v>
      </c>
      <c r="B25" s="10">
        <f>SUM(C25:G25)</f>
        <v>4447520000</v>
      </c>
      <c r="C25" s="33">
        <v>20700000</v>
      </c>
      <c r="D25" s="33">
        <v>0</v>
      </c>
      <c r="E25" s="33">
        <v>4336200000</v>
      </c>
      <c r="F25" s="33">
        <v>69000000</v>
      </c>
      <c r="G25" s="33">
        <v>21620000</v>
      </c>
    </row>
    <row r="26" spans="1:9" s="7" customFormat="1" ht="15.6" x14ac:dyDescent="0.35">
      <c r="A26" s="27" t="s">
        <v>80</v>
      </c>
      <c r="B26" s="10">
        <f>SUM(C26:G26)</f>
        <v>2681672400</v>
      </c>
      <c r="C26" s="33">
        <v>61900000</v>
      </c>
      <c r="D26" s="33">
        <v>0</v>
      </c>
      <c r="E26" s="33">
        <v>2528377400</v>
      </c>
      <c r="F26" s="33">
        <v>90360000</v>
      </c>
      <c r="G26" s="33">
        <v>1035000</v>
      </c>
      <c r="I26" s="13"/>
    </row>
    <row r="27" spans="1:9" s="7" customFormat="1" ht="15.6" x14ac:dyDescent="0.35">
      <c r="A27" s="27" t="s">
        <v>81</v>
      </c>
      <c r="B27" s="10">
        <f>SUM(C27:G27)</f>
        <v>15682222000</v>
      </c>
      <c r="C27" s="33">
        <v>1072090000</v>
      </c>
      <c r="D27" s="33">
        <v>838119000</v>
      </c>
      <c r="E27" s="33">
        <v>12169278000</v>
      </c>
      <c r="F27" s="33">
        <v>1516600000</v>
      </c>
      <c r="G27" s="33">
        <v>86135000</v>
      </c>
    </row>
    <row r="28" spans="1:9" s="7" customFormat="1" ht="15.6" x14ac:dyDescent="0.35">
      <c r="A28" s="27" t="s">
        <v>82</v>
      </c>
      <c r="B28" s="10">
        <f>SUM(C28:G28)</f>
        <v>2681672400</v>
      </c>
      <c r="C28" s="10">
        <f>C26</f>
        <v>61900000</v>
      </c>
      <c r="D28" s="10">
        <f>D26</f>
        <v>0</v>
      </c>
      <c r="E28" s="10">
        <f>E26</f>
        <v>2528377400</v>
      </c>
      <c r="F28" s="10">
        <f>F26</f>
        <v>90360000</v>
      </c>
      <c r="G28" s="10">
        <f>G26</f>
        <v>1035000</v>
      </c>
    </row>
    <row r="29" spans="1:9" s="7" customFormat="1" ht="15.6" x14ac:dyDescent="0.35">
      <c r="A29" s="26"/>
      <c r="B29" s="10"/>
      <c r="C29" s="10"/>
      <c r="D29" s="10"/>
      <c r="E29" s="10"/>
      <c r="F29" s="10"/>
      <c r="G29" s="10"/>
    </row>
    <row r="30" spans="1:9" s="7" customFormat="1" ht="15.6" x14ac:dyDescent="0.35">
      <c r="A30" s="25" t="s">
        <v>7</v>
      </c>
      <c r="B30" s="10"/>
      <c r="C30" s="10"/>
      <c r="D30" s="10"/>
      <c r="E30" s="10"/>
      <c r="F30" s="10"/>
      <c r="G30" s="10"/>
    </row>
    <row r="31" spans="1:9" s="7" customFormat="1" ht="15.6" x14ac:dyDescent="0.35">
      <c r="A31" s="30" t="s">
        <v>79</v>
      </c>
      <c r="B31" s="10">
        <f>B25</f>
        <v>4447520000</v>
      </c>
      <c r="C31" s="10"/>
      <c r="D31" s="10"/>
      <c r="E31" s="10"/>
      <c r="F31" s="10"/>
      <c r="G31" s="10"/>
    </row>
    <row r="32" spans="1:9" s="7" customFormat="1" ht="15.6" x14ac:dyDescent="0.35">
      <c r="A32" s="30" t="s">
        <v>80</v>
      </c>
      <c r="B32" s="33">
        <v>6191125029</v>
      </c>
      <c r="C32" s="10"/>
      <c r="D32" s="10"/>
      <c r="E32" s="10"/>
      <c r="F32" s="10"/>
      <c r="G32" s="10"/>
    </row>
    <row r="33" spans="1:7" s="7" customFormat="1" ht="15.6" x14ac:dyDescent="0.35">
      <c r="A33" s="26"/>
      <c r="B33" s="14"/>
      <c r="C33" s="14"/>
      <c r="D33" s="14"/>
      <c r="E33" s="14"/>
      <c r="F33" s="14"/>
      <c r="G33" s="14"/>
    </row>
    <row r="34" spans="1:7" s="7" customFormat="1" ht="15.6" x14ac:dyDescent="0.35">
      <c r="A34" s="25" t="s">
        <v>8</v>
      </c>
      <c r="B34" s="14"/>
      <c r="C34" s="14"/>
      <c r="D34" s="14"/>
      <c r="E34" s="14"/>
      <c r="F34" s="14"/>
      <c r="G34" s="14"/>
    </row>
    <row r="35" spans="1:7" s="7" customFormat="1" ht="15.6" x14ac:dyDescent="0.35">
      <c r="A35" s="26" t="s">
        <v>50</v>
      </c>
      <c r="B35" s="34">
        <v>1.1041000000000001</v>
      </c>
      <c r="C35" s="34">
        <v>1.1041000000000001</v>
      </c>
      <c r="D35" s="34">
        <v>1.1041000000000001</v>
      </c>
      <c r="E35" s="34">
        <v>1.1041000000000001</v>
      </c>
      <c r="F35" s="34">
        <v>1.1041000000000001</v>
      </c>
      <c r="G35" s="34">
        <v>1.1041000000000001</v>
      </c>
    </row>
    <row r="36" spans="1:7" s="7" customFormat="1" ht="15.6" x14ac:dyDescent="0.35">
      <c r="A36" s="26" t="s">
        <v>83</v>
      </c>
      <c r="B36" s="34">
        <v>1.091</v>
      </c>
      <c r="C36" s="34">
        <v>1.091</v>
      </c>
      <c r="D36" s="34">
        <v>1.091</v>
      </c>
      <c r="E36" s="34">
        <v>1.091</v>
      </c>
      <c r="F36" s="34">
        <v>1.091</v>
      </c>
      <c r="G36" s="34">
        <v>1.091</v>
      </c>
    </row>
    <row r="37" spans="1:7" s="7" customFormat="1" ht="15.6" x14ac:dyDescent="0.35">
      <c r="A37" s="26" t="s">
        <v>9</v>
      </c>
      <c r="B37" s="10">
        <f>C37+E37</f>
        <v>104416</v>
      </c>
      <c r="C37" s="10">
        <v>79512</v>
      </c>
      <c r="D37" s="10">
        <v>79512</v>
      </c>
      <c r="E37" s="10">
        <v>24904</v>
      </c>
      <c r="F37" s="10">
        <v>79512</v>
      </c>
      <c r="G37" s="10">
        <v>79512</v>
      </c>
    </row>
    <row r="38" spans="1:7" s="7" customFormat="1" ht="15.6" x14ac:dyDescent="0.35">
      <c r="A38" s="26"/>
      <c r="B38" s="10"/>
      <c r="C38" s="10"/>
      <c r="D38" s="10"/>
      <c r="E38" s="10"/>
      <c r="F38" s="10"/>
      <c r="G38" s="10"/>
    </row>
    <row r="39" spans="1:7" s="7" customFormat="1" ht="15.6" x14ac:dyDescent="0.35">
      <c r="A39" s="25" t="s">
        <v>10</v>
      </c>
      <c r="B39" s="10"/>
      <c r="C39" s="10"/>
      <c r="D39" s="10"/>
      <c r="E39" s="10"/>
      <c r="F39" s="10"/>
      <c r="G39" s="10"/>
    </row>
    <row r="40" spans="1:7" s="7" customFormat="1" ht="15.6" x14ac:dyDescent="0.35">
      <c r="A40" s="26" t="s">
        <v>51</v>
      </c>
      <c r="B40" s="10">
        <f t="shared" ref="B40" si="1">B24/B35</f>
        <v>1035374966.0356851</v>
      </c>
      <c r="C40" s="10">
        <f t="shared" ref="C40:F40" si="2">C24/C35</f>
        <v>115197898.74105605</v>
      </c>
      <c r="D40" s="10" t="s">
        <v>48</v>
      </c>
      <c r="E40" s="10">
        <f t="shared" si="2"/>
        <v>882263834.79757261</v>
      </c>
      <c r="F40" s="10">
        <f t="shared" si="2"/>
        <v>37913232.497056425</v>
      </c>
      <c r="G40" s="10" t="s">
        <v>48</v>
      </c>
    </row>
    <row r="41" spans="1:7" s="7" customFormat="1" ht="15.6" x14ac:dyDescent="0.35">
      <c r="A41" s="26" t="s">
        <v>84</v>
      </c>
      <c r="B41" s="10">
        <f t="shared" ref="B41" si="3">B26/B36</f>
        <v>2457994867.094409</v>
      </c>
      <c r="C41" s="10">
        <f t="shared" ref="C41:G41" si="4">C26/C36</f>
        <v>56736938.588450961</v>
      </c>
      <c r="D41" s="10">
        <f t="shared" si="4"/>
        <v>0</v>
      </c>
      <c r="E41" s="10">
        <f t="shared" si="4"/>
        <v>2317486159.4867096</v>
      </c>
      <c r="F41" s="10">
        <f t="shared" si="4"/>
        <v>82823098.075160399</v>
      </c>
      <c r="G41" s="10">
        <f t="shared" si="4"/>
        <v>948670.94408799266</v>
      </c>
    </row>
    <row r="42" spans="1:7" s="7" customFormat="1" ht="15.6" x14ac:dyDescent="0.35">
      <c r="A42" s="26" t="s">
        <v>52</v>
      </c>
      <c r="B42" s="10">
        <f t="shared" ref="B42" si="5">B40/B15</f>
        <v>899543.84538287146</v>
      </c>
      <c r="C42" s="10">
        <f t="shared" ref="C42:F42" si="6">C40/C15</f>
        <v>316477.74379411002</v>
      </c>
      <c r="D42" s="10" t="s">
        <v>48</v>
      </c>
      <c r="E42" s="10">
        <f t="shared" si="6"/>
        <v>1369974.8987539948</v>
      </c>
      <c r="F42" s="10">
        <f t="shared" si="6"/>
        <v>265127.49997941556</v>
      </c>
      <c r="G42" s="10" t="s">
        <v>48</v>
      </c>
    </row>
    <row r="43" spans="1:7" s="7" customFormat="1" ht="15.6" x14ac:dyDescent="0.35">
      <c r="A43" s="26" t="s">
        <v>85</v>
      </c>
      <c r="B43" s="10">
        <f t="shared" ref="B43" si="7">B41/B19</f>
        <v>2571124.3379648631</v>
      </c>
      <c r="C43" s="10">
        <f t="shared" ref="C43:F43" si="8">C41/C19</f>
        <v>540351.79608048534</v>
      </c>
      <c r="D43" s="10" t="s">
        <v>48</v>
      </c>
      <c r="E43" s="10">
        <f t="shared" si="8"/>
        <v>3259474.2046226575</v>
      </c>
      <c r="F43" s="10">
        <f t="shared" si="8"/>
        <v>591593.55767971708</v>
      </c>
      <c r="G43" s="10" t="s">
        <v>48</v>
      </c>
    </row>
    <row r="44" spans="1:7" s="7" customFormat="1" ht="15.6" x14ac:dyDescent="0.35">
      <c r="A44" s="26"/>
      <c r="B44" s="14"/>
      <c r="C44" s="14"/>
      <c r="D44" s="14"/>
      <c r="E44" s="14"/>
      <c r="F44" s="14"/>
      <c r="G44" s="14"/>
    </row>
    <row r="45" spans="1:7" s="7" customFormat="1" ht="15.6" x14ac:dyDescent="0.35">
      <c r="A45" s="25" t="s">
        <v>11</v>
      </c>
      <c r="B45" s="14"/>
      <c r="C45" s="14"/>
      <c r="D45" s="14"/>
      <c r="E45" s="14"/>
      <c r="F45" s="14"/>
      <c r="G45" s="14"/>
    </row>
    <row r="46" spans="1:7" s="7" customFormat="1" ht="15.6" x14ac:dyDescent="0.35">
      <c r="A46" s="26"/>
      <c r="B46" s="14"/>
      <c r="C46" s="14"/>
      <c r="D46" s="14"/>
      <c r="E46" s="14"/>
      <c r="F46" s="14"/>
      <c r="G46" s="14"/>
    </row>
    <row r="47" spans="1:7" s="7" customFormat="1" ht="15.6" x14ac:dyDescent="0.35">
      <c r="A47" s="25" t="s">
        <v>12</v>
      </c>
      <c r="B47" s="14"/>
      <c r="C47" s="14"/>
      <c r="D47" s="14"/>
      <c r="E47" s="14"/>
      <c r="F47" s="14"/>
      <c r="G47" s="14"/>
    </row>
    <row r="48" spans="1:7" s="7" customFormat="1" ht="15.6" x14ac:dyDescent="0.35">
      <c r="A48" s="26" t="s">
        <v>13</v>
      </c>
      <c r="B48" s="16">
        <f t="shared" ref="B48" si="9">B17/B37*100</f>
        <v>5.5499157217284703</v>
      </c>
      <c r="C48" s="16">
        <f t="shared" ref="C48:G48" si="10">C17/C37*100</f>
        <v>8.8037025857732168E-2</v>
      </c>
      <c r="D48" s="16">
        <f t="shared" si="10"/>
        <v>0</v>
      </c>
      <c r="E48" s="16">
        <f t="shared" si="10"/>
        <v>21.6832637327337</v>
      </c>
      <c r="F48" s="16">
        <f t="shared" si="10"/>
        <v>0.25153435959352044</v>
      </c>
      <c r="G48" s="16">
        <f t="shared" si="10"/>
        <v>0.1572089747459503</v>
      </c>
    </row>
    <row r="49" spans="1:7" s="7" customFormat="1" ht="15.6" x14ac:dyDescent="0.35">
      <c r="A49" s="26" t="s">
        <v>14</v>
      </c>
      <c r="B49" s="16">
        <f t="shared" ref="B49" si="11">B19/B37*100</f>
        <v>0.91556849524977013</v>
      </c>
      <c r="C49" s="16">
        <f t="shared" ref="C49:G49" si="12">C19/C37*100</f>
        <v>0.13205553878659826</v>
      </c>
      <c r="D49" s="16">
        <f t="shared" si="12"/>
        <v>0</v>
      </c>
      <c r="E49" s="16">
        <f t="shared" si="12"/>
        <v>2.8549630581432699</v>
      </c>
      <c r="F49" s="16">
        <f>F19/F37*100</f>
        <v>0.17607405171546434</v>
      </c>
      <c r="G49" s="16">
        <f t="shared" si="12"/>
        <v>0</v>
      </c>
    </row>
    <row r="50" spans="1:7" s="7" customFormat="1" ht="15.6" x14ac:dyDescent="0.35">
      <c r="A50" s="26"/>
      <c r="B50" s="16"/>
      <c r="C50" s="16"/>
      <c r="D50" s="16"/>
      <c r="E50" s="16"/>
      <c r="F50" s="16"/>
      <c r="G50" s="16"/>
    </row>
    <row r="51" spans="1:7" s="7" customFormat="1" ht="15.6" x14ac:dyDescent="0.35">
      <c r="A51" s="25" t="s">
        <v>15</v>
      </c>
      <c r="B51" s="16"/>
      <c r="C51" s="16"/>
      <c r="D51" s="16"/>
      <c r="E51" s="16"/>
      <c r="F51" s="16"/>
      <c r="G51" s="16"/>
    </row>
    <row r="52" spans="1:7" s="7" customFormat="1" ht="15.6" x14ac:dyDescent="0.35">
      <c r="A52" s="26" t="s">
        <v>16</v>
      </c>
      <c r="B52" s="16">
        <f t="shared" ref="B52:G52" si="13">B19/B17*100</f>
        <v>16.4969801553063</v>
      </c>
      <c r="C52" s="16">
        <f t="shared" si="13"/>
        <v>150</v>
      </c>
      <c r="D52" s="10" t="s">
        <v>48</v>
      </c>
      <c r="E52" s="16">
        <f t="shared" si="13"/>
        <v>13.166666666666666</v>
      </c>
      <c r="F52" s="16">
        <f t="shared" si="13"/>
        <v>70</v>
      </c>
      <c r="G52" s="16">
        <f t="shared" si="13"/>
        <v>0</v>
      </c>
    </row>
    <row r="53" spans="1:7" s="7" customFormat="1" ht="15.6" x14ac:dyDescent="0.35">
      <c r="A53" s="26" t="s">
        <v>17</v>
      </c>
      <c r="B53" s="16">
        <f t="shared" ref="B53:G53" si="14">B26/B25*100</f>
        <v>60.295904234269884</v>
      </c>
      <c r="C53" s="16">
        <f t="shared" si="14"/>
        <v>299.03381642512079</v>
      </c>
      <c r="D53" s="10" t="s">
        <v>48</v>
      </c>
      <c r="E53" s="16">
        <f t="shared" si="14"/>
        <v>58.308597389419305</v>
      </c>
      <c r="F53" s="16">
        <f t="shared" si="14"/>
        <v>130.95652173913044</v>
      </c>
      <c r="G53" s="16">
        <f t="shared" si="14"/>
        <v>4.7872340425531918</v>
      </c>
    </row>
    <row r="54" spans="1:7" s="7" customFormat="1" ht="15.6" x14ac:dyDescent="0.35">
      <c r="A54" s="26" t="s">
        <v>18</v>
      </c>
      <c r="B54" s="16">
        <f t="shared" ref="B54:G54" si="15">AVERAGE(B52:B53)</f>
        <v>38.396442194788094</v>
      </c>
      <c r="C54" s="16">
        <f t="shared" si="15"/>
        <v>224.51690821256039</v>
      </c>
      <c r="D54" s="10" t="s">
        <v>48</v>
      </c>
      <c r="E54" s="16">
        <f t="shared" si="15"/>
        <v>35.737632028042988</v>
      </c>
      <c r="F54" s="16">
        <f t="shared" si="15"/>
        <v>100.47826086956522</v>
      </c>
      <c r="G54" s="16">
        <f t="shared" si="15"/>
        <v>2.3936170212765959</v>
      </c>
    </row>
    <row r="55" spans="1:7" s="7" customFormat="1" ht="15.6" x14ac:dyDescent="0.35">
      <c r="A55" s="26"/>
      <c r="B55" s="16"/>
      <c r="C55" s="16"/>
      <c r="D55" s="16"/>
      <c r="E55" s="16"/>
      <c r="F55" s="16"/>
      <c r="G55" s="16"/>
    </row>
    <row r="56" spans="1:7" s="7" customFormat="1" ht="15.6" x14ac:dyDescent="0.35">
      <c r="A56" s="25" t="s">
        <v>19</v>
      </c>
      <c r="B56" s="16"/>
      <c r="C56" s="16"/>
      <c r="D56" s="16"/>
      <c r="E56" s="16"/>
      <c r="F56" s="16"/>
      <c r="G56" s="16"/>
    </row>
    <row r="57" spans="1:7" s="7" customFormat="1" ht="15.6" x14ac:dyDescent="0.35">
      <c r="A57" s="26" t="s">
        <v>20</v>
      </c>
      <c r="B57" s="16">
        <f t="shared" ref="B57" si="16">B19/B21*100</f>
        <v>7.443164123326067</v>
      </c>
      <c r="C57" s="16">
        <f t="shared" ref="C57:G57" si="17">C19/C21*100</f>
        <v>10.427010923535253</v>
      </c>
      <c r="D57" s="16">
        <f t="shared" si="17"/>
        <v>0</v>
      </c>
      <c r="E57" s="16">
        <f t="shared" si="17"/>
        <v>9.316037735849056</v>
      </c>
      <c r="F57" s="16">
        <f t="shared" si="17"/>
        <v>11.475409836065573</v>
      </c>
      <c r="G57" s="16">
        <f t="shared" si="17"/>
        <v>0</v>
      </c>
    </row>
    <row r="58" spans="1:7" s="7" customFormat="1" ht="15.6" x14ac:dyDescent="0.35">
      <c r="A58" s="26" t="s">
        <v>21</v>
      </c>
      <c r="B58" s="16">
        <f t="shared" ref="B58" si="18">B26/B27*100</f>
        <v>17.100079312740249</v>
      </c>
      <c r="C58" s="16">
        <f t="shared" ref="C58:G58" si="19">C26/C27*100</f>
        <v>5.7737689932748184</v>
      </c>
      <c r="D58" s="16">
        <f t="shared" si="19"/>
        <v>0</v>
      </c>
      <c r="E58" s="16">
        <f t="shared" si="19"/>
        <v>20.776724798299455</v>
      </c>
      <c r="F58" s="16">
        <f t="shared" si="19"/>
        <v>5.9580640907292626</v>
      </c>
      <c r="G58" s="16">
        <f t="shared" si="19"/>
        <v>1.2016021361815754</v>
      </c>
    </row>
    <row r="59" spans="1:7" s="7" customFormat="1" ht="15.6" x14ac:dyDescent="0.35">
      <c r="A59" s="26" t="s">
        <v>22</v>
      </c>
      <c r="B59" s="16">
        <f t="shared" ref="B59" si="20">(B57+B58)/2</f>
        <v>12.271621718033158</v>
      </c>
      <c r="C59" s="16">
        <f t="shared" ref="C59:G59" si="21">(C57+C58)/2</f>
        <v>8.1003899584050352</v>
      </c>
      <c r="D59" s="16">
        <f t="shared" si="21"/>
        <v>0</v>
      </c>
      <c r="E59" s="16">
        <f t="shared" si="21"/>
        <v>15.046381267074256</v>
      </c>
      <c r="F59" s="16">
        <f t="shared" si="21"/>
        <v>8.7167369633974179</v>
      </c>
      <c r="G59" s="16">
        <f t="shared" si="21"/>
        <v>0.6008010680907877</v>
      </c>
    </row>
    <row r="60" spans="1:7" s="7" customFormat="1" ht="15.6" x14ac:dyDescent="0.35">
      <c r="A60" s="26"/>
      <c r="B60" s="16"/>
      <c r="C60" s="16"/>
      <c r="D60" s="16"/>
      <c r="E60" s="16"/>
      <c r="F60" s="16"/>
      <c r="G60" s="16"/>
    </row>
    <row r="61" spans="1:7" s="7" customFormat="1" ht="15.6" x14ac:dyDescent="0.35">
      <c r="A61" s="25" t="s">
        <v>47</v>
      </c>
      <c r="B61" s="16"/>
      <c r="C61" s="16"/>
      <c r="D61" s="16"/>
      <c r="E61" s="16"/>
      <c r="F61" s="16"/>
      <c r="G61" s="16"/>
    </row>
    <row r="62" spans="1:7" s="7" customFormat="1" ht="15.6" x14ac:dyDescent="0.35">
      <c r="A62" s="26" t="s">
        <v>23</v>
      </c>
      <c r="B62" s="16">
        <f>B28/B26*100</f>
        <v>100</v>
      </c>
      <c r="C62" s="16"/>
      <c r="D62" s="16"/>
      <c r="E62" s="16"/>
      <c r="F62" s="16"/>
      <c r="G62" s="16"/>
    </row>
    <row r="63" spans="1:7" s="7" customFormat="1" ht="15.6" x14ac:dyDescent="0.35">
      <c r="A63" s="26"/>
      <c r="B63" s="16"/>
      <c r="C63" s="16"/>
      <c r="D63" s="16"/>
      <c r="E63" s="16"/>
      <c r="F63" s="16"/>
      <c r="G63" s="16"/>
    </row>
    <row r="64" spans="1:7" s="7" customFormat="1" ht="15.6" x14ac:dyDescent="0.35">
      <c r="A64" s="25" t="s">
        <v>24</v>
      </c>
      <c r="B64" s="16"/>
      <c r="C64" s="16"/>
      <c r="D64" s="16"/>
      <c r="E64" s="16"/>
      <c r="F64" s="16"/>
      <c r="G64" s="16"/>
    </row>
    <row r="65" spans="1:7" s="7" customFormat="1" ht="15.6" x14ac:dyDescent="0.35">
      <c r="A65" s="26" t="s">
        <v>25</v>
      </c>
      <c r="B65" s="16">
        <f t="shared" ref="B65:C65" si="22">((B19/B15)-1)*100</f>
        <v>-16.941789748045178</v>
      </c>
      <c r="C65" s="16">
        <f t="shared" si="22"/>
        <v>-71.15384615384616</v>
      </c>
      <c r="D65" s="10" t="s">
        <v>48</v>
      </c>
      <c r="E65" s="16">
        <f t="shared" ref="E65:F65" si="23">((E19/E15)-1)*100</f>
        <v>10.403726708074522</v>
      </c>
      <c r="F65" s="16">
        <f t="shared" si="23"/>
        <v>-2.0979020979020935</v>
      </c>
      <c r="G65" s="10" t="s">
        <v>48</v>
      </c>
    </row>
    <row r="66" spans="1:7" s="7" customFormat="1" ht="15.6" x14ac:dyDescent="0.35">
      <c r="A66" s="26" t="s">
        <v>26</v>
      </c>
      <c r="B66" s="16">
        <f t="shared" ref="B66:C66" si="24">((B41/B40)-1)*100</f>
        <v>137.40141955583002</v>
      </c>
      <c r="C66" s="16">
        <f t="shared" si="24"/>
        <v>-50.74828689715487</v>
      </c>
      <c r="D66" s="10" t="s">
        <v>48</v>
      </c>
      <c r="E66" s="16">
        <f t="shared" ref="E66:F66" si="25">((E41/E40)-1)*100</f>
        <v>162.67495822476229</v>
      </c>
      <c r="F66" s="16">
        <f t="shared" si="25"/>
        <v>118.45433011176448</v>
      </c>
      <c r="G66" s="10" t="s">
        <v>48</v>
      </c>
    </row>
    <row r="67" spans="1:7" s="7" customFormat="1" ht="15.6" x14ac:dyDescent="0.35">
      <c r="A67" s="26" t="s">
        <v>27</v>
      </c>
      <c r="B67" s="16">
        <f t="shared" ref="B67:C67" si="26">((B43/B42)-1)*100</f>
        <v>185.82534927694593</v>
      </c>
      <c r="C67" s="16">
        <f t="shared" si="26"/>
        <v>70.739272089863107</v>
      </c>
      <c r="D67" s="10" t="s">
        <v>48</v>
      </c>
      <c r="E67" s="16">
        <f t="shared" ref="E67:F67" si="27">((E43/E42)-1)*100</f>
        <v>137.92218438361027</v>
      </c>
      <c r="F67" s="16">
        <f t="shared" si="27"/>
        <v>123.13549432844511</v>
      </c>
      <c r="G67" s="10" t="s">
        <v>48</v>
      </c>
    </row>
    <row r="68" spans="1:7" s="7" customFormat="1" ht="15.6" x14ac:dyDescent="0.35">
      <c r="A68" s="26"/>
      <c r="B68" s="16"/>
      <c r="C68" s="16"/>
      <c r="D68" s="16"/>
      <c r="E68" s="16"/>
      <c r="F68" s="16"/>
      <c r="G68" s="16"/>
    </row>
    <row r="69" spans="1:7" s="7" customFormat="1" ht="15.6" x14ac:dyDescent="0.35">
      <c r="A69" s="25" t="s">
        <v>28</v>
      </c>
      <c r="B69" s="16"/>
      <c r="C69" s="16"/>
      <c r="D69" s="16"/>
      <c r="E69" s="16"/>
      <c r="F69" s="16"/>
      <c r="G69" s="16"/>
    </row>
    <row r="70" spans="1:7" s="7" customFormat="1" ht="15.6" x14ac:dyDescent="0.35">
      <c r="A70" s="26" t="s">
        <v>43</v>
      </c>
      <c r="B70" s="16">
        <f t="shared" ref="B70:G70" si="28">B25/(B18)</f>
        <v>293024.11384899198</v>
      </c>
      <c r="C70" s="16">
        <f t="shared" si="28"/>
        <v>230000</v>
      </c>
      <c r="D70" s="10" t="s">
        <v>48</v>
      </c>
      <c r="E70" s="16">
        <f t="shared" si="28"/>
        <v>297000</v>
      </c>
      <c r="F70" s="16">
        <f t="shared" si="28"/>
        <v>230000</v>
      </c>
      <c r="G70" s="16">
        <f t="shared" si="28"/>
        <v>115000</v>
      </c>
    </row>
    <row r="71" spans="1:7" s="7" customFormat="1" ht="15.6" x14ac:dyDescent="0.35">
      <c r="A71" s="26" t="s">
        <v>44</v>
      </c>
      <c r="B71" s="16">
        <f t="shared" ref="B71:G71" si="29">B26/(B20)</f>
        <v>294043.0263157895</v>
      </c>
      <c r="C71" s="16">
        <f t="shared" si="29"/>
        <v>231835.20599250935</v>
      </c>
      <c r="D71" s="10" t="s">
        <v>48</v>
      </c>
      <c r="E71" s="16">
        <f t="shared" si="29"/>
        <v>299003.94985808892</v>
      </c>
      <c r="F71" s="16">
        <f t="shared" si="29"/>
        <v>232886.59793814432</v>
      </c>
      <c r="G71" s="16">
        <f t="shared" si="29"/>
        <v>115000</v>
      </c>
    </row>
    <row r="72" spans="1:7" s="7" customFormat="1" ht="15.6" hidden="1" x14ac:dyDescent="0.35">
      <c r="A72" s="26" t="s">
        <v>34</v>
      </c>
      <c r="B72" s="16">
        <f t="shared" ref="B72:G72" si="30">B26/B20</f>
        <v>294043.0263157895</v>
      </c>
      <c r="C72" s="16">
        <f t="shared" si="30"/>
        <v>231835.20599250935</v>
      </c>
      <c r="D72" s="10" t="s">
        <v>48</v>
      </c>
      <c r="E72" s="16">
        <f t="shared" si="30"/>
        <v>299003.94985808892</v>
      </c>
      <c r="F72" s="16">
        <f t="shared" si="30"/>
        <v>232886.59793814432</v>
      </c>
      <c r="G72" s="16">
        <f t="shared" si="30"/>
        <v>115000</v>
      </c>
    </row>
    <row r="73" spans="1:7" s="7" customFormat="1" ht="15.6" x14ac:dyDescent="0.35">
      <c r="A73" s="26" t="s">
        <v>29</v>
      </c>
      <c r="B73" s="16">
        <f t="shared" ref="B73:G73" si="31">(B71/B70)*B54</f>
        <v>38.529955485278244</v>
      </c>
      <c r="C73" s="16">
        <f t="shared" si="31"/>
        <v>226.3083637576533</v>
      </c>
      <c r="D73" s="10" t="s">
        <v>48</v>
      </c>
      <c r="E73" s="16">
        <f t="shared" si="31"/>
        <v>35.978764764174407</v>
      </c>
      <c r="F73" s="16">
        <f t="shared" si="31"/>
        <v>101.73930582893223</v>
      </c>
      <c r="G73" s="16">
        <f t="shared" si="31"/>
        <v>2.3936170212765959</v>
      </c>
    </row>
    <row r="74" spans="1:7" s="7" customFormat="1" ht="15.6" x14ac:dyDescent="0.35">
      <c r="A74" s="26" t="s">
        <v>37</v>
      </c>
      <c r="B74" s="16">
        <f t="shared" ref="B74:E74" si="32">(B25/B18)*3</f>
        <v>879072.34154697601</v>
      </c>
      <c r="C74" s="16">
        <f>(C25/C18)*2</f>
        <v>460000</v>
      </c>
      <c r="D74" s="10" t="s">
        <v>48</v>
      </c>
      <c r="E74" s="16">
        <f t="shared" si="32"/>
        <v>891000</v>
      </c>
      <c r="F74" s="16">
        <f>(F25/F18)*2</f>
        <v>460000</v>
      </c>
      <c r="G74" s="16">
        <f>(G25/G18)*2</f>
        <v>230000</v>
      </c>
    </row>
    <row r="75" spans="1:7" s="7" customFormat="1" ht="15.6" x14ac:dyDescent="0.35">
      <c r="A75" s="26" t="s">
        <v>38</v>
      </c>
      <c r="B75" s="16">
        <f t="shared" ref="B75:E75" si="33">(B26/B20)*3</f>
        <v>882129.07894736854</v>
      </c>
      <c r="C75" s="16">
        <f>(C26/C20)*2</f>
        <v>463670.4119850187</v>
      </c>
      <c r="D75" s="10" t="s">
        <v>48</v>
      </c>
      <c r="E75" s="16">
        <f t="shared" si="33"/>
        <v>897011.8495742667</v>
      </c>
      <c r="F75" s="16">
        <f>(F26/F20)*2</f>
        <v>465773.19587628864</v>
      </c>
      <c r="G75" s="16">
        <f>(G26/G20)*2</f>
        <v>230000</v>
      </c>
    </row>
    <row r="76" spans="1:7" s="7" customFormat="1" ht="15.6" x14ac:dyDescent="0.35">
      <c r="A76" s="26"/>
      <c r="B76" s="16"/>
      <c r="C76" s="16"/>
      <c r="D76" s="16"/>
      <c r="E76" s="16"/>
      <c r="F76" s="16"/>
      <c r="G76" s="16"/>
    </row>
    <row r="77" spans="1:7" s="7" customFormat="1" ht="15.6" x14ac:dyDescent="0.35">
      <c r="A77" s="25" t="s">
        <v>30</v>
      </c>
      <c r="B77" s="16"/>
      <c r="C77" s="16"/>
      <c r="D77" s="16"/>
      <c r="E77" s="16"/>
      <c r="F77" s="16"/>
      <c r="G77" s="16"/>
    </row>
    <row r="78" spans="1:7" s="7" customFormat="1" ht="15.6" x14ac:dyDescent="0.35">
      <c r="A78" s="26" t="s">
        <v>31</v>
      </c>
      <c r="B78" s="16">
        <f>(B32/B31)*100</f>
        <v>139.20398399557504</v>
      </c>
      <c r="C78" s="16"/>
      <c r="D78" s="16"/>
      <c r="E78" s="16"/>
      <c r="F78" s="16"/>
      <c r="G78" s="16"/>
    </row>
    <row r="79" spans="1:7" s="7" customFormat="1" ht="15.6" x14ac:dyDescent="0.35">
      <c r="A79" s="26" t="s">
        <v>32</v>
      </c>
      <c r="B79" s="16">
        <f>(B26/B32)*100</f>
        <v>43.314783459205117</v>
      </c>
      <c r="C79" s="16"/>
      <c r="D79" s="16"/>
      <c r="E79" s="16"/>
      <c r="F79" s="16"/>
      <c r="G79" s="16"/>
    </row>
    <row r="80" spans="1:7" s="7" customFormat="1" ht="16.2" thickBot="1" x14ac:dyDescent="0.4">
      <c r="A80" s="18"/>
      <c r="B80" s="19"/>
      <c r="C80" s="19"/>
      <c r="D80" s="19"/>
      <c r="E80" s="19"/>
      <c r="F80" s="19"/>
      <c r="G80" s="19"/>
    </row>
    <row r="81" spans="1:7" s="26" customFormat="1" ht="16.5" customHeight="1" thickTop="1" x14ac:dyDescent="0.35">
      <c r="A81" s="51" t="s">
        <v>86</v>
      </c>
      <c r="B81" s="51"/>
      <c r="C81" s="51"/>
      <c r="D81" s="51"/>
      <c r="E81" s="51"/>
      <c r="F81" s="51"/>
      <c r="G81" s="51"/>
    </row>
    <row r="82" spans="1:7" s="26" customFormat="1" ht="15.6" x14ac:dyDescent="0.35"/>
    <row r="83" spans="1:7" s="26" customFormat="1" ht="15.6" x14ac:dyDescent="0.35">
      <c r="A83" s="26" t="s">
        <v>87</v>
      </c>
      <c r="B83" s="31"/>
      <c r="C83" s="31"/>
    </row>
    <row r="84" spans="1:7" s="26" customFormat="1" ht="15.6" x14ac:dyDescent="0.35"/>
    <row r="85" spans="1:7" s="26" customFormat="1" ht="15.6" x14ac:dyDescent="0.35"/>
    <row r="86" spans="1:7" s="26" customFormat="1" ht="15.6" x14ac:dyDescent="0.35">
      <c r="A86" s="32"/>
    </row>
    <row r="87" spans="1:7" s="26" customFormat="1" ht="15.6" x14ac:dyDescent="0.35"/>
    <row r="88" spans="1:7" s="26" customFormat="1" ht="15.6" x14ac:dyDescent="0.35">
      <c r="A88" s="20"/>
    </row>
    <row r="89" spans="1:7" s="26" customFormat="1" ht="15.6" x14ac:dyDescent="0.35"/>
    <row r="90" spans="1:7" s="26" customFormat="1" ht="15.6" x14ac:dyDescent="0.35"/>
    <row r="91" spans="1:7" s="26" customFormat="1" ht="15.6" x14ac:dyDescent="0.35"/>
    <row r="92" spans="1:7" s="26" customFormat="1" ht="15.6" x14ac:dyDescent="0.35"/>
    <row r="93" spans="1:7" s="26" customFormat="1" ht="15.6" x14ac:dyDescent="0.35"/>
    <row r="94" spans="1:7" s="26" customFormat="1" ht="15.6" x14ac:dyDescent="0.35"/>
    <row r="95" spans="1:7" s="26" customFormat="1" ht="15.6" x14ac:dyDescent="0.35"/>
    <row r="96" spans="1:7" s="26" customFormat="1" ht="15.6" x14ac:dyDescent="0.35"/>
    <row r="97" s="26" customFormat="1" ht="15.6" x14ac:dyDescent="0.35"/>
    <row r="98" s="26" customFormat="1" ht="15.6" x14ac:dyDescent="0.35"/>
    <row r="99" s="26" customFormat="1" ht="15.6" x14ac:dyDescent="0.35"/>
    <row r="100" s="26" customFormat="1" ht="15.6" x14ac:dyDescent="0.35"/>
    <row r="101" s="26" customFormat="1" ht="15.6" x14ac:dyDescent="0.35"/>
    <row r="102" s="26" customFormat="1" ht="15.6" x14ac:dyDescent="0.35"/>
    <row r="103" s="26" customFormat="1" ht="15.6" x14ac:dyDescent="0.35"/>
    <row r="104" s="26" customFormat="1" ht="15.6" x14ac:dyDescent="0.35"/>
    <row r="105" s="26" customFormat="1" ht="15.6" x14ac:dyDescent="0.35"/>
    <row r="106" s="26" customFormat="1" ht="15.6" x14ac:dyDescent="0.35"/>
    <row r="107" s="26" customFormat="1" ht="15.6" x14ac:dyDescent="0.35"/>
    <row r="108" s="26" customFormat="1" ht="15.6" x14ac:dyDescent="0.35"/>
    <row r="109" s="26" customFormat="1" ht="15.6" x14ac:dyDescent="0.35"/>
    <row r="110" s="26" customFormat="1" ht="15.6" x14ac:dyDescent="0.35"/>
    <row r="111" s="26" customFormat="1" ht="15.6" x14ac:dyDescent="0.35"/>
    <row r="112" s="26" customFormat="1" ht="15.6" x14ac:dyDescent="0.35"/>
    <row r="113" s="26" customFormat="1" ht="15.6" x14ac:dyDescent="0.35"/>
    <row r="114" s="26" customFormat="1" ht="15.6" x14ac:dyDescent="0.35"/>
    <row r="115" s="26" customFormat="1" ht="15.6" x14ac:dyDescent="0.35"/>
    <row r="116" s="26" customFormat="1" ht="15.6" x14ac:dyDescent="0.35"/>
    <row r="117" s="26" customFormat="1" ht="15.6" x14ac:dyDescent="0.35"/>
    <row r="118" s="26" customFormat="1" ht="15.6" x14ac:dyDescent="0.35"/>
    <row r="119" s="26" customFormat="1" ht="15.6" x14ac:dyDescent="0.35"/>
    <row r="120" s="26" customFormat="1" ht="15.6" x14ac:dyDescent="0.35"/>
    <row r="121" s="40" customFormat="1" x14ac:dyDescent="0.3"/>
    <row r="122" s="40" customFormat="1" x14ac:dyDescent="0.3"/>
    <row r="123" s="40" customFormat="1" x14ac:dyDescent="0.3"/>
    <row r="124" s="40" customFormat="1" x14ac:dyDescent="0.3"/>
    <row r="125" s="40" customFormat="1" x14ac:dyDescent="0.3"/>
    <row r="168" spans="5:8" x14ac:dyDescent="0.3">
      <c r="E168" s="5"/>
      <c r="F168" s="5"/>
      <c r="G168" s="5"/>
      <c r="H168" s="5"/>
    </row>
    <row r="169" spans="5:8" x14ac:dyDescent="0.3">
      <c r="E169" s="5"/>
      <c r="F169" s="5"/>
      <c r="G169" s="5"/>
      <c r="H169" s="5"/>
    </row>
  </sheetData>
  <mergeCells count="4">
    <mergeCell ref="C9:G9"/>
    <mergeCell ref="A9:A10"/>
    <mergeCell ref="B9:B10"/>
    <mergeCell ref="A81:G81"/>
  </mergeCells>
  <pageMargins left="0.7" right="0.7" top="0.75" bottom="0.75" header="0.3" footer="0.3"/>
  <pageSetup scale="65" orientation="portrait" r:id="rId1"/>
  <ignoredErrors>
    <ignoredError sqref="F74:F75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103"/>
  <sheetViews>
    <sheetView showGridLines="0" zoomScale="80" zoomScaleNormal="80" workbookViewId="0">
      <pane ySplit="10" topLeftCell="A11" activePane="bottomLeft" state="frozen"/>
      <selection activeCell="A9" sqref="A9:A10"/>
      <selection pane="bottomLeft" activeCell="A9" sqref="A9:A10"/>
    </sheetView>
  </sheetViews>
  <sheetFormatPr baseColWidth="10" defaultColWidth="11.44140625" defaultRowHeight="14.4" x14ac:dyDescent="0.3"/>
  <cols>
    <col min="1" max="1" width="60.6640625" style="3" customWidth="1"/>
    <col min="2" max="7" width="20.6640625" style="3" customWidth="1"/>
    <col min="8" max="8" width="11.44140625" style="3"/>
    <col min="9" max="9" width="15.109375" style="3" bestFit="1" customWidth="1"/>
    <col min="10" max="11" width="14.109375" style="3" bestFit="1" customWidth="1"/>
    <col min="12" max="12" width="16.88671875" style="3" bestFit="1" customWidth="1"/>
    <col min="13" max="16384" width="11.44140625" style="3"/>
  </cols>
  <sheetData>
    <row r="2" spans="1:7" s="40" customFormat="1" x14ac:dyDescent="0.3"/>
    <row r="3" spans="1:7" s="40" customFormat="1" x14ac:dyDescent="0.3"/>
    <row r="4" spans="1:7" s="40" customFormat="1" x14ac:dyDescent="0.3"/>
    <row r="5" spans="1:7" s="40" customFormat="1" x14ac:dyDescent="0.3"/>
    <row r="6" spans="1:7" s="40" customFormat="1" x14ac:dyDescent="0.3"/>
    <row r="7" spans="1:7" s="40" customFormat="1" x14ac:dyDescent="0.3"/>
    <row r="8" spans="1:7" s="40" customFormat="1" ht="17.25" customHeight="1" x14ac:dyDescent="0.3"/>
    <row r="9" spans="1:7" s="26" customFormat="1" ht="15.6" x14ac:dyDescent="0.35">
      <c r="A9" s="47" t="s">
        <v>0</v>
      </c>
      <c r="B9" s="49" t="s">
        <v>1</v>
      </c>
      <c r="C9" s="46" t="s">
        <v>2</v>
      </c>
      <c r="D9" s="46"/>
      <c r="E9" s="46"/>
      <c r="F9" s="46"/>
      <c r="G9" s="46"/>
    </row>
    <row r="10" spans="1:7" s="26" customFormat="1" ht="31.8" thickBot="1" x14ac:dyDescent="0.4">
      <c r="A10" s="48"/>
      <c r="B10" s="50"/>
      <c r="C10" s="37" t="s">
        <v>3</v>
      </c>
      <c r="D10" s="37" t="s">
        <v>76</v>
      </c>
      <c r="E10" s="37" t="s">
        <v>77</v>
      </c>
      <c r="F10" s="37" t="s">
        <v>46</v>
      </c>
      <c r="G10" s="37" t="s">
        <v>78</v>
      </c>
    </row>
    <row r="11" spans="1:7" s="26" customFormat="1" ht="16.2" thickTop="1" x14ac:dyDescent="0.35"/>
    <row r="12" spans="1:7" s="26" customFormat="1" ht="15.6" x14ac:dyDescent="0.35">
      <c r="A12" s="25" t="s">
        <v>4</v>
      </c>
    </row>
    <row r="13" spans="1:7" s="26" customFormat="1" ht="15.6" x14ac:dyDescent="0.35"/>
    <row r="14" spans="1:7" s="26" customFormat="1" ht="15.6" x14ac:dyDescent="0.35">
      <c r="A14" s="25" t="s">
        <v>5</v>
      </c>
    </row>
    <row r="15" spans="1:7" s="7" customFormat="1" ht="15.6" x14ac:dyDescent="0.35">
      <c r="A15" s="27" t="s">
        <v>53</v>
      </c>
      <c r="B15" s="10">
        <f>SUM(C15:G15)</f>
        <v>4127</v>
      </c>
      <c r="C15" s="33">
        <v>399</v>
      </c>
      <c r="D15" s="33" t="s">
        <v>48</v>
      </c>
      <c r="E15" s="33">
        <v>1659</v>
      </c>
      <c r="F15" s="33">
        <v>2069</v>
      </c>
      <c r="G15" s="33" t="s">
        <v>48</v>
      </c>
    </row>
    <row r="16" spans="1:7" s="7" customFormat="1" ht="15.6" x14ac:dyDescent="0.35">
      <c r="A16" s="28" t="s">
        <v>33</v>
      </c>
      <c r="B16" s="10">
        <f t="shared" ref="B16:B21" si="0">SUM(C16:G16)</f>
        <v>12671</v>
      </c>
      <c r="C16" s="33">
        <v>1362</v>
      </c>
      <c r="D16" s="33" t="s">
        <v>48</v>
      </c>
      <c r="E16" s="33">
        <v>7358</v>
      </c>
      <c r="F16" s="33">
        <v>3951</v>
      </c>
      <c r="G16" s="33" t="s">
        <v>48</v>
      </c>
    </row>
    <row r="17" spans="1:12" s="7" customFormat="1" ht="15.6" x14ac:dyDescent="0.35">
      <c r="A17" s="27" t="s">
        <v>88</v>
      </c>
      <c r="B17" s="10">
        <f t="shared" si="0"/>
        <v>2265</v>
      </c>
      <c r="C17" s="33">
        <v>540</v>
      </c>
      <c r="D17" s="33">
        <v>0</v>
      </c>
      <c r="E17" s="33">
        <v>1150</v>
      </c>
      <c r="F17" s="33">
        <v>450</v>
      </c>
      <c r="G17" s="33">
        <v>125</v>
      </c>
    </row>
    <row r="18" spans="1:12" s="7" customFormat="1" ht="15.6" x14ac:dyDescent="0.35">
      <c r="A18" s="28" t="s">
        <v>33</v>
      </c>
      <c r="B18" s="10">
        <f t="shared" si="0"/>
        <v>21498</v>
      </c>
      <c r="C18" s="33">
        <v>1060</v>
      </c>
      <c r="D18" s="33">
        <v>0</v>
      </c>
      <c r="E18" s="33">
        <v>18750</v>
      </c>
      <c r="F18" s="33">
        <v>1500</v>
      </c>
      <c r="G18" s="33">
        <v>188</v>
      </c>
    </row>
    <row r="19" spans="1:12" s="7" customFormat="1" ht="15.6" x14ac:dyDescent="0.35">
      <c r="A19" s="27" t="s">
        <v>89</v>
      </c>
      <c r="B19" s="10">
        <f t="shared" si="0"/>
        <v>2635</v>
      </c>
      <c r="C19" s="33">
        <v>692</v>
      </c>
      <c r="D19" s="33">
        <v>0</v>
      </c>
      <c r="E19" s="33">
        <v>1134</v>
      </c>
      <c r="F19" s="33">
        <v>809</v>
      </c>
      <c r="G19" s="33">
        <v>0</v>
      </c>
    </row>
    <row r="20" spans="1:12" s="7" customFormat="1" ht="15.6" x14ac:dyDescent="0.35">
      <c r="A20" s="28" t="s">
        <v>33</v>
      </c>
      <c r="B20" s="10">
        <f t="shared" si="0"/>
        <v>11043</v>
      </c>
      <c r="C20" s="33">
        <v>7238</v>
      </c>
      <c r="D20" s="33">
        <v>0</v>
      </c>
      <c r="E20" s="33">
        <v>2164</v>
      </c>
      <c r="F20" s="33">
        <v>1641</v>
      </c>
      <c r="G20" s="33">
        <v>0</v>
      </c>
    </row>
    <row r="21" spans="1:12" s="7" customFormat="1" ht="15.6" x14ac:dyDescent="0.35">
      <c r="A21" s="27" t="s">
        <v>81</v>
      </c>
      <c r="B21" s="10">
        <f t="shared" si="0"/>
        <v>12844</v>
      </c>
      <c r="C21" s="33">
        <v>1007</v>
      </c>
      <c r="D21" s="33">
        <v>2487</v>
      </c>
      <c r="E21" s="33">
        <v>7632</v>
      </c>
      <c r="F21" s="33">
        <v>1220</v>
      </c>
      <c r="G21" s="33">
        <v>498</v>
      </c>
    </row>
    <row r="22" spans="1:12" s="7" customFormat="1" ht="15.6" x14ac:dyDescent="0.35">
      <c r="A22" s="26"/>
      <c r="B22" s="10"/>
      <c r="C22" s="33"/>
      <c r="D22" s="33"/>
      <c r="E22" s="33"/>
      <c r="F22" s="33"/>
      <c r="G22" s="33"/>
    </row>
    <row r="23" spans="1:12" s="7" customFormat="1" ht="15.6" x14ac:dyDescent="0.35">
      <c r="A23" s="29" t="s">
        <v>6</v>
      </c>
      <c r="B23" s="10"/>
      <c r="C23" s="33"/>
      <c r="D23" s="33"/>
      <c r="E23" s="33"/>
      <c r="F23" s="33"/>
      <c r="G23" s="33"/>
    </row>
    <row r="24" spans="1:12" s="7" customFormat="1" ht="15.6" x14ac:dyDescent="0.35">
      <c r="A24" s="27" t="s">
        <v>53</v>
      </c>
      <c r="B24" s="10">
        <f>SUM(C24:G24)</f>
        <v>2907607100</v>
      </c>
      <c r="C24" s="33">
        <v>313260000</v>
      </c>
      <c r="D24" s="33" t="s">
        <v>48</v>
      </c>
      <c r="E24" s="33">
        <v>1685617100</v>
      </c>
      <c r="F24" s="33">
        <v>908730000</v>
      </c>
      <c r="G24" s="33" t="s">
        <v>48</v>
      </c>
    </row>
    <row r="25" spans="1:12" s="7" customFormat="1" ht="15.6" x14ac:dyDescent="0.35">
      <c r="A25" s="27" t="s">
        <v>88</v>
      </c>
      <c r="B25" s="10">
        <f>SUM(C25:G25)</f>
        <v>6191970000</v>
      </c>
      <c r="C25" s="33">
        <v>249100000</v>
      </c>
      <c r="D25" s="33">
        <v>0</v>
      </c>
      <c r="E25" s="33">
        <v>5568750000</v>
      </c>
      <c r="F25" s="33">
        <v>352500000</v>
      </c>
      <c r="G25" s="33">
        <v>21620000</v>
      </c>
    </row>
    <row r="26" spans="1:12" s="7" customFormat="1" ht="15.6" x14ac:dyDescent="0.35">
      <c r="A26" s="27" t="s">
        <v>89</v>
      </c>
      <c r="B26" s="10">
        <f>SUM(C26:G26)</f>
        <v>3019813850</v>
      </c>
      <c r="C26" s="33">
        <v>508540000</v>
      </c>
      <c r="D26" s="33">
        <v>0</v>
      </c>
      <c r="E26" s="33">
        <v>2125638850</v>
      </c>
      <c r="F26" s="33">
        <v>385635000</v>
      </c>
      <c r="G26" s="33">
        <v>0</v>
      </c>
      <c r="I26" s="21"/>
      <c r="J26" s="21"/>
      <c r="K26" s="21"/>
      <c r="L26" s="21"/>
    </row>
    <row r="27" spans="1:12" s="7" customFormat="1" ht="15.6" x14ac:dyDescent="0.35">
      <c r="A27" s="27" t="s">
        <v>81</v>
      </c>
      <c r="B27" s="10">
        <f>SUM(C27:G27)</f>
        <v>15682222000</v>
      </c>
      <c r="C27" s="33">
        <v>1072090000</v>
      </c>
      <c r="D27" s="33">
        <v>838119000</v>
      </c>
      <c r="E27" s="33">
        <v>12169278000</v>
      </c>
      <c r="F27" s="33">
        <v>1516600000</v>
      </c>
      <c r="G27" s="33">
        <v>86135000</v>
      </c>
    </row>
    <row r="28" spans="1:12" s="7" customFormat="1" ht="15.6" x14ac:dyDescent="0.35">
      <c r="A28" s="27" t="s">
        <v>90</v>
      </c>
      <c r="B28" s="10">
        <f>SUM(C28:G28)</f>
        <v>3019813850</v>
      </c>
      <c r="C28" s="10">
        <f>C26</f>
        <v>508540000</v>
      </c>
      <c r="D28" s="10">
        <f>D26</f>
        <v>0</v>
      </c>
      <c r="E28" s="10">
        <f>E26</f>
        <v>2125638850</v>
      </c>
      <c r="F28" s="10">
        <f>F26</f>
        <v>385635000</v>
      </c>
      <c r="G28" s="10">
        <f>G26</f>
        <v>0</v>
      </c>
    </row>
    <row r="29" spans="1:12" s="7" customFormat="1" ht="15.6" x14ac:dyDescent="0.35">
      <c r="A29" s="26"/>
      <c r="B29" s="10"/>
      <c r="C29" s="10"/>
      <c r="D29" s="10"/>
      <c r="E29" s="10"/>
      <c r="F29" s="10"/>
      <c r="G29" s="10"/>
    </row>
    <row r="30" spans="1:12" s="7" customFormat="1" ht="15.6" x14ac:dyDescent="0.35">
      <c r="A30" s="25" t="s">
        <v>7</v>
      </c>
      <c r="B30" s="10"/>
      <c r="C30" s="10"/>
      <c r="D30" s="10"/>
      <c r="E30" s="10"/>
      <c r="F30" s="10"/>
      <c r="G30" s="10"/>
    </row>
    <row r="31" spans="1:12" s="7" customFormat="1" ht="15.6" x14ac:dyDescent="0.35">
      <c r="A31" s="30" t="s">
        <v>88</v>
      </c>
      <c r="B31" s="10">
        <f>B25</f>
        <v>6191970000</v>
      </c>
      <c r="C31" s="10"/>
      <c r="D31" s="10"/>
      <c r="E31" s="10"/>
      <c r="F31" s="10"/>
      <c r="G31" s="10"/>
    </row>
    <row r="32" spans="1:12" s="7" customFormat="1" ht="15.6" x14ac:dyDescent="0.35">
      <c r="A32" s="30" t="s">
        <v>89</v>
      </c>
      <c r="B32" s="33">
        <v>2506282523</v>
      </c>
      <c r="C32" s="10"/>
      <c r="D32" s="10"/>
      <c r="E32" s="10"/>
      <c r="F32" s="10"/>
      <c r="G32" s="10"/>
    </row>
    <row r="33" spans="1:8" s="7" customFormat="1" ht="15.6" x14ac:dyDescent="0.35">
      <c r="A33" s="26"/>
      <c r="B33" s="14"/>
      <c r="C33" s="14"/>
      <c r="D33" s="14"/>
      <c r="E33" s="14"/>
      <c r="F33" s="14"/>
      <c r="G33" s="14"/>
    </row>
    <row r="34" spans="1:8" s="7" customFormat="1" ht="15.6" x14ac:dyDescent="0.35">
      <c r="A34" s="25" t="s">
        <v>8</v>
      </c>
      <c r="B34" s="14"/>
      <c r="C34" s="14"/>
      <c r="D34" s="14"/>
      <c r="E34" s="14"/>
      <c r="F34" s="14"/>
      <c r="G34" s="14"/>
    </row>
    <row r="35" spans="1:8" s="7" customFormat="1" ht="15.6" x14ac:dyDescent="0.35">
      <c r="A35" s="26" t="s">
        <v>54</v>
      </c>
      <c r="B35" s="39">
        <v>1.0973999999999999</v>
      </c>
      <c r="C35" s="39">
        <v>1.0973999999999999</v>
      </c>
      <c r="D35" s="39">
        <v>1.0973999999999999</v>
      </c>
      <c r="E35" s="39">
        <v>1.0973999999999999</v>
      </c>
      <c r="F35" s="39">
        <v>1.0973999999999999</v>
      </c>
      <c r="G35" s="39">
        <v>1.0973999999999999</v>
      </c>
      <c r="H35" s="15"/>
    </row>
    <row r="36" spans="1:8" s="7" customFormat="1" ht="15.6" x14ac:dyDescent="0.35">
      <c r="A36" s="26" t="s">
        <v>91</v>
      </c>
      <c r="B36" s="39">
        <v>1.0971</v>
      </c>
      <c r="C36" s="39">
        <v>1.0971</v>
      </c>
      <c r="D36" s="39">
        <v>1.0971</v>
      </c>
      <c r="E36" s="39">
        <v>1.0971</v>
      </c>
      <c r="F36" s="39">
        <v>1.0971</v>
      </c>
      <c r="G36" s="39">
        <v>1.0971</v>
      </c>
      <c r="H36" s="15"/>
    </row>
    <row r="37" spans="1:8" s="7" customFormat="1" ht="15.6" x14ac:dyDescent="0.35">
      <c r="A37" s="26" t="s">
        <v>9</v>
      </c>
      <c r="B37" s="10">
        <f>C37+E37</f>
        <v>104416</v>
      </c>
      <c r="C37" s="10">
        <v>79512</v>
      </c>
      <c r="D37" s="10">
        <v>79512</v>
      </c>
      <c r="E37" s="10">
        <v>24904</v>
      </c>
      <c r="F37" s="10">
        <v>79512</v>
      </c>
      <c r="G37" s="10">
        <v>79512</v>
      </c>
    </row>
    <row r="38" spans="1:8" s="7" customFormat="1" ht="15.6" x14ac:dyDescent="0.35">
      <c r="A38" s="26"/>
      <c r="B38" s="10"/>
      <c r="C38" s="10"/>
      <c r="D38" s="10"/>
      <c r="E38" s="10"/>
      <c r="F38" s="10"/>
      <c r="G38" s="10"/>
    </row>
    <row r="39" spans="1:8" s="7" customFormat="1" ht="15.6" x14ac:dyDescent="0.35">
      <c r="A39" s="25" t="s">
        <v>10</v>
      </c>
      <c r="B39" s="10"/>
      <c r="C39" s="10"/>
      <c r="D39" s="10"/>
      <c r="E39" s="10"/>
      <c r="F39" s="10"/>
      <c r="G39" s="10"/>
    </row>
    <row r="40" spans="1:8" s="7" customFormat="1" ht="15.6" x14ac:dyDescent="0.35">
      <c r="A40" s="26" t="s">
        <v>55</v>
      </c>
      <c r="B40" s="10">
        <f t="shared" ref="B40:C40" si="1">B24/B35</f>
        <v>2649541735.0100241</v>
      </c>
      <c r="C40" s="10">
        <f t="shared" si="1"/>
        <v>285456533.62493169</v>
      </c>
      <c r="D40" s="10" t="s">
        <v>48</v>
      </c>
      <c r="E40" s="10">
        <f t="shared" ref="E40:F40" si="2">E24/E35</f>
        <v>1536009750.3189359</v>
      </c>
      <c r="F40" s="10">
        <f t="shared" si="2"/>
        <v>828075451.06615639</v>
      </c>
      <c r="G40" s="10" t="s">
        <v>48</v>
      </c>
    </row>
    <row r="41" spans="1:8" s="7" customFormat="1" ht="15.6" x14ac:dyDescent="0.35">
      <c r="A41" s="26" t="s">
        <v>92</v>
      </c>
      <c r="B41" s="10">
        <f t="shared" ref="B41:C41" si="3">B26/B36</f>
        <v>2752542019.8705678</v>
      </c>
      <c r="C41" s="10">
        <f t="shared" si="3"/>
        <v>463531127.51800203</v>
      </c>
      <c r="D41" s="10">
        <f t="shared" ref="D41:F41" si="4">D26/D36</f>
        <v>0</v>
      </c>
      <c r="E41" s="10">
        <f t="shared" si="4"/>
        <v>1937506927.3539331</v>
      </c>
      <c r="F41" s="10">
        <f t="shared" si="4"/>
        <v>351503964.99863279</v>
      </c>
      <c r="G41" s="10">
        <f t="shared" ref="G41" si="5">G26/G36</f>
        <v>0</v>
      </c>
    </row>
    <row r="42" spans="1:8" s="7" customFormat="1" ht="15.6" x14ac:dyDescent="0.35">
      <c r="A42" s="26" t="s">
        <v>56</v>
      </c>
      <c r="B42" s="10">
        <f t="shared" ref="B42:C42" si="6">B40/B15</f>
        <v>642001.87424522033</v>
      </c>
      <c r="C42" s="10">
        <f t="shared" si="6"/>
        <v>715429.90883441526</v>
      </c>
      <c r="D42" s="10" t="s">
        <v>48</v>
      </c>
      <c r="E42" s="10">
        <f t="shared" ref="E42:F42" si="7">E40/E15</f>
        <v>925864.82840201072</v>
      </c>
      <c r="F42" s="10">
        <f t="shared" si="7"/>
        <v>400229.7975186836</v>
      </c>
      <c r="G42" s="10" t="s">
        <v>48</v>
      </c>
    </row>
    <row r="43" spans="1:8" s="7" customFormat="1" ht="15.6" x14ac:dyDescent="0.35">
      <c r="A43" s="26" t="s">
        <v>93</v>
      </c>
      <c r="B43" s="10">
        <f t="shared" ref="B43:C43" si="8">B41/B19</f>
        <v>1044607.9771804812</v>
      </c>
      <c r="C43" s="10">
        <f t="shared" si="8"/>
        <v>669842.66982370231</v>
      </c>
      <c r="D43" s="10" t="s">
        <v>48</v>
      </c>
      <c r="E43" s="10">
        <f t="shared" ref="E43:F43" si="9">E41/E19</f>
        <v>1708559.9006648441</v>
      </c>
      <c r="F43" s="10">
        <f t="shared" si="9"/>
        <v>434491.9221243916</v>
      </c>
      <c r="G43" s="10" t="s">
        <v>48</v>
      </c>
    </row>
    <row r="44" spans="1:8" s="7" customFormat="1" ht="15.6" x14ac:dyDescent="0.35">
      <c r="A44" s="26"/>
      <c r="B44" s="14"/>
      <c r="C44" s="14"/>
      <c r="D44" s="14"/>
      <c r="E44" s="14"/>
      <c r="F44" s="14"/>
      <c r="G44" s="14"/>
    </row>
    <row r="45" spans="1:8" s="7" customFormat="1" ht="15.6" x14ac:dyDescent="0.35">
      <c r="A45" s="25" t="s">
        <v>11</v>
      </c>
      <c r="B45" s="14"/>
      <c r="C45" s="14"/>
      <c r="D45" s="14"/>
      <c r="E45" s="14"/>
      <c r="F45" s="14"/>
      <c r="G45" s="14"/>
    </row>
    <row r="46" spans="1:8" s="7" customFormat="1" ht="15.6" x14ac:dyDescent="0.35">
      <c r="A46" s="26"/>
      <c r="B46" s="14"/>
      <c r="C46" s="14"/>
      <c r="D46" s="14"/>
      <c r="E46" s="14"/>
      <c r="F46" s="14"/>
      <c r="G46" s="14"/>
    </row>
    <row r="47" spans="1:8" s="7" customFormat="1" ht="15.6" x14ac:dyDescent="0.35">
      <c r="A47" s="25" t="s">
        <v>12</v>
      </c>
      <c r="B47" s="14"/>
      <c r="C47" s="14"/>
      <c r="D47" s="14"/>
      <c r="E47" s="14"/>
      <c r="F47" s="14"/>
      <c r="G47" s="14"/>
    </row>
    <row r="48" spans="1:8" s="7" customFormat="1" ht="15.6" x14ac:dyDescent="0.35">
      <c r="A48" s="26" t="s">
        <v>13</v>
      </c>
      <c r="B48" s="16">
        <f t="shared" ref="B48" si="10">B17/B37*100</f>
        <v>2.1692077842476247</v>
      </c>
      <c r="C48" s="16">
        <f t="shared" ref="C48:G48" si="11">C17/C37*100</f>
        <v>0.6791427709025053</v>
      </c>
      <c r="D48" s="16">
        <f t="shared" si="11"/>
        <v>0</v>
      </c>
      <c r="E48" s="16">
        <f t="shared" si="11"/>
        <v>4.6177320912303248</v>
      </c>
      <c r="F48" s="16">
        <f>F17/F37*100</f>
        <v>0.56595230908542105</v>
      </c>
      <c r="G48" s="16">
        <f t="shared" si="11"/>
        <v>0.1572089747459503</v>
      </c>
    </row>
    <row r="49" spans="1:7" s="7" customFormat="1" ht="15.6" x14ac:dyDescent="0.35">
      <c r="A49" s="26" t="s">
        <v>14</v>
      </c>
      <c r="B49" s="16">
        <f t="shared" ref="B49" si="12">B19/B37*100</f>
        <v>2.5235596077229543</v>
      </c>
      <c r="C49" s="16">
        <f t="shared" ref="C49:G49" si="13">C19/C37*100</f>
        <v>0.87030888419358088</v>
      </c>
      <c r="D49" s="16">
        <f t="shared" si="13"/>
        <v>0</v>
      </c>
      <c r="E49" s="16">
        <f t="shared" si="13"/>
        <v>4.5534853838740768</v>
      </c>
      <c r="F49" s="16">
        <f t="shared" si="13"/>
        <v>1.0174564845557903</v>
      </c>
      <c r="G49" s="16">
        <f t="shared" si="13"/>
        <v>0</v>
      </c>
    </row>
    <row r="50" spans="1:7" s="7" customFormat="1" ht="15.6" x14ac:dyDescent="0.35">
      <c r="A50" s="26"/>
      <c r="B50" s="16"/>
      <c r="C50" s="16"/>
      <c r="D50" s="16"/>
      <c r="E50" s="16"/>
      <c r="F50" s="16"/>
      <c r="G50" s="16"/>
    </row>
    <row r="51" spans="1:7" s="7" customFormat="1" ht="15.6" x14ac:dyDescent="0.35">
      <c r="A51" s="25" t="s">
        <v>15</v>
      </c>
      <c r="B51" s="16"/>
      <c r="C51" s="16"/>
      <c r="D51" s="16"/>
      <c r="E51" s="16"/>
      <c r="F51" s="16"/>
      <c r="G51" s="16"/>
    </row>
    <row r="52" spans="1:7" s="7" customFormat="1" ht="15.6" x14ac:dyDescent="0.35">
      <c r="A52" s="26" t="s">
        <v>16</v>
      </c>
      <c r="B52" s="16">
        <f t="shared" ref="B52" si="14">B19/B17*100</f>
        <v>116.3355408388521</v>
      </c>
      <c r="C52" s="16">
        <f t="shared" ref="C52:G52" si="15">C19/C17*100</f>
        <v>128.14814814814815</v>
      </c>
      <c r="D52" s="10" t="s">
        <v>48</v>
      </c>
      <c r="E52" s="16">
        <f t="shared" si="15"/>
        <v>98.608695652173921</v>
      </c>
      <c r="F52" s="16">
        <f t="shared" si="15"/>
        <v>179.77777777777777</v>
      </c>
      <c r="G52" s="16">
        <f t="shared" si="15"/>
        <v>0</v>
      </c>
    </row>
    <row r="53" spans="1:7" s="7" customFormat="1" ht="15.6" x14ac:dyDescent="0.35">
      <c r="A53" s="26" t="s">
        <v>17</v>
      </c>
      <c r="B53" s="16">
        <f t="shared" ref="B53" si="16">B26/B25*100</f>
        <v>48.769839808655405</v>
      </c>
      <c r="C53" s="16">
        <f t="shared" ref="C53:G53" si="17">C26/C25*100</f>
        <v>204.15094339622644</v>
      </c>
      <c r="D53" s="10" t="s">
        <v>48</v>
      </c>
      <c r="E53" s="16">
        <f t="shared" si="17"/>
        <v>38.170843546576883</v>
      </c>
      <c r="F53" s="16">
        <f t="shared" si="17"/>
        <v>109.4</v>
      </c>
      <c r="G53" s="16">
        <f t="shared" si="17"/>
        <v>0</v>
      </c>
    </row>
    <row r="54" spans="1:7" s="7" customFormat="1" ht="15.6" x14ac:dyDescent="0.35">
      <c r="A54" s="26" t="s">
        <v>18</v>
      </c>
      <c r="B54" s="16">
        <f t="shared" ref="B54" si="18">AVERAGE(B52:B53)</f>
        <v>82.552690323753751</v>
      </c>
      <c r="C54" s="16">
        <f t="shared" ref="C54:G54" si="19">AVERAGE(C52:C53)</f>
        <v>166.14954577218731</v>
      </c>
      <c r="D54" s="10" t="s">
        <v>48</v>
      </c>
      <c r="E54" s="16">
        <f t="shared" si="19"/>
        <v>68.389769599375398</v>
      </c>
      <c r="F54" s="16">
        <f t="shared" si="19"/>
        <v>144.5888888888889</v>
      </c>
      <c r="G54" s="16">
        <f t="shared" si="19"/>
        <v>0</v>
      </c>
    </row>
    <row r="55" spans="1:7" s="7" customFormat="1" ht="15.6" x14ac:dyDescent="0.35">
      <c r="A55" s="26"/>
      <c r="B55" s="16"/>
      <c r="C55" s="16"/>
      <c r="D55" s="16"/>
      <c r="E55" s="16"/>
      <c r="F55" s="16"/>
      <c r="G55" s="16"/>
    </row>
    <row r="56" spans="1:7" s="7" customFormat="1" ht="15.6" x14ac:dyDescent="0.35">
      <c r="A56" s="25" t="s">
        <v>19</v>
      </c>
      <c r="B56" s="16"/>
      <c r="C56" s="16"/>
      <c r="D56" s="16"/>
      <c r="E56" s="16"/>
      <c r="F56" s="16"/>
      <c r="G56" s="16"/>
    </row>
    <row r="57" spans="1:7" s="7" customFormat="1" ht="15.6" x14ac:dyDescent="0.35">
      <c r="A57" s="26" t="s">
        <v>20</v>
      </c>
      <c r="B57" s="16">
        <f t="shared" ref="B57" si="20">B19/B21*100</f>
        <v>20.515415758330739</v>
      </c>
      <c r="C57" s="16">
        <f t="shared" ref="C57:G57" si="21">C19/C21*100</f>
        <v>68.718967229394252</v>
      </c>
      <c r="D57" s="16">
        <f t="shared" si="21"/>
        <v>0</v>
      </c>
      <c r="E57" s="16">
        <f t="shared" si="21"/>
        <v>14.858490566037736</v>
      </c>
      <c r="F57" s="16">
        <f t="shared" si="21"/>
        <v>66.311475409836063</v>
      </c>
      <c r="G57" s="16">
        <f t="shared" si="21"/>
        <v>0</v>
      </c>
    </row>
    <row r="58" spans="1:7" s="7" customFormat="1" ht="15.6" x14ac:dyDescent="0.35">
      <c r="A58" s="26" t="s">
        <v>21</v>
      </c>
      <c r="B58" s="16">
        <f t="shared" ref="B58" si="22">B26/B27*100</f>
        <v>19.25628810764189</v>
      </c>
      <c r="C58" s="16">
        <f t="shared" ref="C58:G58" si="23">C26/C27*100</f>
        <v>47.434450465912377</v>
      </c>
      <c r="D58" s="16">
        <f t="shared" si="23"/>
        <v>0</v>
      </c>
      <c r="E58" s="16">
        <f t="shared" si="23"/>
        <v>17.467255247188866</v>
      </c>
      <c r="F58" s="16">
        <f t="shared" si="23"/>
        <v>25.427601213240141</v>
      </c>
      <c r="G58" s="16">
        <f t="shared" si="23"/>
        <v>0</v>
      </c>
    </row>
    <row r="59" spans="1:7" s="7" customFormat="1" ht="15.6" x14ac:dyDescent="0.35">
      <c r="A59" s="26" t="s">
        <v>22</v>
      </c>
      <c r="B59" s="16">
        <f t="shared" ref="B59" si="24">(B57+B58)/2</f>
        <v>19.885851932986313</v>
      </c>
      <c r="C59" s="16">
        <f t="shared" ref="C59:G59" si="25">(C57+C58)/2</f>
        <v>58.076708847653315</v>
      </c>
      <c r="D59" s="16">
        <f t="shared" si="25"/>
        <v>0</v>
      </c>
      <c r="E59" s="16">
        <f t="shared" si="25"/>
        <v>16.162872906613302</v>
      </c>
      <c r="F59" s="16">
        <f t="shared" si="25"/>
        <v>45.869538311538101</v>
      </c>
      <c r="G59" s="16">
        <f t="shared" si="25"/>
        <v>0</v>
      </c>
    </row>
    <row r="60" spans="1:7" s="7" customFormat="1" ht="15.6" x14ac:dyDescent="0.35">
      <c r="A60" s="26"/>
      <c r="B60" s="16"/>
      <c r="C60" s="16"/>
      <c r="D60" s="16"/>
      <c r="E60" s="16"/>
      <c r="F60" s="16"/>
      <c r="G60" s="16"/>
    </row>
    <row r="61" spans="1:7" s="7" customFormat="1" ht="15.6" x14ac:dyDescent="0.35">
      <c r="A61" s="25" t="s">
        <v>47</v>
      </c>
      <c r="B61" s="16"/>
      <c r="C61" s="16"/>
      <c r="D61" s="16"/>
      <c r="E61" s="16"/>
      <c r="F61" s="16"/>
      <c r="G61" s="16"/>
    </row>
    <row r="62" spans="1:7" s="7" customFormat="1" ht="15.6" x14ac:dyDescent="0.35">
      <c r="A62" s="26" t="s">
        <v>23</v>
      </c>
      <c r="B62" s="16">
        <f>B28/B26*100</f>
        <v>100</v>
      </c>
      <c r="C62" s="16"/>
      <c r="D62" s="16"/>
      <c r="E62" s="16"/>
      <c r="F62" s="16"/>
      <c r="G62" s="16"/>
    </row>
    <row r="63" spans="1:7" s="7" customFormat="1" ht="15.6" x14ac:dyDescent="0.35">
      <c r="A63" s="26"/>
      <c r="B63" s="16"/>
      <c r="C63" s="16"/>
      <c r="D63" s="16"/>
      <c r="E63" s="16"/>
      <c r="F63" s="16"/>
      <c r="G63" s="16"/>
    </row>
    <row r="64" spans="1:7" s="7" customFormat="1" ht="15.6" x14ac:dyDescent="0.35">
      <c r="A64" s="25" t="s">
        <v>24</v>
      </c>
      <c r="B64" s="16"/>
      <c r="C64" s="16"/>
      <c r="D64" s="16"/>
      <c r="E64" s="16"/>
      <c r="F64" s="16"/>
      <c r="G64" s="16"/>
    </row>
    <row r="65" spans="1:7" s="7" customFormat="1" ht="15.6" x14ac:dyDescent="0.35">
      <c r="A65" s="26" t="s">
        <v>25</v>
      </c>
      <c r="B65" s="16">
        <f t="shared" ref="B65" si="26">((B19/B15)-1)*100</f>
        <v>-36.152168645505213</v>
      </c>
      <c r="C65" s="16">
        <f t="shared" ref="C65:F65" si="27">((C19/C15)-1)*100</f>
        <v>73.433583959899735</v>
      </c>
      <c r="D65" s="10" t="s">
        <v>48</v>
      </c>
      <c r="E65" s="16">
        <f t="shared" si="27"/>
        <v>-31.645569620253166</v>
      </c>
      <c r="F65" s="16">
        <f t="shared" si="27"/>
        <v>-60.898985016916384</v>
      </c>
      <c r="G65" s="10" t="s">
        <v>48</v>
      </c>
    </row>
    <row r="66" spans="1:7" s="7" customFormat="1" ht="15.6" x14ac:dyDescent="0.35">
      <c r="A66" s="26" t="s">
        <v>26</v>
      </c>
      <c r="B66" s="16">
        <f t="shared" ref="B66" si="28">((B41/B40)-1)*100</f>
        <v>3.8874754641354592</v>
      </c>
      <c r="C66" s="16">
        <f t="shared" ref="C66:F66" si="29">((C41/C40)-1)*100</f>
        <v>62.382385027853985</v>
      </c>
      <c r="D66" s="10" t="s">
        <v>48</v>
      </c>
      <c r="E66" s="16">
        <f t="shared" si="29"/>
        <v>26.138973203238503</v>
      </c>
      <c r="F66" s="16">
        <f t="shared" si="29"/>
        <v>-57.551698393417226</v>
      </c>
      <c r="G66" s="10" t="s">
        <v>48</v>
      </c>
    </row>
    <row r="67" spans="1:7" s="7" customFormat="1" ht="15.6" x14ac:dyDescent="0.35">
      <c r="A67" s="26" t="s">
        <v>27</v>
      </c>
      <c r="B67" s="16">
        <f t="shared" ref="B67" si="30">((B43/B42)-1)*100</f>
        <v>62.711047909103243</v>
      </c>
      <c r="C67" s="16">
        <f t="shared" ref="C67:F67" si="31">((C43/C42)-1)*100</f>
        <v>-6.3720063206448962</v>
      </c>
      <c r="D67" s="10" t="s">
        <v>48</v>
      </c>
      <c r="E67" s="16">
        <f t="shared" si="31"/>
        <v>84.536645982515608</v>
      </c>
      <c r="F67" s="16">
        <f t="shared" si="31"/>
        <v>8.5606131322864663</v>
      </c>
      <c r="G67" s="10" t="s">
        <v>48</v>
      </c>
    </row>
    <row r="68" spans="1:7" s="7" customFormat="1" ht="15.6" x14ac:dyDescent="0.35">
      <c r="A68" s="26"/>
      <c r="B68" s="16"/>
      <c r="C68" s="16"/>
      <c r="D68" s="16"/>
      <c r="E68" s="16"/>
      <c r="F68" s="16"/>
      <c r="G68" s="16"/>
    </row>
    <row r="69" spans="1:7" s="7" customFormat="1" ht="15.6" x14ac:dyDescent="0.35">
      <c r="A69" s="25" t="s">
        <v>28</v>
      </c>
      <c r="B69" s="16"/>
      <c r="C69" s="16"/>
      <c r="D69" s="16"/>
      <c r="E69" s="16"/>
      <c r="F69" s="16"/>
      <c r="G69" s="16"/>
    </row>
    <row r="70" spans="1:7" s="7" customFormat="1" ht="15.6" x14ac:dyDescent="0.35">
      <c r="A70" s="26" t="s">
        <v>43</v>
      </c>
      <c r="B70" s="16">
        <f t="shared" ref="B70" si="32">B25/(B18)</f>
        <v>288025.39771141502</v>
      </c>
      <c r="C70" s="16">
        <f t="shared" ref="C70:G70" si="33">C25/(C18)</f>
        <v>235000</v>
      </c>
      <c r="D70" s="10" t="s">
        <v>48</v>
      </c>
      <c r="E70" s="16">
        <f t="shared" si="33"/>
        <v>297000</v>
      </c>
      <c r="F70" s="16">
        <f t="shared" si="33"/>
        <v>235000</v>
      </c>
      <c r="G70" s="16">
        <f t="shared" si="33"/>
        <v>115000</v>
      </c>
    </row>
    <row r="71" spans="1:7" s="7" customFormat="1" ht="15.6" x14ac:dyDescent="0.35">
      <c r="A71" s="26" t="s">
        <v>44</v>
      </c>
      <c r="B71" s="16">
        <f t="shared" ref="B71" si="34">B26/(B20)</f>
        <v>273459.5535633433</v>
      </c>
      <c r="C71" s="16">
        <f t="shared" ref="C71:F71" si="35">C26/(C20)</f>
        <v>70259.740259740254</v>
      </c>
      <c r="D71" s="10" t="s">
        <v>48</v>
      </c>
      <c r="E71" s="16">
        <f t="shared" si="35"/>
        <v>982273.03604436223</v>
      </c>
      <c r="F71" s="16">
        <f t="shared" si="35"/>
        <v>235000</v>
      </c>
      <c r="G71" s="10" t="s">
        <v>48</v>
      </c>
    </row>
    <row r="72" spans="1:7" s="7" customFormat="1" ht="15.6" hidden="1" x14ac:dyDescent="0.35">
      <c r="A72" s="26" t="s">
        <v>34</v>
      </c>
      <c r="B72" s="16">
        <f t="shared" ref="B72" si="36">B26/B20</f>
        <v>273459.5535633433</v>
      </c>
      <c r="C72" s="16">
        <f t="shared" ref="C72:F72" si="37">C26/C20</f>
        <v>70259.740259740254</v>
      </c>
      <c r="D72" s="10" t="s">
        <v>48</v>
      </c>
      <c r="E72" s="16">
        <f t="shared" si="37"/>
        <v>982273.03604436223</v>
      </c>
      <c r="F72" s="16">
        <f t="shared" si="37"/>
        <v>235000</v>
      </c>
      <c r="G72" s="10" t="s">
        <v>48</v>
      </c>
    </row>
    <row r="73" spans="1:7" s="7" customFormat="1" ht="15.6" x14ac:dyDescent="0.35">
      <c r="A73" s="26" t="s">
        <v>29</v>
      </c>
      <c r="B73" s="16">
        <f t="shared" ref="B73" si="38">(B71/B70)*B54</f>
        <v>78.377886189069031</v>
      </c>
      <c r="C73" s="16">
        <f t="shared" ref="C73:F73" si="39">(C71/C70)*C54</f>
        <v>49.674995447777469</v>
      </c>
      <c r="D73" s="10" t="s">
        <v>48</v>
      </c>
      <c r="E73" s="16">
        <f t="shared" si="39"/>
        <v>226.18662161196264</v>
      </c>
      <c r="F73" s="16">
        <f t="shared" si="39"/>
        <v>144.5888888888889</v>
      </c>
      <c r="G73" s="10" t="s">
        <v>48</v>
      </c>
    </row>
    <row r="74" spans="1:7" s="7" customFormat="1" ht="15.6" x14ac:dyDescent="0.35">
      <c r="A74" s="26" t="s">
        <v>37</v>
      </c>
      <c r="B74" s="16">
        <f t="shared" ref="B74" si="40">(B25/B18)*3</f>
        <v>864076.193134245</v>
      </c>
      <c r="C74" s="16">
        <f t="shared" ref="C74:F74" si="41">(C25/C18)*3</f>
        <v>705000</v>
      </c>
      <c r="D74" s="10" t="s">
        <v>48</v>
      </c>
      <c r="E74" s="16">
        <f t="shared" si="41"/>
        <v>891000</v>
      </c>
      <c r="F74" s="16">
        <f t="shared" si="41"/>
        <v>705000</v>
      </c>
      <c r="G74" s="16">
        <f>(G25/G18)*2</f>
        <v>230000</v>
      </c>
    </row>
    <row r="75" spans="1:7" s="7" customFormat="1" ht="15.6" x14ac:dyDescent="0.35">
      <c r="A75" s="26" t="s">
        <v>38</v>
      </c>
      <c r="B75" s="16">
        <f t="shared" ref="B75" si="42">(B26/B20)*3</f>
        <v>820378.66069002985</v>
      </c>
      <c r="C75" s="16">
        <f t="shared" ref="C75:F75" si="43">(C26/C20)*3</f>
        <v>210779.22077922075</v>
      </c>
      <c r="D75" s="10" t="s">
        <v>48</v>
      </c>
      <c r="E75" s="16">
        <f t="shared" si="43"/>
        <v>2946819.1081330869</v>
      </c>
      <c r="F75" s="16">
        <f t="shared" si="43"/>
        <v>705000</v>
      </c>
      <c r="G75" s="10" t="s">
        <v>48</v>
      </c>
    </row>
    <row r="76" spans="1:7" s="7" customFormat="1" ht="15.6" x14ac:dyDescent="0.35">
      <c r="A76" s="26"/>
      <c r="B76" s="16"/>
      <c r="C76" s="16"/>
      <c r="D76" s="16"/>
      <c r="E76" s="16"/>
      <c r="F76" s="16"/>
      <c r="G76" s="16"/>
    </row>
    <row r="77" spans="1:7" s="7" customFormat="1" ht="15.6" x14ac:dyDescent="0.35">
      <c r="A77" s="25" t="s">
        <v>30</v>
      </c>
      <c r="B77" s="16"/>
      <c r="C77" s="16"/>
      <c r="D77" s="16"/>
      <c r="E77" s="16"/>
      <c r="F77" s="16"/>
      <c r="G77" s="16"/>
    </row>
    <row r="78" spans="1:7" s="7" customFormat="1" ht="15.6" x14ac:dyDescent="0.35">
      <c r="A78" s="26" t="s">
        <v>31</v>
      </c>
      <c r="B78" s="16">
        <f>(B32/B31)*100</f>
        <v>40.476335043612934</v>
      </c>
      <c r="C78" s="16"/>
      <c r="D78" s="16"/>
      <c r="E78" s="16"/>
      <c r="F78" s="16"/>
      <c r="G78" s="16"/>
    </row>
    <row r="79" spans="1:7" s="7" customFormat="1" ht="15.6" x14ac:dyDescent="0.35">
      <c r="A79" s="26" t="s">
        <v>32</v>
      </c>
      <c r="B79" s="16">
        <f>(B26/B32)*100</f>
        <v>120.48976211928841</v>
      </c>
      <c r="C79" s="16"/>
      <c r="D79" s="16"/>
      <c r="E79" s="16"/>
      <c r="F79" s="16"/>
      <c r="G79" s="16"/>
    </row>
    <row r="80" spans="1:7" s="7" customFormat="1" ht="16.2" thickBot="1" x14ac:dyDescent="0.4">
      <c r="A80" s="38"/>
      <c r="B80" s="18"/>
      <c r="C80" s="18"/>
      <c r="D80" s="18"/>
      <c r="E80" s="18"/>
      <c r="F80" s="18"/>
      <c r="G80" s="18"/>
    </row>
    <row r="81" spans="1:7" s="26" customFormat="1" ht="16.5" customHeight="1" thickTop="1" x14ac:dyDescent="0.35">
      <c r="A81" s="51" t="s">
        <v>86</v>
      </c>
      <c r="B81" s="51"/>
      <c r="C81" s="51"/>
      <c r="D81" s="51"/>
      <c r="E81" s="51"/>
      <c r="F81" s="51"/>
      <c r="G81" s="51"/>
    </row>
    <row r="82" spans="1:7" s="26" customFormat="1" ht="15.6" x14ac:dyDescent="0.35"/>
    <row r="83" spans="1:7" s="26" customFormat="1" ht="15.6" x14ac:dyDescent="0.35">
      <c r="A83" s="26" t="s">
        <v>87</v>
      </c>
      <c r="B83" s="31"/>
      <c r="C83" s="31"/>
    </row>
    <row r="84" spans="1:7" s="26" customFormat="1" ht="15.6" x14ac:dyDescent="0.35"/>
    <row r="85" spans="1:7" s="26" customFormat="1" ht="15.6" x14ac:dyDescent="0.35"/>
    <row r="86" spans="1:7" s="26" customFormat="1" ht="15.6" x14ac:dyDescent="0.35">
      <c r="A86" s="32"/>
    </row>
    <row r="87" spans="1:7" s="26" customFormat="1" ht="15.6" x14ac:dyDescent="0.35"/>
    <row r="88" spans="1:7" s="40" customFormat="1" x14ac:dyDescent="0.3"/>
    <row r="89" spans="1:7" s="40" customFormat="1" x14ac:dyDescent="0.3"/>
    <row r="90" spans="1:7" s="40" customFormat="1" x14ac:dyDescent="0.3"/>
    <row r="91" spans="1:7" s="40" customFormat="1" x14ac:dyDescent="0.3"/>
    <row r="92" spans="1:7" s="40" customFormat="1" x14ac:dyDescent="0.3"/>
    <row r="93" spans="1:7" s="40" customFormat="1" x14ac:dyDescent="0.3"/>
    <row r="94" spans="1:7" s="40" customFormat="1" x14ac:dyDescent="0.3"/>
    <row r="95" spans="1:7" s="40" customFormat="1" x14ac:dyDescent="0.3"/>
    <row r="96" spans="1:7" s="40" customFormat="1" x14ac:dyDescent="0.3"/>
    <row r="97" s="40" customFormat="1" x14ac:dyDescent="0.3"/>
    <row r="98" s="40" customFormat="1" x14ac:dyDescent="0.3"/>
    <row r="99" s="40" customFormat="1" x14ac:dyDescent="0.3"/>
    <row r="100" s="40" customFormat="1" x14ac:dyDescent="0.3"/>
    <row r="101" s="40" customFormat="1" x14ac:dyDescent="0.3"/>
    <row r="102" s="40" customFormat="1" x14ac:dyDescent="0.3"/>
    <row r="103" s="40" customFormat="1" x14ac:dyDescent="0.3"/>
  </sheetData>
  <mergeCells count="4">
    <mergeCell ref="A9:A10"/>
    <mergeCell ref="B9:B10"/>
    <mergeCell ref="C9:G9"/>
    <mergeCell ref="A81:G8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J92"/>
  <sheetViews>
    <sheetView showGridLines="0" zoomScale="80" zoomScaleNormal="80" workbookViewId="0">
      <pane ySplit="10" topLeftCell="A11" activePane="bottomLeft" state="frozen"/>
      <selection activeCell="A9" sqref="A9:A10"/>
      <selection pane="bottomLeft" activeCell="A9" sqref="A9:A10"/>
    </sheetView>
  </sheetViews>
  <sheetFormatPr baseColWidth="10" defaultColWidth="11.44140625" defaultRowHeight="14.4" x14ac:dyDescent="0.3"/>
  <cols>
    <col min="1" max="1" width="60.6640625" style="3" customWidth="1"/>
    <col min="2" max="7" width="20.6640625" style="3" customWidth="1"/>
    <col min="8" max="16384" width="11.44140625" style="3"/>
  </cols>
  <sheetData>
    <row r="2" spans="1:7" s="40" customFormat="1" x14ac:dyDescent="0.3"/>
    <row r="3" spans="1:7" s="40" customFormat="1" x14ac:dyDescent="0.3"/>
    <row r="4" spans="1:7" s="40" customFormat="1" x14ac:dyDescent="0.3"/>
    <row r="5" spans="1:7" s="40" customFormat="1" x14ac:dyDescent="0.3"/>
    <row r="6" spans="1:7" s="40" customFormat="1" x14ac:dyDescent="0.3"/>
    <row r="7" spans="1:7" s="40" customFormat="1" x14ac:dyDescent="0.3"/>
    <row r="8" spans="1:7" s="40" customFormat="1" ht="17.25" customHeight="1" x14ac:dyDescent="0.3"/>
    <row r="9" spans="1:7" s="26" customFormat="1" ht="15.6" x14ac:dyDescent="0.35">
      <c r="A9" s="47" t="s">
        <v>0</v>
      </c>
      <c r="B9" s="49" t="s">
        <v>1</v>
      </c>
      <c r="C9" s="46" t="s">
        <v>2</v>
      </c>
      <c r="D9" s="46"/>
      <c r="E9" s="46"/>
      <c r="F9" s="46"/>
      <c r="G9" s="46"/>
    </row>
    <row r="10" spans="1:7" s="26" customFormat="1" ht="31.8" thickBot="1" x14ac:dyDescent="0.4">
      <c r="A10" s="48"/>
      <c r="B10" s="50"/>
      <c r="C10" s="37" t="s">
        <v>3</v>
      </c>
      <c r="D10" s="37" t="s">
        <v>76</v>
      </c>
      <c r="E10" s="37" t="s">
        <v>77</v>
      </c>
      <c r="F10" s="37" t="s">
        <v>46</v>
      </c>
      <c r="G10" s="37" t="s">
        <v>78</v>
      </c>
    </row>
    <row r="11" spans="1:7" s="26" customFormat="1" ht="16.2" thickTop="1" x14ac:dyDescent="0.35"/>
    <row r="12" spans="1:7" s="26" customFormat="1" ht="15.6" x14ac:dyDescent="0.35">
      <c r="A12" s="25" t="s">
        <v>4</v>
      </c>
    </row>
    <row r="13" spans="1:7" s="26" customFormat="1" ht="15.6" x14ac:dyDescent="0.35"/>
    <row r="14" spans="1:7" s="26" customFormat="1" ht="15.6" x14ac:dyDescent="0.35">
      <c r="A14" s="25" t="s">
        <v>5</v>
      </c>
    </row>
    <row r="15" spans="1:7" ht="15.6" x14ac:dyDescent="0.35">
      <c r="A15" s="27" t="s">
        <v>57</v>
      </c>
      <c r="B15" s="10">
        <f>+SUM(C15+E15+F15)</f>
        <v>5278</v>
      </c>
      <c r="C15" s="10">
        <f>+'I trimestre'!C15+'II Trimestre'!C15</f>
        <v>763</v>
      </c>
      <c r="D15" s="10" t="s">
        <v>48</v>
      </c>
      <c r="E15" s="10">
        <f>+'I trimestre'!E15+'II Trimestre'!E15</f>
        <v>2303</v>
      </c>
      <c r="F15" s="10">
        <f>+'I trimestre'!F15+'II Trimestre'!F15</f>
        <v>2212</v>
      </c>
      <c r="G15" s="10" t="s">
        <v>48</v>
      </c>
    </row>
    <row r="16" spans="1:7" ht="15.6" x14ac:dyDescent="0.35">
      <c r="A16" s="28" t="s">
        <v>33</v>
      </c>
      <c r="B16" s="10">
        <f>+SUM(C16+E16+F16)</f>
        <v>17761</v>
      </c>
      <c r="C16" s="10">
        <f>+'I trimestre'!C16+'II Trimestre'!C16</f>
        <v>1915</v>
      </c>
      <c r="D16" s="10" t="s">
        <v>48</v>
      </c>
      <c r="E16" s="10">
        <f>+'I trimestre'!E16+'II Trimestre'!E16</f>
        <v>11713</v>
      </c>
      <c r="F16" s="10">
        <f>+'I trimestre'!F16+'II Trimestre'!F16</f>
        <v>4133</v>
      </c>
      <c r="G16" s="10" t="s">
        <v>48</v>
      </c>
    </row>
    <row r="17" spans="1:10" ht="15.6" x14ac:dyDescent="0.35">
      <c r="A17" s="27" t="s">
        <v>94</v>
      </c>
      <c r="B17" s="10">
        <f t="shared" ref="B17:B28" si="0">SUM(C17:G17)</f>
        <v>8060</v>
      </c>
      <c r="C17" s="10">
        <f>+'I trimestre'!C17+'II Trimestre'!C17</f>
        <v>610</v>
      </c>
      <c r="D17" s="10">
        <f>+'I trimestre'!D17+'II Trimestre'!D17</f>
        <v>0</v>
      </c>
      <c r="E17" s="10">
        <f>+'I trimestre'!E17+'II Trimestre'!E17</f>
        <v>6550</v>
      </c>
      <c r="F17" s="10">
        <f>+'I trimestre'!F17+'II Trimestre'!F17</f>
        <v>650</v>
      </c>
      <c r="G17" s="10">
        <f>+'I trimestre'!G17+'II Trimestre'!G17</f>
        <v>250</v>
      </c>
    </row>
    <row r="18" spans="1:10" ht="15.6" x14ac:dyDescent="0.35">
      <c r="A18" s="28" t="s">
        <v>33</v>
      </c>
      <c r="B18" s="10">
        <f t="shared" si="0"/>
        <v>36676</v>
      </c>
      <c r="C18" s="10">
        <f>+'I trimestre'!C18+'II Trimestre'!C18</f>
        <v>1150</v>
      </c>
      <c r="D18" s="10">
        <f>+'I trimestre'!D18+'II Trimestre'!D18</f>
        <v>0</v>
      </c>
      <c r="E18" s="10">
        <f>+'I trimestre'!E18+'II Trimestre'!E18</f>
        <v>33350</v>
      </c>
      <c r="F18" s="10">
        <f>+'I trimestre'!F18+'II Trimestre'!F18</f>
        <v>1800</v>
      </c>
      <c r="G18" s="10">
        <f>+'I trimestre'!G18+'II Trimestre'!G18</f>
        <v>376</v>
      </c>
    </row>
    <row r="19" spans="1:10" ht="15.6" x14ac:dyDescent="0.35">
      <c r="A19" s="27" t="s">
        <v>95</v>
      </c>
      <c r="B19" s="10">
        <f t="shared" si="0"/>
        <v>3591</v>
      </c>
      <c r="C19" s="10">
        <f>+'I trimestre'!C19+'II Trimestre'!C19</f>
        <v>797</v>
      </c>
      <c r="D19" s="10">
        <f>+'I trimestre'!D19+'II Trimestre'!D19</f>
        <v>0</v>
      </c>
      <c r="E19" s="10">
        <f>+'I trimestre'!E19+'II Trimestre'!E19</f>
        <v>1845</v>
      </c>
      <c r="F19" s="10">
        <f>+'I trimestre'!F19+'II Trimestre'!F19</f>
        <v>949</v>
      </c>
      <c r="G19" s="10">
        <f>+'I trimestre'!G19+'II Trimestre'!G19</f>
        <v>0</v>
      </c>
    </row>
    <row r="20" spans="1:10" ht="15.6" x14ac:dyDescent="0.35">
      <c r="A20" s="28" t="s">
        <v>33</v>
      </c>
      <c r="B20" s="10">
        <f t="shared" si="0"/>
        <v>20163</v>
      </c>
      <c r="C20" s="10">
        <f>+'I trimestre'!C20+'II Trimestre'!C20</f>
        <v>7505</v>
      </c>
      <c r="D20" s="10">
        <f>+'I trimestre'!D20+'II Trimestre'!D20</f>
        <v>0</v>
      </c>
      <c r="E20" s="10">
        <f>+'I trimestre'!E20+'II Trimestre'!E20</f>
        <v>10620</v>
      </c>
      <c r="F20" s="10">
        <f>+'I trimestre'!F20+'II Trimestre'!F20</f>
        <v>2029</v>
      </c>
      <c r="G20" s="10">
        <f>+'I trimestre'!G20+'II Trimestre'!G20</f>
        <v>9</v>
      </c>
    </row>
    <row r="21" spans="1:10" ht="15.6" x14ac:dyDescent="0.35">
      <c r="A21" s="27" t="s">
        <v>81</v>
      </c>
      <c r="B21" s="10">
        <f t="shared" si="0"/>
        <v>12844</v>
      </c>
      <c r="C21" s="10">
        <f>+'II Trimestre'!C21</f>
        <v>1007</v>
      </c>
      <c r="D21" s="10">
        <f>+'II Trimestre'!D21</f>
        <v>2487</v>
      </c>
      <c r="E21" s="10">
        <f>+'II Trimestre'!E21</f>
        <v>7632</v>
      </c>
      <c r="F21" s="10">
        <f>+'II Trimestre'!F21</f>
        <v>1220</v>
      </c>
      <c r="G21" s="10">
        <f>+'II Trimestre'!G21</f>
        <v>498</v>
      </c>
    </row>
    <row r="22" spans="1:10" ht="15.6" x14ac:dyDescent="0.35">
      <c r="A22" s="26"/>
      <c r="B22" s="10"/>
      <c r="C22" s="10"/>
      <c r="D22" s="10"/>
      <c r="E22" s="10"/>
      <c r="F22" s="10"/>
      <c r="G22" s="10"/>
    </row>
    <row r="23" spans="1:10" ht="15.6" x14ac:dyDescent="0.35">
      <c r="A23" s="29" t="s">
        <v>6</v>
      </c>
      <c r="B23" s="10"/>
      <c r="C23" s="10"/>
      <c r="D23" s="10"/>
      <c r="E23" s="10"/>
      <c r="F23" s="10"/>
      <c r="G23" s="10"/>
    </row>
    <row r="24" spans="1:10" ht="15.6" x14ac:dyDescent="0.35">
      <c r="A24" s="27" t="s">
        <v>96</v>
      </c>
      <c r="B24" s="10">
        <f>+C24+E24+F24</f>
        <v>4050764600</v>
      </c>
      <c r="C24" s="10">
        <f>+'I trimestre'!C24+'II Trimestre'!C24</f>
        <v>440450000</v>
      </c>
      <c r="D24" s="10" t="s">
        <v>48</v>
      </c>
      <c r="E24" s="10">
        <f>+'I trimestre'!E24+'II Trimestre'!E24</f>
        <v>2659724600</v>
      </c>
      <c r="F24" s="10">
        <f>+'I trimestre'!F24+'II Trimestre'!F24</f>
        <v>950590000</v>
      </c>
      <c r="G24" s="10" t="s">
        <v>48</v>
      </c>
    </row>
    <row r="25" spans="1:10" ht="15.6" x14ac:dyDescent="0.35">
      <c r="A25" s="27" t="s">
        <v>94</v>
      </c>
      <c r="B25" s="10">
        <f t="shared" si="0"/>
        <v>10639490000</v>
      </c>
      <c r="C25" s="10">
        <f>+'I trimestre'!C25+'II Trimestre'!C25</f>
        <v>269800000</v>
      </c>
      <c r="D25" s="10">
        <f>+'I trimestre'!D25+'II Trimestre'!D25</f>
        <v>0</v>
      </c>
      <c r="E25" s="10">
        <f>+'I trimestre'!E25+'II Trimestre'!E25</f>
        <v>9904950000</v>
      </c>
      <c r="F25" s="10">
        <f>+'I trimestre'!F25+'II Trimestre'!F25</f>
        <v>421500000</v>
      </c>
      <c r="G25" s="10">
        <f>+'I trimestre'!G25+'II Trimestre'!G25</f>
        <v>43240000</v>
      </c>
    </row>
    <row r="26" spans="1:10" ht="15.6" x14ac:dyDescent="0.35">
      <c r="A26" s="27" t="s">
        <v>95</v>
      </c>
      <c r="B26" s="10">
        <f t="shared" si="0"/>
        <v>5701486250</v>
      </c>
      <c r="C26" s="10">
        <f>+'I trimestre'!C26+'II Trimestre'!C26</f>
        <v>570440000</v>
      </c>
      <c r="D26" s="10">
        <f>+'I trimestre'!D26+'II Trimestre'!D26</f>
        <v>0</v>
      </c>
      <c r="E26" s="10">
        <f>+'I trimestre'!E26+'II Trimestre'!E26</f>
        <v>4654016250</v>
      </c>
      <c r="F26" s="10">
        <f>+'I trimestre'!F26+'II Trimestre'!F26</f>
        <v>475995000</v>
      </c>
      <c r="G26" s="10">
        <f>+'I trimestre'!G26+'II Trimestre'!G26</f>
        <v>1035000</v>
      </c>
    </row>
    <row r="27" spans="1:10" ht="15.6" x14ac:dyDescent="0.35">
      <c r="A27" s="27" t="s">
        <v>81</v>
      </c>
      <c r="B27" s="10">
        <f t="shared" si="0"/>
        <v>15682222000</v>
      </c>
      <c r="C27" s="10">
        <f>+'II Trimestre'!C27</f>
        <v>1072090000</v>
      </c>
      <c r="D27" s="10">
        <f>+'II Trimestre'!D27</f>
        <v>838119000</v>
      </c>
      <c r="E27" s="10">
        <f>+'II Trimestre'!E27</f>
        <v>12169278000</v>
      </c>
      <c r="F27" s="10">
        <f>+'II Trimestre'!F27</f>
        <v>1516600000</v>
      </c>
      <c r="G27" s="10">
        <f>+'II Trimestre'!G27</f>
        <v>86135000</v>
      </c>
    </row>
    <row r="28" spans="1:10" ht="15.6" x14ac:dyDescent="0.35">
      <c r="A28" s="27" t="s">
        <v>97</v>
      </c>
      <c r="B28" s="10">
        <f t="shared" si="0"/>
        <v>5701486250</v>
      </c>
      <c r="C28" s="10">
        <f>+C26</f>
        <v>570440000</v>
      </c>
      <c r="D28" s="10">
        <f>+D26</f>
        <v>0</v>
      </c>
      <c r="E28" s="10">
        <f>+E26</f>
        <v>4654016250</v>
      </c>
      <c r="F28" s="10">
        <f>+F26</f>
        <v>475995000</v>
      </c>
      <c r="G28" s="10">
        <f>+G26</f>
        <v>1035000</v>
      </c>
      <c r="H28" s="4"/>
    </row>
    <row r="29" spans="1:10" ht="15.6" x14ac:dyDescent="0.35">
      <c r="A29" s="26"/>
      <c r="B29" s="10"/>
      <c r="C29" s="10"/>
      <c r="D29" s="10"/>
      <c r="E29" s="10"/>
      <c r="F29" s="22"/>
      <c r="G29" s="10"/>
    </row>
    <row r="30" spans="1:10" ht="15.6" x14ac:dyDescent="0.35">
      <c r="A30" s="25" t="s">
        <v>7</v>
      </c>
      <c r="B30" s="10"/>
      <c r="C30" s="10"/>
      <c r="D30" s="10"/>
      <c r="E30" s="10"/>
      <c r="F30" s="22"/>
      <c r="G30" s="10"/>
    </row>
    <row r="31" spans="1:10" ht="15.6" x14ac:dyDescent="0.35">
      <c r="A31" s="30" t="s">
        <v>94</v>
      </c>
      <c r="B31" s="10">
        <f>B25</f>
        <v>10639490000</v>
      </c>
      <c r="C31" s="10"/>
      <c r="D31" s="10"/>
      <c r="E31" s="10"/>
      <c r="F31" s="10"/>
      <c r="G31" s="10"/>
      <c r="J31" s="3" t="s">
        <v>45</v>
      </c>
    </row>
    <row r="32" spans="1:10" ht="15.6" x14ac:dyDescent="0.35">
      <c r="A32" s="30" t="s">
        <v>95</v>
      </c>
      <c r="B32" s="10">
        <f>+'I trimestre'!B32+'II Trimestre'!B32</f>
        <v>8697407552</v>
      </c>
      <c r="C32" s="10"/>
      <c r="D32" s="10"/>
      <c r="E32" s="10"/>
      <c r="F32" s="22"/>
      <c r="G32" s="10"/>
    </row>
    <row r="33" spans="1:7" ht="15.6" x14ac:dyDescent="0.35">
      <c r="A33" s="26"/>
      <c r="B33" s="14"/>
      <c r="C33" s="14"/>
      <c r="D33" s="14"/>
      <c r="E33" s="14"/>
      <c r="F33" s="14"/>
      <c r="G33" s="14"/>
    </row>
    <row r="34" spans="1:7" ht="15.6" x14ac:dyDescent="0.35">
      <c r="A34" s="25" t="s">
        <v>8</v>
      </c>
      <c r="B34" s="14"/>
      <c r="C34" s="14"/>
      <c r="D34" s="14"/>
      <c r="E34" s="14"/>
      <c r="F34" s="14"/>
      <c r="G34" s="14"/>
    </row>
    <row r="35" spans="1:7" ht="15.6" x14ac:dyDescent="0.35">
      <c r="A35" s="26" t="s">
        <v>58</v>
      </c>
      <c r="B35" s="39">
        <v>1.0973999999999999</v>
      </c>
      <c r="C35" s="39">
        <v>1.0973999999999999</v>
      </c>
      <c r="D35" s="39">
        <v>1.0973999999999999</v>
      </c>
      <c r="E35" s="39">
        <v>1.0973999999999999</v>
      </c>
      <c r="F35" s="39">
        <v>1.0973999999999999</v>
      </c>
      <c r="G35" s="39">
        <v>1.0973999999999999</v>
      </c>
    </row>
    <row r="36" spans="1:7" ht="15.6" x14ac:dyDescent="0.35">
      <c r="A36" s="26" t="s">
        <v>98</v>
      </c>
      <c r="B36" s="39">
        <v>1.0971</v>
      </c>
      <c r="C36" s="39">
        <v>1.0971</v>
      </c>
      <c r="D36" s="39">
        <v>1.0971</v>
      </c>
      <c r="E36" s="39">
        <v>1.0971</v>
      </c>
      <c r="F36" s="39">
        <v>1.0971</v>
      </c>
      <c r="G36" s="39">
        <v>1.0971</v>
      </c>
    </row>
    <row r="37" spans="1:7" s="7" customFormat="1" ht="15.6" x14ac:dyDescent="0.35">
      <c r="A37" s="26" t="s">
        <v>9</v>
      </c>
      <c r="B37" s="10">
        <f>C37+E37</f>
        <v>104416</v>
      </c>
      <c r="C37" s="10">
        <v>79512</v>
      </c>
      <c r="D37" s="10">
        <v>79512</v>
      </c>
      <c r="E37" s="10">
        <v>24904</v>
      </c>
      <c r="F37" s="10">
        <v>79512</v>
      </c>
      <c r="G37" s="10">
        <v>79512</v>
      </c>
    </row>
    <row r="38" spans="1:7" ht="15.6" x14ac:dyDescent="0.35">
      <c r="A38" s="26"/>
      <c r="B38" s="10"/>
      <c r="C38" s="10"/>
      <c r="D38" s="10"/>
      <c r="E38" s="10"/>
      <c r="F38" s="10"/>
      <c r="G38" s="10"/>
    </row>
    <row r="39" spans="1:7" ht="15.6" x14ac:dyDescent="0.35">
      <c r="A39" s="25" t="s">
        <v>10</v>
      </c>
      <c r="B39" s="10"/>
      <c r="C39" s="10"/>
      <c r="D39" s="10"/>
      <c r="E39" s="10"/>
      <c r="F39" s="10"/>
      <c r="G39" s="10"/>
    </row>
    <row r="40" spans="1:7" ht="15.6" x14ac:dyDescent="0.35">
      <c r="A40" s="26" t="s">
        <v>59</v>
      </c>
      <c r="B40" s="10">
        <f t="shared" ref="B40" si="1">B24/B35</f>
        <v>3691238017.1314015</v>
      </c>
      <c r="C40" s="10">
        <f t="shared" ref="C40:F40" si="2">C24/C35</f>
        <v>401357754.69291055</v>
      </c>
      <c r="D40" s="10" t="s">
        <v>48</v>
      </c>
      <c r="E40" s="10">
        <f t="shared" si="2"/>
        <v>2423660105.7043924</v>
      </c>
      <c r="F40" s="10">
        <f t="shared" si="2"/>
        <v>866220156.73409879</v>
      </c>
      <c r="G40" s="10" t="s">
        <v>48</v>
      </c>
    </row>
    <row r="41" spans="1:7" ht="15.6" x14ac:dyDescent="0.35">
      <c r="A41" s="26" t="s">
        <v>99</v>
      </c>
      <c r="B41" s="10">
        <f t="shared" ref="B41" si="3">B26/B36</f>
        <v>5196870157.6884518</v>
      </c>
      <c r="C41" s="10">
        <f t="shared" ref="C41:G41" si="4">C26/C36</f>
        <v>519952602.31519461</v>
      </c>
      <c r="D41" s="10">
        <f t="shared" si="4"/>
        <v>0</v>
      </c>
      <c r="E41" s="10">
        <f t="shared" si="4"/>
        <v>4242107601.859448</v>
      </c>
      <c r="F41" s="10">
        <f t="shared" si="4"/>
        <v>433866557.28739405</v>
      </c>
      <c r="G41" s="10">
        <f t="shared" si="4"/>
        <v>943396.22641509434</v>
      </c>
    </row>
    <row r="42" spans="1:7" ht="15.6" x14ac:dyDescent="0.35">
      <c r="A42" s="26" t="s">
        <v>60</v>
      </c>
      <c r="B42" s="10">
        <f t="shared" ref="B42" si="5">B40/B15</f>
        <v>699363.01953986392</v>
      </c>
      <c r="C42" s="10">
        <f t="shared" ref="C42:F42" si="6">C40/C15</f>
        <v>526025.89081639657</v>
      </c>
      <c r="D42" s="10" t="s">
        <v>48</v>
      </c>
      <c r="E42" s="10">
        <f t="shared" si="6"/>
        <v>1052392.5773792411</v>
      </c>
      <c r="F42" s="10">
        <f t="shared" si="6"/>
        <v>391600.43251993618</v>
      </c>
      <c r="G42" s="10" t="s">
        <v>48</v>
      </c>
    </row>
    <row r="43" spans="1:7" ht="15.6" x14ac:dyDescent="0.35">
      <c r="A43" s="26" t="s">
        <v>100</v>
      </c>
      <c r="B43" s="10">
        <f t="shared" ref="B43" si="7">B41/B19</f>
        <v>1447193.0263682683</v>
      </c>
      <c r="C43" s="10">
        <f t="shared" ref="C43:F43" si="8">C41/C19</f>
        <v>652387.20491241477</v>
      </c>
      <c r="D43" s="10" t="s">
        <v>48</v>
      </c>
      <c r="E43" s="10">
        <f t="shared" si="8"/>
        <v>2299245.3126609474</v>
      </c>
      <c r="F43" s="10">
        <f t="shared" si="8"/>
        <v>457182.88439135306</v>
      </c>
      <c r="G43" s="10" t="s">
        <v>48</v>
      </c>
    </row>
    <row r="44" spans="1:7" ht="15.6" x14ac:dyDescent="0.35">
      <c r="A44" s="26"/>
      <c r="B44" s="14"/>
      <c r="C44" s="14"/>
      <c r="D44" s="14"/>
      <c r="E44" s="14"/>
      <c r="F44" s="14"/>
      <c r="G44" s="14"/>
    </row>
    <row r="45" spans="1:7" ht="15.6" x14ac:dyDescent="0.35">
      <c r="A45" s="25" t="s">
        <v>11</v>
      </c>
      <c r="B45" s="14"/>
      <c r="C45" s="14"/>
      <c r="D45" s="14"/>
      <c r="E45" s="14"/>
      <c r="F45" s="14"/>
      <c r="G45" s="14"/>
    </row>
    <row r="46" spans="1:7" ht="15.6" x14ac:dyDescent="0.35">
      <c r="A46" s="26"/>
      <c r="B46" s="14"/>
      <c r="C46" s="14"/>
      <c r="D46" s="14"/>
      <c r="E46" s="14"/>
      <c r="F46" s="14"/>
      <c r="G46" s="14"/>
    </row>
    <row r="47" spans="1:7" ht="15.6" x14ac:dyDescent="0.35">
      <c r="A47" s="25" t="s">
        <v>12</v>
      </c>
      <c r="B47" s="14"/>
      <c r="C47" s="14"/>
      <c r="D47" s="14"/>
      <c r="E47" s="14"/>
      <c r="F47" s="14"/>
      <c r="G47" s="14"/>
    </row>
    <row r="48" spans="1:7" ht="15.6" x14ac:dyDescent="0.35">
      <c r="A48" s="26" t="s">
        <v>13</v>
      </c>
      <c r="B48" s="16">
        <f t="shared" ref="B48:G48" si="9">B17/B37*100</f>
        <v>7.7191235059760954</v>
      </c>
      <c r="C48" s="16">
        <f t="shared" si="9"/>
        <v>0.7671797967602374</v>
      </c>
      <c r="D48" s="16">
        <f t="shared" si="9"/>
        <v>0</v>
      </c>
      <c r="E48" s="16">
        <f t="shared" si="9"/>
        <v>26.300995823964023</v>
      </c>
      <c r="F48" s="16">
        <f t="shared" si="9"/>
        <v>0.81748666867894149</v>
      </c>
      <c r="G48" s="16">
        <f t="shared" si="9"/>
        <v>0.31441794949190061</v>
      </c>
    </row>
    <row r="49" spans="1:7" ht="15.6" x14ac:dyDescent="0.35">
      <c r="A49" s="26" t="s">
        <v>14</v>
      </c>
      <c r="B49" s="16">
        <f t="shared" ref="B49:G49" si="10">B19/B37*100</f>
        <v>3.4391281029727243</v>
      </c>
      <c r="C49" s="16">
        <f t="shared" si="10"/>
        <v>1.0023644229801791</v>
      </c>
      <c r="D49" s="16">
        <f t="shared" si="10"/>
        <v>0</v>
      </c>
      <c r="E49" s="16">
        <f t="shared" si="10"/>
        <v>7.4084484420173471</v>
      </c>
      <c r="F49" s="16">
        <f t="shared" si="10"/>
        <v>1.1935305362712545</v>
      </c>
      <c r="G49" s="16">
        <f t="shared" si="10"/>
        <v>0</v>
      </c>
    </row>
    <row r="50" spans="1:7" ht="15.6" x14ac:dyDescent="0.35">
      <c r="A50" s="26"/>
      <c r="B50" s="16"/>
      <c r="C50" s="16"/>
      <c r="D50" s="16"/>
      <c r="E50" s="16"/>
      <c r="F50" s="16"/>
      <c r="G50" s="16"/>
    </row>
    <row r="51" spans="1:7" ht="15.6" x14ac:dyDescent="0.35">
      <c r="A51" s="25" t="s">
        <v>15</v>
      </c>
      <c r="B51" s="16"/>
      <c r="C51" s="16"/>
      <c r="D51" s="16"/>
      <c r="E51" s="16"/>
      <c r="F51" s="16"/>
      <c r="G51" s="16"/>
    </row>
    <row r="52" spans="1:7" ht="15.6" x14ac:dyDescent="0.35">
      <c r="A52" s="26" t="s">
        <v>16</v>
      </c>
      <c r="B52" s="16">
        <f t="shared" ref="B52" si="11">B19/B17*100</f>
        <v>44.553349875930522</v>
      </c>
      <c r="C52" s="16">
        <f t="shared" ref="C52:G52" si="12">C19/C17*100</f>
        <v>130.65573770491804</v>
      </c>
      <c r="D52" s="10" t="s">
        <v>48</v>
      </c>
      <c r="E52" s="16">
        <f t="shared" si="12"/>
        <v>28.167938931297709</v>
      </c>
      <c r="F52" s="16">
        <f t="shared" si="12"/>
        <v>146</v>
      </c>
      <c r="G52" s="16">
        <f t="shared" si="12"/>
        <v>0</v>
      </c>
    </row>
    <row r="53" spans="1:7" ht="15.6" x14ac:dyDescent="0.35">
      <c r="A53" s="26" t="s">
        <v>17</v>
      </c>
      <c r="B53" s="16">
        <f t="shared" ref="B53" si="13">B26/B25*100</f>
        <v>53.58796568256561</v>
      </c>
      <c r="C53" s="16">
        <f t="shared" ref="C53:G53" si="14">C26/C25*100</f>
        <v>211.43068939955523</v>
      </c>
      <c r="D53" s="10" t="s">
        <v>48</v>
      </c>
      <c r="E53" s="16">
        <f t="shared" si="14"/>
        <v>46.986771765632334</v>
      </c>
      <c r="F53" s="16">
        <f t="shared" si="14"/>
        <v>112.9288256227758</v>
      </c>
      <c r="G53" s="16">
        <f t="shared" si="14"/>
        <v>2.3936170212765959</v>
      </c>
    </row>
    <row r="54" spans="1:7" ht="15.6" x14ac:dyDescent="0.35">
      <c r="A54" s="26" t="s">
        <v>18</v>
      </c>
      <c r="B54" s="16">
        <f t="shared" ref="B54" si="15">AVERAGE(B52:B53)</f>
        <v>49.070657779248066</v>
      </c>
      <c r="C54" s="16">
        <f t="shared" ref="C54:G54" si="16">AVERAGE(C52:C53)</f>
        <v>171.04321355223664</v>
      </c>
      <c r="D54" s="10" t="s">
        <v>48</v>
      </c>
      <c r="E54" s="16">
        <f t="shared" si="16"/>
        <v>37.577355348465019</v>
      </c>
      <c r="F54" s="16">
        <f t="shared" si="16"/>
        <v>129.46441281138789</v>
      </c>
      <c r="G54" s="16">
        <f t="shared" si="16"/>
        <v>1.196808510638298</v>
      </c>
    </row>
    <row r="55" spans="1:7" ht="15.6" x14ac:dyDescent="0.35">
      <c r="A55" s="26"/>
      <c r="B55" s="16"/>
      <c r="C55" s="16"/>
      <c r="D55" s="16"/>
      <c r="E55" s="16"/>
      <c r="F55" s="16"/>
      <c r="G55" s="16"/>
    </row>
    <row r="56" spans="1:7" ht="15.6" x14ac:dyDescent="0.35">
      <c r="A56" s="25" t="s">
        <v>19</v>
      </c>
      <c r="B56" s="16"/>
      <c r="C56" s="16"/>
      <c r="D56" s="16"/>
      <c r="E56" s="16"/>
      <c r="F56" s="16"/>
      <c r="G56" s="16"/>
    </row>
    <row r="57" spans="1:7" ht="15.6" x14ac:dyDescent="0.35">
      <c r="A57" s="26" t="s">
        <v>20</v>
      </c>
      <c r="B57" s="16">
        <f t="shared" ref="B57" si="17">B19/B21*100</f>
        <v>27.958579881656803</v>
      </c>
      <c r="C57" s="16">
        <f t="shared" ref="C57:G57" si="18">C19/C21*100</f>
        <v>79.145978152929501</v>
      </c>
      <c r="D57" s="16">
        <f t="shared" si="18"/>
        <v>0</v>
      </c>
      <c r="E57" s="16">
        <f t="shared" si="18"/>
        <v>24.174528301886792</v>
      </c>
      <c r="F57" s="16">
        <f t="shared" si="18"/>
        <v>77.786885245901644</v>
      </c>
      <c r="G57" s="16">
        <f t="shared" si="18"/>
        <v>0</v>
      </c>
    </row>
    <row r="58" spans="1:7" ht="15.6" x14ac:dyDescent="0.35">
      <c r="A58" s="26" t="s">
        <v>21</v>
      </c>
      <c r="B58" s="16">
        <f t="shared" ref="B58" si="19">B26/B27*100</f>
        <v>36.356367420382135</v>
      </c>
      <c r="C58" s="16">
        <f t="shared" ref="C58:G58" si="20">C26/C27*100</f>
        <v>53.208219459187198</v>
      </c>
      <c r="D58" s="16">
        <f t="shared" si="20"/>
        <v>0</v>
      </c>
      <c r="E58" s="16">
        <f t="shared" si="20"/>
        <v>38.243980045488321</v>
      </c>
      <c r="F58" s="16">
        <f t="shared" si="20"/>
        <v>31.385665303969407</v>
      </c>
      <c r="G58" s="16">
        <f t="shared" si="20"/>
        <v>1.2016021361815754</v>
      </c>
    </row>
    <row r="59" spans="1:7" ht="15.6" x14ac:dyDescent="0.35">
      <c r="A59" s="26" t="s">
        <v>22</v>
      </c>
      <c r="B59" s="16">
        <f t="shared" ref="B59" si="21">(B57+B58)/2</f>
        <v>32.157473651019473</v>
      </c>
      <c r="C59" s="16">
        <f t="shared" ref="C59:G59" si="22">(C57+C58)/2</f>
        <v>66.177098806058353</v>
      </c>
      <c r="D59" s="16">
        <f t="shared" si="22"/>
        <v>0</v>
      </c>
      <c r="E59" s="16">
        <f t="shared" si="22"/>
        <v>31.209254173687555</v>
      </c>
      <c r="F59" s="16">
        <f t="shared" si="22"/>
        <v>54.586275274935524</v>
      </c>
      <c r="G59" s="16">
        <f t="shared" si="22"/>
        <v>0.6008010680907877</v>
      </c>
    </row>
    <row r="60" spans="1:7" ht="15.6" x14ac:dyDescent="0.35">
      <c r="A60" s="26"/>
      <c r="B60" s="16"/>
      <c r="C60" s="16"/>
      <c r="D60" s="16"/>
      <c r="E60" s="16"/>
      <c r="F60" s="16"/>
      <c r="G60" s="16"/>
    </row>
    <row r="61" spans="1:7" ht="15.6" x14ac:dyDescent="0.35">
      <c r="A61" s="25" t="s">
        <v>47</v>
      </c>
      <c r="B61" s="16"/>
      <c r="C61" s="16"/>
      <c r="D61" s="16"/>
      <c r="E61" s="16"/>
      <c r="F61" s="16"/>
      <c r="G61" s="16"/>
    </row>
    <row r="62" spans="1:7" ht="15.6" x14ac:dyDescent="0.35">
      <c r="A62" s="26" t="s">
        <v>23</v>
      </c>
      <c r="B62" s="16">
        <f>B28/B26*100</f>
        <v>100</v>
      </c>
      <c r="C62" s="16"/>
      <c r="D62" s="16"/>
      <c r="E62" s="16"/>
      <c r="F62" s="16"/>
      <c r="G62" s="16"/>
    </row>
    <row r="63" spans="1:7" ht="15.6" x14ac:dyDescent="0.35">
      <c r="A63" s="26"/>
      <c r="B63" s="16"/>
      <c r="C63" s="16"/>
      <c r="D63" s="16"/>
      <c r="E63" s="16"/>
      <c r="F63" s="16"/>
      <c r="G63" s="16"/>
    </row>
    <row r="64" spans="1:7" ht="15.6" x14ac:dyDescent="0.35">
      <c r="A64" s="25" t="s">
        <v>24</v>
      </c>
      <c r="B64" s="16"/>
      <c r="C64" s="16"/>
      <c r="D64" s="16"/>
      <c r="E64" s="16"/>
      <c r="F64" s="16"/>
      <c r="G64" s="16"/>
    </row>
    <row r="65" spans="1:8" ht="15.6" x14ac:dyDescent="0.35">
      <c r="A65" s="26" t="s">
        <v>25</v>
      </c>
      <c r="B65" s="16">
        <f t="shared" ref="B65" si="23">((B19/B15)-1)*100</f>
        <v>-31.962864721485406</v>
      </c>
      <c r="C65" s="16">
        <f t="shared" ref="C65:F65" si="24">((C19/C15)-1)*100</f>
        <v>4.4560943643512374</v>
      </c>
      <c r="D65" s="10" t="s">
        <v>48</v>
      </c>
      <c r="E65" s="16">
        <f t="shared" si="24"/>
        <v>-19.887103777681283</v>
      </c>
      <c r="F65" s="16">
        <f t="shared" si="24"/>
        <v>-57.097649186256781</v>
      </c>
      <c r="G65" s="10" t="s">
        <v>48</v>
      </c>
    </row>
    <row r="66" spans="1:8" ht="15.6" x14ac:dyDescent="0.35">
      <c r="A66" s="26" t="s">
        <v>26</v>
      </c>
      <c r="B66" s="16">
        <f t="shared" ref="B66" si="25">((B41/B40)-1)*100</f>
        <v>40.78935396658958</v>
      </c>
      <c r="C66" s="16">
        <f t="shared" ref="C66:F66" si="26">((C41/C40)-1)*100</f>
        <v>29.548413163967414</v>
      </c>
      <c r="D66" s="10" t="s">
        <v>48</v>
      </c>
      <c r="E66" s="16">
        <f t="shared" si="26"/>
        <v>75.028981657745987</v>
      </c>
      <c r="F66" s="16">
        <f t="shared" si="26"/>
        <v>-49.91266897745755</v>
      </c>
      <c r="G66" s="10" t="s">
        <v>48</v>
      </c>
    </row>
    <row r="67" spans="1:8" ht="15.6" x14ac:dyDescent="0.35">
      <c r="A67" s="26" t="s">
        <v>27</v>
      </c>
      <c r="B67" s="16">
        <f t="shared" ref="B67" si="27">((B43/B42)-1)*100</f>
        <v>106.93016158052346</v>
      </c>
      <c r="C67" s="16">
        <f t="shared" ref="C67:F67" si="28">((C43/C42)-1)*100</f>
        <v>24.021881109293773</v>
      </c>
      <c r="D67" s="10" t="s">
        <v>48</v>
      </c>
      <c r="E67" s="16">
        <f t="shared" si="28"/>
        <v>118.47791043782605</v>
      </c>
      <c r="F67" s="16">
        <f t="shared" si="28"/>
        <v>16.747287905019892</v>
      </c>
      <c r="G67" s="10" t="s">
        <v>48</v>
      </c>
    </row>
    <row r="68" spans="1:8" ht="15.6" x14ac:dyDescent="0.35">
      <c r="A68" s="26"/>
      <c r="B68" s="16"/>
      <c r="C68" s="16"/>
      <c r="D68" s="16"/>
      <c r="E68" s="16"/>
      <c r="F68" s="16"/>
      <c r="G68" s="16"/>
    </row>
    <row r="69" spans="1:8" ht="15.6" x14ac:dyDescent="0.35">
      <c r="A69" s="25" t="s">
        <v>28</v>
      </c>
      <c r="B69" s="16"/>
      <c r="C69" s="16"/>
      <c r="D69" s="16"/>
      <c r="E69" s="16"/>
      <c r="F69" s="16"/>
      <c r="G69" s="16"/>
    </row>
    <row r="70" spans="1:8" ht="15.6" x14ac:dyDescent="0.35">
      <c r="A70" s="26" t="s">
        <v>43</v>
      </c>
      <c r="B70" s="23">
        <f t="shared" ref="B70" si="29">B25/(B18)</f>
        <v>290094.06696477259</v>
      </c>
      <c r="C70" s="23">
        <f>C25/(C18)</f>
        <v>234608.69565217392</v>
      </c>
      <c r="D70" s="10" t="s">
        <v>48</v>
      </c>
      <c r="E70" s="23">
        <f t="shared" ref="E70:G70" si="30">E25/(E18)</f>
        <v>297000</v>
      </c>
      <c r="F70" s="23">
        <f t="shared" si="30"/>
        <v>234166.66666666666</v>
      </c>
      <c r="G70" s="23">
        <f t="shared" si="30"/>
        <v>115000</v>
      </c>
    </row>
    <row r="71" spans="1:8" ht="15.6" x14ac:dyDescent="0.35">
      <c r="A71" s="26" t="s">
        <v>44</v>
      </c>
      <c r="B71" s="23">
        <f t="shared" ref="B71" si="31">B26/(B20)</f>
        <v>282769.73912612209</v>
      </c>
      <c r="C71" s="23">
        <f t="shared" ref="C71:G71" si="32">C26/(C20)</f>
        <v>76007.99467021985</v>
      </c>
      <c r="D71" s="10" t="s">
        <v>48</v>
      </c>
      <c r="E71" s="23">
        <f t="shared" si="32"/>
        <v>438231.28531073447</v>
      </c>
      <c r="F71" s="23">
        <f t="shared" si="32"/>
        <v>234595.86002957122</v>
      </c>
      <c r="G71" s="23">
        <f t="shared" si="32"/>
        <v>115000</v>
      </c>
      <c r="H71" s="6"/>
    </row>
    <row r="72" spans="1:8" ht="15.6" hidden="1" x14ac:dyDescent="0.35">
      <c r="A72" s="26" t="s">
        <v>34</v>
      </c>
      <c r="B72" s="16">
        <f t="shared" ref="B72" si="33">B26/B20</f>
        <v>282769.73912612209</v>
      </c>
      <c r="C72" s="16">
        <f t="shared" ref="C72:G72" si="34">C26/C20</f>
        <v>76007.99467021985</v>
      </c>
      <c r="D72" s="10" t="s">
        <v>48</v>
      </c>
      <c r="E72" s="16">
        <f t="shared" si="34"/>
        <v>438231.28531073447</v>
      </c>
      <c r="F72" s="16">
        <f t="shared" si="34"/>
        <v>234595.86002957122</v>
      </c>
      <c r="G72" s="16">
        <f t="shared" si="34"/>
        <v>115000</v>
      </c>
    </row>
    <row r="73" spans="1:8" ht="15.6" x14ac:dyDescent="0.35">
      <c r="A73" s="26" t="s">
        <v>29</v>
      </c>
      <c r="B73" s="16">
        <f t="shared" ref="B73" si="35">(B71/B70)*B54</f>
        <v>47.831716257300002</v>
      </c>
      <c r="C73" s="16">
        <f t="shared" ref="C73:G73" si="36">(C71/C70)*C54</f>
        <v>55.414193527294394</v>
      </c>
      <c r="D73" s="10" t="s">
        <v>48</v>
      </c>
      <c r="E73" s="16">
        <f t="shared" si="36"/>
        <v>55.446372838168443</v>
      </c>
      <c r="F73" s="16">
        <f t="shared" si="36"/>
        <v>129.70170220659494</v>
      </c>
      <c r="G73" s="16">
        <f t="shared" si="36"/>
        <v>1.196808510638298</v>
      </c>
    </row>
    <row r="74" spans="1:8" ht="15.6" x14ac:dyDescent="0.35">
      <c r="A74" s="26" t="s">
        <v>39</v>
      </c>
      <c r="B74" s="23">
        <f t="shared" ref="B74" si="37">(B25/B18)*6</f>
        <v>1740564.4017886356</v>
      </c>
      <c r="C74" s="23">
        <f>(C25/C18)*5</f>
        <v>1173043.4782608696</v>
      </c>
      <c r="D74" s="10" t="s">
        <v>48</v>
      </c>
      <c r="E74" s="23">
        <f t="shared" ref="E74" si="38">(E25/E18)*6</f>
        <v>1782000</v>
      </c>
      <c r="F74" s="23">
        <f>(F25/F18)*5</f>
        <v>1170833.3333333333</v>
      </c>
      <c r="G74" s="23">
        <f>(G25/G18)*4</f>
        <v>460000</v>
      </c>
    </row>
    <row r="75" spans="1:8" ht="15.6" x14ac:dyDescent="0.35">
      <c r="A75" s="26" t="s">
        <v>40</v>
      </c>
      <c r="B75" s="23">
        <f t="shared" ref="B75" si="39">(B26/B20)*6</f>
        <v>1696618.4347567325</v>
      </c>
      <c r="C75" s="23">
        <f>(C26/C20)*5</f>
        <v>380039.97335109924</v>
      </c>
      <c r="D75" s="10" t="s">
        <v>48</v>
      </c>
      <c r="E75" s="23">
        <f t="shared" ref="E75" si="40">(E26/E20)*6</f>
        <v>2629387.7118644067</v>
      </c>
      <c r="F75" s="23">
        <f>(F26/F20)*5</f>
        <v>1172979.3001478561</v>
      </c>
      <c r="G75" s="23">
        <f>(G26/G20)*4</f>
        <v>460000</v>
      </c>
    </row>
    <row r="76" spans="1:8" ht="15.6" x14ac:dyDescent="0.35">
      <c r="A76" s="26"/>
      <c r="B76" s="16"/>
      <c r="C76" s="16"/>
      <c r="D76" s="16"/>
      <c r="E76" s="16"/>
      <c r="F76" s="16"/>
      <c r="G76" s="16"/>
    </row>
    <row r="77" spans="1:8" ht="15.6" x14ac:dyDescent="0.35">
      <c r="A77" s="25" t="s">
        <v>30</v>
      </c>
      <c r="B77" s="16"/>
      <c r="C77" s="16"/>
      <c r="D77" s="16"/>
      <c r="E77" s="16"/>
      <c r="F77" s="16"/>
      <c r="G77" s="16"/>
    </row>
    <row r="78" spans="1:8" ht="15.6" x14ac:dyDescent="0.35">
      <c r="A78" s="26" t="s">
        <v>31</v>
      </c>
      <c r="B78" s="16">
        <f>(B32/B31)*100</f>
        <v>81.746470479318091</v>
      </c>
      <c r="C78" s="16"/>
      <c r="D78" s="16"/>
      <c r="E78" s="16"/>
      <c r="F78" s="16"/>
      <c r="G78" s="16"/>
    </row>
    <row r="79" spans="1:8" ht="15.6" x14ac:dyDescent="0.35">
      <c r="A79" s="26" t="s">
        <v>32</v>
      </c>
      <c r="B79" s="16">
        <f>(B26/B32)*100</f>
        <v>65.553858617202806</v>
      </c>
      <c r="C79" s="16"/>
      <c r="D79" s="16"/>
      <c r="E79" s="16"/>
      <c r="F79" s="16"/>
      <c r="G79" s="16"/>
    </row>
    <row r="80" spans="1:8" ht="16.2" thickBot="1" x14ac:dyDescent="0.4">
      <c r="A80" s="18"/>
      <c r="B80" s="18"/>
      <c r="C80" s="18"/>
      <c r="D80" s="18"/>
      <c r="E80" s="18"/>
      <c r="F80" s="18"/>
      <c r="G80" s="18"/>
    </row>
    <row r="81" spans="1:7" s="26" customFormat="1" ht="16.5" customHeight="1" thickTop="1" x14ac:dyDescent="0.35">
      <c r="A81" s="51" t="s">
        <v>86</v>
      </c>
      <c r="B81" s="51"/>
      <c r="C81" s="51"/>
      <c r="D81" s="51"/>
      <c r="E81" s="51"/>
      <c r="F81" s="51"/>
      <c r="G81" s="51"/>
    </row>
    <row r="82" spans="1:7" s="26" customFormat="1" ht="15.6" x14ac:dyDescent="0.35"/>
    <row r="83" spans="1:7" s="26" customFormat="1" ht="15.6" x14ac:dyDescent="0.35">
      <c r="A83" s="26" t="s">
        <v>87</v>
      </c>
      <c r="B83" s="31"/>
      <c r="C83" s="31"/>
    </row>
    <row r="84" spans="1:7" s="26" customFormat="1" ht="15.6" x14ac:dyDescent="0.35"/>
    <row r="85" spans="1:7" s="26" customFormat="1" ht="15.6" x14ac:dyDescent="0.35"/>
    <row r="86" spans="1:7" s="26" customFormat="1" ht="15.6" x14ac:dyDescent="0.35">
      <c r="A86" s="32"/>
    </row>
    <row r="87" spans="1:7" s="40" customFormat="1" ht="15.6" x14ac:dyDescent="0.35">
      <c r="A87" s="26"/>
      <c r="B87" s="26"/>
      <c r="C87" s="26"/>
      <c r="D87" s="26"/>
      <c r="E87" s="26"/>
      <c r="F87" s="26"/>
      <c r="G87" s="26"/>
    </row>
    <row r="88" spans="1:7" s="40" customFormat="1" x14ac:dyDescent="0.3">
      <c r="A88" s="2"/>
    </row>
    <row r="89" spans="1:7" s="40" customFormat="1" x14ac:dyDescent="0.3">
      <c r="A89" s="35"/>
    </row>
    <row r="90" spans="1:7" s="40" customFormat="1" x14ac:dyDescent="0.3">
      <c r="A90" s="35"/>
    </row>
    <row r="91" spans="1:7" s="40" customFormat="1" x14ac:dyDescent="0.3">
      <c r="A91" s="35"/>
    </row>
    <row r="92" spans="1:7" x14ac:dyDescent="0.3">
      <c r="A92" s="2"/>
    </row>
  </sheetData>
  <mergeCells count="4">
    <mergeCell ref="A9:A10"/>
    <mergeCell ref="B9:B10"/>
    <mergeCell ref="C9:G9"/>
    <mergeCell ref="A81:G8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8:L128"/>
  <sheetViews>
    <sheetView showGridLines="0" zoomScale="80" zoomScaleNormal="80" workbookViewId="0">
      <pane ySplit="10" topLeftCell="A11" activePane="bottomLeft" state="frozen"/>
      <selection activeCell="A9" sqref="A9:A10"/>
      <selection pane="bottomLeft" activeCell="A9" sqref="A9:A10"/>
    </sheetView>
  </sheetViews>
  <sheetFormatPr baseColWidth="10" defaultColWidth="11.44140625" defaultRowHeight="14.4" x14ac:dyDescent="0.3"/>
  <cols>
    <col min="1" max="1" width="60.6640625" style="3" customWidth="1"/>
    <col min="2" max="7" width="20.6640625" style="3" customWidth="1"/>
    <col min="8" max="8" width="11.44140625" style="3"/>
    <col min="9" max="9" width="15.109375" style="3" bestFit="1" customWidth="1"/>
    <col min="10" max="10" width="13.109375" style="3" bestFit="1" customWidth="1"/>
    <col min="11" max="11" width="14.109375" style="3" bestFit="1" customWidth="1"/>
    <col min="12" max="12" width="16.88671875" style="3" bestFit="1" customWidth="1"/>
    <col min="13" max="16384" width="11.44140625" style="3"/>
  </cols>
  <sheetData>
    <row r="8" spans="1:7" ht="17.25" customHeight="1" x14ac:dyDescent="0.3"/>
    <row r="9" spans="1:7" s="7" customFormat="1" ht="15.6" x14ac:dyDescent="0.35">
      <c r="A9" s="52" t="s">
        <v>0</v>
      </c>
      <c r="B9" s="54" t="s">
        <v>1</v>
      </c>
      <c r="C9" s="56" t="s">
        <v>2</v>
      </c>
      <c r="D9" s="56"/>
      <c r="E9" s="56"/>
      <c r="F9" s="56"/>
      <c r="G9" s="56"/>
    </row>
    <row r="10" spans="1:7" s="7" customFormat="1" ht="31.8" thickBot="1" x14ac:dyDescent="0.4">
      <c r="A10" s="53"/>
      <c r="B10" s="55"/>
      <c r="C10" s="41" t="s">
        <v>3</v>
      </c>
      <c r="D10" s="41" t="s">
        <v>76</v>
      </c>
      <c r="E10" s="41" t="s">
        <v>77</v>
      </c>
      <c r="F10" s="41" t="s">
        <v>46</v>
      </c>
      <c r="G10" s="41" t="s">
        <v>78</v>
      </c>
    </row>
    <row r="11" spans="1:7" s="7" customFormat="1" ht="16.2" thickTop="1" x14ac:dyDescent="0.35"/>
    <row r="12" spans="1:7" s="7" customFormat="1" ht="15.6" x14ac:dyDescent="0.35">
      <c r="A12" s="8" t="s">
        <v>4</v>
      </c>
    </row>
    <row r="13" spans="1:7" s="7" customFormat="1" ht="15.6" x14ac:dyDescent="0.35"/>
    <row r="14" spans="1:7" s="7" customFormat="1" ht="15.6" x14ac:dyDescent="0.35">
      <c r="A14" s="8" t="s">
        <v>5</v>
      </c>
    </row>
    <row r="15" spans="1:7" ht="15.6" x14ac:dyDescent="0.35">
      <c r="A15" s="9" t="s">
        <v>61</v>
      </c>
      <c r="B15" s="10">
        <f>SUM(C15:G15)</f>
        <v>3152</v>
      </c>
      <c r="C15" s="10">
        <v>486</v>
      </c>
      <c r="D15" s="10" t="s">
        <v>48</v>
      </c>
      <c r="E15" s="10">
        <v>1686</v>
      </c>
      <c r="F15" s="10">
        <v>980</v>
      </c>
      <c r="G15" s="10" t="s">
        <v>48</v>
      </c>
    </row>
    <row r="16" spans="1:7" ht="15.6" x14ac:dyDescent="0.35">
      <c r="A16" s="11" t="s">
        <v>33</v>
      </c>
      <c r="B16" s="10">
        <f t="shared" ref="B16:B28" si="0">SUM(C16:G16)</f>
        <v>19110</v>
      </c>
      <c r="C16" s="10">
        <v>1337</v>
      </c>
      <c r="D16" s="10" t="s">
        <v>48</v>
      </c>
      <c r="E16" s="10">
        <v>13076</v>
      </c>
      <c r="F16" s="10">
        <v>4697</v>
      </c>
      <c r="G16" s="10" t="s">
        <v>48</v>
      </c>
    </row>
    <row r="17" spans="1:12" ht="15.6" x14ac:dyDescent="0.35">
      <c r="A17" s="9" t="s">
        <v>101</v>
      </c>
      <c r="B17" s="10">
        <f t="shared" si="0"/>
        <v>1665</v>
      </c>
      <c r="C17" s="10">
        <v>300</v>
      </c>
      <c r="D17" s="10">
        <v>0</v>
      </c>
      <c r="E17" s="10">
        <v>630</v>
      </c>
      <c r="F17" s="43">
        <v>610</v>
      </c>
      <c r="G17" s="10">
        <v>125</v>
      </c>
    </row>
    <row r="18" spans="1:12" ht="15.6" x14ac:dyDescent="0.35">
      <c r="A18" s="11" t="s">
        <v>33</v>
      </c>
      <c r="B18" s="10">
        <f t="shared" si="0"/>
        <v>9718</v>
      </c>
      <c r="C18" s="10">
        <v>1920</v>
      </c>
      <c r="D18" s="10">
        <v>0</v>
      </c>
      <c r="E18" s="10">
        <v>4730</v>
      </c>
      <c r="F18" s="43">
        <v>2880</v>
      </c>
      <c r="G18" s="10">
        <v>188</v>
      </c>
    </row>
    <row r="19" spans="1:12" ht="15.6" x14ac:dyDescent="0.35">
      <c r="A19" s="9" t="s">
        <v>102</v>
      </c>
      <c r="B19" s="10">
        <f t="shared" si="0"/>
        <v>8348</v>
      </c>
      <c r="C19" s="10">
        <v>670</v>
      </c>
      <c r="D19" s="10">
        <v>0</v>
      </c>
      <c r="E19" s="10">
        <v>6384</v>
      </c>
      <c r="F19" s="10">
        <v>1221</v>
      </c>
      <c r="G19" s="10">
        <v>73</v>
      </c>
    </row>
    <row r="20" spans="1:12" ht="15.6" x14ac:dyDescent="0.35">
      <c r="A20" s="11" t="s">
        <v>33</v>
      </c>
      <c r="B20" s="10">
        <f t="shared" si="0"/>
        <v>21877</v>
      </c>
      <c r="C20" s="10">
        <v>2287</v>
      </c>
      <c r="D20" s="10">
        <v>0</v>
      </c>
      <c r="E20" s="10">
        <v>16300</v>
      </c>
      <c r="F20" s="10">
        <v>3217</v>
      </c>
      <c r="G20" s="10">
        <v>73</v>
      </c>
    </row>
    <row r="21" spans="1:12" ht="15.6" x14ac:dyDescent="0.35">
      <c r="A21" s="9" t="s">
        <v>81</v>
      </c>
      <c r="B21" s="10">
        <f t="shared" si="0"/>
        <v>12844</v>
      </c>
      <c r="C21" s="10">
        <v>1007</v>
      </c>
      <c r="D21" s="10">
        <v>2487</v>
      </c>
      <c r="E21" s="10">
        <v>7632</v>
      </c>
      <c r="F21" s="10">
        <v>1220</v>
      </c>
      <c r="G21" s="10">
        <v>498</v>
      </c>
    </row>
    <row r="22" spans="1:12" ht="15.6" x14ac:dyDescent="0.35">
      <c r="A22" s="7"/>
      <c r="B22" s="10"/>
      <c r="C22" s="10"/>
      <c r="D22" s="10"/>
      <c r="E22" s="10"/>
      <c r="F22" s="10"/>
      <c r="G22" s="10"/>
    </row>
    <row r="23" spans="1:12" ht="15.6" x14ac:dyDescent="0.35">
      <c r="A23" s="12" t="s">
        <v>6</v>
      </c>
      <c r="B23" s="10"/>
      <c r="C23" s="10"/>
      <c r="D23" s="10"/>
      <c r="E23" s="10"/>
      <c r="F23" s="10"/>
      <c r="G23" s="10"/>
    </row>
    <row r="24" spans="1:12" ht="15.6" x14ac:dyDescent="0.35">
      <c r="A24" s="9" t="s">
        <v>61</v>
      </c>
      <c r="B24" s="10">
        <f t="shared" si="0"/>
        <v>4935671200</v>
      </c>
      <c r="C24" s="10">
        <v>307050000</v>
      </c>
      <c r="D24" s="10" t="s">
        <v>48</v>
      </c>
      <c r="E24" s="10">
        <v>3548311200</v>
      </c>
      <c r="F24" s="10">
        <v>1080310000</v>
      </c>
      <c r="G24" s="10" t="s">
        <v>48</v>
      </c>
    </row>
    <row r="25" spans="1:12" ht="15.6" x14ac:dyDescent="0.35">
      <c r="A25" s="9" t="s">
        <v>101</v>
      </c>
      <c r="B25" s="10">
        <f t="shared" si="0"/>
        <v>2554430000</v>
      </c>
      <c r="C25" s="10">
        <v>451200000</v>
      </c>
      <c r="D25" s="10">
        <v>0</v>
      </c>
      <c r="E25" s="10">
        <v>1404810000</v>
      </c>
      <c r="F25" s="44">
        <v>676800000</v>
      </c>
      <c r="G25" s="22">
        <v>21620000</v>
      </c>
    </row>
    <row r="26" spans="1:12" ht="15.6" x14ac:dyDescent="0.35">
      <c r="A26" s="9" t="s">
        <v>102</v>
      </c>
      <c r="B26" s="10">
        <f t="shared" si="0"/>
        <v>4654249240</v>
      </c>
      <c r="C26" s="10">
        <v>537445000</v>
      </c>
      <c r="D26" s="10">
        <v>0</v>
      </c>
      <c r="E26" s="10">
        <v>3352381740</v>
      </c>
      <c r="F26" s="10">
        <v>755845000</v>
      </c>
      <c r="G26" s="22">
        <v>8577500</v>
      </c>
      <c r="I26" s="1"/>
      <c r="J26" s="1"/>
      <c r="K26" s="1"/>
      <c r="L26" s="1"/>
    </row>
    <row r="27" spans="1:12" ht="15.6" x14ac:dyDescent="0.35">
      <c r="A27" s="9" t="s">
        <v>81</v>
      </c>
      <c r="B27" s="10">
        <f t="shared" si="0"/>
        <v>15682222000</v>
      </c>
      <c r="C27" s="10">
        <v>1072090000</v>
      </c>
      <c r="D27" s="10">
        <v>838119000</v>
      </c>
      <c r="E27" s="10">
        <v>12169278000</v>
      </c>
      <c r="F27" s="10">
        <v>1516600000</v>
      </c>
      <c r="G27" s="10">
        <v>86135000</v>
      </c>
    </row>
    <row r="28" spans="1:12" ht="15.6" x14ac:dyDescent="0.35">
      <c r="A28" s="9" t="s">
        <v>103</v>
      </c>
      <c r="B28" s="10">
        <f t="shared" si="0"/>
        <v>4654249240</v>
      </c>
      <c r="C28" s="10">
        <f>C26</f>
        <v>537445000</v>
      </c>
      <c r="D28" s="10">
        <f>D26</f>
        <v>0</v>
      </c>
      <c r="E28" s="10">
        <f>E26</f>
        <v>3352381740</v>
      </c>
      <c r="F28" s="10">
        <f>F26</f>
        <v>755845000</v>
      </c>
      <c r="G28" s="10">
        <f>G26</f>
        <v>8577500</v>
      </c>
    </row>
    <row r="29" spans="1:12" ht="15.6" x14ac:dyDescent="0.35">
      <c r="A29" s="7"/>
      <c r="B29" s="10"/>
      <c r="C29" s="10"/>
      <c r="D29" s="10"/>
      <c r="E29" s="10"/>
      <c r="F29" s="10"/>
      <c r="G29" s="22"/>
    </row>
    <row r="30" spans="1:12" ht="15.6" x14ac:dyDescent="0.35">
      <c r="A30" s="8" t="s">
        <v>7</v>
      </c>
      <c r="B30" s="10"/>
      <c r="C30" s="10"/>
      <c r="D30" s="10"/>
      <c r="E30" s="10"/>
      <c r="F30" s="10"/>
      <c r="G30" s="22"/>
    </row>
    <row r="31" spans="1:12" ht="15.6" x14ac:dyDescent="0.35">
      <c r="A31" s="15" t="s">
        <v>101</v>
      </c>
      <c r="B31" s="10">
        <f>B25</f>
        <v>2554430000</v>
      </c>
      <c r="C31" s="10"/>
      <c r="D31" s="10"/>
      <c r="E31" s="10"/>
      <c r="F31" s="10"/>
      <c r="G31" s="10"/>
    </row>
    <row r="32" spans="1:12" ht="15.6" x14ac:dyDescent="0.35">
      <c r="A32" s="15" t="s">
        <v>102</v>
      </c>
      <c r="B32" s="10">
        <v>5816825167</v>
      </c>
      <c r="C32" s="10"/>
      <c r="D32" s="10"/>
      <c r="E32" s="10"/>
      <c r="F32" s="10"/>
      <c r="G32" s="22"/>
    </row>
    <row r="33" spans="1:7" ht="15.6" x14ac:dyDescent="0.35">
      <c r="A33" s="7"/>
      <c r="B33" s="14"/>
      <c r="C33" s="14"/>
      <c r="D33" s="14"/>
      <c r="E33" s="14"/>
      <c r="F33" s="14"/>
      <c r="G33" s="14"/>
    </row>
    <row r="34" spans="1:7" ht="15.6" x14ac:dyDescent="0.35">
      <c r="A34" s="8" t="s">
        <v>8</v>
      </c>
      <c r="B34" s="14"/>
      <c r="C34" s="14"/>
      <c r="D34" s="14"/>
      <c r="E34" s="14"/>
      <c r="F34" s="14"/>
      <c r="G34" s="14"/>
    </row>
    <row r="35" spans="1:7" ht="15.6" x14ac:dyDescent="0.35">
      <c r="A35" s="7" t="s">
        <v>62</v>
      </c>
      <c r="B35" s="39">
        <v>1.0948</v>
      </c>
      <c r="C35" s="39">
        <v>1.0948</v>
      </c>
      <c r="D35" s="39">
        <v>1.0948</v>
      </c>
      <c r="E35" s="39">
        <v>1.0948</v>
      </c>
      <c r="F35" s="39">
        <v>1.0948</v>
      </c>
      <c r="G35" s="39">
        <v>1.0948</v>
      </c>
    </row>
    <row r="36" spans="1:7" ht="15.6" x14ac:dyDescent="0.35">
      <c r="A36" s="7" t="s">
        <v>104</v>
      </c>
      <c r="B36" s="39">
        <v>1.0932999999999999</v>
      </c>
      <c r="C36" s="39">
        <v>1.0932999999999999</v>
      </c>
      <c r="D36" s="39">
        <v>1.0932999999999999</v>
      </c>
      <c r="E36" s="39">
        <v>1.0932999999999999</v>
      </c>
      <c r="F36" s="39">
        <v>1.0932999999999999</v>
      </c>
      <c r="G36" s="39">
        <v>1.0932999999999999</v>
      </c>
    </row>
    <row r="37" spans="1:7" s="7" customFormat="1" ht="15.6" x14ac:dyDescent="0.35">
      <c r="A37" s="7" t="s">
        <v>9</v>
      </c>
      <c r="B37" s="10">
        <f>C37+E37</f>
        <v>104416</v>
      </c>
      <c r="C37" s="10">
        <v>79512</v>
      </c>
      <c r="D37" s="10">
        <v>79512</v>
      </c>
      <c r="E37" s="10">
        <v>24904</v>
      </c>
      <c r="F37" s="10">
        <v>79512</v>
      </c>
      <c r="G37" s="10">
        <v>79512</v>
      </c>
    </row>
    <row r="38" spans="1:7" ht="15.6" x14ac:dyDescent="0.35">
      <c r="A38" s="7"/>
      <c r="B38" s="10"/>
      <c r="C38" s="10"/>
      <c r="D38" s="10"/>
      <c r="E38" s="10"/>
      <c r="F38" s="10"/>
      <c r="G38" s="10"/>
    </row>
    <row r="39" spans="1:7" ht="15.6" x14ac:dyDescent="0.35">
      <c r="A39" s="8" t="s">
        <v>10</v>
      </c>
      <c r="B39" s="10"/>
      <c r="C39" s="10"/>
      <c r="D39" s="10"/>
      <c r="E39" s="10"/>
      <c r="F39" s="10"/>
      <c r="G39" s="10"/>
    </row>
    <row r="40" spans="1:7" ht="15.6" x14ac:dyDescent="0.35">
      <c r="A40" s="7" t="s">
        <v>63</v>
      </c>
      <c r="B40" s="10">
        <f t="shared" ref="B40:F40" si="1">B24/B35</f>
        <v>4508285714.2857141</v>
      </c>
      <c r="C40" s="10">
        <f t="shared" si="1"/>
        <v>280462184.87394959</v>
      </c>
      <c r="D40" s="10" t="s">
        <v>48</v>
      </c>
      <c r="E40" s="10">
        <f t="shared" si="1"/>
        <v>3241058823.5294118</v>
      </c>
      <c r="F40" s="10">
        <f t="shared" si="1"/>
        <v>986764705.88235295</v>
      </c>
      <c r="G40" s="10" t="s">
        <v>48</v>
      </c>
    </row>
    <row r="41" spans="1:7" ht="15.6" x14ac:dyDescent="0.35">
      <c r="A41" s="7" t="s">
        <v>105</v>
      </c>
      <c r="B41" s="10">
        <f t="shared" ref="B41:G41" si="2">B26/B36</f>
        <v>4257065069.0569835</v>
      </c>
      <c r="C41" s="10">
        <f t="shared" si="2"/>
        <v>491580535.99195099</v>
      </c>
      <c r="D41" s="10">
        <f t="shared" si="2"/>
        <v>0</v>
      </c>
      <c r="E41" s="10">
        <f t="shared" si="2"/>
        <v>3066296295.6187692</v>
      </c>
      <c r="F41" s="10">
        <f t="shared" si="2"/>
        <v>691342723.86353242</v>
      </c>
      <c r="G41" s="10">
        <f t="shared" si="2"/>
        <v>7845513.5827311808</v>
      </c>
    </row>
    <row r="42" spans="1:7" ht="15.6" x14ac:dyDescent="0.35">
      <c r="A42" s="7" t="s">
        <v>64</v>
      </c>
      <c r="B42" s="10">
        <f t="shared" ref="B42:F42" si="3">B40/B15</f>
        <v>1430293.6910804932</v>
      </c>
      <c r="C42" s="10">
        <f t="shared" si="3"/>
        <v>577082.68492582219</v>
      </c>
      <c r="D42" s="10" t="s">
        <v>48</v>
      </c>
      <c r="E42" s="10">
        <f t="shared" si="3"/>
        <v>1922336.1942641826</v>
      </c>
      <c r="F42" s="10">
        <f t="shared" si="3"/>
        <v>1006902.7611044418</v>
      </c>
      <c r="G42" s="10" t="s">
        <v>48</v>
      </c>
    </row>
    <row r="43" spans="1:7" ht="15.6" x14ac:dyDescent="0.35">
      <c r="A43" s="7" t="s">
        <v>106</v>
      </c>
      <c r="B43" s="10">
        <f t="shared" ref="B43:G43" si="4">B41/B19</f>
        <v>509950.29576628935</v>
      </c>
      <c r="C43" s="10">
        <f t="shared" si="4"/>
        <v>733702.29252529994</v>
      </c>
      <c r="D43" s="10" t="s">
        <v>48</v>
      </c>
      <c r="E43" s="10">
        <f t="shared" si="4"/>
        <v>480309.57011572196</v>
      </c>
      <c r="F43" s="10">
        <f t="shared" si="4"/>
        <v>566210.25705449015</v>
      </c>
      <c r="G43" s="10">
        <f t="shared" si="4"/>
        <v>107472.78880453673</v>
      </c>
    </row>
    <row r="44" spans="1:7" ht="15.6" x14ac:dyDescent="0.35">
      <c r="A44" s="7"/>
      <c r="B44" s="14"/>
      <c r="C44" s="14"/>
      <c r="D44" s="14"/>
      <c r="E44" s="14"/>
      <c r="F44" s="14"/>
      <c r="G44" s="14"/>
    </row>
    <row r="45" spans="1:7" ht="15.6" x14ac:dyDescent="0.35">
      <c r="A45" s="8" t="s">
        <v>11</v>
      </c>
      <c r="B45" s="14"/>
      <c r="C45" s="14"/>
      <c r="D45" s="14"/>
      <c r="E45" s="14"/>
      <c r="F45" s="14"/>
      <c r="G45" s="14"/>
    </row>
    <row r="46" spans="1:7" ht="15.6" x14ac:dyDescent="0.35">
      <c r="A46" s="7"/>
      <c r="B46" s="14"/>
      <c r="C46" s="14"/>
      <c r="D46" s="14"/>
      <c r="E46" s="14"/>
      <c r="F46" s="14"/>
      <c r="G46" s="14"/>
    </row>
    <row r="47" spans="1:7" ht="15.6" x14ac:dyDescent="0.35">
      <c r="A47" s="8" t="s">
        <v>12</v>
      </c>
      <c r="B47" s="14"/>
      <c r="C47" s="14"/>
      <c r="D47" s="14"/>
      <c r="E47" s="14"/>
      <c r="F47" s="14"/>
      <c r="G47" s="14"/>
    </row>
    <row r="48" spans="1:7" ht="15.6" x14ac:dyDescent="0.35">
      <c r="A48" s="7" t="s">
        <v>13</v>
      </c>
      <c r="B48" s="16">
        <f t="shared" ref="B48:G48" si="5">B17/B37*100</f>
        <v>1.5945832056389826</v>
      </c>
      <c r="C48" s="16">
        <f t="shared" si="5"/>
        <v>0.37730153939028072</v>
      </c>
      <c r="D48" s="16">
        <f t="shared" si="5"/>
        <v>0</v>
      </c>
      <c r="E48" s="16">
        <f t="shared" si="5"/>
        <v>2.5297141021522647</v>
      </c>
      <c r="F48" s="16">
        <f t="shared" si="5"/>
        <v>0.7671797967602374</v>
      </c>
      <c r="G48" s="16">
        <f t="shared" si="5"/>
        <v>0.1572089747459503</v>
      </c>
    </row>
    <row r="49" spans="1:7" ht="15.6" x14ac:dyDescent="0.35">
      <c r="A49" s="7" t="s">
        <v>14</v>
      </c>
      <c r="B49" s="16">
        <f t="shared" ref="B49:G49" si="6">B19/B37*100</f>
        <v>7.9949433037082436</v>
      </c>
      <c r="C49" s="16">
        <f t="shared" si="6"/>
        <v>0.84264010463829353</v>
      </c>
      <c r="D49" s="16">
        <f t="shared" si="6"/>
        <v>0</v>
      </c>
      <c r="E49" s="16">
        <f t="shared" si="6"/>
        <v>25.63443623514295</v>
      </c>
      <c r="F49" s="16">
        <f t="shared" si="6"/>
        <v>1.5356172653184426</v>
      </c>
      <c r="G49" s="16">
        <f t="shared" si="6"/>
        <v>9.1810041251634972E-2</v>
      </c>
    </row>
    <row r="50" spans="1:7" ht="15.6" x14ac:dyDescent="0.35">
      <c r="A50" s="7"/>
      <c r="B50" s="16"/>
      <c r="C50" s="16"/>
      <c r="D50" s="16"/>
      <c r="E50" s="16"/>
      <c r="F50" s="16"/>
      <c r="G50" s="16"/>
    </row>
    <row r="51" spans="1:7" ht="15.6" x14ac:dyDescent="0.35">
      <c r="A51" s="8" t="s">
        <v>15</v>
      </c>
      <c r="B51" s="16"/>
      <c r="C51" s="16"/>
      <c r="D51" s="16"/>
      <c r="E51" s="16"/>
      <c r="F51" s="16"/>
      <c r="G51" s="16"/>
    </row>
    <row r="52" spans="1:7" ht="15.6" x14ac:dyDescent="0.35">
      <c r="A52" s="7" t="s">
        <v>16</v>
      </c>
      <c r="B52" s="16">
        <f t="shared" ref="B52" si="7">B19/B17*100</f>
        <v>501.38138138138135</v>
      </c>
      <c r="C52" s="16">
        <f t="shared" ref="C52:G52" si="8">C19/C17*100</f>
        <v>223.33333333333334</v>
      </c>
      <c r="D52" s="10" t="s">
        <v>48</v>
      </c>
      <c r="E52" s="16">
        <f t="shared" si="8"/>
        <v>1013.3333333333333</v>
      </c>
      <c r="F52" s="16">
        <f t="shared" si="8"/>
        <v>200.1639344262295</v>
      </c>
      <c r="G52" s="16">
        <f t="shared" si="8"/>
        <v>58.4</v>
      </c>
    </row>
    <row r="53" spans="1:7" ht="15.6" x14ac:dyDescent="0.35">
      <c r="A53" s="7" t="s">
        <v>17</v>
      </c>
      <c r="B53" s="16">
        <f t="shared" ref="B53" si="9">B26/B25*100</f>
        <v>182.20304490630005</v>
      </c>
      <c r="C53" s="16">
        <f t="shared" ref="C53:G53" si="10">C26/C25*100</f>
        <v>119.11458333333333</v>
      </c>
      <c r="D53" s="10" t="s">
        <v>48</v>
      </c>
      <c r="E53" s="16">
        <f t="shared" si="10"/>
        <v>238.63595361650329</v>
      </c>
      <c r="F53" s="16">
        <f t="shared" si="10"/>
        <v>111.67922576832152</v>
      </c>
      <c r="G53" s="16">
        <f t="shared" si="10"/>
        <v>39.673913043478258</v>
      </c>
    </row>
    <row r="54" spans="1:7" ht="15.6" x14ac:dyDescent="0.35">
      <c r="A54" s="7" t="s">
        <v>18</v>
      </c>
      <c r="B54" s="16">
        <f t="shared" ref="B54" si="11">AVERAGE(B52:B53)</f>
        <v>341.79221314384068</v>
      </c>
      <c r="C54" s="16">
        <f t="shared" ref="C54:G54" si="12">AVERAGE(C52:C53)</f>
        <v>171.22395833333334</v>
      </c>
      <c r="D54" s="10" t="s">
        <v>48</v>
      </c>
      <c r="E54" s="16">
        <f t="shared" si="12"/>
        <v>625.98464347491824</v>
      </c>
      <c r="F54" s="16">
        <f t="shared" si="12"/>
        <v>155.92158009727552</v>
      </c>
      <c r="G54" s="16">
        <f t="shared" si="12"/>
        <v>49.036956521739128</v>
      </c>
    </row>
    <row r="55" spans="1:7" ht="15.6" x14ac:dyDescent="0.35">
      <c r="A55" s="7"/>
      <c r="B55" s="16"/>
      <c r="C55" s="16"/>
      <c r="D55" s="16"/>
      <c r="E55" s="16"/>
      <c r="F55" s="16"/>
      <c r="G55" s="16"/>
    </row>
    <row r="56" spans="1:7" ht="15.6" x14ac:dyDescent="0.35">
      <c r="A56" s="8" t="s">
        <v>19</v>
      </c>
      <c r="B56" s="16"/>
      <c r="C56" s="16"/>
      <c r="D56" s="16"/>
      <c r="E56" s="16"/>
      <c r="F56" s="16"/>
      <c r="G56" s="16"/>
    </row>
    <row r="57" spans="1:7" ht="15.6" x14ac:dyDescent="0.35">
      <c r="A57" s="7" t="s">
        <v>20</v>
      </c>
      <c r="B57" s="16">
        <f t="shared" ref="B57" si="13">B19/B21*100</f>
        <v>64.995328558081596</v>
      </c>
      <c r="C57" s="16">
        <f t="shared" ref="C57:G57" si="14">C19/C21*100</f>
        <v>66.534260178748767</v>
      </c>
      <c r="D57" s="16">
        <f t="shared" si="14"/>
        <v>0</v>
      </c>
      <c r="E57" s="16">
        <f t="shared" si="14"/>
        <v>83.647798742138363</v>
      </c>
      <c r="F57" s="16">
        <f t="shared" si="14"/>
        <v>100.08196721311475</v>
      </c>
      <c r="G57" s="16">
        <f t="shared" si="14"/>
        <v>14.65863453815261</v>
      </c>
    </row>
    <row r="58" spans="1:7" ht="15.6" x14ac:dyDescent="0.35">
      <c r="A58" s="7" t="s">
        <v>21</v>
      </c>
      <c r="B58" s="16">
        <f t="shared" ref="B58" si="15">B26/B27*100</f>
        <v>29.678506272899334</v>
      </c>
      <c r="C58" s="16">
        <f t="shared" ref="C58:G58" si="16">C26/C27*100</f>
        <v>50.130586051544178</v>
      </c>
      <c r="D58" s="16">
        <f t="shared" si="16"/>
        <v>0</v>
      </c>
      <c r="E58" s="16">
        <f t="shared" si="16"/>
        <v>27.547909908870515</v>
      </c>
      <c r="F58" s="16">
        <f t="shared" si="16"/>
        <v>49.838124752736384</v>
      </c>
      <c r="G58" s="16">
        <f t="shared" si="16"/>
        <v>9.9582051430893372</v>
      </c>
    </row>
    <row r="59" spans="1:7" ht="15.6" x14ac:dyDescent="0.35">
      <c r="A59" s="7" t="s">
        <v>22</v>
      </c>
      <c r="B59" s="16">
        <f t="shared" ref="B59" si="17">(B57+B58)/2</f>
        <v>47.336917415490461</v>
      </c>
      <c r="C59" s="16">
        <f t="shared" ref="C59:G59" si="18">(C57+C58)/2</f>
        <v>58.332423115146469</v>
      </c>
      <c r="D59" s="16">
        <f t="shared" si="18"/>
        <v>0</v>
      </c>
      <c r="E59" s="16">
        <f t="shared" si="18"/>
        <v>55.597854325504443</v>
      </c>
      <c r="F59" s="16">
        <f t="shared" si="18"/>
        <v>74.960045982925564</v>
      </c>
      <c r="G59" s="16">
        <f t="shared" si="18"/>
        <v>12.308419840620974</v>
      </c>
    </row>
    <row r="60" spans="1:7" ht="15.6" x14ac:dyDescent="0.35">
      <c r="A60" s="7"/>
      <c r="B60" s="16"/>
      <c r="C60" s="16"/>
      <c r="D60" s="16"/>
      <c r="E60" s="16"/>
      <c r="F60" s="16"/>
      <c r="G60" s="16"/>
    </row>
    <row r="61" spans="1:7" ht="15.6" x14ac:dyDescent="0.35">
      <c r="A61" s="8" t="s">
        <v>47</v>
      </c>
      <c r="B61" s="16"/>
      <c r="C61" s="16"/>
      <c r="D61" s="16"/>
      <c r="E61" s="16"/>
      <c r="F61" s="16"/>
      <c r="G61" s="16"/>
    </row>
    <row r="62" spans="1:7" ht="15.6" x14ac:dyDescent="0.35">
      <c r="A62" s="7" t="s">
        <v>23</v>
      </c>
      <c r="B62" s="16">
        <f>B28/B26*100</f>
        <v>100</v>
      </c>
      <c r="C62" s="16"/>
      <c r="D62" s="16"/>
      <c r="E62" s="16"/>
      <c r="F62" s="16"/>
      <c r="G62" s="16"/>
    </row>
    <row r="63" spans="1:7" ht="15.6" x14ac:dyDescent="0.35">
      <c r="A63" s="7"/>
      <c r="B63" s="16"/>
      <c r="C63" s="16"/>
      <c r="D63" s="16"/>
      <c r="E63" s="16"/>
      <c r="F63" s="16"/>
      <c r="G63" s="16"/>
    </row>
    <row r="64" spans="1:7" ht="15.6" x14ac:dyDescent="0.35">
      <c r="A64" s="8" t="s">
        <v>24</v>
      </c>
      <c r="B64" s="16"/>
      <c r="C64" s="16"/>
      <c r="D64" s="16"/>
      <c r="E64" s="16"/>
      <c r="F64" s="16"/>
      <c r="G64" s="16"/>
    </row>
    <row r="65" spans="1:7" ht="15.6" x14ac:dyDescent="0.35">
      <c r="A65" s="7" t="s">
        <v>25</v>
      </c>
      <c r="B65" s="16">
        <f t="shared" ref="B65" si="19">((B19/B15)-1)*100</f>
        <v>164.84771573604061</v>
      </c>
      <c r="C65" s="16">
        <f t="shared" ref="C65:F65" si="20">((C19/C15)-1)*100</f>
        <v>37.860082304526756</v>
      </c>
      <c r="D65" s="10" t="s">
        <v>48</v>
      </c>
      <c r="E65" s="16">
        <f t="shared" si="20"/>
        <v>278.64768683274019</v>
      </c>
      <c r="F65" s="16">
        <f t="shared" si="20"/>
        <v>24.591836734693871</v>
      </c>
      <c r="G65" s="10" t="s">
        <v>48</v>
      </c>
    </row>
    <row r="66" spans="1:7" ht="15.6" x14ac:dyDescent="0.35">
      <c r="A66" s="7" t="s">
        <v>26</v>
      </c>
      <c r="B66" s="16">
        <f t="shared" ref="B66" si="21">((B41/B40)-1)*100</f>
        <v>-5.5724206749512506</v>
      </c>
      <c r="C66" s="16">
        <f t="shared" ref="C66:F66" si="22">((C41/C40)-1)*100</f>
        <v>75.275157402373537</v>
      </c>
      <c r="D66" s="10" t="s">
        <v>48</v>
      </c>
      <c r="E66" s="16">
        <f t="shared" si="22"/>
        <v>-5.3921430441775104</v>
      </c>
      <c r="F66" s="16">
        <f t="shared" si="22"/>
        <v>-29.938442291028011</v>
      </c>
      <c r="G66" s="10" t="s">
        <v>48</v>
      </c>
    </row>
    <row r="67" spans="1:7" ht="15.6" x14ac:dyDescent="0.35">
      <c r="A67" s="7" t="s">
        <v>27</v>
      </c>
      <c r="B67" s="16">
        <f t="shared" ref="B67" si="23">((B43/B42)-1)*100</f>
        <v>-64.346462621879056</v>
      </c>
      <c r="C67" s="16">
        <f t="shared" ref="C67:F67" si="24">((C43/C42)-1)*100</f>
        <v>27.139890294856016</v>
      </c>
      <c r="D67" s="10" t="s">
        <v>48</v>
      </c>
      <c r="E67" s="16">
        <f t="shared" si="24"/>
        <v>-75.014278379148379</v>
      </c>
      <c r="F67" s="16">
        <f t="shared" si="24"/>
        <v>-43.767136318761224</v>
      </c>
      <c r="G67" s="10" t="s">
        <v>48</v>
      </c>
    </row>
    <row r="68" spans="1:7" ht="15.6" x14ac:dyDescent="0.35">
      <c r="A68" s="7"/>
      <c r="B68" s="16"/>
      <c r="C68" s="16"/>
      <c r="D68" s="16"/>
      <c r="E68" s="16"/>
      <c r="F68" s="16"/>
      <c r="G68" s="16"/>
    </row>
    <row r="69" spans="1:7" ht="15.6" x14ac:dyDescent="0.35">
      <c r="A69" s="8" t="s">
        <v>28</v>
      </c>
      <c r="B69" s="16"/>
      <c r="C69" s="16"/>
      <c r="D69" s="16"/>
      <c r="E69" s="16"/>
      <c r="F69" s="16"/>
      <c r="G69" s="16"/>
    </row>
    <row r="70" spans="1:7" ht="15.6" x14ac:dyDescent="0.35">
      <c r="A70" s="7" t="s">
        <v>43</v>
      </c>
      <c r="B70" s="16">
        <f t="shared" ref="B70" si="25">B25/(B18)</f>
        <v>262855.52582835977</v>
      </c>
      <c r="C70" s="16">
        <f t="shared" ref="C70:G70" si="26">C25/(C18)</f>
        <v>235000</v>
      </c>
      <c r="D70" s="10" t="s">
        <v>48</v>
      </c>
      <c r="E70" s="16">
        <f t="shared" si="26"/>
        <v>297000</v>
      </c>
      <c r="F70" s="16">
        <f t="shared" si="26"/>
        <v>235000</v>
      </c>
      <c r="G70" s="16">
        <f t="shared" si="26"/>
        <v>115000</v>
      </c>
    </row>
    <row r="71" spans="1:7" ht="15.6" x14ac:dyDescent="0.35">
      <c r="A71" s="7" t="s">
        <v>44</v>
      </c>
      <c r="B71" s="16">
        <f t="shared" ref="B71" si="27">B26/(B20)</f>
        <v>212746.22845911232</v>
      </c>
      <c r="C71" s="16">
        <f t="shared" ref="C71:G71" si="28">C26/(C20)</f>
        <v>235000</v>
      </c>
      <c r="D71" s="10" t="s">
        <v>48</v>
      </c>
      <c r="E71" s="16">
        <f t="shared" si="28"/>
        <v>205667.59141104296</v>
      </c>
      <c r="F71" s="16">
        <f t="shared" si="28"/>
        <v>234953.37270749145</v>
      </c>
      <c r="G71" s="16">
        <f t="shared" si="28"/>
        <v>117500</v>
      </c>
    </row>
    <row r="72" spans="1:7" ht="15.6" hidden="1" x14ac:dyDescent="0.35">
      <c r="A72" s="7" t="s">
        <v>34</v>
      </c>
      <c r="B72" s="16">
        <f t="shared" ref="B72" si="29">B26/B20</f>
        <v>212746.22845911232</v>
      </c>
      <c r="C72" s="16">
        <f t="shared" ref="C72:G72" si="30">C26/C20</f>
        <v>235000</v>
      </c>
      <c r="D72" s="10" t="s">
        <v>48</v>
      </c>
      <c r="E72" s="16">
        <f t="shared" si="30"/>
        <v>205667.59141104296</v>
      </c>
      <c r="F72" s="16">
        <f t="shared" si="30"/>
        <v>234953.37270749145</v>
      </c>
      <c r="G72" s="16">
        <f t="shared" si="30"/>
        <v>117500</v>
      </c>
    </row>
    <row r="73" spans="1:7" ht="15.6" x14ac:dyDescent="0.35">
      <c r="A73" s="7" t="s">
        <v>29</v>
      </c>
      <c r="B73" s="16">
        <f t="shared" ref="B73" si="31">(B71/B70)*B54</f>
        <v>276.63487017779801</v>
      </c>
      <c r="C73" s="16">
        <f t="shared" ref="C73:G73" si="32">(C71/C70)*C54</f>
        <v>171.22395833333334</v>
      </c>
      <c r="D73" s="10" t="s">
        <v>48</v>
      </c>
      <c r="E73" s="16">
        <f t="shared" si="32"/>
        <v>433.48401981073027</v>
      </c>
      <c r="F73" s="16">
        <f t="shared" si="32"/>
        <v>155.89064307121768</v>
      </c>
      <c r="G73" s="16">
        <f t="shared" si="32"/>
        <v>50.102977315689984</v>
      </c>
    </row>
    <row r="74" spans="1:7" ht="15.6" x14ac:dyDescent="0.35">
      <c r="A74" s="7" t="s">
        <v>37</v>
      </c>
      <c r="B74" s="16">
        <f t="shared" ref="B74" si="33">(B25/B18)*3</f>
        <v>788566.5774850793</v>
      </c>
      <c r="C74" s="16">
        <f t="shared" ref="C74:F74" si="34">(C25/C18)*3</f>
        <v>705000</v>
      </c>
      <c r="D74" s="10" t="s">
        <v>48</v>
      </c>
      <c r="E74" s="16">
        <f t="shared" si="34"/>
        <v>891000</v>
      </c>
      <c r="F74" s="16">
        <f t="shared" si="34"/>
        <v>705000</v>
      </c>
      <c r="G74" s="16">
        <f>(G25/G18)*2</f>
        <v>230000</v>
      </c>
    </row>
    <row r="75" spans="1:7" ht="15.6" x14ac:dyDescent="0.35">
      <c r="A75" s="7" t="s">
        <v>38</v>
      </c>
      <c r="B75" s="16">
        <f t="shared" ref="B75" si="35">(B26/B20)*3</f>
        <v>638238.68537733692</v>
      </c>
      <c r="C75" s="16">
        <f t="shared" ref="C75:F75" si="36">(C26/C20)*3</f>
        <v>705000</v>
      </c>
      <c r="D75" s="10" t="s">
        <v>48</v>
      </c>
      <c r="E75" s="16">
        <f t="shared" si="36"/>
        <v>617002.77423312888</v>
      </c>
      <c r="F75" s="16">
        <f t="shared" si="36"/>
        <v>704860.11812247429</v>
      </c>
      <c r="G75" s="16">
        <f>(G26/G20)*2</f>
        <v>235000</v>
      </c>
    </row>
    <row r="76" spans="1:7" ht="15.6" x14ac:dyDescent="0.35">
      <c r="A76" s="7"/>
      <c r="B76" s="16"/>
      <c r="C76" s="16"/>
      <c r="D76" s="16"/>
      <c r="E76" s="16"/>
      <c r="F76" s="16"/>
      <c r="G76" s="16"/>
    </row>
    <row r="77" spans="1:7" ht="15.6" x14ac:dyDescent="0.35">
      <c r="A77" s="8" t="s">
        <v>30</v>
      </c>
      <c r="B77" s="16"/>
      <c r="C77" s="16"/>
      <c r="D77" s="16"/>
      <c r="E77" s="16"/>
      <c r="F77" s="16"/>
      <c r="G77" s="16"/>
    </row>
    <row r="78" spans="1:7" ht="15.6" x14ac:dyDescent="0.35">
      <c r="A78" s="7" t="s">
        <v>31</v>
      </c>
      <c r="B78" s="16">
        <f>(B32/B31)*100</f>
        <v>227.71519153000864</v>
      </c>
      <c r="C78" s="16"/>
      <c r="D78" s="16"/>
      <c r="E78" s="16"/>
      <c r="F78" s="16"/>
      <c r="G78" s="16"/>
    </row>
    <row r="79" spans="1:7" ht="15.6" x14ac:dyDescent="0.35">
      <c r="A79" s="7" t="s">
        <v>32</v>
      </c>
      <c r="B79" s="16">
        <f>(B26/B32)*100</f>
        <v>80.013565929477764</v>
      </c>
      <c r="C79" s="16"/>
      <c r="D79" s="16"/>
      <c r="E79" s="16"/>
      <c r="F79" s="16"/>
      <c r="G79" s="16"/>
    </row>
    <row r="80" spans="1:7" ht="16.2" thickBot="1" x14ac:dyDescent="0.4">
      <c r="A80" s="18"/>
      <c r="B80" s="18"/>
      <c r="C80" s="18"/>
      <c r="D80" s="18"/>
      <c r="E80" s="18"/>
      <c r="F80" s="18"/>
      <c r="G80" s="18"/>
    </row>
    <row r="81" spans="1:7" s="7" customFormat="1" ht="16.5" customHeight="1" thickTop="1" x14ac:dyDescent="0.35">
      <c r="A81" s="57" t="s">
        <v>86</v>
      </c>
      <c r="B81" s="57"/>
      <c r="C81" s="57"/>
      <c r="D81" s="57"/>
      <c r="E81" s="57"/>
      <c r="F81" s="57"/>
      <c r="G81" s="57"/>
    </row>
    <row r="82" spans="1:7" s="7" customFormat="1" ht="15.6" x14ac:dyDescent="0.35"/>
    <row r="83" spans="1:7" s="7" customFormat="1" ht="15.6" x14ac:dyDescent="0.35">
      <c r="A83" s="7" t="s">
        <v>87</v>
      </c>
      <c r="B83" s="42"/>
      <c r="C83" s="42"/>
    </row>
    <row r="84" spans="1:7" s="7" customFormat="1" ht="15.6" x14ac:dyDescent="0.35"/>
    <row r="97" s="3" customFormat="1" x14ac:dyDescent="0.3"/>
    <row r="98" s="3" customFormat="1" x14ac:dyDescent="0.3"/>
    <row r="99" s="3" customFormat="1" x14ac:dyDescent="0.3"/>
    <row r="100" s="3" customFormat="1" x14ac:dyDescent="0.3"/>
    <row r="101" s="3" customFormat="1" x14ac:dyDescent="0.3"/>
    <row r="102" s="3" customFormat="1" x14ac:dyDescent="0.3"/>
    <row r="103" s="3" customFormat="1" x14ac:dyDescent="0.3"/>
    <row r="104" s="3" customFormat="1" x14ac:dyDescent="0.3"/>
    <row r="105" s="3" customFormat="1" x14ac:dyDescent="0.3"/>
    <row r="106" s="3" customFormat="1" x14ac:dyDescent="0.3"/>
    <row r="107" s="3" customFormat="1" x14ac:dyDescent="0.3"/>
    <row r="108" s="3" customFormat="1" x14ac:dyDescent="0.3"/>
    <row r="109" s="3" customFormat="1" x14ac:dyDescent="0.3"/>
    <row r="110" s="3" customFormat="1" x14ac:dyDescent="0.3"/>
    <row r="111" s="3" customFormat="1" x14ac:dyDescent="0.3"/>
    <row r="112" s="3" customFormat="1" x14ac:dyDescent="0.3"/>
    <row r="113" s="3" customFormat="1" x14ac:dyDescent="0.3"/>
    <row r="114" s="3" customFormat="1" x14ac:dyDescent="0.3"/>
    <row r="115" s="3" customFormat="1" x14ac:dyDescent="0.3"/>
    <row r="116" s="3" customFormat="1" x14ac:dyDescent="0.3"/>
    <row r="117" s="3" customFormat="1" x14ac:dyDescent="0.3"/>
    <row r="118" s="3" customFormat="1" x14ac:dyDescent="0.3"/>
    <row r="119" s="3" customFormat="1" x14ac:dyDescent="0.3"/>
    <row r="120" s="3" customFormat="1" x14ac:dyDescent="0.3"/>
    <row r="121" s="3" customFormat="1" x14ac:dyDescent="0.3"/>
    <row r="122" s="3" customFormat="1" x14ac:dyDescent="0.3"/>
    <row r="123" s="3" customFormat="1" x14ac:dyDescent="0.3"/>
    <row r="124" s="3" customFormat="1" x14ac:dyDescent="0.3"/>
    <row r="125" s="3" customFormat="1" x14ac:dyDescent="0.3"/>
    <row r="126" s="3" customFormat="1" x14ac:dyDescent="0.3"/>
    <row r="127" s="3" customFormat="1" x14ac:dyDescent="0.3"/>
    <row r="128" s="3" customFormat="1" x14ac:dyDescent="0.3"/>
  </sheetData>
  <mergeCells count="4">
    <mergeCell ref="A9:A10"/>
    <mergeCell ref="B9:B10"/>
    <mergeCell ref="C9:G9"/>
    <mergeCell ref="A81:G81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8:G84"/>
  <sheetViews>
    <sheetView showGridLines="0" zoomScale="80" zoomScaleNormal="80" workbookViewId="0">
      <pane ySplit="10" topLeftCell="A11" activePane="bottomLeft" state="frozen"/>
      <selection activeCell="A9" sqref="A9:A10"/>
      <selection pane="bottomLeft" activeCell="A9" sqref="A9:A10"/>
    </sheetView>
  </sheetViews>
  <sheetFormatPr baseColWidth="10" defaultColWidth="11.44140625" defaultRowHeight="14.4" x14ac:dyDescent="0.3"/>
  <cols>
    <col min="1" max="1" width="60.6640625" style="3" customWidth="1"/>
    <col min="2" max="7" width="20.6640625" style="3" customWidth="1"/>
    <col min="8" max="16384" width="11.44140625" style="3"/>
  </cols>
  <sheetData>
    <row r="8" spans="1:7" ht="17.25" customHeight="1" x14ac:dyDescent="0.3"/>
    <row r="9" spans="1:7" s="7" customFormat="1" ht="15.6" x14ac:dyDescent="0.35">
      <c r="A9" s="52" t="s">
        <v>0</v>
      </c>
      <c r="B9" s="54" t="s">
        <v>1</v>
      </c>
      <c r="C9" s="56" t="s">
        <v>2</v>
      </c>
      <c r="D9" s="56"/>
      <c r="E9" s="56"/>
      <c r="F9" s="56"/>
      <c r="G9" s="56"/>
    </row>
    <row r="10" spans="1:7" s="7" customFormat="1" ht="31.8" thickBot="1" x14ac:dyDescent="0.4">
      <c r="A10" s="53"/>
      <c r="B10" s="55"/>
      <c r="C10" s="41" t="s">
        <v>3</v>
      </c>
      <c r="D10" s="41" t="s">
        <v>76</v>
      </c>
      <c r="E10" s="41" t="s">
        <v>77</v>
      </c>
      <c r="F10" s="41" t="s">
        <v>46</v>
      </c>
      <c r="G10" s="41" t="s">
        <v>78</v>
      </c>
    </row>
    <row r="11" spans="1:7" s="7" customFormat="1" ht="16.2" thickTop="1" x14ac:dyDescent="0.35"/>
    <row r="12" spans="1:7" s="7" customFormat="1" ht="15.6" x14ac:dyDescent="0.35">
      <c r="A12" s="8" t="s">
        <v>4</v>
      </c>
    </row>
    <row r="13" spans="1:7" s="7" customFormat="1" ht="15.6" x14ac:dyDescent="0.35"/>
    <row r="14" spans="1:7" s="7" customFormat="1" ht="15.6" x14ac:dyDescent="0.35">
      <c r="A14" s="8" t="s">
        <v>5</v>
      </c>
    </row>
    <row r="15" spans="1:7" s="7" customFormat="1" ht="15.6" x14ac:dyDescent="0.35">
      <c r="A15" s="9" t="s">
        <v>65</v>
      </c>
      <c r="B15" s="10">
        <f>+C15+E15+F15</f>
        <v>8430</v>
      </c>
      <c r="C15" s="10">
        <f>+'I trimestre'!C15+'II Trimestre'!C15+'III Trimestre'!C15</f>
        <v>1249</v>
      </c>
      <c r="D15" s="10" t="s">
        <v>48</v>
      </c>
      <c r="E15" s="10">
        <f>+'I trimestre'!E15+'II Trimestre'!E15+'III Trimestre'!E15</f>
        <v>3989</v>
      </c>
      <c r="F15" s="10">
        <f>+'I trimestre'!F15+'II Trimestre'!F15+'III Trimestre'!F15</f>
        <v>3192</v>
      </c>
      <c r="G15" s="10" t="s">
        <v>48</v>
      </c>
    </row>
    <row r="16" spans="1:7" s="7" customFormat="1" ht="15.6" x14ac:dyDescent="0.35">
      <c r="A16" s="11" t="s">
        <v>33</v>
      </c>
      <c r="B16" s="10">
        <f>+C16+E16+F16</f>
        <v>36871</v>
      </c>
      <c r="C16" s="10">
        <f>+'I trimestre'!C16+'II Trimestre'!C16+'III Trimestre'!C16</f>
        <v>3252</v>
      </c>
      <c r="D16" s="10" t="s">
        <v>48</v>
      </c>
      <c r="E16" s="10">
        <f>+'I trimestre'!E16+'II Trimestre'!E16+'III Trimestre'!E16</f>
        <v>24789</v>
      </c>
      <c r="F16" s="10">
        <f>+'I trimestre'!F16+'II Trimestre'!F16+'III Trimestre'!F16</f>
        <v>8830</v>
      </c>
      <c r="G16" s="10" t="s">
        <v>48</v>
      </c>
    </row>
    <row r="17" spans="1:7" s="7" customFormat="1" ht="15.6" x14ac:dyDescent="0.35">
      <c r="A17" s="9" t="s">
        <v>107</v>
      </c>
      <c r="B17" s="10">
        <f t="shared" ref="B17:B28" si="0">SUM(C17:G17)</f>
        <v>9725</v>
      </c>
      <c r="C17" s="10">
        <f>+'I trimestre'!C17+'II Trimestre'!C17+'III Trimestre'!C17</f>
        <v>910</v>
      </c>
      <c r="D17" s="10">
        <f>+'I trimestre'!D17+'II Trimestre'!D17+'III Trimestre'!D17</f>
        <v>0</v>
      </c>
      <c r="E17" s="10">
        <f>+'I trimestre'!E17+'II Trimestre'!E17+'III Trimestre'!E17</f>
        <v>7180</v>
      </c>
      <c r="F17" s="10">
        <f>+'I trimestre'!F17+'II Trimestre'!F17+'III Trimestre'!F17</f>
        <v>1260</v>
      </c>
      <c r="G17" s="10">
        <f>+'I trimestre'!G17+'II Trimestre'!G17+'III Trimestre'!G17</f>
        <v>375</v>
      </c>
    </row>
    <row r="18" spans="1:7" s="7" customFormat="1" ht="15.6" x14ac:dyDescent="0.35">
      <c r="A18" s="11" t="s">
        <v>33</v>
      </c>
      <c r="B18" s="10">
        <f t="shared" si="0"/>
        <v>46394</v>
      </c>
      <c r="C18" s="10">
        <f>+'I trimestre'!C18+'II Trimestre'!C18+'III Trimestre'!C18</f>
        <v>3070</v>
      </c>
      <c r="D18" s="10">
        <f>+'I trimestre'!D18+'II Trimestre'!D18+'III Trimestre'!D18</f>
        <v>0</v>
      </c>
      <c r="E18" s="10">
        <f>+'I trimestre'!E18+'II Trimestre'!E18+'III Trimestre'!E18</f>
        <v>38080</v>
      </c>
      <c r="F18" s="10">
        <f>+'I trimestre'!F18+'II Trimestre'!F18+'III Trimestre'!F18</f>
        <v>4680</v>
      </c>
      <c r="G18" s="10">
        <f>+'I trimestre'!G18+'II Trimestre'!G18+'III Trimestre'!G18</f>
        <v>564</v>
      </c>
    </row>
    <row r="19" spans="1:7" s="7" customFormat="1" ht="15.6" x14ac:dyDescent="0.35">
      <c r="A19" s="9" t="s">
        <v>108</v>
      </c>
      <c r="B19" s="10">
        <f t="shared" si="0"/>
        <v>11939</v>
      </c>
      <c r="C19" s="10">
        <f>+'I trimestre'!C19+'II Trimestre'!C19+'III Trimestre'!C19</f>
        <v>1467</v>
      </c>
      <c r="D19" s="10">
        <f>+'I trimestre'!D19+'II Trimestre'!D19+'III Trimestre'!D19</f>
        <v>0</v>
      </c>
      <c r="E19" s="10">
        <f>+'I trimestre'!E19+'II Trimestre'!E19+'III Trimestre'!E19</f>
        <v>8229</v>
      </c>
      <c r="F19" s="10">
        <f>+'I trimestre'!F19+'II Trimestre'!F19+'III Trimestre'!F19</f>
        <v>2170</v>
      </c>
      <c r="G19" s="10">
        <f>+'I trimestre'!G19+'II Trimestre'!G19+'III Trimestre'!G19</f>
        <v>73</v>
      </c>
    </row>
    <row r="20" spans="1:7" s="7" customFormat="1" ht="15.6" x14ac:dyDescent="0.35">
      <c r="A20" s="11" t="s">
        <v>33</v>
      </c>
      <c r="B20" s="10">
        <f t="shared" si="0"/>
        <v>42040</v>
      </c>
      <c r="C20" s="10">
        <f>+'I trimestre'!C20+'II Trimestre'!C20+'III Trimestre'!C20</f>
        <v>9792</v>
      </c>
      <c r="D20" s="10">
        <f>+'I trimestre'!D20+'II Trimestre'!D20+'III Trimestre'!D20</f>
        <v>0</v>
      </c>
      <c r="E20" s="10">
        <f>+'I trimestre'!E20+'II Trimestre'!E20+'III Trimestre'!E20</f>
        <v>26920</v>
      </c>
      <c r="F20" s="10">
        <f>+'I trimestre'!F20+'II Trimestre'!F20+'III Trimestre'!F20</f>
        <v>5246</v>
      </c>
      <c r="G20" s="10">
        <f>+'I trimestre'!G20+'II Trimestre'!G20+'III Trimestre'!G20</f>
        <v>82</v>
      </c>
    </row>
    <row r="21" spans="1:7" s="7" customFormat="1" ht="15.6" x14ac:dyDescent="0.35">
      <c r="A21" s="9" t="s">
        <v>81</v>
      </c>
      <c r="B21" s="10">
        <f t="shared" si="0"/>
        <v>12844</v>
      </c>
      <c r="C21" s="10">
        <f>+'III Trimestre'!C21</f>
        <v>1007</v>
      </c>
      <c r="D21" s="10">
        <f>+'III Trimestre'!D21</f>
        <v>2487</v>
      </c>
      <c r="E21" s="10">
        <f>+'III Trimestre'!E21</f>
        <v>7632</v>
      </c>
      <c r="F21" s="10">
        <f>+'III Trimestre'!F21</f>
        <v>1220</v>
      </c>
      <c r="G21" s="10">
        <f>+'III Trimestre'!G21</f>
        <v>498</v>
      </c>
    </row>
    <row r="22" spans="1:7" s="7" customFormat="1" ht="15.6" x14ac:dyDescent="0.35">
      <c r="B22" s="10"/>
      <c r="C22" s="10"/>
      <c r="D22" s="10"/>
      <c r="E22" s="10"/>
      <c r="F22" s="10"/>
      <c r="G22" s="10"/>
    </row>
    <row r="23" spans="1:7" s="7" customFormat="1" ht="15.6" x14ac:dyDescent="0.35">
      <c r="A23" s="12" t="s">
        <v>6</v>
      </c>
      <c r="B23" s="10"/>
      <c r="C23" s="10"/>
      <c r="D23" s="10"/>
      <c r="E23" s="10"/>
      <c r="F23" s="10"/>
      <c r="G23" s="10"/>
    </row>
    <row r="24" spans="1:7" s="7" customFormat="1" ht="15.6" x14ac:dyDescent="0.35">
      <c r="A24" s="9" t="s">
        <v>109</v>
      </c>
      <c r="B24" s="10">
        <f>+C24+E24+F24</f>
        <v>8986435800</v>
      </c>
      <c r="C24" s="10">
        <f>+'I trimestre'!C24+'II Trimestre'!C24+'III Trimestre'!C24</f>
        <v>747500000</v>
      </c>
      <c r="D24" s="10" t="s">
        <v>48</v>
      </c>
      <c r="E24" s="10">
        <f>+'I trimestre'!E24+'II Trimestre'!E24+'III Trimestre'!E24</f>
        <v>6208035800</v>
      </c>
      <c r="F24" s="10">
        <f>+'I trimestre'!F24+'II Trimestre'!F24+'III Trimestre'!F24</f>
        <v>2030900000</v>
      </c>
      <c r="G24" s="10" t="s">
        <v>48</v>
      </c>
    </row>
    <row r="25" spans="1:7" s="7" customFormat="1" ht="15.6" x14ac:dyDescent="0.35">
      <c r="A25" s="9" t="s">
        <v>107</v>
      </c>
      <c r="B25" s="10">
        <f t="shared" si="0"/>
        <v>13193920000</v>
      </c>
      <c r="C25" s="10">
        <f>+'I trimestre'!C25+'II Trimestre'!C25+'III Trimestre'!C25</f>
        <v>721000000</v>
      </c>
      <c r="D25" s="10">
        <f>+'I trimestre'!D25+'II Trimestre'!D25+'III Trimestre'!D25</f>
        <v>0</v>
      </c>
      <c r="E25" s="10">
        <f>+'I trimestre'!E25+'II Trimestre'!E25+'III Trimestre'!E25</f>
        <v>11309760000</v>
      </c>
      <c r="F25" s="10">
        <f>+'I trimestre'!F25+'II Trimestre'!F25+'III Trimestre'!F25</f>
        <v>1098300000</v>
      </c>
      <c r="G25" s="10">
        <f>+'I trimestre'!G25+'II Trimestre'!G25+'III Trimestre'!G25</f>
        <v>64860000</v>
      </c>
    </row>
    <row r="26" spans="1:7" s="7" customFormat="1" ht="15.6" x14ac:dyDescent="0.35">
      <c r="A26" s="9" t="s">
        <v>110</v>
      </c>
      <c r="B26" s="10">
        <f t="shared" si="0"/>
        <v>10355735490</v>
      </c>
      <c r="C26" s="10">
        <f>+'I trimestre'!C26+'II Trimestre'!C26+'III Trimestre'!C26</f>
        <v>1107885000</v>
      </c>
      <c r="D26" s="10">
        <f>+'I trimestre'!D26+'II Trimestre'!D26+'III Trimestre'!D26</f>
        <v>0</v>
      </c>
      <c r="E26" s="10">
        <f>+'I trimestre'!E26+'II Trimestre'!E26+'III Trimestre'!E26</f>
        <v>8006397990</v>
      </c>
      <c r="F26" s="10">
        <f>+'I trimestre'!F26+'II Trimestre'!F26+'III Trimestre'!F26</f>
        <v>1231840000</v>
      </c>
      <c r="G26" s="10">
        <f>+'I trimestre'!G26+'II Trimestre'!G26+'III Trimestre'!G26</f>
        <v>9612500</v>
      </c>
    </row>
    <row r="27" spans="1:7" s="7" customFormat="1" ht="15.6" x14ac:dyDescent="0.35">
      <c r="A27" s="9" t="s">
        <v>81</v>
      </c>
      <c r="B27" s="10">
        <f>SUM(C27:G27)</f>
        <v>15682222000</v>
      </c>
      <c r="C27" s="10">
        <f>+'III Trimestre'!C27</f>
        <v>1072090000</v>
      </c>
      <c r="D27" s="10">
        <f>+'III Trimestre'!D27</f>
        <v>838119000</v>
      </c>
      <c r="E27" s="10">
        <f>+'III Trimestre'!E27</f>
        <v>12169278000</v>
      </c>
      <c r="F27" s="10">
        <f>+'III Trimestre'!F27</f>
        <v>1516600000</v>
      </c>
      <c r="G27" s="10">
        <f>+'III Trimestre'!G27</f>
        <v>86135000</v>
      </c>
    </row>
    <row r="28" spans="1:7" s="7" customFormat="1" ht="15.6" x14ac:dyDescent="0.35">
      <c r="A28" s="9" t="s">
        <v>111</v>
      </c>
      <c r="B28" s="10">
        <f t="shared" si="0"/>
        <v>10355735490</v>
      </c>
      <c r="C28" s="10">
        <f>C26</f>
        <v>1107885000</v>
      </c>
      <c r="D28" s="10">
        <f>D26</f>
        <v>0</v>
      </c>
      <c r="E28" s="10">
        <f>E26</f>
        <v>8006397990</v>
      </c>
      <c r="F28" s="10">
        <f>F26</f>
        <v>1231840000</v>
      </c>
      <c r="G28" s="10">
        <f>G26</f>
        <v>9612500</v>
      </c>
    </row>
    <row r="29" spans="1:7" s="7" customFormat="1" ht="15.6" x14ac:dyDescent="0.35">
      <c r="B29" s="10"/>
      <c r="C29" s="10"/>
      <c r="D29" s="10"/>
      <c r="E29" s="10"/>
      <c r="F29" s="10"/>
      <c r="G29" s="10"/>
    </row>
    <row r="30" spans="1:7" s="7" customFormat="1" ht="15.6" x14ac:dyDescent="0.35">
      <c r="A30" s="8" t="s">
        <v>7</v>
      </c>
      <c r="B30" s="10"/>
      <c r="C30" s="10"/>
      <c r="D30" s="10"/>
      <c r="E30" s="10"/>
      <c r="F30" s="22"/>
      <c r="G30" s="10"/>
    </row>
    <row r="31" spans="1:7" s="7" customFormat="1" ht="15.6" x14ac:dyDescent="0.35">
      <c r="A31" s="15" t="s">
        <v>107</v>
      </c>
      <c r="B31" s="10">
        <f>B25</f>
        <v>13193920000</v>
      </c>
      <c r="C31" s="10"/>
      <c r="D31" s="10"/>
      <c r="E31" s="10"/>
      <c r="F31" s="10"/>
      <c r="G31" s="10"/>
    </row>
    <row r="32" spans="1:7" s="7" customFormat="1" ht="15.6" x14ac:dyDescent="0.35">
      <c r="A32" s="15" t="s">
        <v>108</v>
      </c>
      <c r="B32" s="10">
        <f>+'I trimestre'!B32+'II Trimestre'!B32+'III Trimestre'!B32</f>
        <v>14514232719</v>
      </c>
      <c r="C32" s="10"/>
      <c r="D32" s="10"/>
      <c r="E32" s="10"/>
      <c r="F32" s="22"/>
      <c r="G32" s="10"/>
    </row>
    <row r="33" spans="1:7" s="7" customFormat="1" ht="15.6" x14ac:dyDescent="0.35">
      <c r="B33" s="14"/>
      <c r="C33" s="14"/>
      <c r="D33" s="14"/>
      <c r="E33" s="14"/>
      <c r="F33" s="14"/>
      <c r="G33" s="14"/>
    </row>
    <row r="34" spans="1:7" s="7" customFormat="1" ht="15.6" x14ac:dyDescent="0.35">
      <c r="A34" s="8" t="s">
        <v>8</v>
      </c>
      <c r="B34" s="14"/>
      <c r="C34" s="14"/>
      <c r="D34" s="14"/>
      <c r="E34" s="14"/>
      <c r="F34" s="14"/>
      <c r="G34" s="14"/>
    </row>
    <row r="35" spans="1:7" s="7" customFormat="1" ht="15.6" x14ac:dyDescent="0.35">
      <c r="A35" s="7" t="s">
        <v>66</v>
      </c>
      <c r="B35" s="39">
        <v>1.0948</v>
      </c>
      <c r="C35" s="39">
        <v>1.0948</v>
      </c>
      <c r="D35" s="39">
        <v>1.0948</v>
      </c>
      <c r="E35" s="39">
        <v>1.0948</v>
      </c>
      <c r="F35" s="39">
        <v>1.0948</v>
      </c>
      <c r="G35" s="39">
        <v>1.0948</v>
      </c>
    </row>
    <row r="36" spans="1:7" s="7" customFormat="1" ht="15.6" x14ac:dyDescent="0.35">
      <c r="A36" s="7" t="s">
        <v>112</v>
      </c>
      <c r="B36" s="39">
        <v>1.0932999999999999</v>
      </c>
      <c r="C36" s="39">
        <v>1.0932999999999999</v>
      </c>
      <c r="D36" s="39">
        <v>1.0932999999999999</v>
      </c>
      <c r="E36" s="39">
        <v>1.0932999999999999</v>
      </c>
      <c r="F36" s="39">
        <v>1.0932999999999999</v>
      </c>
      <c r="G36" s="39">
        <v>1.0932999999999999</v>
      </c>
    </row>
    <row r="37" spans="1:7" s="7" customFormat="1" ht="15.6" x14ac:dyDescent="0.35">
      <c r="A37" s="7" t="s">
        <v>9</v>
      </c>
      <c r="B37" s="10">
        <f>C37+E37</f>
        <v>104416</v>
      </c>
      <c r="C37" s="10">
        <v>79512</v>
      </c>
      <c r="D37" s="10">
        <v>79512</v>
      </c>
      <c r="E37" s="10">
        <v>24904</v>
      </c>
      <c r="F37" s="10">
        <v>79512</v>
      </c>
      <c r="G37" s="10">
        <v>79512</v>
      </c>
    </row>
    <row r="38" spans="1:7" s="7" customFormat="1" ht="15.6" x14ac:dyDescent="0.35">
      <c r="B38" s="10"/>
      <c r="C38" s="10"/>
      <c r="D38" s="10"/>
      <c r="E38" s="10"/>
      <c r="F38" s="10"/>
      <c r="G38" s="10"/>
    </row>
    <row r="39" spans="1:7" s="7" customFormat="1" ht="15.6" x14ac:dyDescent="0.35">
      <c r="A39" s="8" t="s">
        <v>10</v>
      </c>
      <c r="B39" s="10"/>
      <c r="C39" s="10"/>
      <c r="D39" s="10"/>
      <c r="E39" s="10"/>
      <c r="F39" s="10"/>
      <c r="G39" s="10"/>
    </row>
    <row r="40" spans="1:7" s="7" customFormat="1" ht="15.6" x14ac:dyDescent="0.35">
      <c r="A40" s="7" t="s">
        <v>113</v>
      </c>
      <c r="B40" s="10">
        <f t="shared" ref="B40" si="1">B24/B35</f>
        <v>8208289915.9663868</v>
      </c>
      <c r="C40" s="10">
        <f t="shared" ref="C40:F40" si="2">C24/C35</f>
        <v>682773109.24369752</v>
      </c>
      <c r="D40" s="10" t="s">
        <v>48</v>
      </c>
      <c r="E40" s="10">
        <f t="shared" si="2"/>
        <v>5670474789.915966</v>
      </c>
      <c r="F40" s="10">
        <f t="shared" si="2"/>
        <v>1855042016.8067226</v>
      </c>
      <c r="G40" s="10" t="s">
        <v>48</v>
      </c>
    </row>
    <row r="41" spans="1:7" s="7" customFormat="1" ht="15.6" x14ac:dyDescent="0.35">
      <c r="A41" s="7" t="s">
        <v>114</v>
      </c>
      <c r="B41" s="10">
        <f t="shared" ref="B41" si="3">B26/B36</f>
        <v>9471998070.0631123</v>
      </c>
      <c r="C41" s="10">
        <f t="shared" ref="C41:G41" si="4">C26/C36</f>
        <v>1013340345.7422483</v>
      </c>
      <c r="D41" s="10">
        <f t="shared" si="4"/>
        <v>0</v>
      </c>
      <c r="E41" s="10">
        <f t="shared" si="4"/>
        <v>7323148257.5688286</v>
      </c>
      <c r="F41" s="10">
        <f t="shared" si="4"/>
        <v>1126717277.9657917</v>
      </c>
      <c r="G41" s="10">
        <f t="shared" si="4"/>
        <v>8792188.7862434834</v>
      </c>
    </row>
    <row r="42" spans="1:7" s="7" customFormat="1" ht="15.6" x14ac:dyDescent="0.35">
      <c r="A42" s="7" t="s">
        <v>67</v>
      </c>
      <c r="B42" s="10">
        <f t="shared" ref="B42" si="5">B40/B15</f>
        <v>973699.87140763784</v>
      </c>
      <c r="C42" s="10">
        <f t="shared" ref="C42:F42" si="6">C40/C15</f>
        <v>546655.81204459374</v>
      </c>
      <c r="D42" s="10" t="s">
        <v>48</v>
      </c>
      <c r="E42" s="10">
        <f t="shared" si="6"/>
        <v>1421527.8992017964</v>
      </c>
      <c r="F42" s="10">
        <f t="shared" si="6"/>
        <v>581153.51403719385</v>
      </c>
      <c r="G42" s="10" t="s">
        <v>48</v>
      </c>
    </row>
    <row r="43" spans="1:7" s="7" customFormat="1" ht="15.6" x14ac:dyDescent="0.35">
      <c r="A43" s="7" t="s">
        <v>115</v>
      </c>
      <c r="B43" s="10">
        <f t="shared" ref="B43" si="7">B41/B19</f>
        <v>793366.11693300214</v>
      </c>
      <c r="C43" s="10">
        <f t="shared" ref="C43:G43" si="8">C41/C19</f>
        <v>690756.88189655647</v>
      </c>
      <c r="D43" s="10" t="s">
        <v>48</v>
      </c>
      <c r="E43" s="10">
        <f t="shared" si="8"/>
        <v>889919.58410120651</v>
      </c>
      <c r="F43" s="10">
        <f t="shared" si="8"/>
        <v>519224.55205796851</v>
      </c>
      <c r="G43" s="10">
        <f t="shared" si="8"/>
        <v>120440.94227730799</v>
      </c>
    </row>
    <row r="44" spans="1:7" s="7" customFormat="1" ht="15.6" x14ac:dyDescent="0.35">
      <c r="B44" s="14"/>
      <c r="C44" s="14"/>
      <c r="D44" s="14"/>
      <c r="E44" s="14"/>
      <c r="F44" s="14"/>
      <c r="G44" s="14"/>
    </row>
    <row r="45" spans="1:7" s="7" customFormat="1" ht="15.6" x14ac:dyDescent="0.35">
      <c r="A45" s="8" t="s">
        <v>11</v>
      </c>
      <c r="B45" s="14"/>
      <c r="C45" s="14"/>
      <c r="D45" s="14"/>
      <c r="E45" s="14"/>
      <c r="F45" s="14"/>
      <c r="G45" s="14"/>
    </row>
    <row r="46" spans="1:7" s="7" customFormat="1" ht="15.6" x14ac:dyDescent="0.35">
      <c r="B46" s="14"/>
      <c r="C46" s="14"/>
      <c r="D46" s="14"/>
      <c r="E46" s="14"/>
      <c r="F46" s="14"/>
      <c r="G46" s="14"/>
    </row>
    <row r="47" spans="1:7" s="7" customFormat="1" ht="15.6" x14ac:dyDescent="0.35">
      <c r="A47" s="8" t="s">
        <v>12</v>
      </c>
      <c r="B47" s="14"/>
      <c r="C47" s="14"/>
      <c r="D47" s="14"/>
      <c r="E47" s="14"/>
      <c r="F47" s="14"/>
      <c r="G47" s="14"/>
    </row>
    <row r="48" spans="1:7" s="7" customFormat="1" ht="15.6" x14ac:dyDescent="0.35">
      <c r="A48" s="7" t="s">
        <v>13</v>
      </c>
      <c r="B48" s="16">
        <f t="shared" ref="B48:G48" si="9">B17/B37*100</f>
        <v>9.3137067116150796</v>
      </c>
      <c r="C48" s="16">
        <f t="shared" si="9"/>
        <v>1.1444813361505182</v>
      </c>
      <c r="D48" s="16">
        <f t="shared" si="9"/>
        <v>0</v>
      </c>
      <c r="E48" s="16">
        <f t="shared" si="9"/>
        <v>28.830709926116288</v>
      </c>
      <c r="F48" s="16">
        <f t="shared" si="9"/>
        <v>1.5846664654391791</v>
      </c>
      <c r="G48" s="16">
        <f t="shared" si="9"/>
        <v>0.47162692423785091</v>
      </c>
    </row>
    <row r="49" spans="1:7" s="7" customFormat="1" ht="15.6" x14ac:dyDescent="0.35">
      <c r="A49" s="7" t="s">
        <v>14</v>
      </c>
      <c r="B49" s="16">
        <f t="shared" ref="B49:G49" si="10">B19/B37*100</f>
        <v>11.434071406680967</v>
      </c>
      <c r="C49" s="16">
        <f t="shared" si="10"/>
        <v>1.8450045276184726</v>
      </c>
      <c r="D49" s="16">
        <f t="shared" si="10"/>
        <v>0</v>
      </c>
      <c r="E49" s="16">
        <f t="shared" si="10"/>
        <v>33.042884677160295</v>
      </c>
      <c r="F49" s="16">
        <f t="shared" si="10"/>
        <v>2.7291478015896971</v>
      </c>
      <c r="G49" s="16">
        <f t="shared" si="10"/>
        <v>9.1810041251634972E-2</v>
      </c>
    </row>
    <row r="50" spans="1:7" s="7" customFormat="1" ht="15.6" x14ac:dyDescent="0.35">
      <c r="B50" s="16"/>
      <c r="C50" s="16"/>
      <c r="D50" s="16"/>
      <c r="E50" s="16"/>
      <c r="F50" s="16"/>
      <c r="G50" s="16"/>
    </row>
    <row r="51" spans="1:7" s="7" customFormat="1" ht="15.6" x14ac:dyDescent="0.35">
      <c r="A51" s="8" t="s">
        <v>15</v>
      </c>
      <c r="B51" s="16"/>
      <c r="C51" s="16"/>
      <c r="D51" s="16"/>
      <c r="E51" s="16"/>
      <c r="F51" s="16"/>
      <c r="G51" s="16"/>
    </row>
    <row r="52" spans="1:7" s="7" customFormat="1" ht="15.6" x14ac:dyDescent="0.35">
      <c r="A52" s="7" t="s">
        <v>16</v>
      </c>
      <c r="B52" s="16">
        <f t="shared" ref="B52" si="11">B19/B17*100</f>
        <v>122.76606683804627</v>
      </c>
      <c r="C52" s="16">
        <f t="shared" ref="C52:G52" si="12">C19/C17*100</f>
        <v>161.20879120879121</v>
      </c>
      <c r="D52" s="10" t="s">
        <v>48</v>
      </c>
      <c r="E52" s="16">
        <f t="shared" si="12"/>
        <v>114.61002785515319</v>
      </c>
      <c r="F52" s="16">
        <f t="shared" si="12"/>
        <v>172.22222222222223</v>
      </c>
      <c r="G52" s="16">
        <f t="shared" si="12"/>
        <v>19.466666666666665</v>
      </c>
    </row>
    <row r="53" spans="1:7" s="7" customFormat="1" ht="15.6" x14ac:dyDescent="0.35">
      <c r="A53" s="7" t="s">
        <v>17</v>
      </c>
      <c r="B53" s="16">
        <f t="shared" ref="B53" si="13">B26/B25*100</f>
        <v>78.488693959035686</v>
      </c>
      <c r="C53" s="16">
        <f t="shared" ref="C53:G53" si="14">C26/C25*100</f>
        <v>153.65950069348128</v>
      </c>
      <c r="D53" s="10" t="s">
        <v>48</v>
      </c>
      <c r="E53" s="16">
        <f t="shared" si="14"/>
        <v>70.791935372633901</v>
      </c>
      <c r="F53" s="16">
        <f t="shared" si="14"/>
        <v>112.15879085859966</v>
      </c>
      <c r="G53" s="16">
        <f t="shared" si="14"/>
        <v>14.820382362010484</v>
      </c>
    </row>
    <row r="54" spans="1:7" s="7" customFormat="1" ht="15.6" x14ac:dyDescent="0.35">
      <c r="A54" s="7" t="s">
        <v>18</v>
      </c>
      <c r="B54" s="16">
        <f t="shared" ref="B54" si="15">AVERAGE(B52:B53)</f>
        <v>100.62738039854098</v>
      </c>
      <c r="C54" s="16">
        <f t="shared" ref="C54:G54" si="16">AVERAGE(C52:C53)</f>
        <v>157.43414595113626</v>
      </c>
      <c r="D54" s="10" t="s">
        <v>48</v>
      </c>
      <c r="E54" s="16">
        <f t="shared" si="16"/>
        <v>92.700981613893546</v>
      </c>
      <c r="F54" s="16">
        <f t="shared" si="16"/>
        <v>142.19050654041095</v>
      </c>
      <c r="G54" s="16">
        <f t="shared" si="16"/>
        <v>17.143524514338573</v>
      </c>
    </row>
    <row r="55" spans="1:7" s="7" customFormat="1" ht="15.6" x14ac:dyDescent="0.35">
      <c r="B55" s="16"/>
      <c r="C55" s="16"/>
      <c r="D55" s="16"/>
      <c r="E55" s="16"/>
      <c r="F55" s="16"/>
      <c r="G55" s="16"/>
    </row>
    <row r="56" spans="1:7" s="7" customFormat="1" ht="15.6" x14ac:dyDescent="0.35">
      <c r="A56" s="8" t="s">
        <v>19</v>
      </c>
      <c r="B56" s="16"/>
      <c r="C56" s="16"/>
      <c r="D56" s="16"/>
      <c r="E56" s="16"/>
      <c r="F56" s="16"/>
      <c r="G56" s="16"/>
    </row>
    <row r="57" spans="1:7" s="7" customFormat="1" ht="15.6" x14ac:dyDescent="0.35">
      <c r="A57" s="7" t="s">
        <v>20</v>
      </c>
      <c r="B57" s="16">
        <f t="shared" ref="B57" si="17">B19/B21*100</f>
        <v>92.953908439738399</v>
      </c>
      <c r="C57" s="16">
        <f t="shared" ref="C57:G57" si="18">C19/C21*100</f>
        <v>145.68023833167825</v>
      </c>
      <c r="D57" s="16">
        <f t="shared" si="18"/>
        <v>0</v>
      </c>
      <c r="E57" s="16">
        <f t="shared" si="18"/>
        <v>107.82232704402517</v>
      </c>
      <c r="F57" s="16">
        <f t="shared" si="18"/>
        <v>177.86885245901641</v>
      </c>
      <c r="G57" s="16">
        <f t="shared" si="18"/>
        <v>14.65863453815261</v>
      </c>
    </row>
    <row r="58" spans="1:7" s="7" customFormat="1" ht="15.6" x14ac:dyDescent="0.35">
      <c r="A58" s="7" t="s">
        <v>21</v>
      </c>
      <c r="B58" s="16">
        <f t="shared" ref="B58" si="19">B26/B27*100</f>
        <v>66.034873693281469</v>
      </c>
      <c r="C58" s="16">
        <f t="shared" ref="C58:G58" si="20">C26/C27*100</f>
        <v>103.33880551073138</v>
      </c>
      <c r="D58" s="16">
        <f t="shared" si="20"/>
        <v>0</v>
      </c>
      <c r="E58" s="16">
        <f t="shared" si="20"/>
        <v>65.791889954358837</v>
      </c>
      <c r="F58" s="16">
        <f t="shared" si="20"/>
        <v>81.223790056705795</v>
      </c>
      <c r="G58" s="16">
        <f t="shared" si="20"/>
        <v>11.159807279270911</v>
      </c>
    </row>
    <row r="59" spans="1:7" s="7" customFormat="1" ht="15.6" x14ac:dyDescent="0.35">
      <c r="A59" s="7" t="s">
        <v>22</v>
      </c>
      <c r="B59" s="16">
        <f t="shared" ref="B59" si="21">(B57+B58)/2</f>
        <v>79.494391066509934</v>
      </c>
      <c r="C59" s="16">
        <f t="shared" ref="C59:G59" si="22">(C57+C58)/2</f>
        <v>124.50952192120482</v>
      </c>
      <c r="D59" s="16">
        <f t="shared" si="22"/>
        <v>0</v>
      </c>
      <c r="E59" s="16">
        <f t="shared" si="22"/>
        <v>86.807108499191997</v>
      </c>
      <c r="F59" s="16">
        <f t="shared" si="22"/>
        <v>129.54632125786111</v>
      </c>
      <c r="G59" s="16">
        <f t="shared" si="22"/>
        <v>12.90922090871176</v>
      </c>
    </row>
    <row r="60" spans="1:7" s="7" customFormat="1" ht="15.6" x14ac:dyDescent="0.35">
      <c r="B60" s="16"/>
      <c r="C60" s="16"/>
      <c r="D60" s="16"/>
      <c r="E60" s="16"/>
      <c r="F60" s="16"/>
      <c r="G60" s="16"/>
    </row>
    <row r="61" spans="1:7" s="7" customFormat="1" ht="15.6" x14ac:dyDescent="0.35">
      <c r="A61" s="8" t="s">
        <v>47</v>
      </c>
      <c r="B61" s="16"/>
      <c r="C61" s="16"/>
      <c r="D61" s="16"/>
      <c r="E61" s="16"/>
      <c r="F61" s="16"/>
      <c r="G61" s="16"/>
    </row>
    <row r="62" spans="1:7" s="7" customFormat="1" ht="15.6" x14ac:dyDescent="0.35">
      <c r="A62" s="7" t="s">
        <v>23</v>
      </c>
      <c r="B62" s="16">
        <f>B28/B26*100</f>
        <v>100</v>
      </c>
      <c r="C62" s="16"/>
      <c r="D62" s="16"/>
      <c r="E62" s="16"/>
      <c r="F62" s="16"/>
      <c r="G62" s="16"/>
    </row>
    <row r="63" spans="1:7" s="7" customFormat="1" ht="15.6" x14ac:dyDescent="0.35">
      <c r="B63" s="16"/>
      <c r="C63" s="16"/>
      <c r="D63" s="16"/>
      <c r="E63" s="16"/>
      <c r="F63" s="16"/>
      <c r="G63" s="16"/>
    </row>
    <row r="64" spans="1:7" s="7" customFormat="1" ht="15.6" x14ac:dyDescent="0.35">
      <c r="A64" s="8" t="s">
        <v>24</v>
      </c>
      <c r="B64" s="16"/>
      <c r="C64" s="16"/>
      <c r="D64" s="16"/>
      <c r="E64" s="16"/>
      <c r="F64" s="16"/>
      <c r="G64" s="16"/>
    </row>
    <row r="65" spans="1:7" s="7" customFormat="1" ht="15.6" x14ac:dyDescent="0.35">
      <c r="A65" s="7" t="s">
        <v>25</v>
      </c>
      <c r="B65" s="16">
        <f t="shared" ref="B65" si="23">((B19/B15)-1)*100</f>
        <v>41.625148279952541</v>
      </c>
      <c r="C65" s="16">
        <f t="shared" ref="C65:F65" si="24">((C19/C15)-1)*100</f>
        <v>17.453963170536426</v>
      </c>
      <c r="D65" s="10" t="s">
        <v>48</v>
      </c>
      <c r="E65" s="16">
        <f t="shared" si="24"/>
        <v>106.29230383554776</v>
      </c>
      <c r="F65" s="16">
        <f t="shared" si="24"/>
        <v>-32.017543859649123</v>
      </c>
      <c r="G65" s="10" t="s">
        <v>48</v>
      </c>
    </row>
    <row r="66" spans="1:7" s="7" customFormat="1" ht="15.6" x14ac:dyDescent="0.35">
      <c r="A66" s="7" t="s">
        <v>26</v>
      </c>
      <c r="B66" s="16">
        <f t="shared" ref="B66" si="25">((B41/B40)-1)*100</f>
        <v>15.395510721893713</v>
      </c>
      <c r="C66" s="16">
        <f t="shared" ref="C66:F66" si="26">((C41/C40)-1)*100</f>
        <v>48.415386022556973</v>
      </c>
      <c r="D66" s="10" t="s">
        <v>48</v>
      </c>
      <c r="E66" s="16">
        <f t="shared" si="26"/>
        <v>29.145239664796296</v>
      </c>
      <c r="F66" s="16">
        <f t="shared" si="26"/>
        <v>-39.261899851447687</v>
      </c>
      <c r="G66" s="10" t="s">
        <v>48</v>
      </c>
    </row>
    <row r="67" spans="1:7" s="7" customFormat="1" ht="15.6" x14ac:dyDescent="0.35">
      <c r="A67" s="7" t="s">
        <v>27</v>
      </c>
      <c r="B67" s="16">
        <f t="shared" ref="B67" si="27">((B43/B42)-1)*100</f>
        <v>-18.520466087145991</v>
      </c>
      <c r="C67" s="16">
        <f t="shared" ref="C67:F67" si="28">((C43/C42)-1)*100</f>
        <v>26.360475216205614</v>
      </c>
      <c r="D67" s="10" t="s">
        <v>48</v>
      </c>
      <c r="E67" s="16">
        <f t="shared" si="28"/>
        <v>-37.396966700343611</v>
      </c>
      <c r="F67" s="16">
        <f t="shared" si="28"/>
        <v>-10.656213975032747</v>
      </c>
      <c r="G67" s="10" t="s">
        <v>48</v>
      </c>
    </row>
    <row r="68" spans="1:7" s="7" customFormat="1" ht="15.6" x14ac:dyDescent="0.35">
      <c r="B68" s="16"/>
      <c r="C68" s="16"/>
      <c r="D68" s="16"/>
      <c r="E68" s="16"/>
      <c r="F68" s="16"/>
      <c r="G68" s="16"/>
    </row>
    <row r="69" spans="1:7" s="7" customFormat="1" ht="15.6" x14ac:dyDescent="0.35">
      <c r="A69" s="8" t="s">
        <v>28</v>
      </c>
      <c r="B69" s="16"/>
      <c r="C69" s="16"/>
      <c r="D69" s="16"/>
      <c r="E69" s="16"/>
      <c r="F69" s="16"/>
      <c r="G69" s="16"/>
    </row>
    <row r="70" spans="1:7" s="7" customFormat="1" ht="15.6" x14ac:dyDescent="0.35">
      <c r="A70" s="7" t="s">
        <v>43</v>
      </c>
      <c r="B70" s="16">
        <f t="shared" ref="B70" si="29">B25/(B18)</f>
        <v>284388.49851273873</v>
      </c>
      <c r="C70" s="16">
        <f t="shared" ref="C70:G70" si="30">C25/(C18)</f>
        <v>234853.42019543974</v>
      </c>
      <c r="D70" s="10" t="s">
        <v>48</v>
      </c>
      <c r="E70" s="16">
        <f t="shared" si="30"/>
        <v>297000</v>
      </c>
      <c r="F70" s="16">
        <f t="shared" si="30"/>
        <v>234679.48717948719</v>
      </c>
      <c r="G70" s="16">
        <f t="shared" si="30"/>
        <v>115000</v>
      </c>
    </row>
    <row r="71" spans="1:7" s="7" customFormat="1" ht="15.6" x14ac:dyDescent="0.35">
      <c r="A71" s="7" t="s">
        <v>44</v>
      </c>
      <c r="B71" s="16">
        <f t="shared" ref="B71" si="31">B26/(B20)</f>
        <v>246330.53020932444</v>
      </c>
      <c r="C71" s="16">
        <f t="shared" ref="C71:G71" si="32">C26/(C20)</f>
        <v>113141.85049019608</v>
      </c>
      <c r="D71" s="10" t="s">
        <v>48</v>
      </c>
      <c r="E71" s="16">
        <f t="shared" si="32"/>
        <v>297414.4869985141</v>
      </c>
      <c r="F71" s="16">
        <f t="shared" si="32"/>
        <v>234815.09721692718</v>
      </c>
      <c r="G71" s="16">
        <f t="shared" si="32"/>
        <v>117225.60975609756</v>
      </c>
    </row>
    <row r="72" spans="1:7" s="7" customFormat="1" ht="15.6" hidden="1" x14ac:dyDescent="0.35">
      <c r="A72" s="7" t="s">
        <v>34</v>
      </c>
      <c r="B72" s="16">
        <f t="shared" ref="B72" si="33">B26/B20</f>
        <v>246330.53020932444</v>
      </c>
      <c r="C72" s="16">
        <f t="shared" ref="C72:G72" si="34">C26/C20</f>
        <v>113141.85049019608</v>
      </c>
      <c r="D72" s="10" t="s">
        <v>48</v>
      </c>
      <c r="E72" s="16">
        <f t="shared" si="34"/>
        <v>297414.4869985141</v>
      </c>
      <c r="F72" s="16">
        <f t="shared" si="34"/>
        <v>234815.09721692718</v>
      </c>
      <c r="G72" s="16">
        <f t="shared" si="34"/>
        <v>117225.60975609756</v>
      </c>
    </row>
    <row r="73" spans="1:7" s="7" customFormat="1" ht="15.6" x14ac:dyDescent="0.35">
      <c r="A73" s="7" t="s">
        <v>29</v>
      </c>
      <c r="B73" s="16">
        <f t="shared" ref="B73" si="35">(B71/B70)*B54</f>
        <v>87.161035332930879</v>
      </c>
      <c r="C73" s="16">
        <f t="shared" ref="C73:G73" si="36">(C71/C70)*C54</f>
        <v>75.844714496523395</v>
      </c>
      <c r="D73" s="10" t="s">
        <v>48</v>
      </c>
      <c r="E73" s="16">
        <f t="shared" si="36"/>
        <v>92.830353168198101</v>
      </c>
      <c r="F73" s="16">
        <f t="shared" si="36"/>
        <v>142.27267162500058</v>
      </c>
      <c r="G73" s="16">
        <f t="shared" si="36"/>
        <v>17.47530534401692</v>
      </c>
    </row>
    <row r="74" spans="1:7" s="7" customFormat="1" ht="15.6" x14ac:dyDescent="0.35">
      <c r="A74" s="7" t="s">
        <v>35</v>
      </c>
      <c r="B74" s="16">
        <f t="shared" ref="B74" si="37">(B25/B18)*9</f>
        <v>2559496.4866146487</v>
      </c>
      <c r="C74" s="16">
        <f>(C25/C18)*8</f>
        <v>1878827.3615635179</v>
      </c>
      <c r="D74" s="10" t="s">
        <v>48</v>
      </c>
      <c r="E74" s="16">
        <f t="shared" ref="E74" si="38">(E25/E18)*9</f>
        <v>2673000</v>
      </c>
      <c r="F74" s="16">
        <f>(F25/F18)*8</f>
        <v>1877435.8974358975</v>
      </c>
      <c r="G74" s="16">
        <f>(G25/G18)*6</f>
        <v>690000</v>
      </c>
    </row>
    <row r="75" spans="1:7" s="7" customFormat="1" ht="15.6" x14ac:dyDescent="0.35">
      <c r="A75" s="7" t="s">
        <v>36</v>
      </c>
      <c r="B75" s="16">
        <f t="shared" ref="B75" si="39">(B26/B20)*9</f>
        <v>2216974.7718839198</v>
      </c>
      <c r="C75" s="16">
        <f>(C26/C20)*8</f>
        <v>905134.80392156867</v>
      </c>
      <c r="D75" s="10" t="s">
        <v>48</v>
      </c>
      <c r="E75" s="16">
        <f t="shared" ref="E75" si="40">(E26/E20)*9</f>
        <v>2676730.3829866271</v>
      </c>
      <c r="F75" s="16">
        <f>(F26/F20)*8</f>
        <v>1878520.7777354175</v>
      </c>
      <c r="G75" s="16">
        <f>(G26/G20)*6</f>
        <v>703353.6585365854</v>
      </c>
    </row>
    <row r="76" spans="1:7" s="7" customFormat="1" ht="15.6" x14ac:dyDescent="0.35">
      <c r="B76" s="16"/>
      <c r="C76" s="16"/>
      <c r="D76" s="16"/>
      <c r="E76" s="16"/>
      <c r="F76" s="16"/>
      <c r="G76" s="16"/>
    </row>
    <row r="77" spans="1:7" s="7" customFormat="1" ht="15.6" x14ac:dyDescent="0.35">
      <c r="A77" s="8" t="s">
        <v>30</v>
      </c>
      <c r="B77" s="16"/>
      <c r="C77" s="16"/>
      <c r="D77" s="16"/>
      <c r="E77" s="16"/>
      <c r="F77" s="16"/>
      <c r="G77" s="16"/>
    </row>
    <row r="78" spans="1:7" s="7" customFormat="1" ht="15.6" x14ac:dyDescent="0.35">
      <c r="A78" s="7" t="s">
        <v>31</v>
      </c>
      <c r="B78" s="16">
        <f>(B32/B31)*100</f>
        <v>110.00697835821347</v>
      </c>
      <c r="C78" s="16"/>
      <c r="D78" s="16"/>
      <c r="E78" s="16"/>
      <c r="F78" s="16"/>
      <c r="G78" s="16"/>
    </row>
    <row r="79" spans="1:7" s="7" customFormat="1" ht="15.6" x14ac:dyDescent="0.35">
      <c r="A79" s="7" t="s">
        <v>32</v>
      </c>
      <c r="B79" s="16">
        <f>(B26/B32)*100</f>
        <v>71.348831801792187</v>
      </c>
      <c r="C79" s="16"/>
      <c r="D79" s="16"/>
      <c r="E79" s="16"/>
      <c r="F79" s="16"/>
      <c r="G79" s="16"/>
    </row>
    <row r="80" spans="1:7" s="7" customFormat="1" ht="16.2" thickBot="1" x14ac:dyDescent="0.4">
      <c r="A80" s="18"/>
      <c r="B80" s="18"/>
      <c r="C80" s="18"/>
      <c r="D80" s="18"/>
      <c r="E80" s="18"/>
      <c r="F80" s="18"/>
      <c r="G80" s="18"/>
    </row>
    <row r="81" spans="1:7" s="7" customFormat="1" ht="16.5" customHeight="1" thickTop="1" x14ac:dyDescent="0.35">
      <c r="A81" s="57" t="s">
        <v>86</v>
      </c>
      <c r="B81" s="57"/>
      <c r="C81" s="57"/>
      <c r="D81" s="57"/>
      <c r="E81" s="57"/>
      <c r="F81" s="57"/>
      <c r="G81" s="57"/>
    </row>
    <row r="82" spans="1:7" s="7" customFormat="1" ht="15.6" x14ac:dyDescent="0.35"/>
    <row r="83" spans="1:7" s="7" customFormat="1" ht="15.6" x14ac:dyDescent="0.35">
      <c r="A83" s="7" t="s">
        <v>87</v>
      </c>
      <c r="B83" s="42"/>
      <c r="C83" s="42"/>
    </row>
    <row r="84" spans="1:7" s="7" customFormat="1" ht="15.6" x14ac:dyDescent="0.35"/>
  </sheetData>
  <mergeCells count="4">
    <mergeCell ref="A9:A10"/>
    <mergeCell ref="B9:B10"/>
    <mergeCell ref="C9:G9"/>
    <mergeCell ref="A81:G8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8:K84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0.6640625" style="3" customWidth="1"/>
    <col min="2" max="7" width="20.6640625" style="3" customWidth="1"/>
    <col min="8" max="8" width="15.109375" style="3" bestFit="1" customWidth="1"/>
    <col min="9" max="9" width="11.5546875" style="3" bestFit="1" customWidth="1"/>
    <col min="10" max="10" width="14.109375" style="3" bestFit="1" customWidth="1"/>
    <col min="11" max="11" width="16.88671875" style="3" bestFit="1" customWidth="1"/>
    <col min="12" max="16384" width="11.44140625" style="3"/>
  </cols>
  <sheetData>
    <row r="8" spans="1:7" ht="17.25" customHeight="1" x14ac:dyDescent="0.3"/>
    <row r="9" spans="1:7" s="7" customFormat="1" ht="15.6" x14ac:dyDescent="0.35">
      <c r="A9" s="52" t="s">
        <v>0</v>
      </c>
      <c r="B9" s="54" t="s">
        <v>1</v>
      </c>
      <c r="C9" s="56" t="s">
        <v>2</v>
      </c>
      <c r="D9" s="56"/>
      <c r="E9" s="56"/>
      <c r="F9" s="56"/>
      <c r="G9" s="56"/>
    </row>
    <row r="10" spans="1:7" s="7" customFormat="1" ht="31.8" thickBot="1" x14ac:dyDescent="0.4">
      <c r="A10" s="53"/>
      <c r="B10" s="55"/>
      <c r="C10" s="41" t="s">
        <v>3</v>
      </c>
      <c r="D10" s="41" t="s">
        <v>76</v>
      </c>
      <c r="E10" s="41" t="s">
        <v>77</v>
      </c>
      <c r="F10" s="41" t="s">
        <v>46</v>
      </c>
      <c r="G10" s="41" t="s">
        <v>78</v>
      </c>
    </row>
    <row r="11" spans="1:7" s="7" customFormat="1" ht="16.2" thickTop="1" x14ac:dyDescent="0.35"/>
    <row r="12" spans="1:7" s="7" customFormat="1" ht="15.6" x14ac:dyDescent="0.35">
      <c r="A12" s="8" t="s">
        <v>4</v>
      </c>
    </row>
    <row r="13" spans="1:7" s="7" customFormat="1" ht="15.6" x14ac:dyDescent="0.35"/>
    <row r="14" spans="1:7" s="7" customFormat="1" ht="15.6" x14ac:dyDescent="0.35">
      <c r="A14" s="8" t="s">
        <v>5</v>
      </c>
    </row>
    <row r="15" spans="1:7" s="7" customFormat="1" ht="15.6" x14ac:dyDescent="0.35">
      <c r="A15" s="9" t="s">
        <v>68</v>
      </c>
      <c r="B15" s="10">
        <f>+C15+E15+F15+G15</f>
        <v>6551</v>
      </c>
      <c r="C15" s="10">
        <v>657</v>
      </c>
      <c r="D15" s="10" t="s">
        <v>48</v>
      </c>
      <c r="E15" s="10">
        <v>5591</v>
      </c>
      <c r="F15" s="10">
        <v>250</v>
      </c>
      <c r="G15" s="10">
        <v>53</v>
      </c>
    </row>
    <row r="16" spans="1:7" s="7" customFormat="1" ht="15.6" x14ac:dyDescent="0.35">
      <c r="A16" s="11" t="s">
        <v>33</v>
      </c>
      <c r="B16" s="10">
        <f>+C16+E16+F16+G16</f>
        <v>18249</v>
      </c>
      <c r="C16" s="10">
        <v>1792</v>
      </c>
      <c r="D16" s="10" t="s">
        <v>48</v>
      </c>
      <c r="E16" s="7">
        <v>13642</v>
      </c>
      <c r="F16" s="7">
        <v>2720</v>
      </c>
      <c r="G16" s="7">
        <v>95</v>
      </c>
    </row>
    <row r="17" spans="1:11" s="7" customFormat="1" ht="15.6" x14ac:dyDescent="0.35">
      <c r="A17" s="9" t="s">
        <v>116</v>
      </c>
      <c r="B17" s="10">
        <f>SUM(C17:G17)</f>
        <v>1850</v>
      </c>
      <c r="C17" s="10">
        <v>773</v>
      </c>
      <c r="D17" s="10">
        <v>780</v>
      </c>
      <c r="E17" s="10">
        <v>80</v>
      </c>
      <c r="F17" s="10">
        <v>117</v>
      </c>
      <c r="G17" s="10">
        <v>100</v>
      </c>
    </row>
    <row r="18" spans="1:11" s="7" customFormat="1" ht="15.6" x14ac:dyDescent="0.35">
      <c r="A18" s="11" t="s">
        <v>33</v>
      </c>
      <c r="B18" s="10">
        <f>SUM(C18:G18)</f>
        <v>8177</v>
      </c>
      <c r="C18" s="10">
        <v>3196</v>
      </c>
      <c r="D18" s="10">
        <v>780</v>
      </c>
      <c r="E18" s="10">
        <v>1470</v>
      </c>
      <c r="F18" s="10">
        <v>2631</v>
      </c>
      <c r="G18" s="10">
        <v>100</v>
      </c>
    </row>
    <row r="19" spans="1:11" s="7" customFormat="1" ht="15.6" x14ac:dyDescent="0.35">
      <c r="A19" s="9" t="s">
        <v>117</v>
      </c>
      <c r="B19" s="10">
        <f>SUM(C19:G19)</f>
        <v>5569</v>
      </c>
      <c r="C19" s="10">
        <v>245</v>
      </c>
      <c r="D19" s="10">
        <v>808</v>
      </c>
      <c r="E19" s="10">
        <v>3809</v>
      </c>
      <c r="F19" s="10">
        <v>433</v>
      </c>
      <c r="G19" s="10">
        <v>274</v>
      </c>
    </row>
    <row r="20" spans="1:11" s="7" customFormat="1" ht="15.6" x14ac:dyDescent="0.35">
      <c r="A20" s="11" t="s">
        <v>33</v>
      </c>
      <c r="B20" s="10">
        <f>SUM(C20:G20)</f>
        <v>21266</v>
      </c>
      <c r="C20" s="10">
        <v>1181</v>
      </c>
      <c r="D20" s="7">
        <v>1599</v>
      </c>
      <c r="E20" s="7">
        <v>15808</v>
      </c>
      <c r="F20" s="7">
        <v>2140</v>
      </c>
      <c r="G20" s="7">
        <v>538</v>
      </c>
    </row>
    <row r="21" spans="1:11" s="7" customFormat="1" ht="15.6" x14ac:dyDescent="0.35">
      <c r="A21" s="9" t="s">
        <v>81</v>
      </c>
      <c r="B21" s="10">
        <f>SUM(C21:G21)</f>
        <v>11575</v>
      </c>
      <c r="C21" s="10">
        <v>1683</v>
      </c>
      <c r="D21" s="10">
        <v>780</v>
      </c>
      <c r="E21" s="10">
        <v>7260</v>
      </c>
      <c r="F21" s="10">
        <v>1377</v>
      </c>
      <c r="G21" s="10">
        <v>475</v>
      </c>
    </row>
    <row r="22" spans="1:11" s="7" customFormat="1" ht="15.6" x14ac:dyDescent="0.35">
      <c r="B22" s="10"/>
      <c r="C22" s="10"/>
      <c r="D22" s="10"/>
      <c r="E22" s="10"/>
      <c r="F22" s="10"/>
      <c r="G22" s="10"/>
    </row>
    <row r="23" spans="1:11" s="7" customFormat="1" ht="15.6" x14ac:dyDescent="0.35">
      <c r="A23" s="12" t="s">
        <v>6</v>
      </c>
      <c r="B23" s="10"/>
      <c r="C23" s="10"/>
      <c r="D23" s="10"/>
      <c r="E23" s="10"/>
      <c r="F23" s="10"/>
      <c r="G23" s="10"/>
    </row>
    <row r="24" spans="1:11" s="7" customFormat="1" ht="15.6" x14ac:dyDescent="0.35">
      <c r="A24" s="9" t="s">
        <v>68</v>
      </c>
      <c r="B24" s="10">
        <f>+C24+E24+F24+G24</f>
        <v>5454084300</v>
      </c>
      <c r="C24" s="22">
        <v>417335000</v>
      </c>
      <c r="D24" s="22" t="s">
        <v>48</v>
      </c>
      <c r="E24" s="22">
        <v>4389644300</v>
      </c>
      <c r="F24" s="22">
        <v>636180000</v>
      </c>
      <c r="G24" s="22">
        <v>10925000</v>
      </c>
    </row>
    <row r="25" spans="1:11" s="7" customFormat="1" ht="15.6" x14ac:dyDescent="0.35">
      <c r="A25" s="9" t="s">
        <v>116</v>
      </c>
      <c r="B25" s="10">
        <f>SUM(C25:G25)</f>
        <v>1887935300</v>
      </c>
      <c r="C25" s="45">
        <v>751060000</v>
      </c>
      <c r="D25" s="10">
        <v>70500300</v>
      </c>
      <c r="E25" s="10">
        <v>436590000</v>
      </c>
      <c r="F25" s="22">
        <v>618285000</v>
      </c>
      <c r="G25" s="22">
        <v>11500000</v>
      </c>
    </row>
    <row r="26" spans="1:11" s="7" customFormat="1" ht="15.6" x14ac:dyDescent="0.35">
      <c r="A26" s="9" t="s">
        <v>117</v>
      </c>
      <c r="B26" s="10">
        <f>SUM(C26:G26)</f>
        <v>4882061700</v>
      </c>
      <c r="C26" s="22">
        <v>277535000</v>
      </c>
      <c r="D26" s="22">
        <v>216721200</v>
      </c>
      <c r="E26" s="22">
        <v>3821690500</v>
      </c>
      <c r="F26" s="22">
        <v>502900000</v>
      </c>
      <c r="G26" s="22">
        <v>63215000</v>
      </c>
      <c r="H26" s="21"/>
      <c r="I26" s="21"/>
      <c r="J26" s="21"/>
      <c r="K26" s="21"/>
    </row>
    <row r="27" spans="1:11" s="7" customFormat="1" ht="15.6" x14ac:dyDescent="0.35">
      <c r="A27" s="9" t="s">
        <v>81</v>
      </c>
      <c r="B27" s="10">
        <f>SUM(C27:G27)</f>
        <v>15081855300</v>
      </c>
      <c r="C27" s="10">
        <v>1472060000</v>
      </c>
      <c r="D27" s="10">
        <v>70500300</v>
      </c>
      <c r="E27" s="10">
        <v>11746350000</v>
      </c>
      <c r="F27" s="10">
        <v>1716585000</v>
      </c>
      <c r="G27" s="10">
        <v>76360000</v>
      </c>
    </row>
    <row r="28" spans="1:11" s="7" customFormat="1" ht="15.6" x14ac:dyDescent="0.35">
      <c r="A28" s="9" t="s">
        <v>118</v>
      </c>
      <c r="B28" s="10">
        <f>SUM(C28:G28)</f>
        <v>4882061700</v>
      </c>
      <c r="C28" s="10">
        <f t="shared" ref="C28:G28" si="0">C26</f>
        <v>277535000</v>
      </c>
      <c r="D28" s="10">
        <f t="shared" si="0"/>
        <v>216721200</v>
      </c>
      <c r="E28" s="10">
        <f t="shared" si="0"/>
        <v>3821690500</v>
      </c>
      <c r="F28" s="10">
        <f t="shared" si="0"/>
        <v>502900000</v>
      </c>
      <c r="G28" s="10">
        <f t="shared" si="0"/>
        <v>63215000</v>
      </c>
    </row>
    <row r="29" spans="1:11" s="7" customFormat="1" ht="15.6" x14ac:dyDescent="0.35">
      <c r="B29" s="10"/>
      <c r="C29" s="10"/>
      <c r="D29" s="10"/>
      <c r="E29" s="10"/>
      <c r="F29" s="10"/>
      <c r="G29" s="22"/>
    </row>
    <row r="30" spans="1:11" s="7" customFormat="1" ht="15.6" x14ac:dyDescent="0.35">
      <c r="A30" s="8" t="s">
        <v>7</v>
      </c>
      <c r="B30" s="10"/>
      <c r="C30" s="10"/>
      <c r="D30" s="10"/>
      <c r="E30" s="10"/>
      <c r="F30" s="10"/>
      <c r="G30" s="22"/>
    </row>
    <row r="31" spans="1:11" s="7" customFormat="1" ht="15.6" x14ac:dyDescent="0.35">
      <c r="A31" s="15" t="s">
        <v>116</v>
      </c>
      <c r="B31" s="10">
        <f>B25</f>
        <v>1887935300</v>
      </c>
      <c r="C31" s="10"/>
      <c r="D31" s="10"/>
      <c r="E31" s="10"/>
      <c r="F31" s="10"/>
      <c r="G31" s="10"/>
    </row>
    <row r="32" spans="1:11" s="7" customFormat="1" ht="15.6" x14ac:dyDescent="0.35">
      <c r="A32" s="15" t="s">
        <v>117</v>
      </c>
      <c r="B32" s="10">
        <v>568681615.77000046</v>
      </c>
      <c r="C32" s="10"/>
      <c r="D32" s="10"/>
      <c r="E32" s="10"/>
      <c r="F32" s="10"/>
      <c r="G32" s="22"/>
    </row>
    <row r="33" spans="1:8" s="7" customFormat="1" ht="15.6" x14ac:dyDescent="0.35">
      <c r="B33" s="14"/>
      <c r="C33" s="14"/>
      <c r="D33" s="14"/>
      <c r="E33" s="14"/>
      <c r="F33" s="14"/>
      <c r="G33" s="14"/>
    </row>
    <row r="34" spans="1:8" s="7" customFormat="1" ht="15.6" x14ac:dyDescent="0.35">
      <c r="A34" s="8" t="s">
        <v>8</v>
      </c>
      <c r="B34" s="14"/>
      <c r="C34" s="14"/>
      <c r="D34" s="14"/>
      <c r="E34" s="14"/>
      <c r="F34" s="14"/>
      <c r="G34" s="14"/>
    </row>
    <row r="35" spans="1:8" s="7" customFormat="1" ht="15.6" x14ac:dyDescent="0.35">
      <c r="A35" s="7" t="s">
        <v>69</v>
      </c>
      <c r="B35" s="17">
        <v>1.0947</v>
      </c>
      <c r="C35" s="17">
        <v>1.0947</v>
      </c>
      <c r="D35" s="17">
        <v>1.0947</v>
      </c>
      <c r="E35" s="17">
        <v>1.0947</v>
      </c>
      <c r="F35" s="17">
        <v>1.0947</v>
      </c>
      <c r="G35" s="17">
        <v>1.0947</v>
      </c>
    </row>
    <row r="36" spans="1:8" s="7" customFormat="1" ht="15.6" x14ac:dyDescent="0.35">
      <c r="A36" s="7" t="s">
        <v>119</v>
      </c>
      <c r="B36" s="17">
        <v>1.1039000000000001</v>
      </c>
      <c r="C36" s="17">
        <v>1.1039000000000001</v>
      </c>
      <c r="D36" s="17">
        <v>1.1039000000000001</v>
      </c>
      <c r="E36" s="17">
        <v>1.1039000000000001</v>
      </c>
      <c r="F36" s="17">
        <v>1.1039000000000001</v>
      </c>
      <c r="G36" s="17">
        <v>1.1039000000000001</v>
      </c>
    </row>
    <row r="37" spans="1:8" s="7" customFormat="1" ht="15.6" x14ac:dyDescent="0.35">
      <c r="A37" s="7" t="s">
        <v>9</v>
      </c>
      <c r="B37" s="10">
        <f>C37+E37</f>
        <v>104416</v>
      </c>
      <c r="C37" s="10">
        <v>79512</v>
      </c>
      <c r="D37" s="10">
        <v>79512</v>
      </c>
      <c r="E37" s="10">
        <v>24904</v>
      </c>
      <c r="F37" s="10">
        <v>79512</v>
      </c>
      <c r="G37" s="10">
        <v>79512</v>
      </c>
    </row>
    <row r="38" spans="1:8" s="7" customFormat="1" ht="15.6" x14ac:dyDescent="0.35">
      <c r="B38" s="10"/>
      <c r="C38" s="10"/>
      <c r="D38" s="10"/>
      <c r="E38" s="10"/>
      <c r="F38" s="10"/>
      <c r="G38" s="10"/>
    </row>
    <row r="39" spans="1:8" s="7" customFormat="1" ht="15.6" x14ac:dyDescent="0.35">
      <c r="A39" s="8" t="s">
        <v>10</v>
      </c>
      <c r="B39" s="10"/>
      <c r="C39" s="10"/>
      <c r="D39" s="10"/>
      <c r="E39" s="10"/>
      <c r="F39" s="10"/>
      <c r="G39" s="10"/>
    </row>
    <row r="40" spans="1:8" s="7" customFormat="1" ht="15.6" x14ac:dyDescent="0.35">
      <c r="A40" s="7" t="s">
        <v>70</v>
      </c>
      <c r="B40" s="10">
        <f t="shared" ref="B40:G40" si="1">B24/B35</f>
        <v>4982263907.9199781</v>
      </c>
      <c r="C40" s="10">
        <f t="shared" si="1"/>
        <v>381232301.0870558</v>
      </c>
      <c r="D40" s="10" t="s">
        <v>48</v>
      </c>
      <c r="E40" s="10">
        <f t="shared" si="1"/>
        <v>4009906184.3427424</v>
      </c>
      <c r="F40" s="10">
        <f t="shared" si="1"/>
        <v>581145519.32036173</v>
      </c>
      <c r="G40" s="10">
        <f t="shared" si="1"/>
        <v>9979903.1698182151</v>
      </c>
      <c r="H40" s="17"/>
    </row>
    <row r="41" spans="1:8" s="7" customFormat="1" ht="15.6" x14ac:dyDescent="0.35">
      <c r="A41" s="7" t="s">
        <v>120</v>
      </c>
      <c r="B41" s="10">
        <f t="shared" ref="B41:G41" si="2">B26/B36</f>
        <v>4422557930.9720078</v>
      </c>
      <c r="C41" s="10">
        <f t="shared" si="2"/>
        <v>251413171.48292416</v>
      </c>
      <c r="D41" s="10">
        <f t="shared" si="2"/>
        <v>196323217.6827611</v>
      </c>
      <c r="E41" s="10">
        <f t="shared" si="2"/>
        <v>3461989763.5655398</v>
      </c>
      <c r="F41" s="10">
        <f t="shared" si="2"/>
        <v>455566627.4119032</v>
      </c>
      <c r="G41" s="10">
        <f t="shared" si="2"/>
        <v>57265150.828879423</v>
      </c>
      <c r="H41" s="24"/>
    </row>
    <row r="42" spans="1:8" s="7" customFormat="1" ht="15.6" x14ac:dyDescent="0.35">
      <c r="A42" s="7" t="s">
        <v>71</v>
      </c>
      <c r="B42" s="10">
        <f t="shared" ref="B42:G42" si="3">B40/B15</f>
        <v>760534.86611509358</v>
      </c>
      <c r="C42" s="10">
        <f t="shared" si="3"/>
        <v>580262.25431819761</v>
      </c>
      <c r="D42" s="10" t="s">
        <v>48</v>
      </c>
      <c r="E42" s="10">
        <f t="shared" si="3"/>
        <v>717207.33041365456</v>
      </c>
      <c r="F42" s="10">
        <f t="shared" si="3"/>
        <v>2324582.0772814471</v>
      </c>
      <c r="G42" s="10">
        <f t="shared" si="3"/>
        <v>188300.05980789085</v>
      </c>
      <c r="H42" s="24"/>
    </row>
    <row r="43" spans="1:8" s="7" customFormat="1" ht="15.6" x14ac:dyDescent="0.35">
      <c r="A43" s="7" t="s">
        <v>121</v>
      </c>
      <c r="B43" s="10">
        <f t="shared" ref="B43:G43" si="4">B41/B19</f>
        <v>794138.61213359807</v>
      </c>
      <c r="C43" s="10">
        <f t="shared" si="4"/>
        <v>1026176.2101343843</v>
      </c>
      <c r="D43" s="10">
        <f t="shared" si="4"/>
        <v>242974.27931034789</v>
      </c>
      <c r="E43" s="10">
        <f t="shared" si="4"/>
        <v>908897.28631282225</v>
      </c>
      <c r="F43" s="10">
        <f t="shared" si="4"/>
        <v>1052116.9224293376</v>
      </c>
      <c r="G43" s="10">
        <f t="shared" si="4"/>
        <v>208996.90083532635</v>
      </c>
      <c r="H43" s="24"/>
    </row>
    <row r="44" spans="1:8" s="7" customFormat="1" ht="15.6" x14ac:dyDescent="0.35">
      <c r="B44" s="14"/>
      <c r="C44" s="14"/>
      <c r="D44" s="14"/>
      <c r="E44" s="14"/>
      <c r="F44" s="14"/>
      <c r="G44" s="14"/>
    </row>
    <row r="45" spans="1:8" s="7" customFormat="1" ht="15.6" x14ac:dyDescent="0.35">
      <c r="A45" s="8" t="s">
        <v>11</v>
      </c>
      <c r="B45" s="14"/>
      <c r="C45" s="14"/>
      <c r="D45" s="14"/>
      <c r="E45" s="14"/>
      <c r="F45" s="14"/>
      <c r="G45" s="14"/>
    </row>
    <row r="46" spans="1:8" s="7" customFormat="1" ht="15.6" x14ac:dyDescent="0.35">
      <c r="B46" s="14"/>
      <c r="C46" s="14"/>
      <c r="D46" s="14"/>
      <c r="E46" s="14"/>
      <c r="F46" s="14"/>
      <c r="G46" s="14"/>
    </row>
    <row r="47" spans="1:8" s="7" customFormat="1" ht="15.6" x14ac:dyDescent="0.35">
      <c r="A47" s="8" t="s">
        <v>12</v>
      </c>
      <c r="B47" s="14"/>
      <c r="C47" s="14"/>
      <c r="D47" s="14"/>
      <c r="E47" s="14"/>
      <c r="F47" s="14"/>
      <c r="G47" s="14"/>
    </row>
    <row r="48" spans="1:8" s="7" customFormat="1" ht="15.6" x14ac:dyDescent="0.35">
      <c r="A48" s="7" t="s">
        <v>13</v>
      </c>
      <c r="B48" s="16">
        <f t="shared" ref="B48:G48" si="5">B17/B37*100</f>
        <v>1.7717591173766472</v>
      </c>
      <c r="C48" s="16">
        <f t="shared" si="5"/>
        <v>0.97218029982895671</v>
      </c>
      <c r="D48" s="16">
        <f t="shared" si="5"/>
        <v>0.98098400241472994</v>
      </c>
      <c r="E48" s="16">
        <f t="shared" si="5"/>
        <v>0.32123353678123995</v>
      </c>
      <c r="F48" s="16">
        <f t="shared" si="5"/>
        <v>0.14714760036220947</v>
      </c>
      <c r="G48" s="16">
        <f t="shared" si="5"/>
        <v>0.12576717979676022</v>
      </c>
    </row>
    <row r="49" spans="1:7" s="7" customFormat="1" ht="15.6" x14ac:dyDescent="0.35">
      <c r="A49" s="7" t="s">
        <v>14</v>
      </c>
      <c r="B49" s="16">
        <f t="shared" ref="B49:G49" si="6">B19/B37*100</f>
        <v>5.3334737971192157</v>
      </c>
      <c r="C49" s="16">
        <f t="shared" si="6"/>
        <v>0.30812959050206257</v>
      </c>
      <c r="D49" s="16">
        <f t="shared" si="6"/>
        <v>1.0161988127578228</v>
      </c>
      <c r="E49" s="16">
        <f t="shared" si="6"/>
        <v>15.294731769996789</v>
      </c>
      <c r="F49" s="16">
        <f t="shared" si="6"/>
        <v>0.54457188851997185</v>
      </c>
      <c r="G49" s="16">
        <f t="shared" si="6"/>
        <v>0.34460207264312304</v>
      </c>
    </row>
    <row r="50" spans="1:7" s="7" customFormat="1" ht="15.6" x14ac:dyDescent="0.35">
      <c r="B50" s="16"/>
      <c r="C50" s="16"/>
      <c r="D50" s="16"/>
      <c r="E50" s="16"/>
      <c r="F50" s="16"/>
      <c r="G50" s="16"/>
    </row>
    <row r="51" spans="1:7" s="7" customFormat="1" ht="15.6" x14ac:dyDescent="0.35">
      <c r="A51" s="8" t="s">
        <v>15</v>
      </c>
      <c r="B51" s="16"/>
      <c r="C51" s="16"/>
      <c r="D51" s="16"/>
      <c r="E51" s="16"/>
      <c r="F51" s="16"/>
      <c r="G51" s="16"/>
    </row>
    <row r="52" spans="1:7" s="7" customFormat="1" ht="15.6" x14ac:dyDescent="0.35">
      <c r="A52" s="7" t="s">
        <v>16</v>
      </c>
      <c r="B52" s="16">
        <f>B19/B17*100</f>
        <v>301.02702702702703</v>
      </c>
      <c r="C52" s="16">
        <f t="shared" ref="C52:G52" si="7">C19/C17*100</f>
        <v>31.694695989650711</v>
      </c>
      <c r="D52" s="16">
        <f t="shared" si="7"/>
        <v>103.58974358974361</v>
      </c>
      <c r="E52" s="16">
        <f t="shared" si="7"/>
        <v>4761.25</v>
      </c>
      <c r="F52" s="16">
        <f t="shared" si="7"/>
        <v>370.08547008547009</v>
      </c>
      <c r="G52" s="16">
        <f t="shared" si="7"/>
        <v>274</v>
      </c>
    </row>
    <row r="53" spans="1:7" s="7" customFormat="1" ht="15.6" x14ac:dyDescent="0.35">
      <c r="A53" s="7" t="s">
        <v>17</v>
      </c>
      <c r="B53" s="16">
        <f>B26/B25*100</f>
        <v>258.5926382117014</v>
      </c>
      <c r="C53" s="16">
        <f t="shared" ref="C53:G53" si="8">C26/C25*100</f>
        <v>36.952440550688358</v>
      </c>
      <c r="D53" s="16">
        <f t="shared" si="8"/>
        <v>307.40464934191772</v>
      </c>
      <c r="E53" s="16">
        <f t="shared" si="8"/>
        <v>875.34998511188996</v>
      </c>
      <c r="F53" s="16">
        <f t="shared" si="8"/>
        <v>81.33789433675409</v>
      </c>
      <c r="G53" s="16">
        <f t="shared" si="8"/>
        <v>549.695652173913</v>
      </c>
    </row>
    <row r="54" spans="1:7" s="7" customFormat="1" ht="15.6" x14ac:dyDescent="0.35">
      <c r="A54" s="7" t="s">
        <v>18</v>
      </c>
      <c r="B54" s="16">
        <f>AVERAGE(B52:B53)</f>
        <v>279.80983261936422</v>
      </c>
      <c r="C54" s="16">
        <f t="shared" ref="C54:G54" si="9">AVERAGE(C52:C53)</f>
        <v>34.323568270169531</v>
      </c>
      <c r="D54" s="16">
        <f t="shared" si="9"/>
        <v>205.49719646583065</v>
      </c>
      <c r="E54" s="16">
        <f t="shared" si="9"/>
        <v>2818.2999925559452</v>
      </c>
      <c r="F54" s="16">
        <f t="shared" si="9"/>
        <v>225.71168221111208</v>
      </c>
      <c r="G54" s="16">
        <f t="shared" si="9"/>
        <v>411.8478260869565</v>
      </c>
    </row>
    <row r="55" spans="1:7" s="7" customFormat="1" ht="15.6" x14ac:dyDescent="0.35">
      <c r="B55" s="16"/>
      <c r="C55" s="16"/>
      <c r="D55" s="16"/>
      <c r="E55" s="16"/>
      <c r="F55" s="16"/>
      <c r="G55" s="16"/>
    </row>
    <row r="56" spans="1:7" s="7" customFormat="1" ht="15.6" x14ac:dyDescent="0.35">
      <c r="A56" s="8" t="s">
        <v>19</v>
      </c>
      <c r="B56" s="16"/>
      <c r="C56" s="16"/>
      <c r="D56" s="16"/>
      <c r="E56" s="16"/>
      <c r="F56" s="16"/>
      <c r="G56" s="16"/>
    </row>
    <row r="57" spans="1:7" s="7" customFormat="1" ht="15.6" x14ac:dyDescent="0.35">
      <c r="A57" s="7" t="s">
        <v>20</v>
      </c>
      <c r="B57" s="16">
        <f t="shared" ref="B57" si="10">B19/B21*100</f>
        <v>48.112311015118792</v>
      </c>
      <c r="C57" s="16">
        <f t="shared" ref="C57:G57" si="11">C19/C21*100</f>
        <v>14.557338086749851</v>
      </c>
      <c r="D57" s="16">
        <f t="shared" si="11"/>
        <v>103.58974358974361</v>
      </c>
      <c r="E57" s="16">
        <f t="shared" si="11"/>
        <v>52.465564738292017</v>
      </c>
      <c r="F57" s="16">
        <f t="shared" si="11"/>
        <v>31.445170660856935</v>
      </c>
      <c r="G57" s="16">
        <f t="shared" si="11"/>
        <v>57.684210526315795</v>
      </c>
    </row>
    <row r="58" spans="1:7" s="7" customFormat="1" ht="15.6" x14ac:dyDescent="0.35">
      <c r="A58" s="7" t="s">
        <v>21</v>
      </c>
      <c r="B58" s="16">
        <f t="shared" ref="B58" si="12">B26/B27*100</f>
        <v>32.370431905682054</v>
      </c>
      <c r="C58" s="16">
        <f t="shared" ref="C58:G58" si="13">C26/C27*100</f>
        <v>18.853511405785088</v>
      </c>
      <c r="D58" s="16">
        <f t="shared" si="13"/>
        <v>307.40464934191772</v>
      </c>
      <c r="E58" s="16">
        <f t="shared" si="13"/>
        <v>32.535132189999445</v>
      </c>
      <c r="F58" s="16">
        <f t="shared" si="13"/>
        <v>29.296539349930239</v>
      </c>
      <c r="G58" s="16">
        <f t="shared" si="13"/>
        <v>82.785489785227867</v>
      </c>
    </row>
    <row r="59" spans="1:7" s="7" customFormat="1" ht="15.6" x14ac:dyDescent="0.35">
      <c r="A59" s="7" t="s">
        <v>22</v>
      </c>
      <c r="B59" s="16">
        <f t="shared" ref="B59" si="14">(B57+B58)/2</f>
        <v>40.241371460400423</v>
      </c>
      <c r="C59" s="16">
        <f t="shared" ref="C59:G59" si="15">(C57+C58)/2</f>
        <v>16.705424746267468</v>
      </c>
      <c r="D59" s="16">
        <f t="shared" si="15"/>
        <v>205.49719646583065</v>
      </c>
      <c r="E59" s="16">
        <f t="shared" si="15"/>
        <v>42.500348464145731</v>
      </c>
      <c r="F59" s="16">
        <f t="shared" si="15"/>
        <v>30.370855005393587</v>
      </c>
      <c r="G59" s="16">
        <f t="shared" si="15"/>
        <v>70.234850155771824</v>
      </c>
    </row>
    <row r="60" spans="1:7" s="7" customFormat="1" ht="15.6" x14ac:dyDescent="0.35">
      <c r="B60" s="16"/>
      <c r="C60" s="16"/>
      <c r="D60" s="16"/>
      <c r="E60" s="16"/>
      <c r="F60" s="16"/>
      <c r="G60" s="16"/>
    </row>
    <row r="61" spans="1:7" s="7" customFormat="1" ht="15.6" x14ac:dyDescent="0.35">
      <c r="A61" s="8" t="s">
        <v>47</v>
      </c>
      <c r="B61" s="16"/>
      <c r="C61" s="16"/>
      <c r="D61" s="16"/>
      <c r="E61" s="16"/>
      <c r="F61" s="16"/>
      <c r="G61" s="16"/>
    </row>
    <row r="62" spans="1:7" s="7" customFormat="1" ht="15.6" x14ac:dyDescent="0.35">
      <c r="A62" s="7" t="s">
        <v>23</v>
      </c>
      <c r="B62" s="16">
        <f>B28/B26*100</f>
        <v>100</v>
      </c>
      <c r="C62" s="16"/>
      <c r="D62" s="16"/>
      <c r="E62" s="16"/>
      <c r="F62" s="16"/>
      <c r="G62" s="16"/>
    </row>
    <row r="63" spans="1:7" s="7" customFormat="1" ht="15.6" x14ac:dyDescent="0.35">
      <c r="B63" s="16"/>
      <c r="C63" s="16"/>
      <c r="D63" s="16"/>
      <c r="E63" s="16"/>
      <c r="F63" s="16"/>
      <c r="G63" s="16"/>
    </row>
    <row r="64" spans="1:7" s="7" customFormat="1" ht="15.6" x14ac:dyDescent="0.35">
      <c r="A64" s="8" t="s">
        <v>24</v>
      </c>
      <c r="B64" s="16"/>
      <c r="C64" s="16"/>
      <c r="D64" s="16"/>
      <c r="E64" s="16"/>
      <c r="F64" s="16"/>
      <c r="G64" s="16"/>
    </row>
    <row r="65" spans="1:7" s="7" customFormat="1" ht="15.6" x14ac:dyDescent="0.35">
      <c r="A65" s="7" t="s">
        <v>25</v>
      </c>
      <c r="B65" s="16">
        <f t="shared" ref="B65" si="16">((B19/B15)-1)*100</f>
        <v>-14.990077850709815</v>
      </c>
      <c r="C65" s="16">
        <f t="shared" ref="C65:G65" si="17">((C19/C15)-1)*100</f>
        <v>-62.709284627092842</v>
      </c>
      <c r="D65" s="16" t="s">
        <v>48</v>
      </c>
      <c r="E65" s="16">
        <f t="shared" si="17"/>
        <v>-31.872652477195494</v>
      </c>
      <c r="F65" s="16">
        <f t="shared" si="17"/>
        <v>73.2</v>
      </c>
      <c r="G65" s="16">
        <f t="shared" si="17"/>
        <v>416.98113207547169</v>
      </c>
    </row>
    <row r="66" spans="1:7" s="7" customFormat="1" ht="15.6" x14ac:dyDescent="0.35">
      <c r="A66" s="7" t="s">
        <v>26</v>
      </c>
      <c r="B66" s="16">
        <f t="shared" ref="B66" si="18">((B41/B40)-1)*100</f>
        <v>-11.233968880256274</v>
      </c>
      <c r="C66" s="16">
        <f t="shared" ref="C66:G66" si="19">((C41/C40)-1)*100</f>
        <v>-34.052500072517979</v>
      </c>
      <c r="D66" s="16" t="s">
        <v>48</v>
      </c>
      <c r="E66" s="16">
        <f t="shared" si="19"/>
        <v>-13.664070818330398</v>
      </c>
      <c r="F66" s="16">
        <f t="shared" si="19"/>
        <v>-21.608854879466431</v>
      </c>
      <c r="G66" s="16">
        <f t="shared" si="19"/>
        <v>473.80467379747648</v>
      </c>
    </row>
    <row r="67" spans="1:7" s="7" customFormat="1" ht="15.6" x14ac:dyDescent="0.35">
      <c r="A67" s="7" t="s">
        <v>27</v>
      </c>
      <c r="B67" s="16">
        <f t="shared" ref="B67" si="20">((B43/B42)-1)*100</f>
        <v>4.4184359607543744</v>
      </c>
      <c r="C67" s="16">
        <f t="shared" ref="C67:G67" si="21">((C43/C42)-1)*100</f>
        <v>76.846969193288501</v>
      </c>
      <c r="D67" s="16" t="s">
        <v>48</v>
      </c>
      <c r="E67" s="16">
        <f t="shared" si="21"/>
        <v>26.727272264298961</v>
      </c>
      <c r="F67" s="16">
        <f t="shared" si="21"/>
        <v>-54.739523602463301</v>
      </c>
      <c r="G67" s="16">
        <f t="shared" si="21"/>
        <v>10.991415004621352</v>
      </c>
    </row>
    <row r="68" spans="1:7" s="7" customFormat="1" ht="15.6" x14ac:dyDescent="0.35">
      <c r="B68" s="16"/>
      <c r="C68" s="16"/>
      <c r="D68" s="16"/>
      <c r="E68" s="16"/>
      <c r="F68" s="16"/>
      <c r="G68" s="16"/>
    </row>
    <row r="69" spans="1:7" s="7" customFormat="1" ht="15.6" x14ac:dyDescent="0.35">
      <c r="A69" s="8" t="s">
        <v>28</v>
      </c>
      <c r="B69" s="16"/>
      <c r="C69" s="16"/>
      <c r="D69" s="16"/>
      <c r="E69" s="16"/>
      <c r="F69" s="16"/>
      <c r="G69" s="16"/>
    </row>
    <row r="70" spans="1:7" s="7" customFormat="1" ht="15.6" x14ac:dyDescent="0.35">
      <c r="A70" s="7" t="s">
        <v>43</v>
      </c>
      <c r="B70" s="16">
        <f t="shared" ref="B70" si="22">B25/(B18)</f>
        <v>230883.61257184786</v>
      </c>
      <c r="C70" s="16">
        <f>C25/(C18)</f>
        <v>235000</v>
      </c>
      <c r="D70" s="16">
        <f>D25/(D18)</f>
        <v>90385</v>
      </c>
      <c r="E70" s="16">
        <f>E25/(E18)</f>
        <v>297000</v>
      </c>
      <c r="F70" s="16">
        <f t="shared" ref="F70:G70" si="23">F25/(F18)</f>
        <v>235000</v>
      </c>
      <c r="G70" s="16">
        <f t="shared" si="23"/>
        <v>115000</v>
      </c>
    </row>
    <row r="71" spans="1:7" s="7" customFormat="1" ht="15.6" x14ac:dyDescent="0.35">
      <c r="A71" s="7" t="s">
        <v>44</v>
      </c>
      <c r="B71" s="16">
        <f t="shared" ref="B71" si="24">B26/(B20)</f>
        <v>229571.22637073262</v>
      </c>
      <c r="C71" s="16">
        <f t="shared" ref="C71:G71" si="25">C26/(C20)</f>
        <v>235000</v>
      </c>
      <c r="D71" s="16">
        <f t="shared" si="25"/>
        <v>135535.45966228892</v>
      </c>
      <c r="E71" s="16">
        <f t="shared" si="25"/>
        <v>241756.7370951417</v>
      </c>
      <c r="F71" s="16">
        <f t="shared" si="25"/>
        <v>235000</v>
      </c>
      <c r="G71" s="16">
        <f t="shared" si="25"/>
        <v>117500</v>
      </c>
    </row>
    <row r="72" spans="1:7" s="7" customFormat="1" ht="15.6" hidden="1" x14ac:dyDescent="0.35">
      <c r="A72" s="7" t="s">
        <v>34</v>
      </c>
      <c r="B72" s="16">
        <f t="shared" ref="B72" si="26">B26/B20</f>
        <v>229571.22637073262</v>
      </c>
      <c r="C72" s="16">
        <f t="shared" ref="C72:G72" si="27">C26/C20</f>
        <v>235000</v>
      </c>
      <c r="D72" s="16">
        <f t="shared" si="27"/>
        <v>135535.45966228892</v>
      </c>
      <c r="E72" s="16">
        <f t="shared" si="27"/>
        <v>241756.7370951417</v>
      </c>
      <c r="F72" s="16">
        <f t="shared" si="27"/>
        <v>235000</v>
      </c>
      <c r="G72" s="16">
        <f t="shared" si="27"/>
        <v>117500</v>
      </c>
    </row>
    <row r="73" spans="1:7" s="7" customFormat="1" ht="15.6" x14ac:dyDescent="0.35">
      <c r="A73" s="7" t="s">
        <v>29</v>
      </c>
      <c r="B73" s="16">
        <f>(B71/B70)*B54</f>
        <v>278.21934051307949</v>
      </c>
      <c r="C73" s="16">
        <f t="shared" ref="C73:G73" si="28">(C71/C70)*C54</f>
        <v>34.323568270169531</v>
      </c>
      <c r="D73" s="16">
        <f t="shared" si="28"/>
        <v>308.15021278207723</v>
      </c>
      <c r="E73" s="16">
        <f t="shared" si="28"/>
        <v>2294.084209951473</v>
      </c>
      <c r="F73" s="16">
        <f t="shared" si="28"/>
        <v>225.71168221111208</v>
      </c>
      <c r="G73" s="16">
        <f t="shared" si="28"/>
        <v>420.80103969754254</v>
      </c>
    </row>
    <row r="74" spans="1:7" s="7" customFormat="1" ht="15.6" x14ac:dyDescent="0.35">
      <c r="A74" s="7" t="s">
        <v>37</v>
      </c>
      <c r="B74" s="16">
        <f t="shared" ref="B74" si="29">(B25/B18)*3</f>
        <v>692650.83771554357</v>
      </c>
      <c r="C74" s="16">
        <f t="shared" ref="C74:F74" si="30">(C25/C18)*3</f>
        <v>705000</v>
      </c>
      <c r="D74" s="16">
        <f>(D25/D18)*1</f>
        <v>90385</v>
      </c>
      <c r="E74" s="16">
        <f>(E25/E18)*3</f>
        <v>891000</v>
      </c>
      <c r="F74" s="16">
        <f t="shared" si="30"/>
        <v>705000</v>
      </c>
      <c r="G74" s="16">
        <f>(G25/G18)*2</f>
        <v>230000</v>
      </c>
    </row>
    <row r="75" spans="1:7" s="7" customFormat="1" ht="15.6" x14ac:dyDescent="0.35">
      <c r="A75" s="7" t="s">
        <v>38</v>
      </c>
      <c r="B75" s="16">
        <f t="shared" ref="B75" si="31">(B26/B20)*3</f>
        <v>688713.67911219783</v>
      </c>
      <c r="C75" s="16">
        <f t="shared" ref="C75:F75" si="32">(C26/C20)*3</f>
        <v>705000</v>
      </c>
      <c r="D75" s="16">
        <f>(D26/D20)*1</f>
        <v>135535.45966228892</v>
      </c>
      <c r="E75" s="16">
        <f>(E26/E20)*3</f>
        <v>725270.21128542512</v>
      </c>
      <c r="F75" s="16">
        <f t="shared" si="32"/>
        <v>705000</v>
      </c>
      <c r="G75" s="16">
        <f>(G26/G20)*2</f>
        <v>235000</v>
      </c>
    </row>
    <row r="76" spans="1:7" s="7" customFormat="1" ht="15.6" x14ac:dyDescent="0.35">
      <c r="B76" s="16"/>
      <c r="C76" s="16"/>
      <c r="D76" s="16"/>
      <c r="E76" s="16"/>
      <c r="F76" s="16"/>
      <c r="G76" s="16"/>
    </row>
    <row r="77" spans="1:7" s="7" customFormat="1" ht="15.6" x14ac:dyDescent="0.35">
      <c r="A77" s="8" t="s">
        <v>30</v>
      </c>
      <c r="B77" s="16"/>
      <c r="C77" s="16"/>
      <c r="D77" s="16"/>
      <c r="E77" s="16"/>
      <c r="F77" s="16"/>
      <c r="G77" s="16"/>
    </row>
    <row r="78" spans="1:7" s="7" customFormat="1" ht="15.6" x14ac:dyDescent="0.35">
      <c r="A78" s="7" t="s">
        <v>31</v>
      </c>
      <c r="B78" s="16">
        <f>(B32/B31)*100</f>
        <v>30.121880541669011</v>
      </c>
      <c r="C78" s="16"/>
      <c r="D78" s="16"/>
      <c r="E78" s="16"/>
      <c r="F78" s="16"/>
      <c r="G78" s="16"/>
    </row>
    <row r="79" spans="1:7" s="7" customFormat="1" ht="15.6" x14ac:dyDescent="0.35">
      <c r="A79" s="7" t="s">
        <v>32</v>
      </c>
      <c r="B79" s="16">
        <f>(B26/B32)*100</f>
        <v>858.48769585942057</v>
      </c>
      <c r="C79" s="16"/>
      <c r="D79" s="16"/>
      <c r="E79" s="16"/>
      <c r="F79" s="16"/>
      <c r="G79" s="16"/>
    </row>
    <row r="80" spans="1:7" s="7" customFormat="1" ht="16.2" thickBot="1" x14ac:dyDescent="0.4">
      <c r="A80" s="18"/>
      <c r="B80" s="18"/>
      <c r="C80" s="18"/>
      <c r="D80" s="18"/>
      <c r="E80" s="18"/>
      <c r="F80" s="18"/>
      <c r="G80" s="18"/>
    </row>
    <row r="81" spans="1:7" s="7" customFormat="1" ht="16.5" customHeight="1" thickTop="1" x14ac:dyDescent="0.35">
      <c r="A81" s="57" t="s">
        <v>86</v>
      </c>
      <c r="B81" s="57"/>
      <c r="C81" s="57"/>
      <c r="D81" s="57"/>
      <c r="E81" s="57"/>
      <c r="F81" s="57"/>
      <c r="G81" s="57"/>
    </row>
    <row r="82" spans="1:7" s="7" customFormat="1" ht="15.6" x14ac:dyDescent="0.35"/>
    <row r="83" spans="1:7" s="7" customFormat="1" ht="15.6" x14ac:dyDescent="0.35">
      <c r="A83" s="7" t="s">
        <v>87</v>
      </c>
      <c r="B83" s="42"/>
      <c r="C83" s="42"/>
    </row>
    <row r="84" spans="1:7" s="7" customFormat="1" ht="15.6" x14ac:dyDescent="0.35"/>
  </sheetData>
  <mergeCells count="4">
    <mergeCell ref="A9:A10"/>
    <mergeCell ref="B9:B10"/>
    <mergeCell ref="C9:G9"/>
    <mergeCell ref="A81:G81"/>
  </mergeCells>
  <pageMargins left="0.7" right="0.7" top="0.75" bottom="0.75" header="0.3" footer="0.3"/>
  <pageSetup paperSize="9" orientation="portrait" r:id="rId1"/>
  <ignoredErrors>
    <ignoredError sqref="B26 D74:D75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8:H84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0.5546875" style="3" customWidth="1"/>
    <col min="2" max="7" width="20.6640625" style="3" customWidth="1"/>
    <col min="8" max="8" width="11" style="3" customWidth="1"/>
    <col min="9" max="16384" width="11.44140625" style="3"/>
  </cols>
  <sheetData>
    <row r="8" spans="1:8" ht="17.25" customHeight="1" x14ac:dyDescent="0.3"/>
    <row r="9" spans="1:8" s="7" customFormat="1" ht="15.6" x14ac:dyDescent="0.35">
      <c r="A9" s="52" t="s">
        <v>0</v>
      </c>
      <c r="B9" s="54" t="s">
        <v>1</v>
      </c>
      <c r="C9" s="56" t="s">
        <v>2</v>
      </c>
      <c r="D9" s="56"/>
      <c r="E9" s="56"/>
      <c r="F9" s="56"/>
      <c r="G9" s="56"/>
    </row>
    <row r="10" spans="1:8" s="7" customFormat="1" ht="31.8" thickBot="1" x14ac:dyDescent="0.4">
      <c r="A10" s="53"/>
      <c r="B10" s="55"/>
      <c r="C10" s="41" t="s">
        <v>3</v>
      </c>
      <c r="D10" s="41" t="s">
        <v>76</v>
      </c>
      <c r="E10" s="41" t="s">
        <v>77</v>
      </c>
      <c r="F10" s="41" t="s">
        <v>46</v>
      </c>
      <c r="G10" s="41" t="s">
        <v>78</v>
      </c>
    </row>
    <row r="11" spans="1:8" s="7" customFormat="1" ht="16.2" thickTop="1" x14ac:dyDescent="0.35"/>
    <row r="12" spans="1:8" s="7" customFormat="1" ht="15.6" x14ac:dyDescent="0.35">
      <c r="A12" s="8" t="s">
        <v>4</v>
      </c>
    </row>
    <row r="13" spans="1:8" s="7" customFormat="1" ht="15.6" x14ac:dyDescent="0.35"/>
    <row r="14" spans="1:8" s="7" customFormat="1" ht="15.6" x14ac:dyDescent="0.35">
      <c r="A14" s="8" t="s">
        <v>5</v>
      </c>
    </row>
    <row r="15" spans="1:8" s="7" customFormat="1" ht="15.6" x14ac:dyDescent="0.35">
      <c r="A15" s="9" t="s">
        <v>72</v>
      </c>
      <c r="B15" s="10">
        <f>+C15+E15+F15+G15</f>
        <v>14981</v>
      </c>
      <c r="C15" s="10">
        <f>+'I trimestre'!C15+'II Trimestre'!C15+'III Trimestre'!C15+'IV Trimestre'!C15</f>
        <v>1906</v>
      </c>
      <c r="D15" s="10" t="s">
        <v>48</v>
      </c>
      <c r="E15" s="10">
        <f>+'I trimestre'!E15+'II Trimestre'!E15+'III Trimestre'!E15+'IV Trimestre'!E15</f>
        <v>9580</v>
      </c>
      <c r="F15" s="10">
        <f>+'I trimestre'!F15+'II Trimestre'!F15+'III Trimestre'!F15+'IV Trimestre'!F15</f>
        <v>3442</v>
      </c>
      <c r="G15" s="10">
        <f>+'IV Trimestre'!G15</f>
        <v>53</v>
      </c>
      <c r="H15" s="10"/>
    </row>
    <row r="16" spans="1:8" s="7" customFormat="1" ht="15.6" x14ac:dyDescent="0.35">
      <c r="A16" s="11" t="s">
        <v>33</v>
      </c>
      <c r="B16" s="10">
        <f>+C16+E16+F16+G16</f>
        <v>55120</v>
      </c>
      <c r="C16" s="10">
        <f>+'I trimestre'!C16+'II Trimestre'!C16+'III Trimestre'!C16+'IV Trimestre'!C16</f>
        <v>5044</v>
      </c>
      <c r="D16" s="10" t="s">
        <v>48</v>
      </c>
      <c r="E16" s="10">
        <f>+'I trimestre'!E16+'II Trimestre'!E16+'III Trimestre'!E16+'IV Trimestre'!E16</f>
        <v>38431</v>
      </c>
      <c r="F16" s="10">
        <f>+'I trimestre'!F16+'II Trimestre'!F16+'III Trimestre'!F16+'IV Trimestre'!F16</f>
        <v>11550</v>
      </c>
      <c r="G16" s="10">
        <f>+'IV Trimestre'!G16</f>
        <v>95</v>
      </c>
      <c r="H16" s="10"/>
    </row>
    <row r="17" spans="1:8" s="7" customFormat="1" ht="15.6" x14ac:dyDescent="0.35">
      <c r="A17" s="9" t="s">
        <v>122</v>
      </c>
      <c r="B17" s="10">
        <f>SUM(C17:G17)</f>
        <v>11575</v>
      </c>
      <c r="C17" s="10">
        <f>+'I trimestre'!C17+'II Trimestre'!C17+'III Trimestre'!C17+'IV Trimestre'!C17</f>
        <v>1683</v>
      </c>
      <c r="D17" s="10">
        <f>+'I trimestre'!D17+'II Trimestre'!D17+'III Trimestre'!D17+'IV Trimestre'!D17</f>
        <v>780</v>
      </c>
      <c r="E17" s="10">
        <f>+'I trimestre'!E17+'II Trimestre'!E17+'III Trimestre'!E17+'IV Trimestre'!E17</f>
        <v>7260</v>
      </c>
      <c r="F17" s="10">
        <f>+'I trimestre'!F17+'II Trimestre'!F17+'III Trimestre'!F17+'IV Trimestre'!F17</f>
        <v>1377</v>
      </c>
      <c r="G17" s="10">
        <f>+'I trimestre'!G17+'II Trimestre'!G17+'III Trimestre'!G17+'IV Trimestre'!G17</f>
        <v>475</v>
      </c>
      <c r="H17" s="10"/>
    </row>
    <row r="18" spans="1:8" s="7" customFormat="1" ht="15.6" x14ac:dyDescent="0.35">
      <c r="A18" s="11" t="s">
        <v>33</v>
      </c>
      <c r="B18" s="10">
        <f>SUM(C18:G18)</f>
        <v>54571</v>
      </c>
      <c r="C18" s="10">
        <f>+'I trimestre'!C18+'II Trimestre'!C18+'III Trimestre'!C18+'IV Trimestre'!C18</f>
        <v>6266</v>
      </c>
      <c r="D18" s="10">
        <f>+'I trimestre'!D18+'II Trimestre'!D18+'III Trimestre'!D18+'IV Trimestre'!D18</f>
        <v>780</v>
      </c>
      <c r="E18" s="10">
        <f>+'I trimestre'!E18+'II Trimestre'!E18+'III Trimestre'!E18+'IV Trimestre'!E18</f>
        <v>39550</v>
      </c>
      <c r="F18" s="10">
        <f>+'I trimestre'!F18+'II Trimestre'!F18+'III Trimestre'!F18+'IV Trimestre'!F18</f>
        <v>7311</v>
      </c>
      <c r="G18" s="10">
        <f>+'I trimestre'!G18+'II Trimestre'!G18+'III Trimestre'!G18+'IV Trimestre'!G18</f>
        <v>664</v>
      </c>
      <c r="H18" s="10"/>
    </row>
    <row r="19" spans="1:8" s="7" customFormat="1" ht="15.6" x14ac:dyDescent="0.35">
      <c r="A19" s="9" t="s">
        <v>123</v>
      </c>
      <c r="B19" s="10">
        <f>SUM(C19:G19)</f>
        <v>17508</v>
      </c>
      <c r="C19" s="10">
        <f>+'I trimestre'!C19+'II Trimestre'!C19+'III Trimestre'!C19+'IV Trimestre'!C19</f>
        <v>1712</v>
      </c>
      <c r="D19" s="10">
        <f>+'I trimestre'!D19+'II Trimestre'!D19+'III Trimestre'!D19+'IV Trimestre'!D19</f>
        <v>808</v>
      </c>
      <c r="E19" s="10">
        <f>+'I trimestre'!E19+'II Trimestre'!E19+'III Trimestre'!E19+'IV Trimestre'!E19</f>
        <v>12038</v>
      </c>
      <c r="F19" s="10">
        <f>+'I trimestre'!F19+'II Trimestre'!F19+'III Trimestre'!F19+'IV Trimestre'!F19</f>
        <v>2603</v>
      </c>
      <c r="G19" s="10">
        <f>+'I trimestre'!G19+'II Trimestre'!G19+'III Trimestre'!G19+'IV Trimestre'!G19</f>
        <v>347</v>
      </c>
      <c r="H19" s="10"/>
    </row>
    <row r="20" spans="1:8" s="7" customFormat="1" ht="15.6" x14ac:dyDescent="0.35">
      <c r="A20" s="11" t="s">
        <v>33</v>
      </c>
      <c r="B20" s="10">
        <f>SUM(C20:G20)</f>
        <v>63306</v>
      </c>
      <c r="C20" s="10">
        <f>+'I trimestre'!C20+'II Trimestre'!C20+'III Trimestre'!C20+'IV Trimestre'!C20</f>
        <v>10973</v>
      </c>
      <c r="D20" s="10">
        <f>+'I trimestre'!D20+'II Trimestre'!D20+'III Trimestre'!D20+'IV Trimestre'!D20</f>
        <v>1599</v>
      </c>
      <c r="E20" s="10">
        <f>+'I trimestre'!E20+'II Trimestre'!E20+'III Trimestre'!E20+'IV Trimestre'!E20</f>
        <v>42728</v>
      </c>
      <c r="F20" s="10">
        <f>+'I trimestre'!F20+'II Trimestre'!F20+'III Trimestre'!F20+'IV Trimestre'!F20</f>
        <v>7386</v>
      </c>
      <c r="G20" s="10">
        <f>+'I trimestre'!G20+'II Trimestre'!G20+'III Trimestre'!G20+'IV Trimestre'!G20</f>
        <v>620</v>
      </c>
      <c r="H20" s="10"/>
    </row>
    <row r="21" spans="1:8" s="7" customFormat="1" ht="15.6" x14ac:dyDescent="0.35">
      <c r="A21" s="9" t="s">
        <v>81</v>
      </c>
      <c r="B21" s="10">
        <f>SUM(C21:G21)</f>
        <v>11575</v>
      </c>
      <c r="C21" s="10">
        <f>+'IV Trimestre'!C21</f>
        <v>1683</v>
      </c>
      <c r="D21" s="10">
        <f>+'IV Trimestre'!D21</f>
        <v>780</v>
      </c>
      <c r="E21" s="10">
        <f>+'IV Trimestre'!E21</f>
        <v>7260</v>
      </c>
      <c r="F21" s="10">
        <f>+'IV Trimestre'!F21</f>
        <v>1377</v>
      </c>
      <c r="G21" s="10">
        <f>+'IV Trimestre'!G21</f>
        <v>475</v>
      </c>
      <c r="H21" s="10"/>
    </row>
    <row r="22" spans="1:8" s="7" customFormat="1" ht="15.6" x14ac:dyDescent="0.35">
      <c r="B22" s="10"/>
      <c r="C22" s="10"/>
      <c r="D22" s="10"/>
      <c r="E22" s="10"/>
      <c r="F22" s="10"/>
      <c r="G22" s="10"/>
      <c r="H22" s="10"/>
    </row>
    <row r="23" spans="1:8" s="7" customFormat="1" ht="15.6" x14ac:dyDescent="0.35">
      <c r="A23" s="12" t="s">
        <v>6</v>
      </c>
      <c r="B23" s="10"/>
      <c r="C23" s="10"/>
      <c r="D23" s="10"/>
      <c r="E23" s="10"/>
      <c r="F23" s="10"/>
      <c r="G23" s="10"/>
      <c r="H23" s="10"/>
    </row>
    <row r="24" spans="1:8" s="7" customFormat="1" ht="15.6" x14ac:dyDescent="0.35">
      <c r="A24" s="9" t="s">
        <v>72</v>
      </c>
      <c r="B24" s="10">
        <f>+C24+E24+F24+G24</f>
        <v>14440520100</v>
      </c>
      <c r="C24" s="10">
        <f>+'I trimestre'!C24+'II Trimestre'!C24+'III Trimestre'!C24+'IV Trimestre'!C24</f>
        <v>1164835000</v>
      </c>
      <c r="D24" s="10" t="s">
        <v>48</v>
      </c>
      <c r="E24" s="10">
        <f>+'I trimestre'!E24+'II Trimestre'!E24+'III Trimestre'!E24+'IV Trimestre'!E24</f>
        <v>10597680100</v>
      </c>
      <c r="F24" s="10">
        <f>+'I trimestre'!F24+'II Trimestre'!F24+'III Trimestre'!F24+'IV Trimestre'!F24</f>
        <v>2667080000</v>
      </c>
      <c r="G24" s="10">
        <f>+'IV Trimestre'!G24</f>
        <v>10925000</v>
      </c>
      <c r="H24" s="10"/>
    </row>
    <row r="25" spans="1:8" s="7" customFormat="1" ht="15.6" x14ac:dyDescent="0.35">
      <c r="A25" s="9" t="s">
        <v>122</v>
      </c>
      <c r="B25" s="10">
        <f>SUM(C25:G25)</f>
        <v>15081855300</v>
      </c>
      <c r="C25" s="10">
        <f>+'I trimestre'!C25+'II Trimestre'!C25+'III Trimestre'!C25+'IV Trimestre'!C25</f>
        <v>1472060000</v>
      </c>
      <c r="D25" s="10">
        <f>+'I trimestre'!D25+'II Trimestre'!D25+'III Trimestre'!D25+'IV Trimestre'!D25</f>
        <v>70500300</v>
      </c>
      <c r="E25" s="10">
        <f>+'I trimestre'!E25+'II Trimestre'!E25+'III Trimestre'!E25+'IV Trimestre'!E25</f>
        <v>11746350000</v>
      </c>
      <c r="F25" s="10">
        <f>+'I trimestre'!F25+'II Trimestre'!F25+'III Trimestre'!F25+'IV Trimestre'!F25</f>
        <v>1716585000</v>
      </c>
      <c r="G25" s="10">
        <f>+'I trimestre'!G25+'II Trimestre'!G25+'III Trimestre'!G25+'IV Trimestre'!G25</f>
        <v>76360000</v>
      </c>
      <c r="H25" s="10"/>
    </row>
    <row r="26" spans="1:8" s="7" customFormat="1" ht="15.6" x14ac:dyDescent="0.35">
      <c r="A26" s="9" t="s">
        <v>123</v>
      </c>
      <c r="B26" s="10">
        <f>SUM(C26:G26)</f>
        <v>15237797190</v>
      </c>
      <c r="C26" s="10">
        <f>+'I trimestre'!C26+'II Trimestre'!C26+'III Trimestre'!C26+'IV Trimestre'!C26</f>
        <v>1385420000</v>
      </c>
      <c r="D26" s="10">
        <f>+'I trimestre'!D26+'II Trimestre'!D26+'III Trimestre'!D26+'IV Trimestre'!D26</f>
        <v>216721200</v>
      </c>
      <c r="E26" s="10">
        <f>+'I trimestre'!E26+'II Trimestre'!E26+'III Trimestre'!E26+'IV Trimestre'!E26</f>
        <v>11828088490</v>
      </c>
      <c r="F26" s="10">
        <f>+'I trimestre'!F26+'II Trimestre'!F26+'III Trimestre'!F26+'IV Trimestre'!F26</f>
        <v>1734740000</v>
      </c>
      <c r="G26" s="10">
        <f>+'I trimestre'!G26+'II Trimestre'!G26+'III Trimestre'!G26+'IV Trimestre'!G26</f>
        <v>72827500</v>
      </c>
      <c r="H26" s="10"/>
    </row>
    <row r="27" spans="1:8" s="7" customFormat="1" ht="15.6" x14ac:dyDescent="0.35">
      <c r="A27" s="9" t="s">
        <v>81</v>
      </c>
      <c r="B27" s="10">
        <f>SUM(C27:G27)</f>
        <v>15081855300</v>
      </c>
      <c r="C27" s="10">
        <f>+'IV Trimestre'!C27</f>
        <v>1472060000</v>
      </c>
      <c r="D27" s="10">
        <f>+'IV Trimestre'!D27</f>
        <v>70500300</v>
      </c>
      <c r="E27" s="10">
        <f>+'IV Trimestre'!E27</f>
        <v>11746350000</v>
      </c>
      <c r="F27" s="10">
        <f>+'IV Trimestre'!F27</f>
        <v>1716585000</v>
      </c>
      <c r="G27" s="10">
        <f>+'IV Trimestre'!G27</f>
        <v>76360000</v>
      </c>
      <c r="H27" s="10"/>
    </row>
    <row r="28" spans="1:8" s="7" customFormat="1" ht="15.6" x14ac:dyDescent="0.35">
      <c r="A28" s="9" t="s">
        <v>124</v>
      </c>
      <c r="B28" s="10">
        <f>SUM(C28:G28)</f>
        <v>15237797190</v>
      </c>
      <c r="C28" s="10">
        <f t="shared" ref="C28:G28" si="0">+C26</f>
        <v>1385420000</v>
      </c>
      <c r="D28" s="10">
        <f t="shared" si="0"/>
        <v>216721200</v>
      </c>
      <c r="E28" s="10">
        <f t="shared" si="0"/>
        <v>11828088490</v>
      </c>
      <c r="F28" s="10">
        <f t="shared" si="0"/>
        <v>1734740000</v>
      </c>
      <c r="G28" s="10">
        <f t="shared" si="0"/>
        <v>72827500</v>
      </c>
      <c r="H28" s="10"/>
    </row>
    <row r="29" spans="1:8" s="7" customFormat="1" ht="15.6" x14ac:dyDescent="0.35">
      <c r="B29" s="10"/>
      <c r="C29" s="10"/>
      <c r="D29" s="10"/>
      <c r="E29" s="10"/>
      <c r="F29" s="22"/>
      <c r="G29" s="10"/>
      <c r="H29" s="10"/>
    </row>
    <row r="30" spans="1:8" s="7" customFormat="1" ht="15.6" x14ac:dyDescent="0.35">
      <c r="A30" s="8" t="s">
        <v>7</v>
      </c>
      <c r="B30" s="10"/>
      <c r="C30" s="10"/>
      <c r="D30" s="10"/>
      <c r="E30" s="10"/>
      <c r="F30" s="22"/>
      <c r="G30" s="10"/>
      <c r="H30" s="10"/>
    </row>
    <row r="31" spans="1:8" s="7" customFormat="1" ht="15.6" x14ac:dyDescent="0.35">
      <c r="A31" s="15" t="s">
        <v>122</v>
      </c>
      <c r="B31" s="10">
        <f>B25</f>
        <v>15081855300</v>
      </c>
      <c r="C31" s="10"/>
      <c r="D31" s="10"/>
      <c r="E31" s="10"/>
      <c r="F31" s="10"/>
      <c r="G31" s="10"/>
      <c r="H31" s="10"/>
    </row>
    <row r="32" spans="1:8" s="7" customFormat="1" ht="15.6" x14ac:dyDescent="0.35">
      <c r="A32" s="15" t="s">
        <v>123</v>
      </c>
      <c r="B32" s="10">
        <f>+'I trimestre'!B32+'II Trimestre'!B32+'III Trimestre'!B32+'IV Trimestre'!B32</f>
        <v>15082914334.77</v>
      </c>
      <c r="C32" s="10"/>
      <c r="D32" s="10"/>
      <c r="E32" s="10"/>
      <c r="F32" s="22"/>
      <c r="G32" s="10"/>
      <c r="H32" s="10"/>
    </row>
    <row r="33" spans="1:8" s="7" customFormat="1" ht="15.6" x14ac:dyDescent="0.35">
      <c r="B33" s="14"/>
      <c r="C33" s="14"/>
      <c r="D33" s="14"/>
      <c r="E33" s="14"/>
      <c r="F33" s="14"/>
      <c r="G33" s="14"/>
      <c r="H33" s="14"/>
    </row>
    <row r="34" spans="1:8" s="7" customFormat="1" ht="15.6" x14ac:dyDescent="0.35">
      <c r="A34" s="8" t="s">
        <v>8</v>
      </c>
      <c r="B34" s="14"/>
      <c r="C34" s="14"/>
      <c r="D34" s="14"/>
      <c r="E34" s="14"/>
      <c r="F34" s="14"/>
      <c r="G34" s="14"/>
      <c r="H34" s="14"/>
    </row>
    <row r="35" spans="1:8" s="7" customFormat="1" ht="15.6" x14ac:dyDescent="0.35">
      <c r="A35" s="7" t="s">
        <v>73</v>
      </c>
      <c r="B35" s="17">
        <v>1.1144000000000001</v>
      </c>
      <c r="C35" s="17">
        <v>1.1144000000000001</v>
      </c>
      <c r="D35" s="17">
        <v>1.1144000000000001</v>
      </c>
      <c r="E35" s="17">
        <v>1.1144000000000001</v>
      </c>
      <c r="F35" s="17">
        <v>1.1144000000000001</v>
      </c>
      <c r="G35" s="17">
        <v>1.1144000000000001</v>
      </c>
      <c r="H35" s="17"/>
    </row>
    <row r="36" spans="1:8" s="7" customFormat="1" ht="15.6" x14ac:dyDescent="0.35">
      <c r="A36" s="7" t="s">
        <v>125</v>
      </c>
      <c r="B36" s="17">
        <v>1.0947</v>
      </c>
      <c r="C36" s="17">
        <v>1.0947</v>
      </c>
      <c r="D36" s="17">
        <v>1.0947</v>
      </c>
      <c r="E36" s="17">
        <v>1.0947</v>
      </c>
      <c r="F36" s="17">
        <v>1.0947</v>
      </c>
      <c r="G36" s="17">
        <v>1.0947</v>
      </c>
      <c r="H36" s="17"/>
    </row>
    <row r="37" spans="1:8" s="7" customFormat="1" ht="15.6" x14ac:dyDescent="0.35">
      <c r="A37" s="7" t="s">
        <v>9</v>
      </c>
      <c r="B37" s="10">
        <f>C37+E37</f>
        <v>104416</v>
      </c>
      <c r="C37" s="10">
        <v>79512</v>
      </c>
      <c r="D37" s="10">
        <v>79512</v>
      </c>
      <c r="E37" s="10">
        <v>24904</v>
      </c>
      <c r="F37" s="10">
        <v>79512</v>
      </c>
      <c r="G37" s="10">
        <v>79512</v>
      </c>
    </row>
    <row r="38" spans="1:8" s="7" customFormat="1" ht="15.6" x14ac:dyDescent="0.35">
      <c r="B38" s="10"/>
      <c r="C38" s="10"/>
      <c r="D38" s="10"/>
      <c r="E38" s="10"/>
      <c r="F38" s="10"/>
      <c r="G38" s="10"/>
      <c r="H38" s="10"/>
    </row>
    <row r="39" spans="1:8" s="7" customFormat="1" ht="15.6" x14ac:dyDescent="0.35">
      <c r="A39" s="8" t="s">
        <v>10</v>
      </c>
      <c r="B39" s="10"/>
      <c r="C39" s="10"/>
      <c r="D39" s="10"/>
      <c r="E39" s="10"/>
      <c r="F39" s="10"/>
      <c r="G39" s="10"/>
      <c r="H39" s="10"/>
    </row>
    <row r="40" spans="1:8" s="7" customFormat="1" ht="15.6" x14ac:dyDescent="0.35">
      <c r="A40" s="7" t="s">
        <v>74</v>
      </c>
      <c r="B40" s="10">
        <f t="shared" ref="B40:G40" si="1">B24/B35</f>
        <v>12958112078.248384</v>
      </c>
      <c r="C40" s="10">
        <f t="shared" si="1"/>
        <v>1045257537.6884421</v>
      </c>
      <c r="D40" s="10" t="s">
        <v>48</v>
      </c>
      <c r="E40" s="10">
        <f t="shared" si="1"/>
        <v>9509763190.9547729</v>
      </c>
      <c r="F40" s="10">
        <f t="shared" si="1"/>
        <v>2393287867.9109836</v>
      </c>
      <c r="G40" s="10">
        <f t="shared" si="1"/>
        <v>9803481.6941852104</v>
      </c>
      <c r="H40" s="10"/>
    </row>
    <row r="41" spans="1:8" s="7" customFormat="1" ht="15.6" x14ac:dyDescent="0.35">
      <c r="A41" s="7" t="s">
        <v>126</v>
      </c>
      <c r="B41" s="10">
        <f t="shared" ref="B41:G41" si="2">B26/B36</f>
        <v>13919610112.35955</v>
      </c>
      <c r="C41" s="10">
        <f t="shared" si="2"/>
        <v>1265570475.9294784</v>
      </c>
      <c r="D41" s="10">
        <f t="shared" si="2"/>
        <v>197973143.3269389</v>
      </c>
      <c r="E41" s="10">
        <f t="shared" si="2"/>
        <v>10804867534.484333</v>
      </c>
      <c r="F41" s="10">
        <f t="shared" si="2"/>
        <v>1584671599.5249841</v>
      </c>
      <c r="G41" s="10">
        <f t="shared" si="2"/>
        <v>66527359.093815655</v>
      </c>
      <c r="H41" s="10"/>
    </row>
    <row r="42" spans="1:8" s="7" customFormat="1" ht="15.6" x14ac:dyDescent="0.35">
      <c r="A42" s="7" t="s">
        <v>75</v>
      </c>
      <c r="B42" s="10">
        <f t="shared" ref="B42:G42" si="3">B40/B15</f>
        <v>864969.76692132594</v>
      </c>
      <c r="C42" s="10">
        <f t="shared" si="3"/>
        <v>548403.74485227815</v>
      </c>
      <c r="D42" s="10" t="s">
        <v>48</v>
      </c>
      <c r="E42" s="10">
        <f t="shared" si="3"/>
        <v>992668.39154016424</v>
      </c>
      <c r="F42" s="10">
        <f t="shared" si="3"/>
        <v>695318.96220539906</v>
      </c>
      <c r="G42" s="10">
        <f t="shared" si="3"/>
        <v>184971.35272047567</v>
      </c>
      <c r="H42" s="10"/>
    </row>
    <row r="43" spans="1:8" s="7" customFormat="1" ht="15.6" x14ac:dyDescent="0.35">
      <c r="A43" s="7" t="s">
        <v>127</v>
      </c>
      <c r="B43" s="10">
        <f t="shared" ref="B43:G43" si="4">B41/B19</f>
        <v>795042.8439775845</v>
      </c>
      <c r="C43" s="10">
        <f t="shared" si="4"/>
        <v>739235.09108030284</v>
      </c>
      <c r="D43" s="10">
        <f t="shared" si="4"/>
        <v>245016.26649373627</v>
      </c>
      <c r="E43" s="10">
        <f t="shared" si="4"/>
        <v>897563.34395118232</v>
      </c>
      <c r="F43" s="10">
        <f t="shared" si="4"/>
        <v>608786.63062811526</v>
      </c>
      <c r="G43" s="10">
        <f t="shared" si="4"/>
        <v>191721.49594759554</v>
      </c>
      <c r="H43" s="10"/>
    </row>
    <row r="44" spans="1:8" s="7" customFormat="1" ht="15.6" x14ac:dyDescent="0.35">
      <c r="B44" s="14"/>
      <c r="C44" s="14"/>
      <c r="D44" s="14"/>
      <c r="E44" s="14"/>
      <c r="F44" s="14"/>
      <c r="G44" s="14"/>
      <c r="H44" s="14"/>
    </row>
    <row r="45" spans="1:8" s="7" customFormat="1" ht="15.6" x14ac:dyDescent="0.35">
      <c r="A45" s="8" t="s">
        <v>11</v>
      </c>
      <c r="B45" s="14"/>
      <c r="C45" s="14"/>
      <c r="D45" s="14"/>
      <c r="E45" s="14"/>
      <c r="F45" s="14"/>
      <c r="G45" s="14"/>
      <c r="H45" s="14"/>
    </row>
    <row r="46" spans="1:8" s="7" customFormat="1" ht="15.6" x14ac:dyDescent="0.35">
      <c r="B46" s="14"/>
      <c r="C46" s="14"/>
      <c r="D46" s="14"/>
      <c r="E46" s="14"/>
      <c r="F46" s="14"/>
      <c r="G46" s="14"/>
      <c r="H46" s="14"/>
    </row>
    <row r="47" spans="1:8" s="7" customFormat="1" ht="15.6" x14ac:dyDescent="0.35">
      <c r="A47" s="8" t="s">
        <v>12</v>
      </c>
      <c r="B47" s="14"/>
      <c r="C47" s="14"/>
      <c r="D47" s="14"/>
      <c r="E47" s="14"/>
      <c r="F47" s="14"/>
      <c r="G47" s="14"/>
      <c r="H47" s="14"/>
    </row>
    <row r="48" spans="1:8" s="7" customFormat="1" ht="15.6" x14ac:dyDescent="0.35">
      <c r="A48" s="7" t="s">
        <v>13</v>
      </c>
      <c r="B48" s="16">
        <f t="shared" ref="B48" si="5">B17/B37*100</f>
        <v>11.085465828991726</v>
      </c>
      <c r="C48" s="16">
        <f t="shared" ref="C48:G48" si="6">C17/C37*100</f>
        <v>2.116661635979475</v>
      </c>
      <c r="D48" s="16">
        <f t="shared" si="6"/>
        <v>0.98098400241472994</v>
      </c>
      <c r="E48" s="16">
        <f t="shared" si="6"/>
        <v>29.151943462897528</v>
      </c>
      <c r="F48" s="16">
        <f t="shared" si="6"/>
        <v>1.7318140658013885</v>
      </c>
      <c r="G48" s="16">
        <f t="shared" si="6"/>
        <v>0.59739410403461113</v>
      </c>
      <c r="H48" s="16"/>
    </row>
    <row r="49" spans="1:8" s="7" customFormat="1" ht="15.6" x14ac:dyDescent="0.35">
      <c r="A49" s="7" t="s">
        <v>14</v>
      </c>
      <c r="B49" s="16">
        <f t="shared" ref="B49" si="7">B19/B37*100</f>
        <v>16.767545203800182</v>
      </c>
      <c r="C49" s="16">
        <f t="shared" ref="C49:G49" si="8">C19/C37*100</f>
        <v>2.1531341181205352</v>
      </c>
      <c r="D49" s="16">
        <f t="shared" si="8"/>
        <v>1.0161988127578228</v>
      </c>
      <c r="E49" s="16">
        <f>E19/E37*100</f>
        <v>48.337616447157082</v>
      </c>
      <c r="F49" s="16">
        <f t="shared" si="8"/>
        <v>3.2737196901096688</v>
      </c>
      <c r="G49" s="16">
        <f t="shared" si="8"/>
        <v>0.43641211389475804</v>
      </c>
      <c r="H49" s="16"/>
    </row>
    <row r="50" spans="1:8" s="7" customFormat="1" ht="15.6" x14ac:dyDescent="0.35">
      <c r="B50" s="16"/>
      <c r="C50" s="16"/>
      <c r="D50" s="16"/>
      <c r="E50" s="16"/>
      <c r="F50" s="16"/>
      <c r="G50" s="16"/>
      <c r="H50" s="16"/>
    </row>
    <row r="51" spans="1:8" s="7" customFormat="1" ht="15.6" x14ac:dyDescent="0.35">
      <c r="A51" s="8" t="s">
        <v>15</v>
      </c>
      <c r="B51" s="16"/>
      <c r="C51" s="16"/>
      <c r="D51" s="16"/>
      <c r="E51" s="16"/>
      <c r="F51" s="16"/>
      <c r="G51" s="16"/>
      <c r="H51" s="16"/>
    </row>
    <row r="52" spans="1:8" s="7" customFormat="1" ht="15.6" x14ac:dyDescent="0.35">
      <c r="A52" s="7" t="s">
        <v>16</v>
      </c>
      <c r="B52" s="16">
        <f t="shared" ref="B52:G52" si="9">B19/B17*100</f>
        <v>151.25701943844493</v>
      </c>
      <c r="C52" s="16">
        <f t="shared" si="9"/>
        <v>101.72311348781938</v>
      </c>
      <c r="D52" s="16">
        <f>D19/D17*100</f>
        <v>103.58974358974361</v>
      </c>
      <c r="E52" s="16">
        <f t="shared" si="9"/>
        <v>165.81267217630855</v>
      </c>
      <c r="F52" s="16">
        <f t="shared" si="9"/>
        <v>189.03413217138706</v>
      </c>
      <c r="G52" s="16">
        <f t="shared" si="9"/>
        <v>73.05263157894737</v>
      </c>
      <c r="H52" s="16"/>
    </row>
    <row r="53" spans="1:8" s="7" customFormat="1" ht="15.6" x14ac:dyDescent="0.35">
      <c r="A53" s="7" t="s">
        <v>17</v>
      </c>
      <c r="B53" s="16">
        <f t="shared" ref="B53:G53" si="10">B26/B25*100</f>
        <v>101.03397020391782</v>
      </c>
      <c r="C53" s="16">
        <f t="shared" si="10"/>
        <v>94.114370338165571</v>
      </c>
      <c r="D53" s="16">
        <f>D26/D25*100</f>
        <v>307.40464934191772</v>
      </c>
      <c r="E53" s="16">
        <f t="shared" si="10"/>
        <v>100.69586288506642</v>
      </c>
      <c r="F53" s="16">
        <f t="shared" si="10"/>
        <v>101.05762312964404</v>
      </c>
      <c r="G53" s="16">
        <f t="shared" si="10"/>
        <v>95.373886851754847</v>
      </c>
      <c r="H53" s="16"/>
    </row>
    <row r="54" spans="1:8" s="7" customFormat="1" ht="15.6" x14ac:dyDescent="0.35">
      <c r="A54" s="7" t="s">
        <v>18</v>
      </c>
      <c r="B54" s="16">
        <f t="shared" ref="B54:G54" si="11">AVERAGE(B52:B53)</f>
        <v>126.14549482118137</v>
      </c>
      <c r="C54" s="16">
        <f t="shared" si="11"/>
        <v>97.918741912992473</v>
      </c>
      <c r="D54" s="16">
        <f t="shared" si="11"/>
        <v>205.49719646583065</v>
      </c>
      <c r="E54" s="16">
        <f t="shared" si="11"/>
        <v>133.25426753068749</v>
      </c>
      <c r="F54" s="16">
        <f t="shared" si="11"/>
        <v>145.04587765051554</v>
      </c>
      <c r="G54" s="16">
        <f t="shared" si="11"/>
        <v>84.213259215351115</v>
      </c>
      <c r="H54" s="16"/>
    </row>
    <row r="55" spans="1:8" s="7" customFormat="1" ht="15.6" x14ac:dyDescent="0.35">
      <c r="B55" s="16"/>
      <c r="C55" s="16"/>
      <c r="D55" s="16"/>
      <c r="E55" s="16"/>
      <c r="F55" s="16"/>
      <c r="G55" s="16"/>
      <c r="H55" s="16"/>
    </row>
    <row r="56" spans="1:8" s="7" customFormat="1" ht="15.6" x14ac:dyDescent="0.35">
      <c r="A56" s="8" t="s">
        <v>19</v>
      </c>
      <c r="B56" s="16"/>
      <c r="C56" s="16"/>
      <c r="D56" s="16"/>
      <c r="E56" s="16"/>
      <c r="F56" s="16"/>
      <c r="G56" s="16"/>
      <c r="H56" s="16"/>
    </row>
    <row r="57" spans="1:8" s="7" customFormat="1" ht="15.6" x14ac:dyDescent="0.35">
      <c r="A57" s="7" t="s">
        <v>20</v>
      </c>
      <c r="B57" s="16">
        <f t="shared" ref="B57:G57" si="12">B19/B21*100</f>
        <v>151.25701943844493</v>
      </c>
      <c r="C57" s="16">
        <f t="shared" si="12"/>
        <v>101.72311348781938</v>
      </c>
      <c r="D57" s="16">
        <f t="shared" si="12"/>
        <v>103.58974358974361</v>
      </c>
      <c r="E57" s="16">
        <f t="shared" si="12"/>
        <v>165.81267217630855</v>
      </c>
      <c r="F57" s="16">
        <f t="shared" si="12"/>
        <v>189.03413217138706</v>
      </c>
      <c r="G57" s="16">
        <f t="shared" si="12"/>
        <v>73.05263157894737</v>
      </c>
      <c r="H57" s="16"/>
    </row>
    <row r="58" spans="1:8" s="7" customFormat="1" ht="15.6" x14ac:dyDescent="0.35">
      <c r="A58" s="7" t="s">
        <v>21</v>
      </c>
      <c r="B58" s="16">
        <f t="shared" ref="B58:G58" si="13">B26/B27*100</f>
        <v>101.03397020391782</v>
      </c>
      <c r="C58" s="16">
        <f t="shared" si="13"/>
        <v>94.114370338165571</v>
      </c>
      <c r="D58" s="16">
        <f t="shared" si="13"/>
        <v>307.40464934191772</v>
      </c>
      <c r="E58" s="16">
        <f t="shared" si="13"/>
        <v>100.69586288506642</v>
      </c>
      <c r="F58" s="16">
        <f t="shared" si="13"/>
        <v>101.05762312964404</v>
      </c>
      <c r="G58" s="16">
        <f t="shared" si="13"/>
        <v>95.373886851754847</v>
      </c>
      <c r="H58" s="16"/>
    </row>
    <row r="59" spans="1:8" s="7" customFormat="1" ht="15.6" x14ac:dyDescent="0.35">
      <c r="A59" s="7" t="s">
        <v>22</v>
      </c>
      <c r="B59" s="16">
        <f t="shared" ref="B59:G59" si="14">(B57+B58)/2</f>
        <v>126.14549482118137</v>
      </c>
      <c r="C59" s="16">
        <f t="shared" si="14"/>
        <v>97.918741912992473</v>
      </c>
      <c r="D59" s="16">
        <f t="shared" si="14"/>
        <v>205.49719646583065</v>
      </c>
      <c r="E59" s="16">
        <f t="shared" si="14"/>
        <v>133.25426753068749</v>
      </c>
      <c r="F59" s="16">
        <f t="shared" si="14"/>
        <v>145.04587765051554</v>
      </c>
      <c r="G59" s="16">
        <f t="shared" si="14"/>
        <v>84.213259215351115</v>
      </c>
      <c r="H59" s="16"/>
    </row>
    <row r="60" spans="1:8" s="7" customFormat="1" ht="14.25" customHeight="1" x14ac:dyDescent="0.35">
      <c r="B60" s="16"/>
      <c r="C60" s="16"/>
      <c r="D60" s="16"/>
      <c r="E60" s="16"/>
      <c r="F60" s="16"/>
      <c r="G60" s="16"/>
      <c r="H60" s="16"/>
    </row>
    <row r="61" spans="1:8" s="7" customFormat="1" ht="14.25" customHeight="1" x14ac:dyDescent="0.35">
      <c r="A61" s="8" t="s">
        <v>47</v>
      </c>
      <c r="B61" s="16"/>
      <c r="C61" s="16"/>
      <c r="D61" s="16"/>
      <c r="E61" s="16"/>
      <c r="F61" s="16"/>
      <c r="G61" s="16"/>
      <c r="H61" s="16"/>
    </row>
    <row r="62" spans="1:8" s="7" customFormat="1" ht="15.6" x14ac:dyDescent="0.35">
      <c r="A62" s="7" t="s">
        <v>23</v>
      </c>
      <c r="B62" s="16">
        <f>B28/B26*100</f>
        <v>100</v>
      </c>
      <c r="C62" s="16"/>
      <c r="D62" s="16"/>
      <c r="E62" s="16"/>
      <c r="F62" s="16"/>
      <c r="G62" s="16"/>
      <c r="H62" s="16"/>
    </row>
    <row r="63" spans="1:8" s="7" customFormat="1" ht="15.6" x14ac:dyDescent="0.35">
      <c r="B63" s="16"/>
      <c r="C63" s="16"/>
      <c r="D63" s="16"/>
      <c r="E63" s="16"/>
      <c r="F63" s="16"/>
      <c r="G63" s="16"/>
      <c r="H63" s="16"/>
    </row>
    <row r="64" spans="1:8" s="7" customFormat="1" ht="15.6" x14ac:dyDescent="0.35">
      <c r="A64" s="8" t="s">
        <v>24</v>
      </c>
      <c r="B64" s="16"/>
      <c r="C64" s="16"/>
      <c r="D64" s="16"/>
      <c r="E64" s="16"/>
      <c r="F64" s="16"/>
      <c r="G64" s="16"/>
      <c r="H64" s="16"/>
    </row>
    <row r="65" spans="1:8" s="7" customFormat="1" ht="15.6" x14ac:dyDescent="0.35">
      <c r="A65" s="7" t="s">
        <v>25</v>
      </c>
      <c r="B65" s="16">
        <f t="shared" ref="B65:F65" si="15">((B19/B15)-1)*100</f>
        <v>16.868032841599366</v>
      </c>
      <c r="C65" s="16">
        <f t="shared" si="15"/>
        <v>-10.178384050367262</v>
      </c>
      <c r="D65" s="16" t="s">
        <v>48</v>
      </c>
      <c r="E65" s="16">
        <f t="shared" si="15"/>
        <v>25.657620041753649</v>
      </c>
      <c r="F65" s="16">
        <f t="shared" si="15"/>
        <v>-24.375363160952933</v>
      </c>
      <c r="G65" s="16">
        <f>((G19/G15)-1)*100</f>
        <v>554.71698113207549</v>
      </c>
      <c r="H65" s="16"/>
    </row>
    <row r="66" spans="1:8" s="7" customFormat="1" ht="15.6" x14ac:dyDescent="0.35">
      <c r="A66" s="7" t="s">
        <v>26</v>
      </c>
      <c r="B66" s="16">
        <f t="shared" ref="B66:G66" si="16">((B41/B40)-1)*100</f>
        <v>7.4200472129357875</v>
      </c>
      <c r="C66" s="16">
        <f t="shared" si="16"/>
        <v>21.077383352647438</v>
      </c>
      <c r="D66" s="16" t="s">
        <v>48</v>
      </c>
      <c r="E66" s="16">
        <f t="shared" si="16"/>
        <v>13.618681322805193</v>
      </c>
      <c r="F66" s="16">
        <f t="shared" si="16"/>
        <v>-33.786836896132009</v>
      </c>
      <c r="G66" s="16">
        <f t="shared" si="16"/>
        <v>578.60951006085293</v>
      </c>
      <c r="H66" s="16"/>
    </row>
    <row r="67" spans="1:8" s="7" customFormat="1" ht="15.6" x14ac:dyDescent="0.35">
      <c r="A67" s="7" t="s">
        <v>27</v>
      </c>
      <c r="B67" s="16">
        <f t="shared" ref="B67:G67" si="17">((B43/B42)-1)*100</f>
        <v>-8.0843198939347101</v>
      </c>
      <c r="C67" s="16">
        <f t="shared" si="17"/>
        <v>34.797600858730164</v>
      </c>
      <c r="D67" s="16" t="s">
        <v>48</v>
      </c>
      <c r="E67" s="16">
        <f t="shared" si="17"/>
        <v>-9.5807470449847507</v>
      </c>
      <c r="F67" s="16">
        <f t="shared" si="17"/>
        <v>-12.444983709752755</v>
      </c>
      <c r="G67" s="16">
        <f t="shared" si="17"/>
        <v>3.6492911620322754</v>
      </c>
      <c r="H67" s="16"/>
    </row>
    <row r="68" spans="1:8" s="7" customFormat="1" ht="15.6" x14ac:dyDescent="0.35">
      <c r="B68" s="16"/>
      <c r="C68" s="16"/>
      <c r="D68" s="16"/>
      <c r="E68" s="16"/>
      <c r="F68" s="16"/>
      <c r="G68" s="16"/>
      <c r="H68" s="16"/>
    </row>
    <row r="69" spans="1:8" s="7" customFormat="1" ht="15.6" x14ac:dyDescent="0.35">
      <c r="A69" s="8" t="s">
        <v>28</v>
      </c>
      <c r="B69" s="16"/>
      <c r="C69" s="16"/>
      <c r="D69" s="16"/>
      <c r="E69" s="16"/>
      <c r="F69" s="16"/>
      <c r="G69" s="16"/>
      <c r="H69" s="16"/>
    </row>
    <row r="70" spans="1:8" s="7" customFormat="1" ht="15.6" x14ac:dyDescent="0.35">
      <c r="A70" s="7" t="s">
        <v>43</v>
      </c>
      <c r="B70" s="16">
        <f t="shared" ref="B70:G70" si="18">B25/(B18)</f>
        <v>276371.24663282698</v>
      </c>
      <c r="C70" s="16">
        <f t="shared" si="18"/>
        <v>234928.18384934569</v>
      </c>
      <c r="D70" s="16">
        <f>D25/(D18)</f>
        <v>90385</v>
      </c>
      <c r="E70" s="16">
        <f t="shared" si="18"/>
        <v>297000</v>
      </c>
      <c r="F70" s="16">
        <f t="shared" si="18"/>
        <v>234794.82970865819</v>
      </c>
      <c r="G70" s="16">
        <f t="shared" si="18"/>
        <v>115000</v>
      </c>
      <c r="H70" s="16"/>
    </row>
    <row r="71" spans="1:8" s="7" customFormat="1" ht="15.6" x14ac:dyDescent="0.35">
      <c r="A71" s="7" t="s">
        <v>44</v>
      </c>
      <c r="B71" s="16">
        <f t="shared" ref="B71:G71" si="19">B26/(B20)</f>
        <v>240700.67908255142</v>
      </c>
      <c r="C71" s="16">
        <f t="shared" si="19"/>
        <v>126257.17670646131</v>
      </c>
      <c r="D71" s="16">
        <f>D26/(D20)</f>
        <v>135535.45966228892</v>
      </c>
      <c r="E71" s="16">
        <f t="shared" si="19"/>
        <v>276822.89107844973</v>
      </c>
      <c r="F71" s="16">
        <f t="shared" si="19"/>
        <v>234868.67045762253</v>
      </c>
      <c r="G71" s="16">
        <f t="shared" si="19"/>
        <v>117463.70967741935</v>
      </c>
      <c r="H71" s="16"/>
    </row>
    <row r="72" spans="1:8" s="7" customFormat="1" ht="15.6" hidden="1" x14ac:dyDescent="0.35">
      <c r="A72" s="7" t="s">
        <v>34</v>
      </c>
      <c r="B72" s="16">
        <f t="shared" ref="B72:G72" si="20">B26/B20</f>
        <v>240700.67908255142</v>
      </c>
      <c r="C72" s="16">
        <f t="shared" si="20"/>
        <v>126257.17670646131</v>
      </c>
      <c r="D72" s="16">
        <f t="shared" si="20"/>
        <v>135535.45966228892</v>
      </c>
      <c r="E72" s="16">
        <f t="shared" si="20"/>
        <v>276822.89107844973</v>
      </c>
      <c r="F72" s="16">
        <f t="shared" si="20"/>
        <v>234868.67045762253</v>
      </c>
      <c r="G72" s="16">
        <f t="shared" si="20"/>
        <v>117463.70967741935</v>
      </c>
      <c r="H72" s="16"/>
    </row>
    <row r="73" spans="1:8" s="7" customFormat="1" ht="15.6" x14ac:dyDescent="0.35">
      <c r="A73" s="7" t="s">
        <v>29</v>
      </c>
      <c r="B73" s="16">
        <f t="shared" ref="B73:G73" si="21">(B71/B70)*B54</f>
        <v>109.86420127489602</v>
      </c>
      <c r="C73" s="16">
        <f t="shared" si="21"/>
        <v>52.624353953679552</v>
      </c>
      <c r="D73" s="16">
        <f t="shared" si="21"/>
        <v>308.15021278207723</v>
      </c>
      <c r="E73" s="16">
        <f t="shared" si="21"/>
        <v>124.20145315281516</v>
      </c>
      <c r="F73" s="16">
        <f t="shared" si="21"/>
        <v>145.09149320454281</v>
      </c>
      <c r="G73" s="16">
        <f t="shared" si="21"/>
        <v>86.017407230097945</v>
      </c>
      <c r="H73" s="16"/>
    </row>
    <row r="74" spans="1:8" s="7" customFormat="1" ht="15.6" x14ac:dyDescent="0.35">
      <c r="A74" s="7" t="s">
        <v>41</v>
      </c>
      <c r="B74" s="16">
        <f t="shared" ref="B74" si="22">(B25/B18)*12</f>
        <v>3316454.9595939238</v>
      </c>
      <c r="C74" s="16">
        <f>(C25/C18)*9</f>
        <v>2114353.6546441112</v>
      </c>
      <c r="D74" s="16">
        <f>(D25/D18)*1</f>
        <v>90385</v>
      </c>
      <c r="E74" s="16">
        <f>(E25/E18)*12</f>
        <v>3564000</v>
      </c>
      <c r="F74" s="16">
        <f>(F25/F18)*11</f>
        <v>2582743.1267952402</v>
      </c>
      <c r="G74" s="16">
        <f>(G25/G18)*8</f>
        <v>920000</v>
      </c>
      <c r="H74" s="16"/>
    </row>
    <row r="75" spans="1:8" s="7" customFormat="1" ht="15.6" x14ac:dyDescent="0.35">
      <c r="A75" s="7" t="s">
        <v>42</v>
      </c>
      <c r="B75" s="16">
        <f t="shared" ref="B75" si="23">(B26/B20)*12</f>
        <v>2888408.1489906171</v>
      </c>
      <c r="C75" s="16">
        <f>(C26/C20)*9</f>
        <v>1136314.5903581518</v>
      </c>
      <c r="D75" s="16">
        <f>(D26/D20)*1</f>
        <v>135535.45966228892</v>
      </c>
      <c r="E75" s="16">
        <f>(E26/E20)*12</f>
        <v>3321874.6929413965</v>
      </c>
      <c r="F75" s="16">
        <f>(F26/F20)*11</f>
        <v>2583555.375033848</v>
      </c>
      <c r="G75" s="16">
        <f>(G26/G20)*8</f>
        <v>939709.67741935479</v>
      </c>
      <c r="H75" s="16"/>
    </row>
    <row r="76" spans="1:8" s="7" customFormat="1" ht="15.6" x14ac:dyDescent="0.35">
      <c r="B76" s="16"/>
      <c r="C76" s="16"/>
      <c r="D76" s="16"/>
      <c r="E76" s="16"/>
      <c r="F76" s="16"/>
      <c r="G76" s="16"/>
      <c r="H76" s="16"/>
    </row>
    <row r="77" spans="1:8" s="7" customFormat="1" ht="15.6" x14ac:dyDescent="0.35">
      <c r="A77" s="8" t="s">
        <v>30</v>
      </c>
      <c r="B77" s="16"/>
      <c r="C77" s="16"/>
      <c r="D77" s="16"/>
      <c r="E77" s="16"/>
      <c r="F77" s="16"/>
      <c r="G77" s="16"/>
      <c r="H77" s="16"/>
    </row>
    <row r="78" spans="1:8" s="7" customFormat="1" ht="15.6" x14ac:dyDescent="0.35">
      <c r="A78" s="7" t="s">
        <v>31</v>
      </c>
      <c r="B78" s="16">
        <f>(B32/B31)*100</f>
        <v>100.00702191307988</v>
      </c>
      <c r="C78" s="16"/>
      <c r="D78" s="16"/>
      <c r="E78" s="16"/>
      <c r="F78" s="16"/>
      <c r="G78" s="16"/>
      <c r="H78" s="16"/>
    </row>
    <row r="79" spans="1:8" s="7" customFormat="1" ht="15.6" x14ac:dyDescent="0.35">
      <c r="A79" s="7" t="s">
        <v>32</v>
      </c>
      <c r="B79" s="16">
        <f>(B26/B32)*100</f>
        <v>101.02687618448482</v>
      </c>
      <c r="C79" s="16"/>
      <c r="D79" s="16"/>
      <c r="E79" s="16"/>
      <c r="F79" s="16"/>
      <c r="G79" s="16"/>
      <c r="H79" s="16"/>
    </row>
    <row r="80" spans="1:8" s="7" customFormat="1" ht="16.2" thickBot="1" x14ac:dyDescent="0.4">
      <c r="A80" s="18"/>
      <c r="B80" s="18"/>
      <c r="C80" s="18"/>
      <c r="D80" s="18"/>
      <c r="E80" s="18"/>
      <c r="F80" s="18"/>
      <c r="G80" s="18"/>
      <c r="H80" s="36"/>
    </row>
    <row r="81" spans="1:7" s="7" customFormat="1" ht="16.5" customHeight="1" thickTop="1" x14ac:dyDescent="0.35">
      <c r="A81" s="57" t="s">
        <v>86</v>
      </c>
      <c r="B81" s="57"/>
      <c r="C81" s="57"/>
      <c r="D81" s="57"/>
      <c r="E81" s="57"/>
      <c r="F81" s="57"/>
      <c r="G81" s="57"/>
    </row>
    <row r="82" spans="1:7" s="7" customFormat="1" ht="15.6" x14ac:dyDescent="0.35"/>
    <row r="83" spans="1:7" s="7" customFormat="1" ht="15.6" x14ac:dyDescent="0.35">
      <c r="A83" s="7" t="s">
        <v>87</v>
      </c>
      <c r="B83" s="42"/>
      <c r="C83" s="42"/>
    </row>
    <row r="84" spans="1:7" s="7" customFormat="1" ht="15.6" x14ac:dyDescent="0.35"/>
  </sheetData>
  <mergeCells count="4">
    <mergeCell ref="A9:A10"/>
    <mergeCell ref="B9:B10"/>
    <mergeCell ref="C9:G9"/>
    <mergeCell ref="A81:G81"/>
  </mergeCells>
  <pageMargins left="0.7" right="0.7" top="0.75" bottom="0.75" header="0.3" footer="0.3"/>
  <pageSetup orientation="portrait" horizont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 trimestre</vt:lpstr>
      <vt:lpstr>II Trimestre</vt:lpstr>
      <vt:lpstr>I Semestre</vt:lpstr>
      <vt:lpstr>III Trimestre</vt:lpstr>
      <vt:lpstr>III T Acumulado</vt:lpstr>
      <vt:lpstr>IV Trimestre</vt:lpstr>
      <vt:lpstr>Anual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catherine.mata</dc:creator>
  <cp:lastModifiedBy>Stephanie Tatiana Salas Soto</cp:lastModifiedBy>
  <cp:lastPrinted>2020-03-03T13:20:55Z</cp:lastPrinted>
  <dcterms:created xsi:type="dcterms:W3CDTF">2012-04-23T17:10:47Z</dcterms:created>
  <dcterms:modified xsi:type="dcterms:W3CDTF">2026-01-03T12:49:28Z</dcterms:modified>
</cp:coreProperties>
</file>