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7180055\Desktop\ACTUALIZACIÓN PW 2025\2024\Indicadores\"/>
    </mc:Choice>
  </mc:AlternateContent>
  <xr:revisionPtr revIDLastSave="0" documentId="13_ncr:1_{C46224D3-5D8E-47B1-9715-F60653C1117C}" xr6:coauthVersionLast="47" xr6:coauthVersionMax="47" xr10:uidLastSave="{00000000-0000-0000-0000-000000000000}"/>
  <bookViews>
    <workbookView xWindow="-108" yWindow="-108" windowWidth="23256" windowHeight="13896" tabRatio="738" xr2:uid="{00000000-000D-0000-FFFF-FFFF00000000}"/>
  </bookViews>
  <sheets>
    <sheet name="I Trimestre" sheetId="1" r:id="rId1"/>
    <sheet name="II trimestre" sheetId="2" r:id="rId2"/>
    <sheet name="I Semestre" sheetId="6" r:id="rId3"/>
    <sheet name="III Trimestre" sheetId="3" r:id="rId4"/>
    <sheet name="III T Acumulado" sheetId="7" r:id="rId5"/>
    <sheet name="IV Trimestre" sheetId="4" r:id="rId6"/>
    <sheet name="Anual" sheetId="5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7" i="5" l="1"/>
  <c r="G21" i="5"/>
  <c r="G15" i="5"/>
  <c r="F15" i="5"/>
  <c r="I68" i="4" l="1"/>
  <c r="I67" i="4"/>
  <c r="J68" i="5" l="1"/>
  <c r="J67" i="5"/>
  <c r="I68" i="5"/>
  <c r="I67" i="5"/>
  <c r="H68" i="5"/>
  <c r="H69" i="5" s="1"/>
  <c r="H70" i="5"/>
  <c r="H71" i="5"/>
  <c r="H67" i="5"/>
  <c r="H25" i="5"/>
  <c r="I25" i="5"/>
  <c r="J25" i="5"/>
  <c r="B23" i="5"/>
  <c r="I23" i="5"/>
  <c r="I38" i="5" s="1"/>
  <c r="I40" i="5" s="1"/>
  <c r="J23" i="5"/>
  <c r="H23" i="5"/>
  <c r="H50" i="5" s="1"/>
  <c r="G23" i="5"/>
  <c r="F17" i="5"/>
  <c r="I17" i="5"/>
  <c r="J17" i="5"/>
  <c r="H17" i="5"/>
  <c r="H24" i="5"/>
  <c r="I24" i="5"/>
  <c r="J24" i="5"/>
  <c r="I22" i="5"/>
  <c r="J22" i="5"/>
  <c r="J50" i="5" s="1"/>
  <c r="H22" i="5"/>
  <c r="G22" i="5"/>
  <c r="B22" i="5"/>
  <c r="J16" i="5"/>
  <c r="G18" i="5"/>
  <c r="H18" i="5"/>
  <c r="I18" i="5"/>
  <c r="J18" i="5"/>
  <c r="H54" i="5"/>
  <c r="I16" i="5"/>
  <c r="H16" i="5"/>
  <c r="G16" i="5"/>
  <c r="H38" i="5"/>
  <c r="H40" i="5" s="1"/>
  <c r="J38" i="5"/>
  <c r="H49" i="5"/>
  <c r="J55" i="5"/>
  <c r="H54" i="4"/>
  <c r="I54" i="4"/>
  <c r="J54" i="4"/>
  <c r="H55" i="4"/>
  <c r="I55" i="4"/>
  <c r="J55" i="4"/>
  <c r="H56" i="4"/>
  <c r="I56" i="4"/>
  <c r="J56" i="4"/>
  <c r="J68" i="7"/>
  <c r="I68" i="7"/>
  <c r="I67" i="7"/>
  <c r="H68" i="7"/>
  <c r="H67" i="7"/>
  <c r="B23" i="7"/>
  <c r="B24" i="7"/>
  <c r="B25" i="7"/>
  <c r="B22" i="7"/>
  <c r="B18" i="7"/>
  <c r="H25" i="7"/>
  <c r="I25" i="7"/>
  <c r="J25" i="7"/>
  <c r="H22" i="7"/>
  <c r="I22" i="7"/>
  <c r="J22" i="7"/>
  <c r="H23" i="7"/>
  <c r="H50" i="7" s="1"/>
  <c r="I23" i="7"/>
  <c r="I50" i="7" s="1"/>
  <c r="J23" i="7"/>
  <c r="J50" i="7" s="1"/>
  <c r="H24" i="7"/>
  <c r="H55" i="7" s="1"/>
  <c r="I24" i="7"/>
  <c r="I55" i="7" s="1"/>
  <c r="J24" i="7"/>
  <c r="J55" i="7" s="1"/>
  <c r="I17" i="7"/>
  <c r="I49" i="7" s="1"/>
  <c r="J17" i="7"/>
  <c r="H17" i="7"/>
  <c r="H18" i="7"/>
  <c r="I18" i="7"/>
  <c r="J18" i="7"/>
  <c r="H16" i="7"/>
  <c r="H49" i="7" s="1"/>
  <c r="I16" i="7"/>
  <c r="J16" i="7"/>
  <c r="J70" i="7" s="1"/>
  <c r="G16" i="7"/>
  <c r="J68" i="3"/>
  <c r="J67" i="3"/>
  <c r="I68" i="3"/>
  <c r="I67" i="3"/>
  <c r="H71" i="3"/>
  <c r="H70" i="3"/>
  <c r="H68" i="3"/>
  <c r="H67" i="3"/>
  <c r="H25" i="3"/>
  <c r="I25" i="3"/>
  <c r="J25" i="3"/>
  <c r="B17" i="3"/>
  <c r="B16" i="3"/>
  <c r="B25" i="3"/>
  <c r="B24" i="3"/>
  <c r="B23" i="3"/>
  <c r="B22" i="3"/>
  <c r="B18" i="3"/>
  <c r="H38" i="7"/>
  <c r="H40" i="7" s="1"/>
  <c r="I38" i="7"/>
  <c r="I40" i="7" s="1"/>
  <c r="J38" i="7"/>
  <c r="J40" i="7" s="1"/>
  <c r="H54" i="7"/>
  <c r="I54" i="7"/>
  <c r="I70" i="7"/>
  <c r="H71" i="7"/>
  <c r="I71" i="7"/>
  <c r="J71" i="7"/>
  <c r="H38" i="3"/>
  <c r="I38" i="3"/>
  <c r="J38" i="3"/>
  <c r="J40" i="3" s="1"/>
  <c r="H40" i="3"/>
  <c r="I40" i="3"/>
  <c r="H49" i="3"/>
  <c r="I49" i="3"/>
  <c r="J49" i="3"/>
  <c r="H50" i="3"/>
  <c r="I50" i="3"/>
  <c r="J50" i="3"/>
  <c r="H51" i="3"/>
  <c r="H54" i="3"/>
  <c r="I54" i="3"/>
  <c r="J54" i="3"/>
  <c r="H55" i="3"/>
  <c r="I55" i="3"/>
  <c r="J55" i="3"/>
  <c r="J56" i="3" s="1"/>
  <c r="I70" i="3"/>
  <c r="J70" i="3"/>
  <c r="I71" i="3"/>
  <c r="J71" i="3"/>
  <c r="I55" i="5" l="1"/>
  <c r="I50" i="5"/>
  <c r="H55" i="5"/>
  <c r="H56" i="5" s="1"/>
  <c r="J54" i="5"/>
  <c r="J71" i="5"/>
  <c r="I54" i="5"/>
  <c r="I71" i="5"/>
  <c r="J49" i="5"/>
  <c r="J51" i="5"/>
  <c r="J69" i="5" s="1"/>
  <c r="H51" i="5"/>
  <c r="J67" i="7"/>
  <c r="J49" i="7"/>
  <c r="J51" i="7" s="1"/>
  <c r="J70" i="5"/>
  <c r="I49" i="5"/>
  <c r="I51" i="5" s="1"/>
  <c r="I70" i="5"/>
  <c r="J56" i="5"/>
  <c r="I56" i="5"/>
  <c r="J40" i="5"/>
  <c r="H51" i="7"/>
  <c r="I51" i="7"/>
  <c r="I56" i="7"/>
  <c r="H56" i="7"/>
  <c r="J54" i="7"/>
  <c r="J56" i="7" s="1"/>
  <c r="I69" i="7"/>
  <c r="H70" i="7"/>
  <c r="H69" i="7"/>
  <c r="J51" i="3"/>
  <c r="J69" i="3" s="1"/>
  <c r="I51" i="3"/>
  <c r="I56" i="3"/>
  <c r="I69" i="3"/>
  <c r="H56" i="3"/>
  <c r="H69" i="3"/>
  <c r="I69" i="5" l="1"/>
  <c r="J69" i="7"/>
  <c r="H25" i="4" l="1"/>
  <c r="I25" i="4"/>
  <c r="E67" i="4"/>
  <c r="F67" i="4"/>
  <c r="G67" i="4"/>
  <c r="H67" i="4"/>
  <c r="J67" i="4"/>
  <c r="E68" i="4"/>
  <c r="F68" i="4"/>
  <c r="G68" i="4"/>
  <c r="H68" i="4"/>
  <c r="J68" i="4"/>
  <c r="G69" i="4"/>
  <c r="E70" i="4"/>
  <c r="F70" i="4"/>
  <c r="G70" i="4"/>
  <c r="H70" i="4"/>
  <c r="I70" i="4"/>
  <c r="J70" i="4"/>
  <c r="E71" i="4"/>
  <c r="F71" i="4"/>
  <c r="G71" i="4"/>
  <c r="H71" i="4"/>
  <c r="I71" i="4"/>
  <c r="J71" i="4"/>
  <c r="C62" i="4"/>
  <c r="D62" i="4"/>
  <c r="E62" i="4"/>
  <c r="F62" i="4"/>
  <c r="G62" i="4"/>
  <c r="D63" i="4"/>
  <c r="E63" i="4"/>
  <c r="F63" i="4"/>
  <c r="G63" i="4"/>
  <c r="E64" i="4"/>
  <c r="C49" i="4"/>
  <c r="C51" i="4" s="1"/>
  <c r="D49" i="4"/>
  <c r="D51" i="4" s="1"/>
  <c r="E49" i="4"/>
  <c r="E51" i="4" s="1"/>
  <c r="E69" i="4" s="1"/>
  <c r="F49" i="4"/>
  <c r="G49" i="4"/>
  <c r="H49" i="4"/>
  <c r="I49" i="4"/>
  <c r="J49" i="4"/>
  <c r="J51" i="4" s="1"/>
  <c r="C50" i="4"/>
  <c r="D50" i="4"/>
  <c r="E50" i="4"/>
  <c r="F50" i="4"/>
  <c r="F51" i="4" s="1"/>
  <c r="G50" i="4"/>
  <c r="G51" i="4" s="1"/>
  <c r="H50" i="4"/>
  <c r="I50" i="4"/>
  <c r="J50" i="4"/>
  <c r="H51" i="4"/>
  <c r="I51" i="4"/>
  <c r="C54" i="4"/>
  <c r="D54" i="4"/>
  <c r="E54" i="4"/>
  <c r="F54" i="4"/>
  <c r="G54" i="4"/>
  <c r="C55" i="4"/>
  <c r="D55" i="4"/>
  <c r="E55" i="4"/>
  <c r="F55" i="4"/>
  <c r="G55" i="4"/>
  <c r="C37" i="4"/>
  <c r="C63" i="4" s="1"/>
  <c r="D37" i="4"/>
  <c r="E37" i="4"/>
  <c r="F37" i="4"/>
  <c r="G37" i="4"/>
  <c r="C38" i="4"/>
  <c r="D38" i="4"/>
  <c r="E38" i="4"/>
  <c r="F38" i="4"/>
  <c r="G38" i="4"/>
  <c r="G40" i="4" s="1"/>
  <c r="H38" i="4"/>
  <c r="H40" i="4" s="1"/>
  <c r="I38" i="4"/>
  <c r="I40" i="4" s="1"/>
  <c r="J38" i="4"/>
  <c r="J40" i="4" s="1"/>
  <c r="D39" i="4"/>
  <c r="E39" i="4"/>
  <c r="F39" i="4"/>
  <c r="G39" i="4"/>
  <c r="C40" i="4"/>
  <c r="D40" i="4"/>
  <c r="D64" i="4" s="1"/>
  <c r="E40" i="4"/>
  <c r="F40" i="4"/>
  <c r="F64" i="4" s="1"/>
  <c r="D25" i="4"/>
  <c r="E25" i="4"/>
  <c r="F25" i="4"/>
  <c r="G25" i="4"/>
  <c r="J25" i="4"/>
  <c r="B23" i="4"/>
  <c r="B24" i="4"/>
  <c r="B22" i="4"/>
  <c r="B21" i="4"/>
  <c r="B18" i="4"/>
  <c r="B17" i="4"/>
  <c r="B16" i="4"/>
  <c r="C39" i="4" l="1"/>
  <c r="C64" i="4" s="1"/>
  <c r="G64" i="4"/>
  <c r="J69" i="4"/>
  <c r="I69" i="4"/>
  <c r="H69" i="4"/>
  <c r="F69" i="4"/>
  <c r="G56" i="4"/>
  <c r="F56" i="4"/>
  <c r="E56" i="4"/>
  <c r="D56" i="4"/>
  <c r="C56" i="4"/>
  <c r="G21" i="7" l="1"/>
  <c r="F17" i="7"/>
  <c r="G15" i="7"/>
  <c r="F15" i="7"/>
  <c r="G68" i="3"/>
  <c r="G67" i="3"/>
  <c r="D68" i="3"/>
  <c r="D67" i="3"/>
  <c r="F62" i="6"/>
  <c r="G62" i="6"/>
  <c r="F63" i="6"/>
  <c r="G63" i="6"/>
  <c r="G64" i="6"/>
  <c r="F37" i="6"/>
  <c r="G37" i="6"/>
  <c r="F38" i="6"/>
  <c r="G38" i="6"/>
  <c r="F39" i="6"/>
  <c r="G39" i="6"/>
  <c r="G40" i="6"/>
  <c r="B21" i="6"/>
  <c r="G21" i="6"/>
  <c r="B15" i="6"/>
  <c r="G15" i="6"/>
  <c r="F15" i="6"/>
  <c r="E64" i="2"/>
  <c r="F62" i="2"/>
  <c r="G62" i="2"/>
  <c r="F63" i="2"/>
  <c r="G63" i="2"/>
  <c r="G64" i="2"/>
  <c r="F37" i="2"/>
  <c r="F39" i="2" s="1"/>
  <c r="G37" i="2"/>
  <c r="F38" i="2"/>
  <c r="G38" i="2"/>
  <c r="G39" i="2"/>
  <c r="G40" i="2"/>
  <c r="B21" i="2"/>
  <c r="B15" i="2"/>
  <c r="G62" i="1"/>
  <c r="F63" i="1"/>
  <c r="G63" i="1"/>
  <c r="G64" i="1"/>
  <c r="F37" i="1"/>
  <c r="G37" i="1"/>
  <c r="F38" i="1"/>
  <c r="G38" i="1"/>
  <c r="G39" i="1"/>
  <c r="G40" i="1"/>
  <c r="B21" i="1"/>
  <c r="B15" i="1"/>
  <c r="G17" i="5" l="1"/>
  <c r="G24" i="5"/>
  <c r="C24" i="5"/>
  <c r="F24" i="5"/>
  <c r="E24" i="5"/>
  <c r="B21" i="3" l="1"/>
  <c r="B15" i="3"/>
  <c r="B29" i="5"/>
  <c r="G67" i="5"/>
  <c r="D15" i="5" l="1"/>
  <c r="G62" i="5" l="1"/>
  <c r="G37" i="5"/>
  <c r="G39" i="5" l="1"/>
  <c r="G37" i="7" l="1"/>
  <c r="G17" i="7"/>
  <c r="D62" i="3"/>
  <c r="E62" i="3"/>
  <c r="F62" i="3"/>
  <c r="G62" i="3"/>
  <c r="D37" i="3"/>
  <c r="E37" i="3"/>
  <c r="F37" i="3"/>
  <c r="G37" i="3"/>
  <c r="G39" i="3" s="1"/>
  <c r="D38" i="3"/>
  <c r="D63" i="3" s="1"/>
  <c r="E38" i="3"/>
  <c r="E63" i="3" s="1"/>
  <c r="F38" i="3"/>
  <c r="F40" i="3" s="1"/>
  <c r="G38" i="3"/>
  <c r="G40" i="3" s="1"/>
  <c r="D39" i="3"/>
  <c r="E39" i="3"/>
  <c r="F39" i="3"/>
  <c r="E40" i="3"/>
  <c r="E64" i="3" s="1"/>
  <c r="F67" i="2"/>
  <c r="G22" i="6"/>
  <c r="G23" i="6"/>
  <c r="G24" i="6"/>
  <c r="G25" i="6"/>
  <c r="G16" i="6"/>
  <c r="G17" i="6"/>
  <c r="G71" i="6" s="1"/>
  <c r="G18" i="6"/>
  <c r="E62" i="2"/>
  <c r="E67" i="2"/>
  <c r="G67" i="2"/>
  <c r="E68" i="2"/>
  <c r="G68" i="2"/>
  <c r="E69" i="2"/>
  <c r="E70" i="2"/>
  <c r="F70" i="2"/>
  <c r="G70" i="2"/>
  <c r="E71" i="2"/>
  <c r="G71" i="2"/>
  <c r="C49" i="2"/>
  <c r="D49" i="2"/>
  <c r="E49" i="2"/>
  <c r="F49" i="2"/>
  <c r="G49" i="2"/>
  <c r="G51" i="2" s="1"/>
  <c r="C50" i="2"/>
  <c r="D50" i="2"/>
  <c r="E50" i="2"/>
  <c r="E51" i="2" s="1"/>
  <c r="F50" i="2"/>
  <c r="F51" i="2" s="1"/>
  <c r="G50" i="2"/>
  <c r="C54" i="2"/>
  <c r="D54" i="2"/>
  <c r="E54" i="2"/>
  <c r="F54" i="2"/>
  <c r="F56" i="2" s="1"/>
  <c r="G54" i="2"/>
  <c r="C55" i="2"/>
  <c r="C56" i="2" s="1"/>
  <c r="D55" i="2"/>
  <c r="E55" i="2"/>
  <c r="F55" i="2"/>
  <c r="G55" i="2"/>
  <c r="G56" i="2"/>
  <c r="C37" i="2"/>
  <c r="C39" i="2" s="1"/>
  <c r="D37" i="2"/>
  <c r="D39" i="2" s="1"/>
  <c r="E37" i="2"/>
  <c r="E39" i="2" s="1"/>
  <c r="C38" i="2"/>
  <c r="C40" i="2" s="1"/>
  <c r="D38" i="2"/>
  <c r="D40" i="2" s="1"/>
  <c r="E38" i="2"/>
  <c r="E40" i="2" s="1"/>
  <c r="B23" i="2"/>
  <c r="B24" i="2"/>
  <c r="G25" i="2"/>
  <c r="B22" i="2"/>
  <c r="B17" i="2"/>
  <c r="B18" i="2"/>
  <c r="B16" i="2"/>
  <c r="E67" i="1"/>
  <c r="G67" i="1"/>
  <c r="E68" i="1"/>
  <c r="G68" i="1"/>
  <c r="E70" i="1"/>
  <c r="G70" i="1"/>
  <c r="E71" i="1"/>
  <c r="G71" i="1"/>
  <c r="D62" i="1"/>
  <c r="E62" i="1"/>
  <c r="C62" i="1"/>
  <c r="C49" i="1"/>
  <c r="D49" i="1"/>
  <c r="E49" i="1"/>
  <c r="G49" i="1"/>
  <c r="C50" i="1"/>
  <c r="D50" i="1"/>
  <c r="D51" i="1" s="1"/>
  <c r="E50" i="1"/>
  <c r="E51" i="1" s="1"/>
  <c r="G50" i="1"/>
  <c r="G51" i="1"/>
  <c r="C54" i="1"/>
  <c r="D54" i="1"/>
  <c r="E54" i="1"/>
  <c r="F54" i="1"/>
  <c r="G54" i="1"/>
  <c r="G56" i="1" s="1"/>
  <c r="C55" i="1"/>
  <c r="D55" i="1"/>
  <c r="D56" i="1" s="1"/>
  <c r="E55" i="1"/>
  <c r="E56" i="1" s="1"/>
  <c r="F55" i="1"/>
  <c r="F56" i="1" s="1"/>
  <c r="G55" i="1"/>
  <c r="D37" i="1"/>
  <c r="D39" i="1" s="1"/>
  <c r="E37" i="1"/>
  <c r="E39" i="1" s="1"/>
  <c r="D38" i="1"/>
  <c r="E38" i="1"/>
  <c r="D40" i="1"/>
  <c r="E40" i="1"/>
  <c r="C37" i="1"/>
  <c r="C38" i="1"/>
  <c r="C63" i="1" s="1"/>
  <c r="C39" i="1"/>
  <c r="C40" i="1"/>
  <c r="C64" i="1" s="1"/>
  <c r="G25" i="1"/>
  <c r="B23" i="1"/>
  <c r="B24" i="1"/>
  <c r="B22" i="1"/>
  <c r="B18" i="1"/>
  <c r="B17" i="1"/>
  <c r="B16" i="1"/>
  <c r="C51" i="1" l="1"/>
  <c r="F64" i="3"/>
  <c r="D40" i="3"/>
  <c r="D64" i="3" s="1"/>
  <c r="G64" i="3"/>
  <c r="F63" i="3"/>
  <c r="E63" i="2"/>
  <c r="G68" i="6"/>
  <c r="G55" i="6"/>
  <c r="G54" i="6"/>
  <c r="D56" i="2"/>
  <c r="G49" i="6"/>
  <c r="G67" i="6"/>
  <c r="D51" i="2"/>
  <c r="E64" i="1"/>
  <c r="E63" i="1"/>
  <c r="D63" i="1"/>
  <c r="D64" i="1"/>
  <c r="E69" i="1"/>
  <c r="C56" i="1"/>
  <c r="G56" i="6"/>
  <c r="G69" i="2"/>
  <c r="G50" i="6"/>
  <c r="G70" i="6"/>
  <c r="G69" i="1"/>
  <c r="G51" i="6"/>
  <c r="G69" i="6" s="1"/>
  <c r="E56" i="2"/>
  <c r="C51" i="2"/>
  <c r="G63" i="3"/>
  <c r="F16" i="5" l="1"/>
  <c r="E17" i="5" l="1"/>
  <c r="D17" i="5"/>
  <c r="C17" i="5"/>
  <c r="F22" i="5" l="1"/>
  <c r="F67" i="5" s="1"/>
  <c r="F23" i="5"/>
  <c r="E16" i="5"/>
  <c r="F18" i="5"/>
  <c r="E18" i="5"/>
  <c r="D16" i="5"/>
  <c r="D18" i="5"/>
  <c r="E15" i="5"/>
  <c r="E62" i="5" s="1"/>
  <c r="F68" i="3"/>
  <c r="F67" i="3"/>
  <c r="E16" i="6"/>
  <c r="F16" i="6"/>
  <c r="C71" i="4"/>
  <c r="C70" i="4"/>
  <c r="C68" i="4"/>
  <c r="C67" i="4"/>
  <c r="F21" i="5"/>
  <c r="F37" i="5" s="1"/>
  <c r="E21" i="5"/>
  <c r="E37" i="5" s="1"/>
  <c r="E39" i="5" s="1"/>
  <c r="D21" i="5"/>
  <c r="D37" i="5" s="1"/>
  <c r="D62" i="5"/>
  <c r="C16" i="5"/>
  <c r="C15" i="5"/>
  <c r="B16" i="5" l="1"/>
  <c r="G38" i="5"/>
  <c r="G68" i="5"/>
  <c r="F25" i="5"/>
  <c r="F38" i="5"/>
  <c r="F68" i="5"/>
  <c r="F62" i="5"/>
  <c r="F39" i="5"/>
  <c r="G55" i="5"/>
  <c r="G50" i="5"/>
  <c r="F70" i="5"/>
  <c r="F55" i="5"/>
  <c r="G25" i="5"/>
  <c r="F50" i="5"/>
  <c r="G71" i="5"/>
  <c r="G54" i="5"/>
  <c r="G49" i="5"/>
  <c r="G70" i="5"/>
  <c r="F71" i="5"/>
  <c r="F54" i="5"/>
  <c r="F49" i="5"/>
  <c r="E54" i="5"/>
  <c r="E49" i="5"/>
  <c r="C62" i="5"/>
  <c r="C49" i="5"/>
  <c r="D54" i="5"/>
  <c r="D49" i="5"/>
  <c r="B15" i="5"/>
  <c r="D39" i="5"/>
  <c r="F40" i="5" l="1"/>
  <c r="F64" i="5" s="1"/>
  <c r="F63" i="5"/>
  <c r="G40" i="5"/>
  <c r="G64" i="5" s="1"/>
  <c r="G63" i="5"/>
  <c r="G51" i="5"/>
  <c r="G69" i="5" s="1"/>
  <c r="G56" i="5"/>
  <c r="F56" i="5"/>
  <c r="F51" i="5"/>
  <c r="F69" i="5" s="1"/>
  <c r="D67" i="4" l="1"/>
  <c r="D68" i="4"/>
  <c r="D70" i="4"/>
  <c r="D71" i="4"/>
  <c r="B15" i="4"/>
  <c r="C69" i="4" l="1"/>
  <c r="D69" i="4"/>
  <c r="F21" i="7" l="1"/>
  <c r="F37" i="7" s="1"/>
  <c r="F22" i="7"/>
  <c r="G22" i="7"/>
  <c r="F23" i="7"/>
  <c r="G23" i="7"/>
  <c r="F24" i="7"/>
  <c r="G24" i="7"/>
  <c r="E21" i="7"/>
  <c r="E37" i="7" s="1"/>
  <c r="E22" i="7"/>
  <c r="E23" i="7"/>
  <c r="E38" i="7" s="1"/>
  <c r="E24" i="7"/>
  <c r="D21" i="7"/>
  <c r="D37" i="7" s="1"/>
  <c r="D22" i="7"/>
  <c r="D23" i="7"/>
  <c r="D24" i="7"/>
  <c r="F18" i="7"/>
  <c r="F54" i="7" s="1"/>
  <c r="G18" i="7"/>
  <c r="F62" i="7"/>
  <c r="F16" i="7"/>
  <c r="F49" i="7" s="1"/>
  <c r="F70" i="3"/>
  <c r="G70" i="3"/>
  <c r="F71" i="3"/>
  <c r="G71" i="3"/>
  <c r="D70" i="3"/>
  <c r="D71" i="3"/>
  <c r="C62" i="3"/>
  <c r="C37" i="3"/>
  <c r="C39" i="3" s="1"/>
  <c r="C38" i="3"/>
  <c r="C40" i="3" s="1"/>
  <c r="C49" i="3"/>
  <c r="D49" i="3"/>
  <c r="E49" i="3"/>
  <c r="F49" i="3"/>
  <c r="G49" i="3"/>
  <c r="C50" i="3"/>
  <c r="D50" i="3"/>
  <c r="E50" i="3"/>
  <c r="F50" i="3"/>
  <c r="G50" i="3"/>
  <c r="C54" i="3"/>
  <c r="D54" i="3"/>
  <c r="E54" i="3"/>
  <c r="F54" i="3"/>
  <c r="G54" i="3"/>
  <c r="C55" i="3"/>
  <c r="D55" i="3"/>
  <c r="E55" i="3"/>
  <c r="F55" i="3"/>
  <c r="G55" i="3"/>
  <c r="E56" i="3"/>
  <c r="F25" i="3"/>
  <c r="G25" i="3"/>
  <c r="F21" i="6"/>
  <c r="F22" i="6"/>
  <c r="F23" i="6"/>
  <c r="F24" i="6"/>
  <c r="F18" i="6"/>
  <c r="F17" i="6"/>
  <c r="C71" i="2"/>
  <c r="C70" i="2"/>
  <c r="C68" i="2"/>
  <c r="C67" i="2"/>
  <c r="D67" i="2"/>
  <c r="D68" i="2"/>
  <c r="D70" i="2"/>
  <c r="D71" i="2"/>
  <c r="C62" i="2"/>
  <c r="D62" i="2"/>
  <c r="D64" i="2"/>
  <c r="F25" i="2"/>
  <c r="C71" i="1"/>
  <c r="C70" i="1"/>
  <c r="C68" i="1"/>
  <c r="C67" i="1"/>
  <c r="D67" i="1"/>
  <c r="D68" i="1"/>
  <c r="D70" i="1"/>
  <c r="D71" i="1"/>
  <c r="F25" i="1"/>
  <c r="C64" i="3" l="1"/>
  <c r="D56" i="3"/>
  <c r="G67" i="7"/>
  <c r="F39" i="7"/>
  <c r="D38" i="7"/>
  <c r="D63" i="7" s="1"/>
  <c r="F54" i="6"/>
  <c r="F49" i="6"/>
  <c r="E63" i="7"/>
  <c r="F50" i="6"/>
  <c r="F55" i="6"/>
  <c r="F25" i="7"/>
  <c r="F38" i="7"/>
  <c r="F67" i="6"/>
  <c r="F70" i="6"/>
  <c r="G25" i="7"/>
  <c r="G68" i="7"/>
  <c r="G38" i="7"/>
  <c r="G62" i="7"/>
  <c r="G39" i="7"/>
  <c r="C51" i="3"/>
  <c r="C56" i="3"/>
  <c r="E51" i="3"/>
  <c r="F51" i="3"/>
  <c r="F69" i="3" s="1"/>
  <c r="G56" i="3"/>
  <c r="G70" i="7"/>
  <c r="F56" i="3"/>
  <c r="F67" i="7"/>
  <c r="G51" i="3"/>
  <c r="G69" i="3" s="1"/>
  <c r="G49" i="7"/>
  <c r="D51" i="3"/>
  <c r="D69" i="3" s="1"/>
  <c r="G54" i="7"/>
  <c r="C63" i="3"/>
  <c r="E25" i="7"/>
  <c r="C64" i="2"/>
  <c r="G71" i="7"/>
  <c r="D63" i="2"/>
  <c r="C69" i="2"/>
  <c r="C63" i="2"/>
  <c r="D69" i="2"/>
  <c r="D25" i="7"/>
  <c r="G55" i="7"/>
  <c r="F70" i="7"/>
  <c r="F25" i="6"/>
  <c r="G50" i="7"/>
  <c r="D69" i="1"/>
  <c r="F68" i="7"/>
  <c r="F50" i="7"/>
  <c r="F51" i="7" s="1"/>
  <c r="F55" i="7"/>
  <c r="F56" i="7" s="1"/>
  <c r="E50" i="7"/>
  <c r="E55" i="7"/>
  <c r="D50" i="7"/>
  <c r="C69" i="1"/>
  <c r="D55" i="7"/>
  <c r="F71" i="7"/>
  <c r="E16" i="7"/>
  <c r="E70" i="7" s="1"/>
  <c r="G51" i="7" l="1"/>
  <c r="G69" i="7" s="1"/>
  <c r="F40" i="7"/>
  <c r="F64" i="7" s="1"/>
  <c r="F63" i="7"/>
  <c r="G40" i="7"/>
  <c r="G64" i="7" s="1"/>
  <c r="G63" i="7"/>
  <c r="F51" i="6"/>
  <c r="F56" i="6"/>
  <c r="G56" i="7"/>
  <c r="E67" i="7"/>
  <c r="F69" i="7"/>
  <c r="C71" i="3"/>
  <c r="C70" i="3"/>
  <c r="C68" i="3"/>
  <c r="C67" i="3"/>
  <c r="C25" i="4" l="1"/>
  <c r="B25" i="4" s="1"/>
  <c r="E67" i="3" l="1"/>
  <c r="E68" i="3"/>
  <c r="E70" i="3"/>
  <c r="E71" i="3"/>
  <c r="E69" i="3" l="1"/>
  <c r="C69" i="3"/>
  <c r="D25" i="3"/>
  <c r="E25" i="3"/>
  <c r="C25" i="3"/>
  <c r="D25" i="2" l="1"/>
  <c r="E25" i="2"/>
  <c r="C25" i="2"/>
  <c r="B25" i="2" s="1"/>
  <c r="D25" i="1"/>
  <c r="E25" i="1"/>
  <c r="C25" i="1"/>
  <c r="B25" i="1" l="1"/>
  <c r="C17" i="7"/>
  <c r="B17" i="7" s="1"/>
  <c r="C16" i="7"/>
  <c r="C15" i="7"/>
  <c r="C17" i="6"/>
  <c r="C16" i="6"/>
  <c r="C15" i="6"/>
  <c r="C49" i="6" l="1"/>
  <c r="C62" i="6"/>
  <c r="C49" i="7"/>
  <c r="C62" i="7"/>
  <c r="B71" i="4"/>
  <c r="B68" i="4"/>
  <c r="B37" i="4"/>
  <c r="B71" i="2" l="1"/>
  <c r="B68" i="2"/>
  <c r="B71" i="1" l="1"/>
  <c r="B68" i="1"/>
  <c r="B70" i="1"/>
  <c r="B67" i="1"/>
  <c r="B75" i="1"/>
  <c r="B59" i="1"/>
  <c r="B54" i="4" l="1"/>
  <c r="B54" i="2"/>
  <c r="B54" i="3"/>
  <c r="D16" i="7" l="1"/>
  <c r="B16" i="7" s="1"/>
  <c r="D15" i="7"/>
  <c r="E15" i="7"/>
  <c r="E39" i="7" s="1"/>
  <c r="B15" i="7" l="1"/>
  <c r="D67" i="7"/>
  <c r="D70" i="7"/>
  <c r="D39" i="7"/>
  <c r="B28" i="4"/>
  <c r="B54" i="1"/>
  <c r="B70" i="4" l="1"/>
  <c r="B67" i="4"/>
  <c r="B70" i="2" l="1"/>
  <c r="B67" i="2"/>
  <c r="B71" i="3"/>
  <c r="B68" i="3"/>
  <c r="B70" i="3"/>
  <c r="B67" i="3"/>
  <c r="E18" i="7" l="1"/>
  <c r="D18" i="7"/>
  <c r="C18" i="7"/>
  <c r="D17" i="7"/>
  <c r="E17" i="7"/>
  <c r="E62" i="7" l="1"/>
  <c r="E40" i="7"/>
  <c r="E64" i="7" s="1"/>
  <c r="D71" i="7"/>
  <c r="D68" i="7"/>
  <c r="C54" i="7"/>
  <c r="E54" i="7"/>
  <c r="E56" i="7" s="1"/>
  <c r="E71" i="7"/>
  <c r="E49" i="7"/>
  <c r="E51" i="7" s="1"/>
  <c r="E68" i="7"/>
  <c r="D54" i="7"/>
  <c r="D56" i="7" s="1"/>
  <c r="D49" i="7"/>
  <c r="D51" i="7" s="1"/>
  <c r="D62" i="7"/>
  <c r="D40" i="7"/>
  <c r="D64" i="7" s="1"/>
  <c r="C18" i="5"/>
  <c r="B18" i="5" s="1"/>
  <c r="E69" i="7" l="1"/>
  <c r="D69" i="7"/>
  <c r="C54" i="5"/>
  <c r="B54" i="7"/>
  <c r="B28" i="3"/>
  <c r="E17" i="6"/>
  <c r="E15" i="6"/>
  <c r="D17" i="6"/>
  <c r="B17" i="6" s="1"/>
  <c r="D16" i="6"/>
  <c r="B16" i="6" s="1"/>
  <c r="D15" i="6"/>
  <c r="D18" i="6"/>
  <c r="E18" i="6"/>
  <c r="C18" i="6"/>
  <c r="B18" i="6" l="1"/>
  <c r="E54" i="6"/>
  <c r="E62" i="6"/>
  <c r="E49" i="6"/>
  <c r="C54" i="6"/>
  <c r="D49" i="6"/>
  <c r="D54" i="6"/>
  <c r="D62" i="6"/>
  <c r="B54" i="6"/>
  <c r="C22" i="5" l="1"/>
  <c r="E22" i="5"/>
  <c r="C23" i="5"/>
  <c r="D23" i="5"/>
  <c r="D68" i="5" s="1"/>
  <c r="E23" i="5"/>
  <c r="C21" i="5"/>
  <c r="D24" i="5"/>
  <c r="B24" i="5" s="1"/>
  <c r="C24" i="7"/>
  <c r="C24" i="6"/>
  <c r="D24" i="6"/>
  <c r="E24" i="6"/>
  <c r="B24" i="6" l="1"/>
  <c r="E38" i="5"/>
  <c r="E68" i="5"/>
  <c r="C67" i="5"/>
  <c r="E67" i="5"/>
  <c r="D38" i="5"/>
  <c r="D63" i="5" s="1"/>
  <c r="E50" i="5"/>
  <c r="E51" i="5" s="1"/>
  <c r="E71" i="5"/>
  <c r="E55" i="5"/>
  <c r="E56" i="5" s="1"/>
  <c r="C55" i="5"/>
  <c r="C56" i="5" s="1"/>
  <c r="B75" i="5"/>
  <c r="C50" i="5"/>
  <c r="C51" i="5" s="1"/>
  <c r="C38" i="5"/>
  <c r="C37" i="5"/>
  <c r="C39" i="5" s="1"/>
  <c r="B21" i="5"/>
  <c r="D55" i="5"/>
  <c r="D56" i="5" s="1"/>
  <c r="E70" i="5"/>
  <c r="C71" i="5"/>
  <c r="C68" i="5"/>
  <c r="C70" i="5"/>
  <c r="D71" i="5"/>
  <c r="E25" i="5"/>
  <c r="D25" i="5"/>
  <c r="C25" i="5"/>
  <c r="B25" i="5" s="1"/>
  <c r="C22" i="7"/>
  <c r="C23" i="7"/>
  <c r="C21" i="7"/>
  <c r="B21" i="7" s="1"/>
  <c r="C22" i="6"/>
  <c r="E22" i="6"/>
  <c r="C23" i="6"/>
  <c r="D23" i="6"/>
  <c r="E23" i="6"/>
  <c r="C21" i="6"/>
  <c r="C37" i="6" s="1"/>
  <c r="C39" i="6" s="1"/>
  <c r="D21" i="6"/>
  <c r="D37" i="6" s="1"/>
  <c r="D39" i="6" s="1"/>
  <c r="E21" i="6"/>
  <c r="E37" i="6" s="1"/>
  <c r="E39" i="6" s="1"/>
  <c r="D22" i="5"/>
  <c r="D67" i="5" s="1"/>
  <c r="B59" i="5" l="1"/>
  <c r="E68" i="6"/>
  <c r="E38" i="6"/>
  <c r="E71" i="6"/>
  <c r="B23" i="6"/>
  <c r="E40" i="5"/>
  <c r="E64" i="5" s="1"/>
  <c r="E63" i="5"/>
  <c r="E55" i="6"/>
  <c r="E56" i="6" s="1"/>
  <c r="E67" i="6"/>
  <c r="E70" i="6"/>
  <c r="E50" i="6"/>
  <c r="E51" i="6" s="1"/>
  <c r="D71" i="6"/>
  <c r="D55" i="6"/>
  <c r="D56" i="6" s="1"/>
  <c r="D38" i="6"/>
  <c r="D68" i="6"/>
  <c r="C68" i="6"/>
  <c r="C38" i="6"/>
  <c r="C50" i="6"/>
  <c r="C51" i="6" s="1"/>
  <c r="C55" i="6"/>
  <c r="C56" i="6" s="1"/>
  <c r="C71" i="6"/>
  <c r="C67" i="6"/>
  <c r="C70" i="6"/>
  <c r="C37" i="7"/>
  <c r="C39" i="7" s="1"/>
  <c r="C50" i="7"/>
  <c r="C51" i="7" s="1"/>
  <c r="C55" i="7"/>
  <c r="C56" i="7" s="1"/>
  <c r="C38" i="7"/>
  <c r="E69" i="5"/>
  <c r="D50" i="5"/>
  <c r="D51" i="5" s="1"/>
  <c r="D69" i="5" s="1"/>
  <c r="D40" i="5"/>
  <c r="D64" i="5" s="1"/>
  <c r="C63" i="5"/>
  <c r="C40" i="5"/>
  <c r="C64" i="5" s="1"/>
  <c r="D70" i="5"/>
  <c r="C69" i="5"/>
  <c r="C71" i="7"/>
  <c r="C68" i="7"/>
  <c r="C70" i="7"/>
  <c r="C67" i="7"/>
  <c r="B68" i="5"/>
  <c r="B71" i="5"/>
  <c r="D25" i="6"/>
  <c r="E25" i="6"/>
  <c r="C25" i="6"/>
  <c r="B25" i="6" s="1"/>
  <c r="C25" i="7"/>
  <c r="B28" i="2"/>
  <c r="D22" i="6"/>
  <c r="B22" i="6" s="1"/>
  <c r="B28" i="1"/>
  <c r="E40" i="6" l="1"/>
  <c r="E64" i="6" s="1"/>
  <c r="E63" i="6"/>
  <c r="D50" i="6"/>
  <c r="D51" i="6" s="1"/>
  <c r="E69" i="6"/>
  <c r="C63" i="6"/>
  <c r="C40" i="6"/>
  <c r="C64" i="6" s="1"/>
  <c r="C69" i="6"/>
  <c r="D67" i="6"/>
  <c r="D70" i="6"/>
  <c r="C40" i="7"/>
  <c r="C64" i="7" s="1"/>
  <c r="C63" i="7"/>
  <c r="D40" i="6"/>
  <c r="D64" i="6" s="1"/>
  <c r="D63" i="6"/>
  <c r="B28" i="5"/>
  <c r="B74" i="5" s="1"/>
  <c r="B67" i="5"/>
  <c r="B70" i="5"/>
  <c r="B68" i="7"/>
  <c r="B71" i="7"/>
  <c r="B68" i="6"/>
  <c r="B71" i="6"/>
  <c r="D69" i="6" l="1"/>
  <c r="B67" i="7"/>
  <c r="B70" i="7"/>
  <c r="B70" i="6"/>
  <c r="B67" i="6"/>
  <c r="B29" i="7"/>
  <c r="B28" i="7"/>
  <c r="B29" i="6"/>
  <c r="B28" i="6"/>
  <c r="B74" i="1" l="1"/>
  <c r="B37" i="6" l="1"/>
  <c r="B74" i="6"/>
  <c r="B37" i="7" l="1"/>
  <c r="B74" i="7"/>
  <c r="B37" i="5" l="1"/>
  <c r="B74" i="4"/>
  <c r="B37" i="3"/>
  <c r="B74" i="3"/>
  <c r="B37" i="2"/>
  <c r="B74" i="2"/>
  <c r="B37" i="1"/>
  <c r="B62" i="3" l="1"/>
  <c r="B49" i="3"/>
  <c r="B39" i="6"/>
  <c r="B39" i="7"/>
  <c r="B39" i="5"/>
  <c r="B39" i="1"/>
  <c r="B50" i="2"/>
  <c r="B75" i="2"/>
  <c r="B55" i="2"/>
  <c r="B59" i="2"/>
  <c r="B55" i="4"/>
  <c r="B56" i="4" s="1"/>
  <c r="B50" i="4"/>
  <c r="B75" i="4"/>
  <c r="B49" i="2"/>
  <c r="B62" i="2"/>
  <c r="B55" i="3"/>
  <c r="B50" i="3"/>
  <c r="B75" i="3"/>
  <c r="B62" i="4"/>
  <c r="B49" i="4"/>
  <c r="B39" i="4"/>
  <c r="B39" i="3"/>
  <c r="B39" i="2"/>
  <c r="B38" i="5"/>
  <c r="B50" i="5"/>
  <c r="B55" i="5"/>
  <c r="B59" i="4"/>
  <c r="B38" i="4"/>
  <c r="B63" i="4" s="1"/>
  <c r="B59" i="3"/>
  <c r="B38" i="3"/>
  <c r="B63" i="3" s="1"/>
  <c r="B38" i="2"/>
  <c r="B63" i="2" s="1"/>
  <c r="B38" i="1"/>
  <c r="B50" i="1"/>
  <c r="B55" i="1"/>
  <c r="B51" i="4" l="1"/>
  <c r="B69" i="4" s="1"/>
  <c r="B51" i="2"/>
  <c r="B69" i="2" s="1"/>
  <c r="C69" i="7"/>
  <c r="B56" i="3"/>
  <c r="B56" i="2"/>
  <c r="B51" i="3"/>
  <c r="B69" i="3" s="1"/>
  <c r="B75" i="6"/>
  <c r="B59" i="6"/>
  <c r="B50" i="6"/>
  <c r="B55" i="6"/>
  <c r="B38" i="6"/>
  <c r="B75" i="7"/>
  <c r="B55" i="7"/>
  <c r="B38" i="7"/>
  <c r="B50" i="7"/>
  <c r="B59" i="7"/>
  <c r="B63" i="5"/>
  <c r="B40" i="5"/>
  <c r="B64" i="5" s="1"/>
  <c r="B40" i="4"/>
  <c r="B64" i="4" s="1"/>
  <c r="B40" i="3"/>
  <c r="B64" i="3" s="1"/>
  <c r="B40" i="2"/>
  <c r="B64" i="2" s="1"/>
  <c r="B63" i="1"/>
  <c r="B40" i="1"/>
  <c r="B64" i="1" s="1"/>
  <c r="B49" i="1"/>
  <c r="B51" i="1" s="1"/>
  <c r="B69" i="1" s="1"/>
  <c r="B62" i="1"/>
  <c r="B56" i="1"/>
  <c r="B62" i="5" l="1"/>
  <c r="B54" i="5"/>
  <c r="B56" i="5" s="1"/>
  <c r="B49" i="5"/>
  <c r="B51" i="5" s="1"/>
  <c r="B69" i="5" s="1"/>
  <c r="B40" i="7"/>
  <c r="B64" i="7" s="1"/>
  <c r="B63" i="7"/>
  <c r="B49" i="6"/>
  <c r="B51" i="6" s="1"/>
  <c r="B69" i="6" s="1"/>
  <c r="B62" i="6"/>
  <c r="B56" i="6"/>
  <c r="B63" i="6"/>
  <c r="B40" i="6"/>
  <c r="B64" i="6" s="1"/>
  <c r="B49" i="7"/>
  <c r="B51" i="7" s="1"/>
  <c r="B69" i="7" s="1"/>
  <c r="B56" i="7"/>
  <c r="B62" i="7"/>
</calcChain>
</file>

<file path=xl/sharedStrings.xml><?xml version="1.0" encoding="utf-8"?>
<sst xmlns="http://schemas.openxmlformats.org/spreadsheetml/2006/main" count="665" uniqueCount="128">
  <si>
    <t>Indicador</t>
  </si>
  <si>
    <t>Total programa</t>
  </si>
  <si>
    <t>Productos</t>
  </si>
  <si>
    <t>Insumos</t>
  </si>
  <si>
    <t xml:space="preserve">Beneficiarios </t>
  </si>
  <si>
    <t>Gasto FODESAF</t>
  </si>
  <si>
    <t>Ingresos FODESAF</t>
  </si>
  <si>
    <t>Otros insumos</t>
  </si>
  <si>
    <t>Población objetivo</t>
  </si>
  <si>
    <t>Cálculos intermedios</t>
  </si>
  <si>
    <t>Indicadores</t>
  </si>
  <si>
    <t>De Cobertura Potencial</t>
  </si>
  <si>
    <t>Cobertura Programada</t>
  </si>
  <si>
    <t>Cobertura Efectiva</t>
  </si>
  <si>
    <t>De resultado</t>
  </si>
  <si>
    <t>Índice efectividad en beneficiarios (IEB)</t>
  </si>
  <si>
    <t xml:space="preserve">Índice efectividad en gasto (IEG) </t>
  </si>
  <si>
    <t>Índice efectividad total (IET)</t>
  </si>
  <si>
    <t xml:space="preserve">De avance </t>
  </si>
  <si>
    <t xml:space="preserve">Índice avance beneficiarios (IAB) </t>
  </si>
  <si>
    <t>Índice avance gasto (IAG)</t>
  </si>
  <si>
    <t xml:space="preserve">Índice avance total (IAT) </t>
  </si>
  <si>
    <t>Índice transferencia efectiva del gasto (ITG)</t>
  </si>
  <si>
    <t>De expansión</t>
  </si>
  <si>
    <t xml:space="preserve">Índice de crecimiento beneficiarios (ICB) </t>
  </si>
  <si>
    <t xml:space="preserve">Índice de crecimiento del gasto real (ICGR) </t>
  </si>
  <si>
    <t xml:space="preserve">Índice de crecimiento del gasto real por beneficiario (ICGRB) </t>
  </si>
  <si>
    <t>De gasto medio</t>
  </si>
  <si>
    <t xml:space="preserve">Índice de eficiencia (IE) </t>
  </si>
  <si>
    <t>De giro de recursos</t>
  </si>
  <si>
    <t>Índice de giro efectivo (IGE)</t>
  </si>
  <si>
    <t xml:space="preserve">Índice de uso de recursos (IUR) </t>
  </si>
  <si>
    <t>De Composición</t>
  </si>
  <si>
    <t xml:space="preserve">Gasto programado mensual por beneficiario (GPB) </t>
  </si>
  <si>
    <t xml:space="preserve">Gasto efectivo mensual por beneficiario (GEB) </t>
  </si>
  <si>
    <t>n.a.</t>
  </si>
  <si>
    <t>n.d.</t>
  </si>
  <si>
    <t xml:space="preserve">Gasto programado anual por beneficiario (GPB) </t>
  </si>
  <si>
    <t xml:space="preserve">Gasto efectivo anual por beneficiario (GEB) </t>
  </si>
  <si>
    <t>Atención de 
denuncias</t>
  </si>
  <si>
    <t xml:space="preserve">Gasto mensual programado por beneficiario (GPB) </t>
  </si>
  <si>
    <t xml:space="preserve">Gasto mensual efectivo por beneficiario (GEB) </t>
  </si>
  <si>
    <t xml:space="preserve">Gasto trimestral programado por beneficiario (GPB) </t>
  </si>
  <si>
    <t xml:space="preserve">Gasto trimestral efectivo por beneficiario (GEB) </t>
  </si>
  <si>
    <t xml:space="preserve">Gasto semestral programado por beneficiario (GPB) </t>
  </si>
  <si>
    <t xml:space="preserve">Gasto semestral efectivo por beneficiario (GEB) </t>
  </si>
  <si>
    <t xml:space="preserve">Gasto acumulado programado por beneficiario (GPB) </t>
  </si>
  <si>
    <t xml:space="preserve">Gasto acumulado efectivo por beneficiario (GEB) </t>
  </si>
  <si>
    <t>Centros de Atención Infantil-
Guarderías</t>
  </si>
  <si>
    <t>Protección y Apoyo  a los niños, niñas y adolescentes en los Albergues PANI</t>
  </si>
  <si>
    <t xml:space="preserve"> Fondo de la Niñez y Adolescencia  "Proyectos Fondo de la Niñez y Adolescencia"</t>
  </si>
  <si>
    <t>Protección y Apoyo  a los niños, niñas y adolescentes en ONG Residenciales</t>
  </si>
  <si>
    <t>Efectivos 1T 2023</t>
  </si>
  <si>
    <t>IPC (1T 2023)</t>
  </si>
  <si>
    <t>Gasto efectivo real 1T 2023</t>
  </si>
  <si>
    <t>Gasto efectivo real por beneficiario 1T 2023</t>
  </si>
  <si>
    <t>Efectivos 2T 2023</t>
  </si>
  <si>
    <t>IPC (2T 2023)</t>
  </si>
  <si>
    <t>Gasto efectivo real 2T 2023</t>
  </si>
  <si>
    <t>Gasto efectivo real por beneficiario 2T 2023</t>
  </si>
  <si>
    <t>Efectivos 1S 2023</t>
  </si>
  <si>
    <t>IPC (1S 2023)</t>
  </si>
  <si>
    <t>Gasto efectivo real 1S 2023</t>
  </si>
  <si>
    <t>Gasto efectivo real por beneficiario 1S 2023</t>
  </si>
  <si>
    <t>Efectivos 3T 2023</t>
  </si>
  <si>
    <t>IPC (3T 2023)</t>
  </si>
  <si>
    <t>Gasto efectivo real 3T 2023</t>
  </si>
  <si>
    <t>Gasto efectivo real por beneficiario 3T 2023</t>
  </si>
  <si>
    <t>Efectivos 3TA 2023</t>
  </si>
  <si>
    <t>IPC (3TA 2023)</t>
  </si>
  <si>
    <t>Gasto efectivo real 3TA 2023</t>
  </si>
  <si>
    <t>Gasto efectivo real por beneficiario 3TA 2023</t>
  </si>
  <si>
    <t>Efectivos 4T 2023</t>
  </si>
  <si>
    <t>IPC (4T 2023)</t>
  </si>
  <si>
    <t>Gasto efectivo real 4T 2023</t>
  </si>
  <si>
    <t>Gasto efectivo real por beneficiario 4T 2023</t>
  </si>
  <si>
    <t>Efectivos 2023</t>
  </si>
  <si>
    <t>IPC (2023)</t>
  </si>
  <si>
    <t>Gasto efectivo real  2023</t>
  </si>
  <si>
    <t>Gasto efectivo real por beneficiario  2023</t>
  </si>
  <si>
    <t>Programados 1T 2024</t>
  </si>
  <si>
    <t>Efectivos 1T 2024</t>
  </si>
  <si>
    <t>Programados año 2024</t>
  </si>
  <si>
    <t>En transferencias 1T 2024</t>
  </si>
  <si>
    <t>IPC (1T 2024)</t>
  </si>
  <si>
    <t>Gasto efectivo real 1T 2024</t>
  </si>
  <si>
    <t>Gasto efectivo real por beneficiario 1T 2024</t>
  </si>
  <si>
    <r>
      <rPr>
        <b/>
        <sz val="11"/>
        <color theme="1"/>
        <rFont val="Palatino Linotype"/>
        <family val="1"/>
      </rPr>
      <t xml:space="preserve">Fuentes: </t>
    </r>
    <r>
      <rPr>
        <sz val="11"/>
        <color theme="1"/>
        <rFont val="Palatino Linotype"/>
        <family val="1"/>
      </rPr>
      <t>Informes Trimestrales PANI 2023 y 2024 - Cronogramas de Metas e Inversión - Modificaciones 2024 - IPC, INEC 2023 y 2024</t>
    </r>
  </si>
  <si>
    <r>
      <rPr>
        <b/>
        <sz val="11"/>
        <color theme="1"/>
        <rFont val="Palatino Linotype"/>
        <family val="1"/>
      </rPr>
      <t>Nota:</t>
    </r>
    <r>
      <rPr>
        <sz val="11"/>
        <color theme="1"/>
        <rFont val="Palatino Linotype"/>
        <family val="1"/>
      </rPr>
      <t xml:space="preserve"> El dato de los beneficiarios efectivos que fue reportado para el I T se modificó por parte de la UE del programa, esto debido a que se presentó un problema y los que se habían remitido no eran los correctos, se remitió una nota explicando las razones del cambio que se realizó.  </t>
    </r>
  </si>
  <si>
    <t>Programados 2T 2024</t>
  </si>
  <si>
    <t>Efectivos 2T 2024</t>
  </si>
  <si>
    <t>En transferencias 2T 2024</t>
  </si>
  <si>
    <t>IPC (2T 2024)</t>
  </si>
  <si>
    <t>Gasto efectivo real 2T 2024</t>
  </si>
  <si>
    <t>Gasto efectivo real por beneficiario 2T 2024</t>
  </si>
  <si>
    <t>Programados 1S 2024</t>
  </si>
  <si>
    <t>Efectivos 1S 2024</t>
  </si>
  <si>
    <t>En transferencias 1S 2024</t>
  </si>
  <si>
    <t>IPC (1S 2024)</t>
  </si>
  <si>
    <t>Gasto efectivo real 1S 2024</t>
  </si>
  <si>
    <t>Gasto efectivo real por beneficiario 1S 2024</t>
  </si>
  <si>
    <t>Programados 3T 2024</t>
  </si>
  <si>
    <t>Efectivos 3T 2024</t>
  </si>
  <si>
    <t>En transferencias 3T 2024</t>
  </si>
  <si>
    <t>IPC (3T 2024)</t>
  </si>
  <si>
    <t>Gasto efectivo real 3T 2024</t>
  </si>
  <si>
    <t>Gasto efectivo real por beneficiario 3T 2024</t>
  </si>
  <si>
    <t>Programados 3TA 2024</t>
  </si>
  <si>
    <t>Efectivos 3TA 2024</t>
  </si>
  <si>
    <t>En transferencias 3TA 2024</t>
  </si>
  <si>
    <t>IPC (3TA 2024)</t>
  </si>
  <si>
    <t>Gasto efectivo real 3TA 2024</t>
  </si>
  <si>
    <t>Gasto efectivo real por beneficiario 3TA 2024</t>
  </si>
  <si>
    <t xml:space="preserve">Becas Adolescente Madre </t>
  </si>
  <si>
    <t xml:space="preserve">Acogimiento 
Familiar </t>
  </si>
  <si>
    <t>Acceso a los servicios especializados en Salud y abordaje psicosocial de NNA bajo protección Especial en las instalaciones de la Fundación Hogar Manos Abiertas</t>
  </si>
  <si>
    <t>Programados 4T 2024</t>
  </si>
  <si>
    <t>Efectivos 4T 2024</t>
  </si>
  <si>
    <t>En transferencias 4T 2024</t>
  </si>
  <si>
    <t>IPC (4T 2024)</t>
  </si>
  <si>
    <t>Gasto efectivo real 4T 2024</t>
  </si>
  <si>
    <t>Gasto efectivo real por beneficiario 4T 2024</t>
  </si>
  <si>
    <t>Programados 2024</t>
  </si>
  <si>
    <t>Efectivos 2024</t>
  </si>
  <si>
    <t>En transferencias 2024</t>
  </si>
  <si>
    <t>IPC (2024)</t>
  </si>
  <si>
    <t>Gasto efectivo real  2024</t>
  </si>
  <si>
    <t>Gasto efectivo real por beneficiario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</si>
</sst>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#,##0.0____"/>
    <numFmt numFmtId="166" formatCode="0.0000"/>
    <numFmt numFmtId="167" formatCode="_(* #,##0.0000_);_(* \(#,##0.00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 Light"/>
      <family val="2"/>
    </font>
    <font>
      <b/>
      <sz val="11"/>
      <color theme="1"/>
      <name val="Calibri Light"/>
      <family val="2"/>
    </font>
    <font>
      <b/>
      <sz val="11"/>
      <color theme="1"/>
      <name val="Palatino Linotype"/>
      <family val="1"/>
    </font>
    <font>
      <sz val="11"/>
      <color theme="1"/>
      <name val="Palatino Linotype"/>
      <family val="1"/>
    </font>
    <font>
      <sz val="11"/>
      <color theme="1"/>
      <name val="Latino lino"/>
    </font>
    <font>
      <sz val="10"/>
      <color theme="1"/>
      <name val="Palatino Linotype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Font="1" applyFill="1"/>
    <xf numFmtId="0" fontId="4" fillId="0" borderId="0" xfId="0" applyFont="1" applyFill="1" applyAlignment="1">
      <alignment vertical="center"/>
    </xf>
    <xf numFmtId="0" fontId="3" fillId="0" borderId="0" xfId="0" applyFont="1" applyFill="1"/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/>
    <xf numFmtId="0" fontId="6" fillId="0" borderId="0" xfId="0" applyFont="1" applyFill="1"/>
    <xf numFmtId="0" fontId="6" fillId="0" borderId="0" xfId="0" applyFont="1" applyFill="1" applyAlignment="1">
      <alignment horizontal="left" indent="1"/>
    </xf>
    <xf numFmtId="3" fontId="6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left"/>
    </xf>
    <xf numFmtId="4" fontId="6" fillId="0" borderId="0" xfId="0" applyNumberFormat="1" applyFont="1" applyFill="1" applyAlignment="1">
      <alignment horizontal="right"/>
    </xf>
    <xf numFmtId="2" fontId="6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left" indent="1"/>
    </xf>
    <xf numFmtId="0" fontId="6" fillId="0" borderId="0" xfId="0" applyFont="1" applyFill="1" applyAlignment="1">
      <alignment horizontal="right"/>
    </xf>
    <xf numFmtId="3" fontId="6" fillId="0" borderId="0" xfId="1" applyNumberFormat="1" applyFont="1" applyFill="1" applyAlignment="1">
      <alignment horizontal="right"/>
    </xf>
    <xf numFmtId="0" fontId="6" fillId="0" borderId="3" xfId="0" applyFont="1" applyFill="1" applyBorder="1"/>
    <xf numFmtId="166" fontId="6" fillId="0" borderId="0" xfId="0" applyNumberFormat="1" applyFont="1" applyFill="1" applyAlignment="1">
      <alignment horizontal="right"/>
    </xf>
    <xf numFmtId="165" fontId="6" fillId="0" borderId="0" xfId="0" applyNumberFormat="1" applyFont="1" applyFill="1" applyAlignment="1">
      <alignment horizontal="right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left" indent="1"/>
    </xf>
    <xf numFmtId="0" fontId="5" fillId="0" borderId="0" xfId="0" applyFont="1" applyAlignment="1">
      <alignment horizontal="left"/>
    </xf>
    <xf numFmtId="0" fontId="3" fillId="0" borderId="0" xfId="0" applyFont="1"/>
    <xf numFmtId="0" fontId="2" fillId="0" borderId="0" xfId="0" applyFont="1"/>
    <xf numFmtId="0" fontId="5" fillId="0" borderId="4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right"/>
    </xf>
    <xf numFmtId="164" fontId="6" fillId="0" borderId="0" xfId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0" fontId="6" fillId="0" borderId="3" xfId="0" applyFont="1" applyBorder="1"/>
    <xf numFmtId="164" fontId="6" fillId="0" borderId="0" xfId="1" applyFont="1" applyFill="1" applyAlignment="1">
      <alignment horizontal="right"/>
    </xf>
    <xf numFmtId="167" fontId="6" fillId="0" borderId="0" xfId="0" applyNumberFormat="1" applyFont="1" applyAlignment="1">
      <alignment horizontal="right"/>
    </xf>
    <xf numFmtId="166" fontId="6" fillId="0" borderId="0" xfId="0" applyNumberFormat="1" applyFont="1" applyAlignment="1">
      <alignment horizontal="right"/>
    </xf>
    <xf numFmtId="0" fontId="7" fillId="0" borderId="0" xfId="0" applyFont="1" applyFill="1"/>
    <xf numFmtId="3" fontId="8" fillId="0" borderId="0" xfId="1" applyNumberFormat="1" applyFont="1" applyFill="1" applyBorder="1" applyAlignment="1">
      <alignment horizontal="right" vertical="center" wrapText="1"/>
    </xf>
    <xf numFmtId="3" fontId="6" fillId="0" borderId="0" xfId="0" applyNumberFormat="1" applyFont="1" applyFill="1"/>
    <xf numFmtId="167" fontId="6" fillId="0" borderId="0" xfId="0" applyNumberFormat="1" applyFont="1" applyFill="1" applyAlignment="1">
      <alignment horizontal="right"/>
    </xf>
    <xf numFmtId="4" fontId="6" fillId="0" borderId="0" xfId="0" applyNumberFormat="1" applyFont="1" applyFill="1"/>
    <xf numFmtId="3" fontId="5" fillId="0" borderId="0" xfId="0" applyNumberFormat="1" applyFont="1" applyAlignment="1">
      <alignment horizontal="right"/>
    </xf>
    <xf numFmtId="0" fontId="0" fillId="0" borderId="0" xfId="0" applyFont="1" applyFill="1" applyAlignment="1">
      <alignment horizontal="right"/>
    </xf>
    <xf numFmtId="3" fontId="5" fillId="0" borderId="0" xfId="0" applyNumberFormat="1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6" fillId="0" borderId="5" xfId="0" applyFont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C1C5C8"/>
      <color rgb="FF192952"/>
      <color rgb="FF0035A0"/>
      <color rgb="FFA2BFE6"/>
      <color rgb="FF4071B9"/>
      <color rgb="FF102D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s-CR" sz="1800">
                <a:latin typeface="Palatino Linotype" panose="02040502050505030304" pitchFamily="18" charset="0"/>
              </a:rPr>
              <a:t>PANI: Indicadores de resultado 2024</a:t>
            </a:r>
          </a:p>
        </c:rich>
      </c:tx>
      <c:layout>
        <c:manualLayout>
          <c:xMode val="edge"/>
          <c:yMode val="edge"/>
          <c:x val="0.3687655538243772"/>
          <c:y val="4.16668238325903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0"/>
      <c:rotY val="0"/>
      <c:rAngAx val="0"/>
      <c:perspective val="1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Anual!$A$49</c:f>
              <c:strCache>
                <c:ptCount val="1"/>
                <c:pt idx="0">
                  <c:v>Índice efectividad en beneficiarios (IEB)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rgbClr val="192952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(Anual!$B$9,Anual!$C$10,Anual!$D$10,Anual!$E$10,Anual!$F$10,Anual!$G$10,Anual!$H$10,Anual!$I$10,Anual!$J$10)</c:f>
              <c:strCache>
                <c:ptCount val="9"/>
                <c:pt idx="0">
                  <c:v>Total programa</c:v>
                </c:pt>
                <c:pt idx="1">
                  <c:v>Atención de 
denuncias</c:v>
                </c:pt>
                <c:pt idx="2">
                  <c:v>Centros de Atención Infantil-
Guarderías</c:v>
                </c:pt>
                <c:pt idx="3">
                  <c:v>Protección y Apoyo  a los niños, niñas y adolescentes en los Albergues PANI</c:v>
                </c:pt>
                <c:pt idx="4">
                  <c:v> Fondo de la Niñez y Adolescencia  "Proyectos Fondo de la Niñez y Adolescencia"</c:v>
                </c:pt>
                <c:pt idx="5">
                  <c:v>Protección y Apoyo  a los niños, niñas y adolescentes en ONG Residenciales</c:v>
                </c:pt>
                <c:pt idx="6">
                  <c:v>Becas Adolescente Madre </c:v>
                </c:pt>
                <c:pt idx="7">
                  <c:v>Acogimiento 
Familiar </c:v>
                </c:pt>
                <c:pt idx="8">
                  <c:v>Acceso a los servicios especializados en Salud y abordaje psicosocial de NNA bajo protección Especial en las instalaciones de la Fundación Hogar Manos Abiertas</c:v>
                </c:pt>
              </c:strCache>
            </c:strRef>
          </c:cat>
          <c:val>
            <c:numRef>
              <c:f>Anual!$B$49:$J$49</c:f>
              <c:numCache>
                <c:formatCode>#,##0.00</c:formatCode>
                <c:ptCount val="9"/>
                <c:pt idx="0">
                  <c:v>94.449724698479287</c:v>
                </c:pt>
                <c:pt idx="1">
                  <c:v>98.95967395967395</c:v>
                </c:pt>
                <c:pt idx="2">
                  <c:v>94.560632688927953</c:v>
                </c:pt>
                <c:pt idx="3">
                  <c:v>96.204620462046208</c:v>
                </c:pt>
                <c:pt idx="4">
                  <c:v>18.352713178294572</c:v>
                </c:pt>
                <c:pt idx="5">
                  <c:v>99.4320528707146</c:v>
                </c:pt>
                <c:pt idx="6">
                  <c:v>98.931045859452325</c:v>
                </c:pt>
                <c:pt idx="7">
                  <c:v>78.494073901928886</c:v>
                </c:pt>
                <c:pt idx="8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FF-496E-976F-6D352FFDCED0}"/>
            </c:ext>
          </c:extLst>
        </c:ser>
        <c:ser>
          <c:idx val="1"/>
          <c:order val="1"/>
          <c:tx>
            <c:strRef>
              <c:f>Anual!$A$50</c:f>
              <c:strCache>
                <c:ptCount val="1"/>
                <c:pt idx="0">
                  <c:v>Índice efectividad en gasto (IEG) 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rgbClr val="0035A0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(Anual!$B$9,Anual!$C$10,Anual!$D$10,Anual!$E$10,Anual!$F$10,Anual!$G$10,Anual!$H$10,Anual!$I$10,Anual!$J$10)</c:f>
              <c:strCache>
                <c:ptCount val="9"/>
                <c:pt idx="0">
                  <c:v>Total programa</c:v>
                </c:pt>
                <c:pt idx="1">
                  <c:v>Atención de 
denuncias</c:v>
                </c:pt>
                <c:pt idx="2">
                  <c:v>Centros de Atención Infantil-
Guarderías</c:v>
                </c:pt>
                <c:pt idx="3">
                  <c:v>Protección y Apoyo  a los niños, niñas y adolescentes en los Albergues PANI</c:v>
                </c:pt>
                <c:pt idx="4">
                  <c:v> Fondo de la Niñez y Adolescencia  "Proyectos Fondo de la Niñez y Adolescencia"</c:v>
                </c:pt>
                <c:pt idx="5">
                  <c:v>Protección y Apoyo  a los niños, niñas y adolescentes en ONG Residenciales</c:v>
                </c:pt>
                <c:pt idx="6">
                  <c:v>Becas Adolescente Madre </c:v>
                </c:pt>
                <c:pt idx="7">
                  <c:v>Acogimiento 
Familiar </c:v>
                </c:pt>
                <c:pt idx="8">
                  <c:v>Acceso a los servicios especializados en Salud y abordaje psicosocial de NNA bajo protección Especial en las instalaciones de la Fundación Hogar Manos Abiertas</c:v>
                </c:pt>
              </c:strCache>
            </c:strRef>
          </c:cat>
          <c:val>
            <c:numRef>
              <c:f>Anual!$B$50:$J$50</c:f>
              <c:numCache>
                <c:formatCode>#,##0.00</c:formatCode>
                <c:ptCount val="9"/>
                <c:pt idx="0">
                  <c:v>94.33736424420745</c:v>
                </c:pt>
                <c:pt idx="1">
                  <c:v>92.535075993275655</c:v>
                </c:pt>
                <c:pt idx="2">
                  <c:v>96.963832281368994</c:v>
                </c:pt>
                <c:pt idx="3">
                  <c:v>87.550056774171011</c:v>
                </c:pt>
                <c:pt idx="4">
                  <c:v>91.466430399099153</c:v>
                </c:pt>
                <c:pt idx="5">
                  <c:v>99.863283867980414</c:v>
                </c:pt>
                <c:pt idx="6">
                  <c:v>81.588518627740086</c:v>
                </c:pt>
                <c:pt idx="7">
                  <c:v>99.895721323228344</c:v>
                </c:pt>
                <c:pt idx="8">
                  <c:v>86.390970988938065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FF-496E-976F-6D352FFDCED0}"/>
            </c:ext>
          </c:extLst>
        </c:ser>
        <c:ser>
          <c:idx val="2"/>
          <c:order val="2"/>
          <c:tx>
            <c:strRef>
              <c:f>Anual!$A$51</c:f>
              <c:strCache>
                <c:ptCount val="1"/>
                <c:pt idx="0">
                  <c:v>Índice efectividad total (IET)</c:v>
                </c:pt>
              </c:strCache>
            </c:strRef>
          </c:tx>
          <c:spPr>
            <a:solidFill>
              <a:srgbClr val="C1C5C8"/>
            </a:solidFill>
            <a:ln>
              <a:solidFill>
                <a:srgbClr val="C1C5C8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rgbClr val="C1C5C8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(Anual!$B$9,Anual!$C$10,Anual!$D$10,Anual!$E$10,Anual!$F$10,Anual!$G$10,Anual!$H$10,Anual!$I$10,Anual!$J$10)</c:f>
              <c:strCache>
                <c:ptCount val="9"/>
                <c:pt idx="0">
                  <c:v>Total programa</c:v>
                </c:pt>
                <c:pt idx="1">
                  <c:v>Atención de 
denuncias</c:v>
                </c:pt>
                <c:pt idx="2">
                  <c:v>Centros de Atención Infantil-
Guarderías</c:v>
                </c:pt>
                <c:pt idx="3">
                  <c:v>Protección y Apoyo  a los niños, niñas y adolescentes en los Albergues PANI</c:v>
                </c:pt>
                <c:pt idx="4">
                  <c:v> Fondo de la Niñez y Adolescencia  "Proyectos Fondo de la Niñez y Adolescencia"</c:v>
                </c:pt>
                <c:pt idx="5">
                  <c:v>Protección y Apoyo  a los niños, niñas y adolescentes en ONG Residenciales</c:v>
                </c:pt>
                <c:pt idx="6">
                  <c:v>Becas Adolescente Madre </c:v>
                </c:pt>
                <c:pt idx="7">
                  <c:v>Acogimiento 
Familiar </c:v>
                </c:pt>
                <c:pt idx="8">
                  <c:v>Acceso a los servicios especializados en Salud y abordaje psicosocial de NNA bajo protección Especial en las instalaciones de la Fundación Hogar Manos Abiertas</c:v>
                </c:pt>
              </c:strCache>
            </c:strRef>
          </c:cat>
          <c:val>
            <c:numRef>
              <c:f>Anual!$B$51:$J$51</c:f>
              <c:numCache>
                <c:formatCode>#,##0.00</c:formatCode>
                <c:ptCount val="9"/>
                <c:pt idx="0">
                  <c:v>94.393544471343375</c:v>
                </c:pt>
                <c:pt idx="1">
                  <c:v>95.747374976474802</c:v>
                </c:pt>
                <c:pt idx="2">
                  <c:v>95.762232485148473</c:v>
                </c:pt>
                <c:pt idx="3">
                  <c:v>91.87733861810861</c:v>
                </c:pt>
                <c:pt idx="4">
                  <c:v>54.909571788696866</c:v>
                </c:pt>
                <c:pt idx="5">
                  <c:v>99.647668369347514</c:v>
                </c:pt>
                <c:pt idx="6">
                  <c:v>90.259782243596206</c:v>
                </c:pt>
                <c:pt idx="7">
                  <c:v>89.194897612578615</c:v>
                </c:pt>
                <c:pt idx="8">
                  <c:v>93.19548549446904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FF-496E-976F-6D352FFDCED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shape val="box"/>
        <c:axId val="246423776"/>
        <c:axId val="246424168"/>
        <c:axId val="0"/>
      </c:bar3DChart>
      <c:catAx>
        <c:axId val="2464237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246424168"/>
        <c:crosses val="autoZero"/>
        <c:auto val="1"/>
        <c:lblAlgn val="ctr"/>
        <c:lblOffset val="100"/>
        <c:noMultiLvlLbl val="0"/>
      </c:catAx>
      <c:valAx>
        <c:axId val="246424168"/>
        <c:scaling>
          <c:orientation val="minMax"/>
          <c:max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246423776"/>
        <c:crosses val="autoZero"/>
        <c:crossBetween val="between"/>
        <c:majorUnit val="3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1000"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s-CR" sz="1800"/>
              <a:t>PANI: Indicadores de expansión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0"/>
      <c:rotY val="0"/>
      <c:rAngAx val="0"/>
      <c:perspective val="1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9888155147305843E-2"/>
          <c:y val="0.10791078043627116"/>
          <c:w val="0.94760325807050083"/>
          <c:h val="0.5953328280378250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Anual!$A$62</c:f>
              <c:strCache>
                <c:ptCount val="1"/>
                <c:pt idx="0">
                  <c:v>Índice de crecimiento beneficiarios (ICB)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rgbClr val="192952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(Anual!$B$9,Anual!$C$10,Anual!$D$10,Anual!$E$10,Anual!$F$10,Anual!$G$10)</c:f>
              <c:strCache>
                <c:ptCount val="6"/>
                <c:pt idx="0">
                  <c:v>Total programa</c:v>
                </c:pt>
                <c:pt idx="1">
                  <c:v>Atención de 
denuncias</c:v>
                </c:pt>
                <c:pt idx="2">
                  <c:v>Centros de Atención Infantil-
Guarderías</c:v>
                </c:pt>
                <c:pt idx="3">
                  <c:v>Protección y Apoyo  a los niños, niñas y adolescentes en los Albergues PANI</c:v>
                </c:pt>
                <c:pt idx="4">
                  <c:v> Fondo de la Niñez y Adolescencia  "Proyectos Fondo de la Niñez y Adolescencia"</c:v>
                </c:pt>
                <c:pt idx="5">
                  <c:v>Protección y Apoyo  a los niños, niñas y adolescentes en ONG Residenciales</c:v>
                </c:pt>
              </c:strCache>
            </c:strRef>
          </c:cat>
          <c:val>
            <c:numRef>
              <c:f>(Anual!$B$62,Anual!$C$62,Anual!$D$62,Anual!$E$62,Anual!$F$62,Anual!$G$62)</c:f>
              <c:numCache>
                <c:formatCode>#,##0.00</c:formatCode>
                <c:ptCount val="6"/>
                <c:pt idx="0">
                  <c:v>7.6312634370581334</c:v>
                </c:pt>
                <c:pt idx="1">
                  <c:v>1.8516985401661357</c:v>
                </c:pt>
                <c:pt idx="2">
                  <c:v>-0.92224592201574085</c:v>
                </c:pt>
                <c:pt idx="3">
                  <c:v>-9.1428571428571423</c:v>
                </c:pt>
                <c:pt idx="4">
                  <c:v>-33.768504487702536</c:v>
                </c:pt>
                <c:pt idx="5">
                  <c:v>-30.042138913106655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D5-4135-8F0A-F233885B319E}"/>
            </c:ext>
          </c:extLst>
        </c:ser>
        <c:ser>
          <c:idx val="1"/>
          <c:order val="1"/>
          <c:tx>
            <c:strRef>
              <c:f>Anual!$A$63</c:f>
              <c:strCache>
                <c:ptCount val="1"/>
                <c:pt idx="0">
                  <c:v>Índice de crecimiento del gasto real (ICGR) 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rgbClr val="0035A0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(Anual!$B$9,Anual!$C$10,Anual!$D$10,Anual!$E$10,Anual!$F$10,Anual!$G$10)</c:f>
              <c:strCache>
                <c:ptCount val="6"/>
                <c:pt idx="0">
                  <c:v>Total programa</c:v>
                </c:pt>
                <c:pt idx="1">
                  <c:v>Atención de 
denuncias</c:v>
                </c:pt>
                <c:pt idx="2">
                  <c:v>Centros de Atención Infantil-
Guarderías</c:v>
                </c:pt>
                <c:pt idx="3">
                  <c:v>Protección y Apoyo  a los niños, niñas y adolescentes en los Albergues PANI</c:v>
                </c:pt>
                <c:pt idx="4">
                  <c:v> Fondo de la Niñez y Adolescencia  "Proyectos Fondo de la Niñez y Adolescencia"</c:v>
                </c:pt>
                <c:pt idx="5">
                  <c:v>Protección y Apoyo  a los niños, niñas y adolescentes en ONG Residenciales</c:v>
                </c:pt>
              </c:strCache>
            </c:strRef>
          </c:cat>
          <c:val>
            <c:numRef>
              <c:f>(Anual!$B$63,Anual!$C$63,Anual!$D$63,Anual!$E$63,Anual!$F$63,Anual!$G$63)</c:f>
              <c:numCache>
                <c:formatCode>#,##0.00</c:formatCode>
                <c:ptCount val="6"/>
                <c:pt idx="0">
                  <c:v>14.298384833842936</c:v>
                </c:pt>
                <c:pt idx="1">
                  <c:v>15.357360511700646</c:v>
                </c:pt>
                <c:pt idx="2">
                  <c:v>-16.674183836253455</c:v>
                </c:pt>
                <c:pt idx="3">
                  <c:v>8.3346023820467074</c:v>
                </c:pt>
                <c:pt idx="4">
                  <c:v>3.6967479072921972</c:v>
                </c:pt>
                <c:pt idx="5">
                  <c:v>-14.173712826488028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D5-4135-8F0A-F233885B319E}"/>
            </c:ext>
          </c:extLst>
        </c:ser>
        <c:ser>
          <c:idx val="2"/>
          <c:order val="2"/>
          <c:tx>
            <c:strRef>
              <c:f>Anual!$A$64</c:f>
              <c:strCache>
                <c:ptCount val="1"/>
                <c:pt idx="0">
                  <c:v>Índice de crecimiento del gasto real por beneficiario (ICGRB) </c:v>
                </c:pt>
              </c:strCache>
            </c:strRef>
          </c:tx>
          <c:spPr>
            <a:solidFill>
              <a:srgbClr val="C1C5C8"/>
            </a:solidFill>
            <a:ln>
              <a:solidFill>
                <a:srgbClr val="C1C5C8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rgbClr val="C1C5C8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(Anual!$B$9,Anual!$C$10,Anual!$D$10,Anual!$E$10,Anual!$F$10,Anual!$G$10)</c:f>
              <c:strCache>
                <c:ptCount val="6"/>
                <c:pt idx="0">
                  <c:v>Total programa</c:v>
                </c:pt>
                <c:pt idx="1">
                  <c:v>Atención de 
denuncias</c:v>
                </c:pt>
                <c:pt idx="2">
                  <c:v>Centros de Atención Infantil-
Guarderías</c:v>
                </c:pt>
                <c:pt idx="3">
                  <c:v>Protección y Apoyo  a los niños, niñas y adolescentes en los Albergues PANI</c:v>
                </c:pt>
                <c:pt idx="4">
                  <c:v> Fondo de la Niñez y Adolescencia  "Proyectos Fondo de la Niñez y Adolescencia"</c:v>
                </c:pt>
                <c:pt idx="5">
                  <c:v>Protección y Apoyo  a los niños, niñas y adolescentes en ONG Residenciales</c:v>
                </c:pt>
              </c:strCache>
            </c:strRef>
          </c:cat>
          <c:val>
            <c:numRef>
              <c:f>(Anual!$B$64,Anual!$C$64,Anual!$D$64,Anual!$E$64,Anual!$F$64,Anual!$G$64)</c:f>
              <c:numCache>
                <c:formatCode>#,##0.00</c:formatCode>
                <c:ptCount val="6"/>
                <c:pt idx="0">
                  <c:v>6.1944096760359058</c:v>
                </c:pt>
                <c:pt idx="1">
                  <c:v>13.260124440839306</c:v>
                </c:pt>
                <c:pt idx="2">
                  <c:v>-15.898561751651474</c:v>
                </c:pt>
                <c:pt idx="3">
                  <c:v>19.23619759030295</c:v>
                </c:pt>
                <c:pt idx="4">
                  <c:v>56.567124304234405</c:v>
                </c:pt>
                <c:pt idx="5">
                  <c:v>22.682834838115973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D5-4135-8F0A-F233885B319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shape val="box"/>
        <c:axId val="246424952"/>
        <c:axId val="246425344"/>
        <c:axId val="0"/>
      </c:bar3DChart>
      <c:catAx>
        <c:axId val="2464249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246425344"/>
        <c:crosses val="autoZero"/>
        <c:auto val="1"/>
        <c:lblAlgn val="ctr"/>
        <c:lblOffset val="100"/>
        <c:noMultiLvlLbl val="0"/>
      </c:catAx>
      <c:valAx>
        <c:axId val="246425344"/>
        <c:scaling>
          <c:orientation val="minMax"/>
          <c:max val="100"/>
          <c:min val="-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246424952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8058369572042056E-3"/>
          <c:y val="0.87942290387428113"/>
          <c:w val="0.98401307085931444"/>
          <c:h val="0.102589463685283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s-CR" sz="1800" b="1"/>
              <a:t>PANI: Indicadores de giro de recursos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Anual!$B$9</c:f>
              <c:strCache>
                <c:ptCount val="1"/>
                <c:pt idx="0">
                  <c:v>Total programa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35A0"/>
              </a:solidFill>
              <a:ln w="19050">
                <a:solidFill>
                  <a:srgbClr val="0035A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EDF-4F5A-AC88-8C4483AF6676}"/>
              </c:ext>
            </c:extLst>
          </c:dPt>
          <c:dPt>
            <c:idx val="1"/>
            <c:invertIfNegative val="0"/>
            <c:bubble3D val="0"/>
            <c:spPr>
              <a:solidFill>
                <a:srgbClr val="192952"/>
              </a:solidFill>
              <a:ln w="19050">
                <a:solidFill>
                  <a:srgbClr val="19295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EDF-4F5A-AC88-8C4483AF667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Anual!$A$74:$A$75</c:f>
              <c:strCache>
                <c:ptCount val="2"/>
                <c:pt idx="0">
                  <c:v>Índice de giro efectivo (IGE)</c:v>
                </c:pt>
                <c:pt idx="1">
                  <c:v>Índice de uso de recursos (IUR) </c:v>
                </c:pt>
              </c:strCache>
            </c:strRef>
          </c:cat>
          <c:val>
            <c:numRef>
              <c:f>Anual!$B$74:$B$75</c:f>
              <c:numCache>
                <c:formatCode>#,##0.00</c:formatCode>
                <c:ptCount val="2"/>
                <c:pt idx="0">
                  <c:v>97.644187748873463</c:v>
                </c:pt>
                <c:pt idx="1">
                  <c:v>96.613394426332192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2B-4B03-A2DA-CEF033901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90335600"/>
        <c:axId val="490335928"/>
      </c:barChart>
      <c:valAx>
        <c:axId val="490335928"/>
        <c:scaling>
          <c:orientation val="minMax"/>
          <c:max val="12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490335600"/>
        <c:crosses val="autoZero"/>
        <c:crossBetween val="between"/>
        <c:majorUnit val="20"/>
      </c:valAx>
      <c:catAx>
        <c:axId val="4903356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903359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 rtl="0">
              <a:defRPr/>
            </a:pPr>
            <a:r>
              <a:rPr lang="en-US"/>
              <a:t>PANI: Índice de eficiencia (IE) 2024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2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Anual!$A$69</c:f>
              <c:strCache>
                <c:ptCount val="1"/>
                <c:pt idx="0">
                  <c:v>Índice de eficiencia (IE)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(Anual!$B$9,Anual!$C$10,Anual!$D$10,Anual!$E$10,Anual!$F$10,Anual!$G$10,Anual!$H$10,Anual!$I$10,Anual!$J$10)</c:f>
              <c:strCache>
                <c:ptCount val="9"/>
                <c:pt idx="0">
                  <c:v>Total programa</c:v>
                </c:pt>
                <c:pt idx="1">
                  <c:v>Atención de 
denuncias</c:v>
                </c:pt>
                <c:pt idx="2">
                  <c:v>Centros de Atención Infantil-
Guarderías</c:v>
                </c:pt>
                <c:pt idx="3">
                  <c:v>Protección y Apoyo  a los niños, niñas y adolescentes en los Albergues PANI</c:v>
                </c:pt>
                <c:pt idx="4">
                  <c:v> Fondo de la Niñez y Adolescencia  "Proyectos Fondo de la Niñez y Adolescencia"</c:v>
                </c:pt>
                <c:pt idx="5">
                  <c:v>Protección y Apoyo  a los niños, niñas y adolescentes en ONG Residenciales</c:v>
                </c:pt>
                <c:pt idx="6">
                  <c:v>Becas Adolescente Madre </c:v>
                </c:pt>
                <c:pt idx="7">
                  <c:v>Acogimiento 
Familiar </c:v>
                </c:pt>
                <c:pt idx="8">
                  <c:v>Acceso a los servicios especializados en Salud y abordaje psicosocial de NNA bajo protección Especial en las instalaciones de la Fundación Hogar Manos Abiertas</c:v>
                </c:pt>
              </c:strCache>
            </c:strRef>
          </c:cat>
          <c:val>
            <c:numRef>
              <c:f>Anual!$B$69:$J$69</c:f>
              <c:numCache>
                <c:formatCode>#,##0.00</c:formatCode>
                <c:ptCount val="9"/>
                <c:pt idx="0">
                  <c:v>94.281250850890956</c:v>
                </c:pt>
                <c:pt idx="1">
                  <c:v>89.531323872542259</c:v>
                </c:pt>
                <c:pt idx="2">
                  <c:v>98.195969988117824</c:v>
                </c:pt>
                <c:pt idx="3">
                  <c:v>83.61205702639343</c:v>
                </c:pt>
                <c:pt idx="4">
                  <c:v>273.65885781918405</c:v>
                </c:pt>
                <c:pt idx="5">
                  <c:v>100.07983447841903</c:v>
                </c:pt>
                <c:pt idx="6">
                  <c:v>74.437320064112185</c:v>
                </c:pt>
                <c:pt idx="7">
                  <c:v>113.51415708773759</c:v>
                </c:pt>
                <c:pt idx="8">
                  <c:v>80.512484836526724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2D-458E-9F88-533C057E21D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20"/>
        <c:gapDepth val="0"/>
        <c:shape val="box"/>
        <c:axId val="248352616"/>
        <c:axId val="248353008"/>
        <c:axId val="0"/>
      </c:bar3DChart>
      <c:catAx>
        <c:axId val="248352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248353008"/>
        <c:crosses val="autoZero"/>
        <c:auto val="1"/>
        <c:lblAlgn val="ctr"/>
        <c:lblOffset val="100"/>
        <c:noMultiLvlLbl val="0"/>
      </c:catAx>
      <c:valAx>
        <c:axId val="248353008"/>
        <c:scaling>
          <c:orientation val="minMax"/>
          <c:max val="4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248352616"/>
        <c:crosses val="autoZero"/>
        <c:crossBetween val="between"/>
        <c:majorUnit val="100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 rtl="0">
              <a:defRPr/>
            </a:pPr>
            <a:r>
              <a:rPr lang="es-CR"/>
              <a:t>PANI: Indicadores de gasto medio 2024</a:t>
            </a:r>
          </a:p>
        </c:rich>
      </c:tx>
      <c:layout>
        <c:manualLayout>
          <c:xMode val="edge"/>
          <c:yMode val="edge"/>
          <c:x val="0.27473551453679707"/>
          <c:y val="2.334913996568411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Anual!$A$70</c:f>
              <c:strCache>
                <c:ptCount val="1"/>
                <c:pt idx="0">
                  <c:v>Gasto programado anual por beneficiario (GPB)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(Anual!$B$9,Anual!$C$10,Anual!$D$10,Anual!$E$10,Anual!$F$10,Anual!$G$10,Anual!$H$10,Anual!$I$10,Anual!$J$10)</c:f>
              <c:strCache>
                <c:ptCount val="9"/>
                <c:pt idx="0">
                  <c:v>Total programa</c:v>
                </c:pt>
                <c:pt idx="1">
                  <c:v>Atención de 
denuncias</c:v>
                </c:pt>
                <c:pt idx="2">
                  <c:v>Centros de Atención Infantil-
Guarderías</c:v>
                </c:pt>
                <c:pt idx="3">
                  <c:v>Protección y Apoyo  a los niños, niñas y adolescentes en los Albergues PANI</c:v>
                </c:pt>
                <c:pt idx="4">
                  <c:v> Fondo de la Niñez y Adolescencia  "Proyectos Fondo de la Niñez y Adolescencia"</c:v>
                </c:pt>
                <c:pt idx="5">
                  <c:v>Protección y Apoyo  a los niños, niñas y adolescentes en ONG Residenciales</c:v>
                </c:pt>
                <c:pt idx="6">
                  <c:v>Becas Adolescente Madre </c:v>
                </c:pt>
                <c:pt idx="7">
                  <c:v>Acogimiento 
Familiar </c:v>
                </c:pt>
                <c:pt idx="8">
                  <c:v>Acceso a los servicios especializados en Salud y abordaje psicosocial de NNA bajo protección Especial en las instalaciones de la Fundación Hogar Manos Abiertas</c:v>
                </c:pt>
              </c:strCache>
            </c:strRef>
          </c:cat>
          <c:val>
            <c:numRef>
              <c:f>Anual!$B$70:$J$70</c:f>
              <c:numCache>
                <c:formatCode>#,##0.00</c:formatCode>
                <c:ptCount val="9"/>
                <c:pt idx="0">
                  <c:v>412948.13328723126</c:v>
                </c:pt>
                <c:pt idx="1">
                  <c:v>2164837.9578442546</c:v>
                </c:pt>
                <c:pt idx="2">
                  <c:v>1492944.2724926677</c:v>
                </c:pt>
                <c:pt idx="3">
                  <c:v>10267736.141592303</c:v>
                </c:pt>
                <c:pt idx="4">
                  <c:v>162267.54302295411</c:v>
                </c:pt>
                <c:pt idx="5">
                  <c:v>8000247.704542012</c:v>
                </c:pt>
                <c:pt idx="6">
                  <c:v>805516.33124381397</c:v>
                </c:pt>
                <c:pt idx="7">
                  <c:v>541628.66174854757</c:v>
                </c:pt>
                <c:pt idx="8">
                  <c:v>28749067.560802143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5E-4D58-8C04-DFDAF3735ACC}"/>
            </c:ext>
          </c:extLst>
        </c:ser>
        <c:ser>
          <c:idx val="1"/>
          <c:order val="1"/>
          <c:tx>
            <c:strRef>
              <c:f>Anual!$A$71</c:f>
              <c:strCache>
                <c:ptCount val="1"/>
                <c:pt idx="0">
                  <c:v>Gasto efectivo anual por beneficiario (GEB) 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(Anual!$B$9,Anual!$C$10,Anual!$D$10,Anual!$E$10,Anual!$F$10,Anual!$G$10,Anual!$H$10,Anual!$I$10,Anual!$J$10)</c:f>
              <c:strCache>
                <c:ptCount val="9"/>
                <c:pt idx="0">
                  <c:v>Total programa</c:v>
                </c:pt>
                <c:pt idx="1">
                  <c:v>Atención de 
denuncias</c:v>
                </c:pt>
                <c:pt idx="2">
                  <c:v>Centros de Atención Infantil-
Guarderías</c:v>
                </c:pt>
                <c:pt idx="3">
                  <c:v>Protección y Apoyo  a los niños, niñas y adolescentes en los Albergues PANI</c:v>
                </c:pt>
                <c:pt idx="4">
                  <c:v> Fondo de la Niñez y Adolescencia  "Proyectos Fondo de la Niñez y Adolescencia"</c:v>
                </c:pt>
                <c:pt idx="5">
                  <c:v>Protección y Apoyo  a los niños, niñas y adolescentes en ONG Residenciales</c:v>
                </c:pt>
                <c:pt idx="6">
                  <c:v>Becas Adolescente Madre </c:v>
                </c:pt>
                <c:pt idx="7">
                  <c:v>Acogimiento 
Familiar </c:v>
                </c:pt>
                <c:pt idx="8">
                  <c:v>Acceso a los servicios especializados en Salud y abordaje psicosocial de NNA bajo protección Especial en las instalaciones de la Fundación Hogar Manos Abiertas</c:v>
                </c:pt>
              </c:strCache>
            </c:strRef>
          </c:cat>
          <c:val>
            <c:numRef>
              <c:f>Anual!$B$71:$J$71</c:f>
              <c:numCache>
                <c:formatCode>#,##0.00</c:formatCode>
                <c:ptCount val="9"/>
                <c:pt idx="0">
                  <c:v>412456.87680136028</c:v>
                </c:pt>
                <c:pt idx="1">
                  <c:v>2024293.7039574073</c:v>
                </c:pt>
                <c:pt idx="2">
                  <c:v>1530886.521451538</c:v>
                </c:pt>
                <c:pt idx="3">
                  <c:v>9344051.021886792</c:v>
                </c:pt>
                <c:pt idx="4">
                  <c:v>808710.55880147836</c:v>
                </c:pt>
                <c:pt idx="5">
                  <c:v>8034944.3108817106</c:v>
                </c:pt>
                <c:pt idx="6">
                  <c:v>664310.01133862475</c:v>
                </c:pt>
                <c:pt idx="7">
                  <c:v>689305.35981999047</c:v>
                </c:pt>
                <c:pt idx="8">
                  <c:v>24836598.616042785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5E-4D58-8C04-DFDAF3735A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8353792"/>
        <c:axId val="248354184"/>
        <c:axId val="0"/>
      </c:bar3DChart>
      <c:catAx>
        <c:axId val="248353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248354184"/>
        <c:crosses val="autoZero"/>
        <c:auto val="1"/>
        <c:lblAlgn val="ctr"/>
        <c:lblOffset val="100"/>
        <c:noMultiLvlLbl val="0"/>
      </c:catAx>
      <c:valAx>
        <c:axId val="248354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248353792"/>
        <c:crosses val="autoZero"/>
        <c:crossBetween val="between"/>
        <c:majorUnit val="10000000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n-US" sz="1800"/>
              <a:t>PANI: Indicadores de avance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0"/>
      <c:rotY val="0"/>
      <c:rAngAx val="0"/>
      <c:perspective val="1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6609831225317887E-2"/>
          <c:y val="0.1258629772405033"/>
          <c:w val="0.93684363131235004"/>
          <c:h val="0.5636474776110216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Anual!$A$54</c:f>
              <c:strCache>
                <c:ptCount val="1"/>
                <c:pt idx="0">
                  <c:v>Índice avance beneficiarios (IAB)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rgbClr val="192952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(Anual!$B$9,Anual!$C$10,Anual!$D$10,Anual!$E$10,Anual!$F$10,Anual!$G$10,Anual!$H$10,Anual!$I$10,Anual!$J$10)</c:f>
              <c:strCache>
                <c:ptCount val="9"/>
                <c:pt idx="0">
                  <c:v>Total programa</c:v>
                </c:pt>
                <c:pt idx="1">
                  <c:v>Atención de 
denuncias</c:v>
                </c:pt>
                <c:pt idx="2">
                  <c:v>Centros de Atención Infantil-
Guarderías</c:v>
                </c:pt>
                <c:pt idx="3">
                  <c:v>Protección y Apoyo  a los niños, niñas y adolescentes en los Albergues PANI</c:v>
                </c:pt>
                <c:pt idx="4">
                  <c:v> Fondo de la Niñez y Adolescencia  "Proyectos Fondo de la Niñez y Adolescencia"</c:v>
                </c:pt>
                <c:pt idx="5">
                  <c:v>Protección y Apoyo  a los niños, niñas y adolescentes en ONG Residenciales</c:v>
                </c:pt>
                <c:pt idx="6">
                  <c:v>Becas Adolescente Madre </c:v>
                </c:pt>
                <c:pt idx="7">
                  <c:v>Acogimiento 
Familiar </c:v>
                </c:pt>
                <c:pt idx="8">
                  <c:v>Acceso a los servicios especializados en Salud y abordaje psicosocial de NNA bajo protección Especial en las instalaciones de la Fundación Hogar Manos Abiertas</c:v>
                </c:pt>
              </c:strCache>
            </c:strRef>
          </c:cat>
          <c:val>
            <c:numRef>
              <c:f>Anual!$B$54:$J$54</c:f>
              <c:numCache>
                <c:formatCode>#,##0.00</c:formatCode>
                <c:ptCount val="9"/>
                <c:pt idx="0">
                  <c:v>94.450068643552427</c:v>
                </c:pt>
                <c:pt idx="1">
                  <c:v>98.95967395967395</c:v>
                </c:pt>
                <c:pt idx="2">
                  <c:v>94.560632688927953</c:v>
                </c:pt>
                <c:pt idx="3">
                  <c:v>96.204620462046208</c:v>
                </c:pt>
                <c:pt idx="4">
                  <c:v>18.352713178294572</c:v>
                </c:pt>
                <c:pt idx="5">
                  <c:v>99.4320528707146</c:v>
                </c:pt>
                <c:pt idx="6">
                  <c:v>98.931045859452325</c:v>
                </c:pt>
                <c:pt idx="7">
                  <c:v>78.494073901928886</c:v>
                </c:pt>
                <c:pt idx="8">
                  <c:v>100.53763440860214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64-404D-BF2B-FBC3470BF25C}"/>
            </c:ext>
          </c:extLst>
        </c:ser>
        <c:ser>
          <c:idx val="1"/>
          <c:order val="1"/>
          <c:tx>
            <c:strRef>
              <c:f>Anual!$A$55</c:f>
              <c:strCache>
                <c:ptCount val="1"/>
                <c:pt idx="0">
                  <c:v>Índice avance gasto (IAG)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rgbClr val="0035A0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(Anual!$B$9,Anual!$C$10,Anual!$D$10,Anual!$E$10,Anual!$F$10,Anual!$G$10,Anual!$H$10,Anual!$I$10,Anual!$J$10)</c:f>
              <c:strCache>
                <c:ptCount val="9"/>
                <c:pt idx="0">
                  <c:v>Total programa</c:v>
                </c:pt>
                <c:pt idx="1">
                  <c:v>Atención de 
denuncias</c:v>
                </c:pt>
                <c:pt idx="2">
                  <c:v>Centros de Atención Infantil-
Guarderías</c:v>
                </c:pt>
                <c:pt idx="3">
                  <c:v>Protección y Apoyo  a los niños, niñas y adolescentes en los Albergues PANI</c:v>
                </c:pt>
                <c:pt idx="4">
                  <c:v> Fondo de la Niñez y Adolescencia  "Proyectos Fondo de la Niñez y Adolescencia"</c:v>
                </c:pt>
                <c:pt idx="5">
                  <c:v>Protección y Apoyo  a los niños, niñas y adolescentes en ONG Residenciales</c:v>
                </c:pt>
                <c:pt idx="6">
                  <c:v>Becas Adolescente Madre </c:v>
                </c:pt>
                <c:pt idx="7">
                  <c:v>Acogimiento 
Familiar </c:v>
                </c:pt>
                <c:pt idx="8">
                  <c:v>Acceso a los servicios especializados en Salud y abordaje psicosocial de NNA bajo protección Especial en las instalaciones de la Fundación Hogar Manos Abiertas</c:v>
                </c:pt>
              </c:strCache>
            </c:strRef>
          </c:cat>
          <c:val>
            <c:numRef>
              <c:f>Anual!$B$55:$J$55</c:f>
              <c:numCache>
                <c:formatCode>#,##0.00</c:formatCode>
                <c:ptCount val="9"/>
                <c:pt idx="0">
                  <c:v>94.33736424420745</c:v>
                </c:pt>
                <c:pt idx="1">
                  <c:v>92.535075993275655</c:v>
                </c:pt>
                <c:pt idx="2">
                  <c:v>96.963832281368994</c:v>
                </c:pt>
                <c:pt idx="3">
                  <c:v>87.550056774171011</c:v>
                </c:pt>
                <c:pt idx="4">
                  <c:v>91.466430399099153</c:v>
                </c:pt>
                <c:pt idx="5">
                  <c:v>99.863283867980414</c:v>
                </c:pt>
                <c:pt idx="6">
                  <c:v>81.588518627740086</c:v>
                </c:pt>
                <c:pt idx="7">
                  <c:v>99.895721323228344</c:v>
                </c:pt>
                <c:pt idx="8">
                  <c:v>86.390970988938065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64-404D-BF2B-FBC3470BF25C}"/>
            </c:ext>
          </c:extLst>
        </c:ser>
        <c:ser>
          <c:idx val="2"/>
          <c:order val="2"/>
          <c:tx>
            <c:strRef>
              <c:f>Anual!$A$56</c:f>
              <c:strCache>
                <c:ptCount val="1"/>
                <c:pt idx="0">
                  <c:v>Índice avance total (IAT) </c:v>
                </c:pt>
              </c:strCache>
            </c:strRef>
          </c:tx>
          <c:spPr>
            <a:solidFill>
              <a:srgbClr val="C1C5C8"/>
            </a:solidFill>
            <a:ln>
              <a:solidFill>
                <a:srgbClr val="C1C5C8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rgbClr val="C1C5C8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(Anual!$B$9,Anual!$C$10,Anual!$D$10,Anual!$E$10,Anual!$F$10,Anual!$G$10,Anual!$H$10,Anual!$I$10,Anual!$J$10)</c:f>
              <c:strCache>
                <c:ptCount val="9"/>
                <c:pt idx="0">
                  <c:v>Total programa</c:v>
                </c:pt>
                <c:pt idx="1">
                  <c:v>Atención de 
denuncias</c:v>
                </c:pt>
                <c:pt idx="2">
                  <c:v>Centros de Atención Infantil-
Guarderías</c:v>
                </c:pt>
                <c:pt idx="3">
                  <c:v>Protección y Apoyo  a los niños, niñas y adolescentes en los Albergues PANI</c:v>
                </c:pt>
                <c:pt idx="4">
                  <c:v> Fondo de la Niñez y Adolescencia  "Proyectos Fondo de la Niñez y Adolescencia"</c:v>
                </c:pt>
                <c:pt idx="5">
                  <c:v>Protección y Apoyo  a los niños, niñas y adolescentes en ONG Residenciales</c:v>
                </c:pt>
                <c:pt idx="6">
                  <c:v>Becas Adolescente Madre </c:v>
                </c:pt>
                <c:pt idx="7">
                  <c:v>Acogimiento 
Familiar </c:v>
                </c:pt>
                <c:pt idx="8">
                  <c:v>Acceso a los servicios especializados en Salud y abordaje psicosocial de NNA bajo protección Especial en las instalaciones de la Fundación Hogar Manos Abiertas</c:v>
                </c:pt>
              </c:strCache>
            </c:strRef>
          </c:cat>
          <c:val>
            <c:numRef>
              <c:f>Anual!$B$56:$J$56</c:f>
              <c:numCache>
                <c:formatCode>#,##0.00</c:formatCode>
                <c:ptCount val="9"/>
                <c:pt idx="0">
                  <c:v>94.393716443879939</c:v>
                </c:pt>
                <c:pt idx="1">
                  <c:v>95.747374976474802</c:v>
                </c:pt>
                <c:pt idx="2">
                  <c:v>95.762232485148473</c:v>
                </c:pt>
                <c:pt idx="3">
                  <c:v>91.87733861810861</c:v>
                </c:pt>
                <c:pt idx="4">
                  <c:v>54.909571788696866</c:v>
                </c:pt>
                <c:pt idx="5">
                  <c:v>99.647668369347514</c:v>
                </c:pt>
                <c:pt idx="6">
                  <c:v>90.259782243596206</c:v>
                </c:pt>
                <c:pt idx="7">
                  <c:v>89.194897612578615</c:v>
                </c:pt>
                <c:pt idx="8">
                  <c:v>93.464302698770098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64-404D-BF2B-FBC3470BF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548439192"/>
        <c:axId val="548439584"/>
        <c:axId val="0"/>
      </c:bar3DChart>
      <c:catAx>
        <c:axId val="548439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548439584"/>
        <c:crosses val="autoZero"/>
        <c:auto val="1"/>
        <c:lblAlgn val="ctr"/>
        <c:lblOffset val="100"/>
        <c:noMultiLvlLbl val="0"/>
      </c:catAx>
      <c:valAx>
        <c:axId val="548439584"/>
        <c:scaling>
          <c:orientation val="minMax"/>
          <c:max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548439192"/>
        <c:crosses val="autoZero"/>
        <c:crossBetween val="between"/>
        <c:majorUnit val="3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943567941216131"/>
          <c:y val="0.91613635050261599"/>
          <c:w val="0.68336584458248728"/>
          <c:h val="5.67533436696657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1000"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chart" Target="../charts/chart3.xml"/><Relationship Id="rId7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3422</xdr:colOff>
      <xdr:row>5</xdr:row>
      <xdr:rowOff>178592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700E5E46-40CF-422B-B35D-814B721433E1}"/>
            </a:ext>
          </a:extLst>
        </xdr:cNvPr>
        <xdr:cNvSpPr/>
      </xdr:nvSpPr>
      <xdr:spPr>
        <a:xfrm>
          <a:off x="0" y="0"/>
          <a:ext cx="14565242" cy="10929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154538</xdr:colOff>
      <xdr:row>0</xdr:row>
      <xdr:rowOff>166688</xdr:rowOff>
    </xdr:from>
    <xdr:to>
      <xdr:col>0</xdr:col>
      <xdr:colOff>3452813</xdr:colOff>
      <xdr:row>5</xdr:row>
      <xdr:rowOff>47818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326EEA9-AEC8-47A8-B6C9-6F04172AA6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4538" y="166688"/>
          <a:ext cx="3298275" cy="795530"/>
        </a:xfrm>
        <a:prstGeom prst="rect">
          <a:avLst/>
        </a:prstGeom>
      </xdr:spPr>
    </xdr:pic>
    <xdr:clientData/>
  </xdr:twoCellAnchor>
  <xdr:twoCellAnchor editAs="oneCell">
    <xdr:from>
      <xdr:col>0</xdr:col>
      <xdr:colOff>3405187</xdr:colOff>
      <xdr:row>1</xdr:row>
      <xdr:rowOff>23813</xdr:rowOff>
    </xdr:from>
    <xdr:to>
      <xdr:col>1</xdr:col>
      <xdr:colOff>1262062</xdr:colOff>
      <xdr:row>4</xdr:row>
      <xdr:rowOff>130969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F659DE3-4171-41A4-A066-977B651937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05187" y="206693"/>
          <a:ext cx="2268855" cy="65579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7</xdr:col>
      <xdr:colOff>0</xdr:colOff>
      <xdr:row>7</xdr:row>
      <xdr:rowOff>178595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BFBC2E10-1957-42C1-A96C-5E3CA5FB2953}"/>
            </a:ext>
          </a:extLst>
        </xdr:cNvPr>
        <xdr:cNvSpPr/>
      </xdr:nvSpPr>
      <xdr:spPr>
        <a:xfrm>
          <a:off x="0" y="1097281"/>
          <a:ext cx="14561820" cy="361474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940593</xdr:colOff>
      <xdr:row>6</xdr:row>
      <xdr:rowOff>47626</xdr:rowOff>
    </xdr:from>
    <xdr:to>
      <xdr:col>6</xdr:col>
      <xdr:colOff>833437</xdr:colOff>
      <xdr:row>7</xdr:row>
      <xdr:rowOff>162719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5ACCB7CF-25A1-4BD5-B4F9-356FEB3C5100}"/>
            </a:ext>
          </a:extLst>
        </xdr:cNvPr>
        <xdr:cNvSpPr txBox="1"/>
      </xdr:nvSpPr>
      <xdr:spPr>
        <a:xfrm>
          <a:off x="940593" y="1144906"/>
          <a:ext cx="12763024" cy="297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Patronato Nacional de la Infancia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Programa  Protección y Atención de los Niños, Niñas y Adolescentes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 Trimestre 2024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08-05-2024</a:t>
          </a:r>
          <a:endParaRPr lang="es-CR" sz="1100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endParaRPr lang="es-CR" sz="1050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3422</xdr:colOff>
      <xdr:row>5</xdr:row>
      <xdr:rowOff>178592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CCE18C21-A1E8-4B96-A3AA-95E5FDDFD1C3}"/>
            </a:ext>
          </a:extLst>
        </xdr:cNvPr>
        <xdr:cNvSpPr/>
      </xdr:nvSpPr>
      <xdr:spPr>
        <a:xfrm>
          <a:off x="0" y="0"/>
          <a:ext cx="14565242" cy="10929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154538</xdr:colOff>
      <xdr:row>0</xdr:row>
      <xdr:rowOff>166688</xdr:rowOff>
    </xdr:from>
    <xdr:to>
      <xdr:col>0</xdr:col>
      <xdr:colOff>3452813</xdr:colOff>
      <xdr:row>5</xdr:row>
      <xdr:rowOff>47818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2E19EEF-CE3C-48CA-A79B-9633DC41D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4538" y="166688"/>
          <a:ext cx="3298275" cy="795530"/>
        </a:xfrm>
        <a:prstGeom prst="rect">
          <a:avLst/>
        </a:prstGeom>
      </xdr:spPr>
    </xdr:pic>
    <xdr:clientData/>
  </xdr:twoCellAnchor>
  <xdr:twoCellAnchor editAs="oneCell">
    <xdr:from>
      <xdr:col>0</xdr:col>
      <xdr:colOff>3405187</xdr:colOff>
      <xdr:row>1</xdr:row>
      <xdr:rowOff>23813</xdr:rowOff>
    </xdr:from>
    <xdr:to>
      <xdr:col>1</xdr:col>
      <xdr:colOff>1262062</xdr:colOff>
      <xdr:row>4</xdr:row>
      <xdr:rowOff>130969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B872247-F58C-473C-B5D8-C25A57DB8B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05187" y="206693"/>
          <a:ext cx="2268855" cy="65579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7</xdr:col>
      <xdr:colOff>0</xdr:colOff>
      <xdr:row>7</xdr:row>
      <xdr:rowOff>178595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1B592789-6B30-474F-A09D-E84DDCF0DBE2}"/>
            </a:ext>
          </a:extLst>
        </xdr:cNvPr>
        <xdr:cNvSpPr/>
      </xdr:nvSpPr>
      <xdr:spPr>
        <a:xfrm>
          <a:off x="0" y="1097281"/>
          <a:ext cx="14561820" cy="361474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940593</xdr:colOff>
      <xdr:row>6</xdr:row>
      <xdr:rowOff>47626</xdr:rowOff>
    </xdr:from>
    <xdr:to>
      <xdr:col>6</xdr:col>
      <xdr:colOff>833437</xdr:colOff>
      <xdr:row>7</xdr:row>
      <xdr:rowOff>162719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33363A85-C753-45B0-8454-46233AE4DCBB}"/>
            </a:ext>
          </a:extLst>
        </xdr:cNvPr>
        <xdr:cNvSpPr txBox="1"/>
      </xdr:nvSpPr>
      <xdr:spPr>
        <a:xfrm>
          <a:off x="940593" y="1144906"/>
          <a:ext cx="12763024" cy="297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Patronato Nacional de la Infancia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Programa  Protección y Atención de los Niños, Niñas y Adolescentes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 Trimestre 2024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27-08-2024</a:t>
          </a:r>
          <a:endParaRPr lang="es-CR" sz="1100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endParaRPr lang="es-CR" sz="1050">
            <a:solidFill>
              <a:schemeClr val="bg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3422</xdr:colOff>
      <xdr:row>5</xdr:row>
      <xdr:rowOff>178592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F8144986-0F2E-48CB-8CB6-BE69A9F63785}"/>
            </a:ext>
          </a:extLst>
        </xdr:cNvPr>
        <xdr:cNvSpPr/>
      </xdr:nvSpPr>
      <xdr:spPr>
        <a:xfrm>
          <a:off x="0" y="0"/>
          <a:ext cx="14565242" cy="10929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154538</xdr:colOff>
      <xdr:row>0</xdr:row>
      <xdr:rowOff>166688</xdr:rowOff>
    </xdr:from>
    <xdr:to>
      <xdr:col>0</xdr:col>
      <xdr:colOff>3452813</xdr:colOff>
      <xdr:row>5</xdr:row>
      <xdr:rowOff>47818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90B3EAD-EC1C-4EC9-9EBB-383CEF8178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4538" y="166688"/>
          <a:ext cx="3298275" cy="795530"/>
        </a:xfrm>
        <a:prstGeom prst="rect">
          <a:avLst/>
        </a:prstGeom>
      </xdr:spPr>
    </xdr:pic>
    <xdr:clientData/>
  </xdr:twoCellAnchor>
  <xdr:twoCellAnchor editAs="oneCell">
    <xdr:from>
      <xdr:col>0</xdr:col>
      <xdr:colOff>3405187</xdr:colOff>
      <xdr:row>1</xdr:row>
      <xdr:rowOff>23813</xdr:rowOff>
    </xdr:from>
    <xdr:to>
      <xdr:col>1</xdr:col>
      <xdr:colOff>1262062</xdr:colOff>
      <xdr:row>4</xdr:row>
      <xdr:rowOff>130969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4BA364B-696B-46A4-9590-D48F6EEFC7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05187" y="206693"/>
          <a:ext cx="2268855" cy="65579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7</xdr:col>
      <xdr:colOff>0</xdr:colOff>
      <xdr:row>7</xdr:row>
      <xdr:rowOff>178595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01A46A80-81B9-4D8B-8E20-0BFDEF8D9119}"/>
            </a:ext>
          </a:extLst>
        </xdr:cNvPr>
        <xdr:cNvSpPr/>
      </xdr:nvSpPr>
      <xdr:spPr>
        <a:xfrm>
          <a:off x="0" y="1097281"/>
          <a:ext cx="14561820" cy="361474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940593</xdr:colOff>
      <xdr:row>6</xdr:row>
      <xdr:rowOff>47626</xdr:rowOff>
    </xdr:from>
    <xdr:to>
      <xdr:col>6</xdr:col>
      <xdr:colOff>833437</xdr:colOff>
      <xdr:row>7</xdr:row>
      <xdr:rowOff>162719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92A53C63-386D-416C-9658-73DE44AC7044}"/>
            </a:ext>
          </a:extLst>
        </xdr:cNvPr>
        <xdr:cNvSpPr txBox="1"/>
      </xdr:nvSpPr>
      <xdr:spPr>
        <a:xfrm>
          <a:off x="940593" y="1144906"/>
          <a:ext cx="12763024" cy="297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Patronato Nacional de la Infancia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Programa  Protección y Atención de los Niños, Niñas y Adolescentes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 Semestre 2024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27-08-2024</a:t>
          </a:r>
          <a:endParaRPr lang="es-CR" sz="1100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endParaRPr lang="es-CR" sz="1050">
            <a:solidFill>
              <a:schemeClr val="bg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2514600</xdr:colOff>
      <xdr:row>5</xdr:row>
      <xdr:rowOff>178592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B81BFAFC-E880-4251-8315-91445DFDE000}"/>
            </a:ext>
          </a:extLst>
        </xdr:cNvPr>
        <xdr:cNvSpPr/>
      </xdr:nvSpPr>
      <xdr:spPr>
        <a:xfrm>
          <a:off x="0" y="0"/>
          <a:ext cx="20488275" cy="1083467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154538</xdr:colOff>
      <xdr:row>0</xdr:row>
      <xdr:rowOff>166688</xdr:rowOff>
    </xdr:from>
    <xdr:to>
      <xdr:col>0</xdr:col>
      <xdr:colOff>3452813</xdr:colOff>
      <xdr:row>5</xdr:row>
      <xdr:rowOff>47818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AEEECA2-6B7E-41AC-9C82-2A17B67E3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4538" y="166688"/>
          <a:ext cx="3298275" cy="795530"/>
        </a:xfrm>
        <a:prstGeom prst="rect">
          <a:avLst/>
        </a:prstGeom>
      </xdr:spPr>
    </xdr:pic>
    <xdr:clientData/>
  </xdr:twoCellAnchor>
  <xdr:twoCellAnchor editAs="oneCell">
    <xdr:from>
      <xdr:col>0</xdr:col>
      <xdr:colOff>3405187</xdr:colOff>
      <xdr:row>1</xdr:row>
      <xdr:rowOff>23813</xdr:rowOff>
    </xdr:from>
    <xdr:to>
      <xdr:col>1</xdr:col>
      <xdr:colOff>1262062</xdr:colOff>
      <xdr:row>4</xdr:row>
      <xdr:rowOff>130969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AA089E3-7471-4552-887E-B92AC99F5D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05187" y="206693"/>
          <a:ext cx="2268855" cy="65579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9</xdr:col>
      <xdr:colOff>2514599</xdr:colOff>
      <xdr:row>7</xdr:row>
      <xdr:rowOff>178595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9A75B6CA-75D3-4A31-99EB-151270D5E29C}"/>
            </a:ext>
          </a:extLst>
        </xdr:cNvPr>
        <xdr:cNvSpPr/>
      </xdr:nvSpPr>
      <xdr:spPr>
        <a:xfrm>
          <a:off x="0" y="1085851"/>
          <a:ext cx="20488274" cy="359569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3975099</xdr:colOff>
      <xdr:row>6</xdr:row>
      <xdr:rowOff>48419</xdr:rowOff>
    </xdr:from>
    <xdr:to>
      <xdr:col>8</xdr:col>
      <xdr:colOff>477043</xdr:colOff>
      <xdr:row>7</xdr:row>
      <xdr:rowOff>163512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291DC521-A1AD-49CC-B6F5-52B43DD47286}"/>
            </a:ext>
          </a:extLst>
        </xdr:cNvPr>
        <xdr:cNvSpPr txBox="1"/>
      </xdr:nvSpPr>
      <xdr:spPr>
        <a:xfrm>
          <a:off x="3975099" y="1115219"/>
          <a:ext cx="12745244" cy="2928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Patronato Nacional de la Infancia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Programa  Protección y Atención de los Niños, Niñas y Adolescentes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III Trimestre 2024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25-11-2024</a:t>
          </a:r>
          <a:endParaRPr lang="es-CR" sz="1100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endParaRPr lang="es-CR" sz="1050">
            <a:solidFill>
              <a:schemeClr val="bg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2486025</xdr:colOff>
      <xdr:row>6</xdr:row>
      <xdr:rowOff>792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E7E07B19-4E4B-431B-9F32-1D6D3677D5ED}"/>
            </a:ext>
          </a:extLst>
        </xdr:cNvPr>
        <xdr:cNvSpPr/>
      </xdr:nvSpPr>
      <xdr:spPr>
        <a:xfrm>
          <a:off x="0" y="0"/>
          <a:ext cx="20459700" cy="108664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154538</xdr:colOff>
      <xdr:row>0</xdr:row>
      <xdr:rowOff>166688</xdr:rowOff>
    </xdr:from>
    <xdr:to>
      <xdr:col>0</xdr:col>
      <xdr:colOff>3452813</xdr:colOff>
      <xdr:row>5</xdr:row>
      <xdr:rowOff>55438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91551CB-BB68-4848-9690-6928F74E1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4538" y="166688"/>
          <a:ext cx="3298275" cy="795530"/>
        </a:xfrm>
        <a:prstGeom prst="rect">
          <a:avLst/>
        </a:prstGeom>
      </xdr:spPr>
    </xdr:pic>
    <xdr:clientData/>
  </xdr:twoCellAnchor>
  <xdr:twoCellAnchor editAs="oneCell">
    <xdr:from>
      <xdr:col>0</xdr:col>
      <xdr:colOff>3405187</xdr:colOff>
      <xdr:row>1</xdr:row>
      <xdr:rowOff>23813</xdr:rowOff>
    </xdr:from>
    <xdr:to>
      <xdr:col>1</xdr:col>
      <xdr:colOff>1262062</xdr:colOff>
      <xdr:row>4</xdr:row>
      <xdr:rowOff>130969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8794FCE-EC7B-4539-913C-ED5D1FA1DA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05187" y="206693"/>
          <a:ext cx="2268855" cy="655796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</xdr:row>
      <xdr:rowOff>1</xdr:rowOff>
    </xdr:from>
    <xdr:to>
      <xdr:col>9</xdr:col>
      <xdr:colOff>2486026</xdr:colOff>
      <xdr:row>8</xdr:row>
      <xdr:rowOff>795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6A21FE27-34B5-4722-84F3-73CF34F2CEED}"/>
            </a:ext>
          </a:extLst>
        </xdr:cNvPr>
        <xdr:cNvSpPr/>
      </xdr:nvSpPr>
      <xdr:spPr>
        <a:xfrm>
          <a:off x="1" y="1085851"/>
          <a:ext cx="20459700" cy="362744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3809205</xdr:colOff>
      <xdr:row>6</xdr:row>
      <xdr:rowOff>35719</xdr:rowOff>
    </xdr:from>
    <xdr:to>
      <xdr:col>8</xdr:col>
      <xdr:colOff>311149</xdr:colOff>
      <xdr:row>7</xdr:row>
      <xdr:rowOff>150812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D5EA7150-4405-4034-A2F7-C6CC7189F18F}"/>
            </a:ext>
          </a:extLst>
        </xdr:cNvPr>
        <xdr:cNvSpPr txBox="1"/>
      </xdr:nvSpPr>
      <xdr:spPr>
        <a:xfrm>
          <a:off x="3809205" y="1102519"/>
          <a:ext cx="12745244" cy="2928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Patronato Nacional de la Infancia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Programa  Protección y Atención de los Niños, Niñas y Adolescentes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III Trimestre Acumulado 2024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25-11-2024</a:t>
          </a:r>
          <a:endParaRPr lang="es-CR" sz="1100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endParaRPr lang="es-CR" sz="1050">
            <a:solidFill>
              <a:schemeClr val="bg1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5</xdr:row>
      <xdr:rowOff>178592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5B92F137-E8D8-4B27-AD05-5E64B394515C}"/>
            </a:ext>
          </a:extLst>
        </xdr:cNvPr>
        <xdr:cNvSpPr/>
      </xdr:nvSpPr>
      <xdr:spPr>
        <a:xfrm>
          <a:off x="0" y="0"/>
          <a:ext cx="19669125" cy="1083467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154538</xdr:colOff>
      <xdr:row>0</xdr:row>
      <xdr:rowOff>166688</xdr:rowOff>
    </xdr:from>
    <xdr:to>
      <xdr:col>0</xdr:col>
      <xdr:colOff>3452813</xdr:colOff>
      <xdr:row>5</xdr:row>
      <xdr:rowOff>47818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943A9372-C6D7-4543-A044-3CBBFF0AC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4538" y="166688"/>
          <a:ext cx="3298275" cy="833630"/>
        </a:xfrm>
        <a:prstGeom prst="rect">
          <a:avLst/>
        </a:prstGeom>
      </xdr:spPr>
    </xdr:pic>
    <xdr:clientData/>
  </xdr:twoCellAnchor>
  <xdr:twoCellAnchor editAs="oneCell">
    <xdr:from>
      <xdr:col>0</xdr:col>
      <xdr:colOff>3405187</xdr:colOff>
      <xdr:row>1</xdr:row>
      <xdr:rowOff>23813</xdr:rowOff>
    </xdr:from>
    <xdr:to>
      <xdr:col>1</xdr:col>
      <xdr:colOff>1262062</xdr:colOff>
      <xdr:row>4</xdr:row>
      <xdr:rowOff>130969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23BCC8C4-1CD0-4A1E-A5FA-4731B95051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05187" y="214313"/>
          <a:ext cx="2143125" cy="67865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10</xdr:col>
      <xdr:colOff>0</xdr:colOff>
      <xdr:row>7</xdr:row>
      <xdr:rowOff>178595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0133DFF8-947A-4F15-A9A6-A83D80F15E06}"/>
            </a:ext>
          </a:extLst>
        </xdr:cNvPr>
        <xdr:cNvSpPr/>
      </xdr:nvSpPr>
      <xdr:spPr>
        <a:xfrm>
          <a:off x="0" y="1085851"/>
          <a:ext cx="20497800" cy="359569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3493293</xdr:colOff>
      <xdr:row>6</xdr:row>
      <xdr:rowOff>47625</xdr:rowOff>
    </xdr:from>
    <xdr:to>
      <xdr:col>7</xdr:col>
      <xdr:colOff>1690687</xdr:colOff>
      <xdr:row>7</xdr:row>
      <xdr:rowOff>162718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3928E70-3D17-41F1-8C6B-428A117FBBCF}"/>
            </a:ext>
          </a:extLst>
        </xdr:cNvPr>
        <xdr:cNvSpPr txBox="1"/>
      </xdr:nvSpPr>
      <xdr:spPr>
        <a:xfrm>
          <a:off x="3493293" y="1133475"/>
          <a:ext cx="12780169" cy="2960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Patronato Nacional de la Infancia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Programa  Protección y Atención de los Niños, Niñas y Adolescentes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IV Trimestre 2024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24-04-2025</a:t>
          </a:r>
          <a:endParaRPr lang="es-CR" sz="1100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endParaRPr lang="es-CR" sz="1050">
            <a:solidFill>
              <a:schemeClr val="bg1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1323</xdr:colOff>
      <xdr:row>12</xdr:row>
      <xdr:rowOff>31748</xdr:rowOff>
    </xdr:from>
    <xdr:to>
      <xdr:col>46</xdr:col>
      <xdr:colOff>203200</xdr:colOff>
      <xdr:row>40</xdr:row>
      <xdr:rowOff>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315382</xdr:colOff>
      <xdr:row>12</xdr:row>
      <xdr:rowOff>34130</xdr:rowOff>
    </xdr:from>
    <xdr:to>
      <xdr:col>25</xdr:col>
      <xdr:colOff>549010</xdr:colOff>
      <xdr:row>40</xdr:row>
      <xdr:rowOff>-1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230715</xdr:colOff>
      <xdr:row>71</xdr:row>
      <xdr:rowOff>1058</xdr:rowOff>
    </xdr:from>
    <xdr:to>
      <xdr:col>25</xdr:col>
      <xdr:colOff>478895</xdr:colOff>
      <xdr:row>93</xdr:row>
      <xdr:rowOff>19050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26</xdr:col>
      <xdr:colOff>520436</xdr:colOff>
      <xdr:row>82</xdr:row>
      <xdr:rowOff>60850</xdr:rowOff>
    </xdr:from>
    <xdr:to>
      <xdr:col>48</xdr:col>
      <xdr:colOff>761999</xdr:colOff>
      <xdr:row>118</xdr:row>
      <xdr:rowOff>114300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32</xdr:col>
      <xdr:colOff>376232</xdr:colOff>
      <xdr:row>41</xdr:row>
      <xdr:rowOff>111124</xdr:rowOff>
    </xdr:from>
    <xdr:to>
      <xdr:col>55</xdr:col>
      <xdr:colOff>685800</xdr:colOff>
      <xdr:row>78</xdr:row>
      <xdr:rowOff>152400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199232</xdr:colOff>
      <xdr:row>41</xdr:row>
      <xdr:rowOff>95247</xdr:rowOff>
    </xdr:from>
    <xdr:to>
      <xdr:col>32</xdr:col>
      <xdr:colOff>171450</xdr:colOff>
      <xdr:row>69</xdr:row>
      <xdr:rowOff>95250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</xdr:colOff>
      <xdr:row>0</xdr:row>
      <xdr:rowOff>0</xdr:rowOff>
    </xdr:from>
    <xdr:to>
      <xdr:col>9</xdr:col>
      <xdr:colOff>2500353</xdr:colOff>
      <xdr:row>5</xdr:row>
      <xdr:rowOff>178592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9B091D18-C56C-40B7-B179-4A7BF524D9B9}"/>
            </a:ext>
          </a:extLst>
        </xdr:cNvPr>
        <xdr:cNvSpPr/>
      </xdr:nvSpPr>
      <xdr:spPr>
        <a:xfrm>
          <a:off x="1" y="0"/>
          <a:ext cx="20493077" cy="1083467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154538</xdr:colOff>
      <xdr:row>0</xdr:row>
      <xdr:rowOff>166688</xdr:rowOff>
    </xdr:from>
    <xdr:to>
      <xdr:col>0</xdr:col>
      <xdr:colOff>3452813</xdr:colOff>
      <xdr:row>5</xdr:row>
      <xdr:rowOff>47818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C6A00552-1F57-46A5-8087-9FA575FD7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4538" y="166688"/>
          <a:ext cx="3298275" cy="833630"/>
        </a:xfrm>
        <a:prstGeom prst="rect">
          <a:avLst/>
        </a:prstGeom>
      </xdr:spPr>
    </xdr:pic>
    <xdr:clientData/>
  </xdr:twoCellAnchor>
  <xdr:twoCellAnchor editAs="oneCell">
    <xdr:from>
      <xdr:col>0</xdr:col>
      <xdr:colOff>3405187</xdr:colOff>
      <xdr:row>1</xdr:row>
      <xdr:rowOff>23813</xdr:rowOff>
    </xdr:from>
    <xdr:to>
      <xdr:col>1</xdr:col>
      <xdr:colOff>1262062</xdr:colOff>
      <xdr:row>4</xdr:row>
      <xdr:rowOff>130969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3E8DCB6D-8C95-4C6B-B6E2-C2FA932232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63388" r="1826" b="1724"/>
        <a:stretch/>
      </xdr:blipFill>
      <xdr:spPr>
        <a:xfrm>
          <a:off x="3405187" y="214313"/>
          <a:ext cx="2143125" cy="67865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9</xdr:col>
      <xdr:colOff>2505075</xdr:colOff>
      <xdr:row>7</xdr:row>
      <xdr:rowOff>178595</xdr:rowOff>
    </xdr:to>
    <xdr:sp macro="" textlink="">
      <xdr:nvSpPr>
        <xdr:cNvPr id="20" name="Rectángulo 19">
          <a:extLst>
            <a:ext uri="{FF2B5EF4-FFF2-40B4-BE49-F238E27FC236}">
              <a16:creationId xmlns:a16="http://schemas.microsoft.com/office/drawing/2014/main" id="{1608FAD8-B8FC-4EA0-9A97-F7BEE4B8077F}"/>
            </a:ext>
          </a:extLst>
        </xdr:cNvPr>
        <xdr:cNvSpPr/>
      </xdr:nvSpPr>
      <xdr:spPr>
        <a:xfrm>
          <a:off x="0" y="1085851"/>
          <a:ext cx="20497800" cy="359569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3786980</xdr:colOff>
      <xdr:row>6</xdr:row>
      <xdr:rowOff>23018</xdr:rowOff>
    </xdr:from>
    <xdr:to>
      <xdr:col>8</xdr:col>
      <xdr:colOff>288924</xdr:colOff>
      <xdr:row>7</xdr:row>
      <xdr:rowOff>138111</xdr:rowOff>
    </xdr:to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CB38E8BE-CF56-4902-8967-63F85B48D624}"/>
            </a:ext>
          </a:extLst>
        </xdr:cNvPr>
        <xdr:cNvSpPr txBox="1"/>
      </xdr:nvSpPr>
      <xdr:spPr>
        <a:xfrm>
          <a:off x="3786980" y="1089818"/>
          <a:ext cx="12757944" cy="2928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Patronato Nacional de la Infancia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Programa  Protección y Atención de los Niños, Niñas y Adolescentes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Anual 2024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24-04-2025</a:t>
          </a:r>
          <a:endParaRPr lang="es-CR" sz="1100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endParaRPr lang="es-CR" sz="1050">
            <a:solidFill>
              <a:schemeClr val="bg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3"/>
  <sheetViews>
    <sheetView showGridLines="0" tabSelected="1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/>
  <cols>
    <col min="1" max="1" width="64.33203125" style="1" customWidth="1"/>
    <col min="2" max="7" width="24.6640625" style="1" customWidth="1"/>
    <col min="8" max="16384" width="11.44140625" style="1"/>
  </cols>
  <sheetData>
    <row r="1" spans="1:7" customFormat="1"/>
    <row r="2" spans="1:7" customFormat="1"/>
    <row r="3" spans="1:7" customFormat="1"/>
    <row r="4" spans="1:7" customFormat="1"/>
    <row r="5" spans="1:7" customFormat="1"/>
    <row r="6" spans="1:7" customFormat="1"/>
    <row r="7" spans="1:7" customFormat="1"/>
    <row r="8" spans="1:7" customFormat="1"/>
    <row r="9" spans="1:7" s="22" customFormat="1" ht="15.6">
      <c r="A9" s="40" t="s">
        <v>0</v>
      </c>
      <c r="B9" s="42" t="s">
        <v>1</v>
      </c>
      <c r="C9" s="44" t="s">
        <v>2</v>
      </c>
      <c r="D9" s="44"/>
      <c r="E9" s="44"/>
      <c r="F9" s="44"/>
      <c r="G9" s="44"/>
    </row>
    <row r="10" spans="1:7" s="27" customFormat="1" ht="63" thickBot="1">
      <c r="A10" s="41"/>
      <c r="B10" s="43"/>
      <c r="C10" s="24" t="s">
        <v>39</v>
      </c>
      <c r="D10" s="24" t="s">
        <v>48</v>
      </c>
      <c r="E10" s="24" t="s">
        <v>49</v>
      </c>
      <c r="F10" s="24" t="s">
        <v>50</v>
      </c>
      <c r="G10" s="24" t="s">
        <v>51</v>
      </c>
    </row>
    <row r="11" spans="1:7" customFormat="1" ht="15" thickTop="1"/>
    <row r="12" spans="1:7" customFormat="1" ht="15.6">
      <c r="A12" s="18" t="s">
        <v>3</v>
      </c>
      <c r="B12" s="19"/>
      <c r="C12" s="19"/>
      <c r="D12" s="19"/>
      <c r="E12" s="19"/>
    </row>
    <row r="13" spans="1:7" customFormat="1" ht="15.6">
      <c r="A13" s="19"/>
      <c r="B13" s="19"/>
      <c r="C13" s="19"/>
      <c r="D13" s="19"/>
      <c r="E13" s="19"/>
    </row>
    <row r="14" spans="1:7" customFormat="1" ht="15.6">
      <c r="A14" s="18" t="s">
        <v>4</v>
      </c>
      <c r="B14" s="19"/>
      <c r="C14" s="19"/>
      <c r="D14" s="19"/>
      <c r="E14" s="19"/>
    </row>
    <row r="15" spans="1:7" ht="15.6">
      <c r="A15" s="20" t="s">
        <v>52</v>
      </c>
      <c r="B15" s="8">
        <f>+SUM(C15:G15)</f>
        <v>23555.333333333332</v>
      </c>
      <c r="C15" s="25">
        <v>16520</v>
      </c>
      <c r="D15" s="25">
        <v>5372.333333333333</v>
      </c>
      <c r="E15" s="25">
        <v>249</v>
      </c>
      <c r="F15" s="25">
        <v>0</v>
      </c>
      <c r="G15" s="25">
        <v>1414</v>
      </c>
    </row>
    <row r="16" spans="1:7" ht="15.6">
      <c r="A16" s="20" t="s">
        <v>80</v>
      </c>
      <c r="B16" s="8">
        <f>+SUM(C16:G16)</f>
        <v>25448</v>
      </c>
      <c r="C16" s="25">
        <v>18648</v>
      </c>
      <c r="D16" s="25">
        <v>5690</v>
      </c>
      <c r="E16" s="25">
        <v>303</v>
      </c>
      <c r="F16" s="25">
        <v>0</v>
      </c>
      <c r="G16" s="25">
        <v>807</v>
      </c>
    </row>
    <row r="17" spans="1:7" ht="15.6">
      <c r="A17" s="20" t="s">
        <v>81</v>
      </c>
      <c r="B17" s="8">
        <f>+SUM(C17:G17)</f>
        <v>23767.666666666668</v>
      </c>
      <c r="C17" s="37">
        <v>17314</v>
      </c>
      <c r="D17" s="25">
        <v>5346</v>
      </c>
      <c r="E17" s="25">
        <v>303.66666666666669</v>
      </c>
      <c r="F17" s="25">
        <v>0</v>
      </c>
      <c r="G17" s="37">
        <v>804</v>
      </c>
    </row>
    <row r="18" spans="1:7" ht="15.6">
      <c r="A18" s="20" t="s">
        <v>82</v>
      </c>
      <c r="B18" s="8">
        <f>+SUM(C18:G18)</f>
        <v>85365</v>
      </c>
      <c r="C18" s="25">
        <v>74592</v>
      </c>
      <c r="D18" s="25">
        <v>6223</v>
      </c>
      <c r="E18" s="25">
        <v>303</v>
      </c>
      <c r="F18" s="25">
        <v>3440</v>
      </c>
      <c r="G18" s="25">
        <v>807</v>
      </c>
    </row>
    <row r="19" spans="1:7" ht="15.6">
      <c r="A19" s="19"/>
      <c r="B19" s="8"/>
      <c r="C19" s="25"/>
      <c r="D19" s="25"/>
      <c r="E19" s="25"/>
      <c r="F19"/>
      <c r="G19"/>
    </row>
    <row r="20" spans="1:7" ht="15.6">
      <c r="A20" s="21" t="s">
        <v>5</v>
      </c>
      <c r="B20" s="8"/>
      <c r="C20" s="25"/>
      <c r="D20" s="25"/>
      <c r="E20" s="25"/>
      <c r="F20"/>
      <c r="G20"/>
    </row>
    <row r="21" spans="1:7" ht="15.6">
      <c r="A21" s="20" t="s">
        <v>52</v>
      </c>
      <c r="B21" s="8">
        <f>SUM(C21:G21)</f>
        <v>8979451414.3299999</v>
      </c>
      <c r="C21" s="25">
        <v>2711496985.2399998</v>
      </c>
      <c r="D21" s="25">
        <v>2141317319.0599999</v>
      </c>
      <c r="E21" s="25">
        <v>621727684.79999995</v>
      </c>
      <c r="F21" s="25">
        <v>7163244.3300000001</v>
      </c>
      <c r="G21" s="25">
        <v>3497746180.9000006</v>
      </c>
    </row>
    <row r="22" spans="1:7" ht="15.6">
      <c r="A22" s="20" t="s">
        <v>80</v>
      </c>
      <c r="B22" s="8">
        <f>SUM(C22:G22)</f>
        <v>8019954214.2524996</v>
      </c>
      <c r="C22" s="25">
        <v>3419388438.3994279</v>
      </c>
      <c r="D22" s="25">
        <v>2162285036.7804217</v>
      </c>
      <c r="E22" s="25">
        <v>795718444.26329398</v>
      </c>
      <c r="F22" s="25">
        <v>0</v>
      </c>
      <c r="G22" s="25">
        <v>1642562294.809356</v>
      </c>
    </row>
    <row r="23" spans="1:7" ht="15.6">
      <c r="A23" s="20" t="s">
        <v>81</v>
      </c>
      <c r="B23" s="8">
        <f t="shared" ref="B23:B24" si="0">SUM(C23:G23)</f>
        <v>7819502232.4800005</v>
      </c>
      <c r="C23" s="25">
        <v>3544536593.1300001</v>
      </c>
      <c r="D23" s="25">
        <v>1907827741.23</v>
      </c>
      <c r="E23" s="25">
        <v>780611291.68999994</v>
      </c>
      <c r="F23" s="25">
        <v>10000</v>
      </c>
      <c r="G23" s="25">
        <v>1586516606.4300001</v>
      </c>
    </row>
    <row r="24" spans="1:7" ht="15.6">
      <c r="A24" s="20" t="s">
        <v>82</v>
      </c>
      <c r="B24" s="8">
        <f t="shared" si="0"/>
        <v>32079816857.009998</v>
      </c>
      <c r="C24" s="25">
        <v>13440132745.959888</v>
      </c>
      <c r="D24" s="25">
        <v>8499004559.5832787</v>
      </c>
      <c r="E24" s="25">
        <v>3127624050.9024677</v>
      </c>
      <c r="F24" s="25">
        <v>556855602.99896228</v>
      </c>
      <c r="G24" s="25">
        <v>6456199897.5654039</v>
      </c>
    </row>
    <row r="25" spans="1:7" ht="15.6">
      <c r="A25" s="20" t="s">
        <v>83</v>
      </c>
      <c r="B25" s="8">
        <f>SUM(C25:G25)</f>
        <v>7819502232.4800005</v>
      </c>
      <c r="C25" s="14">
        <f>+C23</f>
        <v>3544536593.1300001</v>
      </c>
      <c r="D25" s="14">
        <f t="shared" ref="D25:G25" si="1">+D23</f>
        <v>1907827741.23</v>
      </c>
      <c r="E25" s="14">
        <f t="shared" si="1"/>
        <v>780611291.68999994</v>
      </c>
      <c r="F25" s="14">
        <f t="shared" si="1"/>
        <v>10000</v>
      </c>
      <c r="G25" s="14">
        <f t="shared" si="1"/>
        <v>1586516606.4300001</v>
      </c>
    </row>
    <row r="26" spans="1:7" ht="15.6">
      <c r="A26" s="19"/>
      <c r="B26" s="8"/>
      <c r="C26" s="8"/>
      <c r="D26" s="8"/>
      <c r="E26" s="8"/>
    </row>
    <row r="27" spans="1:7" ht="15.6">
      <c r="A27" s="21" t="s">
        <v>6</v>
      </c>
      <c r="B27" s="8"/>
      <c r="C27" s="8"/>
      <c r="D27" s="8"/>
      <c r="E27" s="8"/>
    </row>
    <row r="28" spans="1:7" ht="15.6">
      <c r="A28" s="20" t="s">
        <v>80</v>
      </c>
      <c r="B28" s="8">
        <f>B22</f>
        <v>8019954214.2524996</v>
      </c>
      <c r="C28" s="8"/>
      <c r="D28" s="8"/>
      <c r="E28" s="8"/>
    </row>
    <row r="29" spans="1:7" ht="15.6">
      <c r="A29" s="20" t="s">
        <v>81</v>
      </c>
      <c r="B29" s="25">
        <v>8019954214</v>
      </c>
      <c r="C29" s="8"/>
      <c r="D29" s="8"/>
      <c r="E29" s="8"/>
    </row>
    <row r="30" spans="1:7" ht="15.6">
      <c r="A30" s="19"/>
      <c r="B30" s="13"/>
      <c r="C30" s="13"/>
      <c r="D30" s="13"/>
      <c r="E30" s="13"/>
    </row>
    <row r="31" spans="1:7" ht="15.6">
      <c r="A31" s="18" t="s">
        <v>7</v>
      </c>
      <c r="B31" s="13"/>
      <c r="C31" s="13"/>
      <c r="D31" s="13"/>
      <c r="E31" s="13"/>
    </row>
    <row r="32" spans="1:7" ht="15.6">
      <c r="A32" s="20" t="s">
        <v>53</v>
      </c>
      <c r="B32" s="26">
        <v>1.1041000000000001</v>
      </c>
      <c r="C32" s="26">
        <v>1.1041000000000001</v>
      </c>
      <c r="D32" s="26">
        <v>1.1041000000000001</v>
      </c>
      <c r="E32" s="26">
        <v>1.1041000000000001</v>
      </c>
      <c r="F32" s="26">
        <v>1.1041000000000001</v>
      </c>
      <c r="G32" s="26">
        <v>1.1041000000000001</v>
      </c>
    </row>
    <row r="33" spans="1:7" ht="15.6">
      <c r="A33" s="20" t="s">
        <v>84</v>
      </c>
      <c r="B33" s="26">
        <v>1.091</v>
      </c>
      <c r="C33" s="26">
        <v>1.091</v>
      </c>
      <c r="D33" s="26">
        <v>1.091</v>
      </c>
      <c r="E33" s="26">
        <v>1.091</v>
      </c>
      <c r="F33" s="26">
        <v>1.091</v>
      </c>
      <c r="G33" s="26">
        <v>1.091</v>
      </c>
    </row>
    <row r="34" spans="1:7" ht="15.6">
      <c r="A34" s="20" t="s">
        <v>8</v>
      </c>
      <c r="B34" s="31" t="s">
        <v>36</v>
      </c>
      <c r="C34" s="31" t="s">
        <v>36</v>
      </c>
      <c r="D34" s="31" t="s">
        <v>36</v>
      </c>
      <c r="E34" s="31" t="s">
        <v>36</v>
      </c>
      <c r="F34" s="31" t="s">
        <v>36</v>
      </c>
      <c r="G34" s="31" t="s">
        <v>36</v>
      </c>
    </row>
    <row r="35" spans="1:7" ht="15.6">
      <c r="A35" s="19"/>
      <c r="B35" s="13"/>
      <c r="C35" s="13"/>
      <c r="D35" s="13"/>
      <c r="E35" s="13"/>
    </row>
    <row r="36" spans="1:7" ht="15.6">
      <c r="A36" s="18" t="s">
        <v>9</v>
      </c>
      <c r="B36" s="13"/>
      <c r="C36" s="13"/>
      <c r="D36" s="13"/>
      <c r="E36" s="13"/>
    </row>
    <row r="37" spans="1:7" ht="15.6">
      <c r="A37" s="20" t="s">
        <v>54</v>
      </c>
      <c r="B37" s="14">
        <f t="shared" ref="B37:C37" si="2">B21/B32</f>
        <v>8132824394.8283663</v>
      </c>
      <c r="C37" s="14">
        <f t="shared" si="2"/>
        <v>2455843660.211937</v>
      </c>
      <c r="D37" s="14">
        <f t="shared" ref="D37:E37" si="3">D21/D32</f>
        <v>1939423348.4829271</v>
      </c>
      <c r="E37" s="14">
        <f t="shared" si="3"/>
        <v>563108128.61153877</v>
      </c>
      <c r="F37" s="14">
        <f t="shared" ref="F37:G37" si="4">F21/F32</f>
        <v>6487858.282764242</v>
      </c>
      <c r="G37" s="14">
        <f t="shared" si="4"/>
        <v>3167961399.2391996</v>
      </c>
    </row>
    <row r="38" spans="1:7" ht="15.6">
      <c r="A38" s="20" t="s">
        <v>85</v>
      </c>
      <c r="B38" s="14">
        <f>B23/B33</f>
        <v>7167279773.1255732</v>
      </c>
      <c r="C38" s="14">
        <f>C23/C33</f>
        <v>3248887803.0522456</v>
      </c>
      <c r="D38" s="14">
        <f t="shared" ref="D38:E38" si="5">D23/D33</f>
        <v>1748696371.4298809</v>
      </c>
      <c r="E38" s="14">
        <f t="shared" si="5"/>
        <v>715500725.65536201</v>
      </c>
      <c r="F38" s="14">
        <f t="shared" ref="F38:G38" si="6">F23/F33</f>
        <v>9165.9028414298809</v>
      </c>
      <c r="G38" s="14">
        <f t="shared" si="6"/>
        <v>1454185707.085243</v>
      </c>
    </row>
    <row r="39" spans="1:7" ht="15.6">
      <c r="A39" s="20" t="s">
        <v>55</v>
      </c>
      <c r="B39" s="8">
        <f>B37/B15</f>
        <v>345264.67020186654</v>
      </c>
      <c r="C39" s="8">
        <f>C37/C15</f>
        <v>148658.81720411242</v>
      </c>
      <c r="D39" s="8">
        <f t="shared" ref="D39:E39" si="7">D37/D15</f>
        <v>361002.0503473836</v>
      </c>
      <c r="E39" s="8">
        <f t="shared" si="7"/>
        <v>2261478.4281587903</v>
      </c>
      <c r="F39" s="8" t="s">
        <v>36</v>
      </c>
      <c r="G39" s="8">
        <f t="shared" ref="G39" si="8">G37/G15</f>
        <v>2240425.317708062</v>
      </c>
    </row>
    <row r="40" spans="1:7" ht="15.6">
      <c r="A40" s="20" t="s">
        <v>86</v>
      </c>
      <c r="B40" s="8">
        <f>B38/B17</f>
        <v>301555.88571836695</v>
      </c>
      <c r="C40" s="8">
        <f>C38/C17</f>
        <v>187645.13128406179</v>
      </c>
      <c r="D40" s="8">
        <f t="shared" ref="D40:E40" si="9">D38/D17</f>
        <v>327103.69835949887</v>
      </c>
      <c r="E40" s="8">
        <f t="shared" si="9"/>
        <v>2356204.3654951546</v>
      </c>
      <c r="F40" s="8" t="s">
        <v>36</v>
      </c>
      <c r="G40" s="8">
        <f t="shared" ref="G40" si="10">G38/G17</f>
        <v>1808688.6904045311</v>
      </c>
    </row>
    <row r="41" spans="1:7" ht="15.6">
      <c r="A41" s="19"/>
      <c r="B41" s="13"/>
      <c r="C41" s="13"/>
      <c r="D41" s="13"/>
      <c r="E41" s="13"/>
    </row>
    <row r="42" spans="1:7" ht="15.6">
      <c r="A42" s="18" t="s">
        <v>10</v>
      </c>
      <c r="B42" s="13"/>
      <c r="C42" s="13"/>
      <c r="D42" s="13"/>
      <c r="E42" s="13"/>
    </row>
    <row r="43" spans="1:7" ht="15.6">
      <c r="A43" s="19"/>
      <c r="B43" s="13"/>
      <c r="C43" s="13"/>
      <c r="D43" s="13"/>
      <c r="E43" s="13"/>
    </row>
    <row r="44" spans="1:7" ht="15.6">
      <c r="A44" s="18" t="s">
        <v>11</v>
      </c>
      <c r="B44" s="13"/>
      <c r="C44" s="13"/>
      <c r="D44" s="13"/>
      <c r="E44" s="13"/>
    </row>
    <row r="45" spans="1:7" ht="15.6">
      <c r="A45" s="19" t="s">
        <v>12</v>
      </c>
      <c r="B45" s="17" t="s">
        <v>35</v>
      </c>
      <c r="C45" s="17" t="s">
        <v>35</v>
      </c>
      <c r="D45" s="17" t="s">
        <v>35</v>
      </c>
      <c r="E45" s="17" t="s">
        <v>35</v>
      </c>
      <c r="F45" s="17" t="s">
        <v>35</v>
      </c>
      <c r="G45" s="17" t="s">
        <v>35</v>
      </c>
    </row>
    <row r="46" spans="1:7" ht="15.6">
      <c r="A46" s="19" t="s">
        <v>13</v>
      </c>
      <c r="B46" s="17" t="s">
        <v>35</v>
      </c>
      <c r="C46" s="17" t="s">
        <v>35</v>
      </c>
      <c r="D46" s="17" t="s">
        <v>35</v>
      </c>
      <c r="E46" s="17" t="s">
        <v>35</v>
      </c>
      <c r="F46" s="17" t="s">
        <v>35</v>
      </c>
      <c r="G46" s="17" t="s">
        <v>35</v>
      </c>
    </row>
    <row r="47" spans="1:7" ht="15.6">
      <c r="A47" s="19"/>
      <c r="B47" s="13"/>
      <c r="C47" s="13"/>
      <c r="D47" s="13"/>
      <c r="E47" s="13"/>
    </row>
    <row r="48" spans="1:7" ht="15.6">
      <c r="A48" s="18" t="s">
        <v>14</v>
      </c>
      <c r="B48" s="13"/>
      <c r="C48" s="13"/>
      <c r="D48" s="13"/>
      <c r="E48" s="13"/>
    </row>
    <row r="49" spans="1:7" ht="15.6">
      <c r="A49" s="19" t="s">
        <v>15</v>
      </c>
      <c r="B49" s="10">
        <f>B17/B16*100</f>
        <v>93.396992559991617</v>
      </c>
      <c r="C49" s="10">
        <f t="shared" ref="C49:G49" si="11">C17/C16*100</f>
        <v>92.84641784641785</v>
      </c>
      <c r="D49" s="10">
        <f t="shared" si="11"/>
        <v>93.954305799648509</v>
      </c>
      <c r="E49" s="10">
        <f t="shared" si="11"/>
        <v>100.22002200220021</v>
      </c>
      <c r="F49" s="8" t="s">
        <v>36</v>
      </c>
      <c r="G49" s="10">
        <f t="shared" si="11"/>
        <v>99.628252788104092</v>
      </c>
    </row>
    <row r="50" spans="1:7" ht="15.6">
      <c r="A50" s="19" t="s">
        <v>16</v>
      </c>
      <c r="B50" s="10">
        <f>B23/B22*100</f>
        <v>97.5005844619877</v>
      </c>
      <c r="C50" s="10">
        <f t="shared" ref="C50:G50" si="12">C23/C22*100</f>
        <v>103.65995724045767</v>
      </c>
      <c r="D50" s="10">
        <f t="shared" si="12"/>
        <v>88.232018849406586</v>
      </c>
      <c r="E50" s="10">
        <f t="shared" si="12"/>
        <v>98.101444966846188</v>
      </c>
      <c r="F50" s="8" t="s">
        <v>36</v>
      </c>
      <c r="G50" s="10">
        <f t="shared" si="12"/>
        <v>96.587910939118387</v>
      </c>
    </row>
    <row r="51" spans="1:7" ht="15.6">
      <c r="A51" s="19" t="s">
        <v>17</v>
      </c>
      <c r="B51" s="10">
        <f>AVERAGE(B49:B50)</f>
        <v>95.448788510989658</v>
      </c>
      <c r="C51" s="10">
        <f t="shared" ref="C51:G51" si="13">AVERAGE(C49:C50)</f>
        <v>98.253187543437761</v>
      </c>
      <c r="D51" s="10">
        <f t="shared" si="13"/>
        <v>91.093162324527555</v>
      </c>
      <c r="E51" s="10">
        <f t="shared" si="13"/>
        <v>99.160733484523206</v>
      </c>
      <c r="F51" s="8" t="s">
        <v>36</v>
      </c>
      <c r="G51" s="10">
        <f t="shared" si="13"/>
        <v>98.108081863611233</v>
      </c>
    </row>
    <row r="52" spans="1:7" ht="15.6">
      <c r="A52" s="19"/>
      <c r="B52" s="10"/>
      <c r="C52" s="10"/>
      <c r="D52" s="10"/>
      <c r="E52" s="10"/>
      <c r="F52" s="10"/>
      <c r="G52" s="10"/>
    </row>
    <row r="53" spans="1:7" ht="15.6">
      <c r="A53" s="18" t="s">
        <v>18</v>
      </c>
      <c r="B53" s="10"/>
      <c r="C53" s="10"/>
      <c r="D53" s="10"/>
      <c r="E53" s="10"/>
      <c r="F53" s="10"/>
      <c r="G53" s="10"/>
    </row>
    <row r="54" spans="1:7" ht="15.6">
      <c r="A54" s="19" t="s">
        <v>19</v>
      </c>
      <c r="B54" s="10">
        <f>B17/B18*100</f>
        <v>27.842402233546149</v>
      </c>
      <c r="C54" s="10">
        <f t="shared" ref="C54:G54" si="14">C17/C18*100</f>
        <v>23.211604461604463</v>
      </c>
      <c r="D54" s="10">
        <f t="shared" si="14"/>
        <v>85.907118753013009</v>
      </c>
      <c r="E54" s="10">
        <f t="shared" si="14"/>
        <v>100.22002200220021</v>
      </c>
      <c r="F54" s="10">
        <f t="shared" si="14"/>
        <v>0</v>
      </c>
      <c r="G54" s="10">
        <f t="shared" si="14"/>
        <v>99.628252788104092</v>
      </c>
    </row>
    <row r="55" spans="1:7" ht="15.6">
      <c r="A55" s="19" t="s">
        <v>20</v>
      </c>
      <c r="B55" s="10">
        <f>B23/B24*100</f>
        <v>24.375146115496925</v>
      </c>
      <c r="C55" s="10">
        <f t="shared" ref="C55:G55" si="15">C23/C24*100</f>
        <v>26.372779645316303</v>
      </c>
      <c r="D55" s="10">
        <f t="shared" si="15"/>
        <v>22.447661109662285</v>
      </c>
      <c r="E55" s="10">
        <f t="shared" si="15"/>
        <v>24.958603687190493</v>
      </c>
      <c r="F55" s="10">
        <f t="shared" si="15"/>
        <v>1.7957976800708666E-3</v>
      </c>
      <c r="G55" s="10">
        <f t="shared" si="15"/>
        <v>24.573536005727863</v>
      </c>
    </row>
    <row r="56" spans="1:7" ht="15.6">
      <c r="A56" s="19" t="s">
        <v>21</v>
      </c>
      <c r="B56" s="10">
        <f>(B54+B55)/2</f>
        <v>26.108774174521535</v>
      </c>
      <c r="C56" s="10">
        <f t="shared" ref="C56:G56" si="16">(C54+C55)/2</f>
        <v>24.792192053460383</v>
      </c>
      <c r="D56" s="10">
        <f t="shared" si="16"/>
        <v>54.177389931337643</v>
      </c>
      <c r="E56" s="10">
        <f t="shared" si="16"/>
        <v>62.58931284469535</v>
      </c>
      <c r="F56" s="10">
        <f t="shared" si="16"/>
        <v>8.978988400354333E-4</v>
      </c>
      <c r="G56" s="10">
        <f t="shared" si="16"/>
        <v>62.100894396915976</v>
      </c>
    </row>
    <row r="57" spans="1:7" ht="15.6">
      <c r="A57" s="19"/>
      <c r="B57" s="10"/>
      <c r="C57" s="10"/>
      <c r="D57" s="10"/>
      <c r="E57" s="10"/>
    </row>
    <row r="58" spans="1:7" ht="15.6">
      <c r="A58" s="18" t="s">
        <v>32</v>
      </c>
      <c r="B58" s="10"/>
      <c r="C58" s="10"/>
      <c r="D58" s="10"/>
      <c r="E58" s="10"/>
    </row>
    <row r="59" spans="1:7" ht="15.6">
      <c r="A59" s="19" t="s">
        <v>22</v>
      </c>
      <c r="B59" s="10">
        <f>B25/B23*100</f>
        <v>100</v>
      </c>
      <c r="C59" s="10"/>
      <c r="D59" s="10"/>
      <c r="E59" s="10"/>
    </row>
    <row r="60" spans="1:7" ht="15.6">
      <c r="A60" s="19"/>
      <c r="B60" s="10"/>
      <c r="C60" s="10"/>
      <c r="D60" s="10"/>
      <c r="E60" s="10"/>
    </row>
    <row r="61" spans="1:7" ht="15.6">
      <c r="A61" s="18" t="s">
        <v>23</v>
      </c>
      <c r="B61" s="10"/>
      <c r="C61" s="10"/>
      <c r="D61" s="10"/>
      <c r="E61" s="10"/>
    </row>
    <row r="62" spans="1:7" ht="15.6">
      <c r="A62" s="19" t="s">
        <v>24</v>
      </c>
      <c r="B62" s="10">
        <f>((B17/B15)-1)*100</f>
        <v>0.90142359833584873</v>
      </c>
      <c r="C62" s="10">
        <f>((C17/C15)-1)*100</f>
        <v>4.8062953995157365</v>
      </c>
      <c r="D62" s="10">
        <f t="shared" ref="D62:E62" si="17">((D17/D15)-1)*100</f>
        <v>-0.49016566358502933</v>
      </c>
      <c r="E62" s="10">
        <f t="shared" si="17"/>
        <v>21.954484605087021</v>
      </c>
      <c r="F62" s="10" t="s">
        <v>36</v>
      </c>
      <c r="G62" s="10">
        <f t="shared" ref="G62" si="18">((G17/G15)-1)*100</f>
        <v>-43.140028288543142</v>
      </c>
    </row>
    <row r="63" spans="1:7" ht="15.6">
      <c r="A63" s="19" t="s">
        <v>25</v>
      </c>
      <c r="B63" s="10">
        <f t="shared" ref="B63" si="19">((B38/B37)-1)*100</f>
        <v>-11.872193162276801</v>
      </c>
      <c r="C63" s="10">
        <f t="shared" ref="C63:D63" si="20">((C38/C37)-1)*100</f>
        <v>32.292126558735013</v>
      </c>
      <c r="D63" s="10">
        <f t="shared" si="20"/>
        <v>-9.8342106277228396</v>
      </c>
      <c r="E63" s="10">
        <f t="shared" ref="E63:G63" si="21">((E38/E37)-1)*100</f>
        <v>27.062759228778877</v>
      </c>
      <c r="F63" s="10">
        <f t="shared" si="21"/>
        <v>-99.858722209364842</v>
      </c>
      <c r="G63" s="10">
        <f t="shared" si="21"/>
        <v>-54.097114079910433</v>
      </c>
    </row>
    <row r="64" spans="1:7" ht="15.6">
      <c r="A64" s="19" t="s">
        <v>26</v>
      </c>
      <c r="B64" s="10">
        <f>((B40/B39)-1)*100</f>
        <v>-12.659501030888654</v>
      </c>
      <c r="C64" s="10">
        <f>((C40/C39)-1)*100</f>
        <v>26.225362755590975</v>
      </c>
      <c r="D64" s="10">
        <f t="shared" ref="D64:E64" si="22">((D40/D39)-1)*100</f>
        <v>-9.3900718722414904</v>
      </c>
      <c r="E64" s="10">
        <f t="shared" si="22"/>
        <v>4.1886730448933207</v>
      </c>
      <c r="F64" s="10" t="s">
        <v>36</v>
      </c>
      <c r="G64" s="10">
        <f t="shared" ref="G64" si="23">((G40/G39)-1)*100</f>
        <v>-19.270297648001687</v>
      </c>
    </row>
    <row r="65" spans="1:7" ht="15.6">
      <c r="A65" s="19"/>
      <c r="B65" s="10"/>
      <c r="C65" s="10"/>
      <c r="D65" s="10"/>
      <c r="E65" s="10"/>
    </row>
    <row r="66" spans="1:7" ht="15.6">
      <c r="A66" s="18" t="s">
        <v>27</v>
      </c>
      <c r="B66" s="10"/>
      <c r="C66" s="10"/>
      <c r="D66" s="10"/>
      <c r="E66" s="10"/>
    </row>
    <row r="67" spans="1:7" ht="15.6">
      <c r="A67" s="19" t="s">
        <v>40</v>
      </c>
      <c r="B67" s="10">
        <f>B22/(B16*3)</f>
        <v>105050.22286299513</v>
      </c>
      <c r="C67" s="10">
        <f>C22/(C16)</f>
        <v>183364.88837405769</v>
      </c>
      <c r="D67" s="10">
        <f t="shared" ref="D67" si="24">D22/(D16*3)</f>
        <v>126671.64831754082</v>
      </c>
      <c r="E67" s="10">
        <f t="shared" ref="E67:G67" si="25">E22/(E16*3)</f>
        <v>875377.82647227065</v>
      </c>
      <c r="F67" s="8" t="s">
        <v>36</v>
      </c>
      <c r="G67" s="10">
        <f t="shared" si="25"/>
        <v>678464.39273414121</v>
      </c>
    </row>
    <row r="68" spans="1:7" ht="15.6">
      <c r="A68" s="19" t="s">
        <v>41</v>
      </c>
      <c r="B68" s="10">
        <f t="shared" ref="B68" si="26">B23/(B17*3)</f>
        <v>109665.82377291279</v>
      </c>
      <c r="C68" s="10">
        <f>C23/(C17)</f>
        <v>204720.83823091141</v>
      </c>
      <c r="D68" s="10">
        <f t="shared" ref="D68" si="27">D23/(D17*3)</f>
        <v>118956.71163673775</v>
      </c>
      <c r="E68" s="10">
        <f t="shared" ref="E68:G68" si="28">E23/(E17*3)</f>
        <v>856872.98758507124</v>
      </c>
      <c r="F68" s="8" t="s">
        <v>36</v>
      </c>
      <c r="G68" s="10">
        <f t="shared" si="28"/>
        <v>657759.78707711445</v>
      </c>
    </row>
    <row r="69" spans="1:7" ht="15.6">
      <c r="A69" s="19" t="s">
        <v>28</v>
      </c>
      <c r="B69" s="10">
        <f>(B68/B67)*B51</f>
        <v>99.642530352703076</v>
      </c>
      <c r="C69" s="10">
        <f t="shared" ref="C69" si="29">(C68/C67)*C51</f>
        <v>109.69643693027385</v>
      </c>
      <c r="D69" s="10">
        <f t="shared" ref="D69" si="30">(D68/D67)*D51</f>
        <v>85.545133316283184</v>
      </c>
      <c r="E69" s="10">
        <f t="shared" ref="E69:G69" si="31">(E68/E67)*E51</f>
        <v>97.06454902385164</v>
      </c>
      <c r="F69" s="8" t="s">
        <v>36</v>
      </c>
      <c r="G69" s="10">
        <f t="shared" si="31"/>
        <v>95.114130864108532</v>
      </c>
    </row>
    <row r="70" spans="1:7" ht="15.6">
      <c r="A70" s="19" t="s">
        <v>42</v>
      </c>
      <c r="B70" s="10">
        <f t="shared" ref="B70:B71" si="32">B22/B16</f>
        <v>315150.66858898534</v>
      </c>
      <c r="C70" s="10">
        <f>(C22/C16)*3</f>
        <v>550094.66512217303</v>
      </c>
      <c r="D70" s="10">
        <f t="shared" ref="D70" si="33">D22/D16</f>
        <v>380014.94495262246</v>
      </c>
      <c r="E70" s="10">
        <f t="shared" ref="E70:G70" si="34">E22/E16</f>
        <v>2626133.4794168118</v>
      </c>
      <c r="F70" s="8" t="s">
        <v>36</v>
      </c>
      <c r="G70" s="10">
        <f t="shared" si="34"/>
        <v>2035393.1782024237</v>
      </c>
    </row>
    <row r="71" spans="1:7" ht="15.6">
      <c r="A71" s="19" t="s">
        <v>43</v>
      </c>
      <c r="B71" s="10">
        <f t="shared" si="32"/>
        <v>328997.47131873836</v>
      </c>
      <c r="C71" s="10">
        <f>(C23/C17)*3</f>
        <v>614162.51469273423</v>
      </c>
      <c r="D71" s="10">
        <f t="shared" ref="D71" si="35">D23/D17</f>
        <v>356870.13491021324</v>
      </c>
      <c r="E71" s="10">
        <f t="shared" ref="E71:G71" si="36">E23/E17</f>
        <v>2570618.9627552135</v>
      </c>
      <c r="F71" s="8" t="s">
        <v>36</v>
      </c>
      <c r="G71" s="10">
        <f t="shared" si="36"/>
        <v>1973279.3612313434</v>
      </c>
    </row>
    <row r="72" spans="1:7" ht="15.6">
      <c r="A72" s="19"/>
      <c r="B72" s="10"/>
      <c r="C72" s="10"/>
      <c r="D72" s="10"/>
      <c r="E72" s="10"/>
    </row>
    <row r="73" spans="1:7" ht="15.6">
      <c r="A73" s="18" t="s">
        <v>29</v>
      </c>
      <c r="B73" s="10"/>
      <c r="C73" s="10"/>
      <c r="D73" s="10"/>
      <c r="E73" s="10"/>
    </row>
    <row r="74" spans="1:7" ht="15.6">
      <c r="A74" s="19" t="s">
        <v>30</v>
      </c>
      <c r="B74" s="10">
        <f>(B29/B28)*100</f>
        <v>99.999999996851614</v>
      </c>
      <c r="C74" s="10"/>
      <c r="D74" s="10"/>
      <c r="E74" s="10"/>
    </row>
    <row r="75" spans="1:7" ht="15.6">
      <c r="A75" s="19" t="s">
        <v>31</v>
      </c>
      <c r="B75" s="10">
        <f>(B23/B29)*100</f>
        <v>97.500584465057401</v>
      </c>
      <c r="C75" s="10"/>
      <c r="D75" s="10"/>
      <c r="E75" s="10"/>
    </row>
    <row r="76" spans="1:7" ht="16.2" thickBot="1">
      <c r="A76" s="15"/>
      <c r="B76" s="15"/>
      <c r="C76" s="15"/>
      <c r="D76" s="15"/>
      <c r="E76" s="15"/>
      <c r="F76" s="15"/>
      <c r="G76" s="15"/>
    </row>
    <row r="77" spans="1:7" s="22" customFormat="1" ht="16.5" customHeight="1" thickTop="1">
      <c r="A77" s="46" t="s">
        <v>87</v>
      </c>
      <c r="B77" s="46"/>
      <c r="C77" s="46"/>
      <c r="D77" s="46"/>
      <c r="E77" s="46"/>
      <c r="F77" s="46"/>
      <c r="G77" s="46"/>
    </row>
    <row r="78" spans="1:7" customFormat="1">
      <c r="A78" s="23"/>
    </row>
    <row r="79" spans="1:7" s="19" customFormat="1" ht="37.5" customHeight="1">
      <c r="A79" s="45" t="s">
        <v>88</v>
      </c>
      <c r="B79" s="45"/>
      <c r="C79" s="45"/>
      <c r="D79" s="45"/>
      <c r="E79" s="45"/>
      <c r="F79" s="45"/>
      <c r="G79" s="45"/>
    </row>
    <row r="80" spans="1:7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</sheetData>
  <mergeCells count="5">
    <mergeCell ref="A9:A10"/>
    <mergeCell ref="B9:B10"/>
    <mergeCell ref="C9:G9"/>
    <mergeCell ref="A79:G79"/>
    <mergeCell ref="A77:G77"/>
  </mergeCells>
  <pageMargins left="0.7" right="0.7" top="0.75" bottom="0.75" header="0.3" footer="0.3"/>
  <pageSetup orientation="portrait" r:id="rId1"/>
  <ignoredErrors>
    <ignoredError sqref="C67:C7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9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/>
  <cols>
    <col min="1" max="1" width="64.33203125" style="1" customWidth="1"/>
    <col min="2" max="7" width="24.6640625" style="1" customWidth="1"/>
    <col min="8" max="16384" width="11.44140625" style="1"/>
  </cols>
  <sheetData>
    <row r="1" spans="1:7" customFormat="1"/>
    <row r="2" spans="1:7" customFormat="1"/>
    <row r="3" spans="1:7" customFormat="1"/>
    <row r="4" spans="1:7" customFormat="1"/>
    <row r="5" spans="1:7" customFormat="1"/>
    <row r="6" spans="1:7" customFormat="1"/>
    <row r="7" spans="1:7" customFormat="1"/>
    <row r="8" spans="1:7" customFormat="1"/>
    <row r="9" spans="1:7" s="22" customFormat="1" ht="15.6">
      <c r="A9" s="40" t="s">
        <v>0</v>
      </c>
      <c r="B9" s="42" t="s">
        <v>1</v>
      </c>
      <c r="C9" s="44" t="s">
        <v>2</v>
      </c>
      <c r="D9" s="44"/>
      <c r="E9" s="44"/>
      <c r="F9" s="44"/>
      <c r="G9" s="44"/>
    </row>
    <row r="10" spans="1:7" s="27" customFormat="1" ht="63" thickBot="1">
      <c r="A10" s="41"/>
      <c r="B10" s="43"/>
      <c r="C10" s="24" t="s">
        <v>39</v>
      </c>
      <c r="D10" s="24" t="s">
        <v>48</v>
      </c>
      <c r="E10" s="24" t="s">
        <v>49</v>
      </c>
      <c r="F10" s="24" t="s">
        <v>50</v>
      </c>
      <c r="G10" s="24" t="s">
        <v>51</v>
      </c>
    </row>
    <row r="11" spans="1:7" customFormat="1" ht="15" thickTop="1"/>
    <row r="12" spans="1:7" customFormat="1" ht="15.6">
      <c r="A12" s="18" t="s">
        <v>3</v>
      </c>
      <c r="B12" s="19"/>
      <c r="C12" s="19"/>
      <c r="D12" s="19"/>
      <c r="E12" s="19"/>
    </row>
    <row r="13" spans="1:7" customFormat="1" ht="15.6">
      <c r="A13" s="19"/>
      <c r="B13" s="19"/>
      <c r="C13" s="19"/>
      <c r="D13" s="19"/>
      <c r="E13" s="19"/>
    </row>
    <row r="14" spans="1:7" customFormat="1" ht="15.6">
      <c r="A14" s="18" t="s">
        <v>4</v>
      </c>
      <c r="B14" s="19"/>
      <c r="C14" s="19"/>
      <c r="D14" s="19"/>
      <c r="E14" s="19"/>
    </row>
    <row r="15" spans="1:7" ht="15.6">
      <c r="A15" s="20" t="s">
        <v>56</v>
      </c>
      <c r="B15" s="8">
        <f>+SUM(C15:G15)</f>
        <v>24604</v>
      </c>
      <c r="C15" s="25">
        <v>17662</v>
      </c>
      <c r="D15" s="25">
        <v>5379</v>
      </c>
      <c r="E15" s="25">
        <v>338</v>
      </c>
      <c r="F15" s="25">
        <v>167</v>
      </c>
      <c r="G15" s="25">
        <v>1058</v>
      </c>
    </row>
    <row r="16" spans="1:7" ht="15.6">
      <c r="A16" s="20" t="s">
        <v>89</v>
      </c>
      <c r="B16" s="8">
        <f>+SUM(C16:G16)</f>
        <v>28888</v>
      </c>
      <c r="C16" s="25">
        <v>18648</v>
      </c>
      <c r="D16" s="25">
        <v>5690</v>
      </c>
      <c r="E16" s="25">
        <v>303</v>
      </c>
      <c r="F16" s="25">
        <v>3440</v>
      </c>
      <c r="G16" s="25">
        <v>807</v>
      </c>
    </row>
    <row r="17" spans="1:7" ht="15.6">
      <c r="A17" s="20" t="s">
        <v>90</v>
      </c>
      <c r="B17" s="8">
        <f t="shared" ref="B17:B18" si="0">+SUM(C17:G17)</f>
        <v>27542.666666666668</v>
      </c>
      <c r="C17" s="37">
        <v>21076</v>
      </c>
      <c r="D17" s="25">
        <v>5375.666666666667</v>
      </c>
      <c r="E17" s="25">
        <v>287</v>
      </c>
      <c r="F17" s="25">
        <v>0</v>
      </c>
      <c r="G17" s="25">
        <v>804</v>
      </c>
    </row>
    <row r="18" spans="1:7" ht="15.6">
      <c r="A18" s="20" t="s">
        <v>82</v>
      </c>
      <c r="B18" s="8">
        <f t="shared" si="0"/>
        <v>85365</v>
      </c>
      <c r="C18" s="25">
        <v>74592</v>
      </c>
      <c r="D18" s="25">
        <v>6223</v>
      </c>
      <c r="E18" s="25">
        <v>303</v>
      </c>
      <c r="F18" s="25">
        <v>3440</v>
      </c>
      <c r="G18" s="25">
        <v>807</v>
      </c>
    </row>
    <row r="19" spans="1:7" ht="15.6">
      <c r="A19" s="19"/>
      <c r="B19" s="8"/>
      <c r="C19" s="25"/>
      <c r="D19" s="25"/>
      <c r="E19" s="25"/>
      <c r="F19"/>
      <c r="G19"/>
    </row>
    <row r="20" spans="1:7" ht="15.6">
      <c r="A20" s="21" t="s">
        <v>5</v>
      </c>
      <c r="B20" s="8"/>
      <c r="C20" s="25"/>
      <c r="D20" s="25"/>
      <c r="E20" s="25"/>
      <c r="F20"/>
      <c r="G20"/>
    </row>
    <row r="21" spans="1:7" ht="15.6">
      <c r="A21" s="20" t="s">
        <v>56</v>
      </c>
      <c r="B21" s="8">
        <f>SUM(C21:G21)</f>
        <v>8313785197.8500004</v>
      </c>
      <c r="C21" s="25">
        <v>2194751596.9100003</v>
      </c>
      <c r="D21" s="25">
        <v>2294412864.3699999</v>
      </c>
      <c r="E21" s="25">
        <v>542790141.69000006</v>
      </c>
      <c r="F21" s="25">
        <v>15542603.819999998</v>
      </c>
      <c r="G21" s="25">
        <v>3266287991.0599999</v>
      </c>
    </row>
    <row r="22" spans="1:7" ht="15.6">
      <c r="A22" s="20" t="s">
        <v>89</v>
      </c>
      <c r="B22" s="8">
        <f>SUM(C22:G22)</f>
        <v>8019954214.2524996</v>
      </c>
      <c r="C22" s="25">
        <v>3393805796.8488278</v>
      </c>
      <c r="D22" s="25">
        <v>2146107593.35078</v>
      </c>
      <c r="E22" s="25">
        <v>789765163.4057622</v>
      </c>
      <c r="F22" s="25">
        <v>60002429.560615443</v>
      </c>
      <c r="G22" s="25">
        <v>1630273231.0865145</v>
      </c>
    </row>
    <row r="23" spans="1:7" ht="15.6">
      <c r="A23" s="20" t="s">
        <v>90</v>
      </c>
      <c r="B23" s="8">
        <f t="shared" ref="B23:B25" si="1">SUM(C23:G23)</f>
        <v>6769454314.9900007</v>
      </c>
      <c r="C23" s="25">
        <v>2610010090.96</v>
      </c>
      <c r="D23" s="25">
        <v>1937836562.5599999</v>
      </c>
      <c r="E23" s="25">
        <v>592762336.56999993</v>
      </c>
      <c r="F23" s="25">
        <v>31488575.010000002</v>
      </c>
      <c r="G23" s="25">
        <v>1597356749.8900001</v>
      </c>
    </row>
    <row r="24" spans="1:7" ht="15.6">
      <c r="A24" s="20" t="s">
        <v>82</v>
      </c>
      <c r="B24" s="8">
        <f t="shared" si="1"/>
        <v>32079816857.009998</v>
      </c>
      <c r="C24" s="25">
        <v>13440132745.959888</v>
      </c>
      <c r="D24" s="25">
        <v>8499004559.5832787</v>
      </c>
      <c r="E24" s="25">
        <v>3127624050.9024677</v>
      </c>
      <c r="F24" s="25">
        <v>556855602.99896228</v>
      </c>
      <c r="G24" s="25">
        <v>6456199897.5654039</v>
      </c>
    </row>
    <row r="25" spans="1:7" ht="15.6">
      <c r="A25" s="20" t="s">
        <v>91</v>
      </c>
      <c r="B25" s="8">
        <f t="shared" si="1"/>
        <v>6769454314.9900007</v>
      </c>
      <c r="C25" s="8">
        <f>+C23</f>
        <v>2610010090.96</v>
      </c>
      <c r="D25" s="8">
        <f t="shared" ref="D25:G25" si="2">+D23</f>
        <v>1937836562.5599999</v>
      </c>
      <c r="E25" s="8">
        <f t="shared" si="2"/>
        <v>592762336.56999993</v>
      </c>
      <c r="F25" s="8">
        <f t="shared" si="2"/>
        <v>31488575.010000002</v>
      </c>
      <c r="G25" s="8">
        <f t="shared" si="2"/>
        <v>1597356749.8900001</v>
      </c>
    </row>
    <row r="26" spans="1:7" ht="15.6">
      <c r="A26" s="19"/>
      <c r="B26" s="8"/>
      <c r="C26" s="8"/>
      <c r="D26" s="8"/>
      <c r="E26" s="8"/>
    </row>
    <row r="27" spans="1:7" ht="15.6">
      <c r="A27" s="21" t="s">
        <v>6</v>
      </c>
      <c r="B27" s="8"/>
      <c r="C27" s="8"/>
      <c r="D27" s="8"/>
      <c r="E27" s="8"/>
    </row>
    <row r="28" spans="1:7" ht="15.6">
      <c r="A28" s="20" t="s">
        <v>89</v>
      </c>
      <c r="B28" s="8">
        <f>B22</f>
        <v>8019954214.2524996</v>
      </c>
      <c r="C28" s="8"/>
      <c r="D28" s="8"/>
      <c r="E28" s="8"/>
    </row>
    <row r="29" spans="1:7" ht="15.6">
      <c r="A29" s="20" t="s">
        <v>90</v>
      </c>
      <c r="B29" s="25">
        <v>8019954214</v>
      </c>
      <c r="C29" s="8"/>
      <c r="D29" s="8"/>
      <c r="E29" s="8"/>
    </row>
    <row r="30" spans="1:7" ht="15.6">
      <c r="A30" s="19"/>
      <c r="B30" s="13"/>
      <c r="C30" s="13"/>
      <c r="D30" s="13"/>
      <c r="E30" s="13"/>
    </row>
    <row r="31" spans="1:7" ht="15.6">
      <c r="A31" s="18" t="s">
        <v>7</v>
      </c>
      <c r="B31" s="13"/>
      <c r="C31" s="13"/>
      <c r="D31" s="13"/>
      <c r="E31" s="13"/>
    </row>
    <row r="32" spans="1:7" ht="15.6">
      <c r="A32" s="20" t="s">
        <v>57</v>
      </c>
      <c r="B32" s="29">
        <v>1.0973999999999999</v>
      </c>
      <c r="C32" s="29">
        <v>1.0973999999999999</v>
      </c>
      <c r="D32" s="29">
        <v>1.0973999999999999</v>
      </c>
      <c r="E32" s="29">
        <v>1.0973999999999999</v>
      </c>
      <c r="F32" s="29">
        <v>1.0973999999999999</v>
      </c>
      <c r="G32" s="29">
        <v>1.0973999999999999</v>
      </c>
    </row>
    <row r="33" spans="1:7" ht="15.6">
      <c r="A33" s="20" t="s">
        <v>92</v>
      </c>
      <c r="B33" s="29">
        <v>1.0971</v>
      </c>
      <c r="C33" s="29">
        <v>1.0971</v>
      </c>
      <c r="D33" s="29">
        <v>1.0971</v>
      </c>
      <c r="E33" s="29">
        <v>1.0971</v>
      </c>
      <c r="F33" s="29">
        <v>1.0971</v>
      </c>
      <c r="G33" s="29">
        <v>1.0971</v>
      </c>
    </row>
    <row r="34" spans="1:7" ht="15.6">
      <c r="A34" s="20" t="s">
        <v>8</v>
      </c>
      <c r="B34" s="30" t="s">
        <v>36</v>
      </c>
      <c r="C34" s="30" t="s">
        <v>36</v>
      </c>
      <c r="D34" s="30" t="s">
        <v>36</v>
      </c>
      <c r="E34" s="30" t="s">
        <v>36</v>
      </c>
      <c r="F34" s="30" t="s">
        <v>36</v>
      </c>
      <c r="G34" s="30" t="s">
        <v>36</v>
      </c>
    </row>
    <row r="35" spans="1:7" ht="15.6">
      <c r="A35" s="19"/>
      <c r="B35" s="13"/>
      <c r="C35" s="13"/>
      <c r="D35" s="13"/>
      <c r="E35" s="13"/>
    </row>
    <row r="36" spans="1:7" ht="15.6">
      <c r="A36" s="18" t="s">
        <v>9</v>
      </c>
      <c r="B36" s="13"/>
      <c r="C36" s="13"/>
      <c r="D36" s="13"/>
      <c r="E36" s="13"/>
    </row>
    <row r="37" spans="1:7" ht="15.6">
      <c r="A37" s="20" t="s">
        <v>58</v>
      </c>
      <c r="B37" s="14">
        <f t="shared" ref="B37" si="3">B21/B32</f>
        <v>7575893200.154912</v>
      </c>
      <c r="C37" s="14">
        <f t="shared" ref="C37:E37" si="4">C21/C32</f>
        <v>1999955892.9378536</v>
      </c>
      <c r="D37" s="14">
        <f t="shared" si="4"/>
        <v>2090771700.7198834</v>
      </c>
      <c r="E37" s="14">
        <f t="shared" si="4"/>
        <v>494614672.58064526</v>
      </c>
      <c r="F37" s="14">
        <f t="shared" ref="F37:G37" si="5">F21/F32</f>
        <v>14163116.293056315</v>
      </c>
      <c r="G37" s="14">
        <f t="shared" si="5"/>
        <v>2976387817.6234736</v>
      </c>
    </row>
    <row r="38" spans="1:7" ht="15.6">
      <c r="A38" s="20" t="s">
        <v>93</v>
      </c>
      <c r="B38" s="14">
        <f t="shared" ref="B38" si="6">B23/B33</f>
        <v>6170316575.5081587</v>
      </c>
      <c r="C38" s="14">
        <f t="shared" ref="C38:E38" si="7">C23/C33</f>
        <v>2379008377.5043297</v>
      </c>
      <c r="D38" s="14">
        <f t="shared" si="7"/>
        <v>1766326280.7036734</v>
      </c>
      <c r="E38" s="14">
        <f t="shared" si="7"/>
        <v>540299276.79336429</v>
      </c>
      <c r="F38" s="14">
        <f t="shared" ref="F38:G38" si="8">F23/F33</f>
        <v>28701645.255674053</v>
      </c>
      <c r="G38" s="14">
        <f t="shared" si="8"/>
        <v>1455980995.2511168</v>
      </c>
    </row>
    <row r="39" spans="1:7" ht="15.6">
      <c r="A39" s="20" t="s">
        <v>59</v>
      </c>
      <c r="B39" s="8">
        <f>B37/B15</f>
        <v>307913.0710516547</v>
      </c>
      <c r="C39" s="8">
        <f t="shared" ref="C39:E39" si="9">C37/C15</f>
        <v>113234.9616656015</v>
      </c>
      <c r="D39" s="8">
        <f t="shared" si="9"/>
        <v>388691.52272167383</v>
      </c>
      <c r="E39" s="8">
        <f t="shared" si="9"/>
        <v>1463357.0194693648</v>
      </c>
      <c r="F39" s="8">
        <f t="shared" ref="F39:G39" si="10">F37/F15</f>
        <v>84809.079599139615</v>
      </c>
      <c r="G39" s="8">
        <f t="shared" si="10"/>
        <v>2813220.9996441151</v>
      </c>
    </row>
    <row r="40" spans="1:7" ht="15.6">
      <c r="A40" s="20" t="s">
        <v>94</v>
      </c>
      <c r="B40" s="8">
        <f t="shared" ref="B40" si="11">B38/B17</f>
        <v>224027.56603723284</v>
      </c>
      <c r="C40" s="8">
        <f t="shared" ref="C40:E40" si="12">C38/C17</f>
        <v>112877.60379124737</v>
      </c>
      <c r="D40" s="8">
        <f t="shared" si="12"/>
        <v>328578.08905010356</v>
      </c>
      <c r="E40" s="8">
        <f t="shared" si="12"/>
        <v>1882575.8773287954</v>
      </c>
      <c r="F40" s="8" t="s">
        <v>36</v>
      </c>
      <c r="G40" s="8">
        <f t="shared" ref="G40" si="13">G38/G17</f>
        <v>1810921.6358844736</v>
      </c>
    </row>
    <row r="41" spans="1:7" ht="15.6">
      <c r="A41" s="19"/>
      <c r="B41" s="8"/>
      <c r="C41" s="8"/>
      <c r="D41" s="8"/>
      <c r="E41" s="8"/>
    </row>
    <row r="42" spans="1:7" ht="15.6">
      <c r="A42" s="18" t="s">
        <v>10</v>
      </c>
      <c r="B42" s="13"/>
      <c r="C42" s="13"/>
      <c r="D42" s="13"/>
      <c r="E42" s="13"/>
    </row>
    <row r="43" spans="1:7" ht="15.6">
      <c r="A43" s="19"/>
      <c r="B43" s="13"/>
      <c r="C43" s="13"/>
      <c r="D43" s="13"/>
      <c r="E43" s="13"/>
    </row>
    <row r="44" spans="1:7" ht="15.6">
      <c r="A44" s="18" t="s">
        <v>11</v>
      </c>
      <c r="B44" s="13"/>
      <c r="C44" s="13"/>
      <c r="D44" s="13"/>
      <c r="E44" s="13"/>
    </row>
    <row r="45" spans="1:7" ht="15.6">
      <c r="A45" s="19" t="s">
        <v>12</v>
      </c>
      <c r="B45" s="17" t="s">
        <v>35</v>
      </c>
      <c r="C45" s="17" t="s">
        <v>35</v>
      </c>
      <c r="D45" s="17" t="s">
        <v>35</v>
      </c>
      <c r="E45" s="17" t="s">
        <v>35</v>
      </c>
      <c r="F45" s="17" t="s">
        <v>35</v>
      </c>
      <c r="G45" s="17" t="s">
        <v>35</v>
      </c>
    </row>
    <row r="46" spans="1:7" ht="15.6">
      <c r="A46" s="19" t="s">
        <v>13</v>
      </c>
      <c r="B46" s="17" t="s">
        <v>35</v>
      </c>
      <c r="C46" s="17" t="s">
        <v>35</v>
      </c>
      <c r="D46" s="17" t="s">
        <v>35</v>
      </c>
      <c r="E46" s="17" t="s">
        <v>35</v>
      </c>
      <c r="F46" s="17" t="s">
        <v>35</v>
      </c>
      <c r="G46" s="17" t="s">
        <v>35</v>
      </c>
    </row>
    <row r="47" spans="1:7" ht="15.6">
      <c r="A47" s="19"/>
      <c r="B47" s="13"/>
      <c r="C47" s="13"/>
      <c r="D47" s="13"/>
      <c r="E47" s="13"/>
      <c r="F47" s="13"/>
      <c r="G47" s="13"/>
    </row>
    <row r="48" spans="1:7" ht="15.6">
      <c r="A48" s="18" t="s">
        <v>14</v>
      </c>
      <c r="B48" s="13"/>
      <c r="C48" s="13"/>
      <c r="D48" s="13"/>
      <c r="E48" s="13"/>
      <c r="F48" s="13"/>
      <c r="G48" s="13"/>
    </row>
    <row r="49" spans="1:7" ht="15.6">
      <c r="A49" s="19" t="s">
        <v>15</v>
      </c>
      <c r="B49" s="10">
        <f>B17/B16*100</f>
        <v>95.342933628727039</v>
      </c>
      <c r="C49" s="10">
        <f t="shared" ref="C49:G49" si="14">C17/C16*100</f>
        <v>113.02016302016303</v>
      </c>
      <c r="D49" s="10">
        <f t="shared" si="14"/>
        <v>94.475688342120691</v>
      </c>
      <c r="E49" s="10">
        <f t="shared" si="14"/>
        <v>94.71947194719472</v>
      </c>
      <c r="F49" s="10">
        <f t="shared" si="14"/>
        <v>0</v>
      </c>
      <c r="G49" s="10">
        <f t="shared" si="14"/>
        <v>99.628252788104092</v>
      </c>
    </row>
    <row r="50" spans="1:7" ht="15.6">
      <c r="A50" s="19" t="s">
        <v>16</v>
      </c>
      <c r="B50" s="10">
        <f>B23/B22*100</f>
        <v>84.40764291346953</v>
      </c>
      <c r="C50" s="10">
        <f t="shared" ref="C50:G50" si="15">C23/C22*100</f>
        <v>76.905110286022037</v>
      </c>
      <c r="D50" s="10">
        <f t="shared" si="15"/>
        <v>90.29540590434236</v>
      </c>
      <c r="E50" s="10">
        <f t="shared" si="15"/>
        <v>75.055518277583616</v>
      </c>
      <c r="F50" s="10">
        <f t="shared" si="15"/>
        <v>52.478833341556154</v>
      </c>
      <c r="G50" s="10">
        <f t="shared" si="15"/>
        <v>97.980922426446469</v>
      </c>
    </row>
    <row r="51" spans="1:7" ht="15.6">
      <c r="A51" s="19" t="s">
        <v>17</v>
      </c>
      <c r="B51" s="10">
        <f>AVERAGE(B49:B50)</f>
        <v>89.875288271098285</v>
      </c>
      <c r="C51" s="10">
        <f t="shared" ref="C51:G51" si="16">AVERAGE(C49:C50)</f>
        <v>94.962636653092531</v>
      </c>
      <c r="D51" s="10">
        <f t="shared" si="16"/>
        <v>92.385547123231532</v>
      </c>
      <c r="E51" s="10">
        <f t="shared" si="16"/>
        <v>84.887495112389161</v>
      </c>
      <c r="F51" s="10">
        <f t="shared" si="16"/>
        <v>26.239416670778077</v>
      </c>
      <c r="G51" s="10">
        <f t="shared" si="16"/>
        <v>98.80458760727528</v>
      </c>
    </row>
    <row r="52" spans="1:7" ht="15.6">
      <c r="A52" s="19"/>
      <c r="B52" s="10"/>
      <c r="C52" s="10"/>
      <c r="D52" s="10"/>
      <c r="E52" s="10"/>
      <c r="F52" s="10"/>
      <c r="G52" s="10"/>
    </row>
    <row r="53" spans="1:7" ht="15.6">
      <c r="A53" s="18" t="s">
        <v>18</v>
      </c>
      <c r="B53" s="10"/>
      <c r="C53" s="10"/>
      <c r="D53" s="10"/>
      <c r="E53" s="10"/>
      <c r="F53" s="10"/>
      <c r="G53" s="10"/>
    </row>
    <row r="54" spans="1:7" ht="15.6">
      <c r="A54" s="19" t="s">
        <v>19</v>
      </c>
      <c r="B54" s="10">
        <f>B17/B18*100</f>
        <v>32.264589312559792</v>
      </c>
      <c r="C54" s="10">
        <f t="shared" ref="C54:G54" si="17">C17/C18*100</f>
        <v>28.255040755040756</v>
      </c>
      <c r="D54" s="10">
        <f t="shared" si="17"/>
        <v>86.383844876533303</v>
      </c>
      <c r="E54" s="10">
        <f t="shared" si="17"/>
        <v>94.71947194719472</v>
      </c>
      <c r="F54" s="10">
        <f t="shared" si="17"/>
        <v>0</v>
      </c>
      <c r="G54" s="10">
        <f t="shared" si="17"/>
        <v>99.628252788104092</v>
      </c>
    </row>
    <row r="55" spans="1:7" ht="15.6">
      <c r="A55" s="19" t="s">
        <v>20</v>
      </c>
      <c r="B55" s="10">
        <f>B23/B24*100</f>
        <v>21.101910728367383</v>
      </c>
      <c r="C55" s="10">
        <f t="shared" ref="C55:G55" si="18">C23/C24*100</f>
        <v>19.419526133360332</v>
      </c>
      <c r="D55" s="10">
        <f t="shared" si="18"/>
        <v>22.800747416648235</v>
      </c>
      <c r="E55" s="10">
        <f t="shared" si="18"/>
        <v>18.952480442748861</v>
      </c>
      <c r="F55" s="10">
        <f t="shared" si="18"/>
        <v>5.6547109951695473</v>
      </c>
      <c r="G55" s="10">
        <f t="shared" si="18"/>
        <v>24.741438853099236</v>
      </c>
    </row>
    <row r="56" spans="1:7" ht="15.6">
      <c r="A56" s="19" t="s">
        <v>21</v>
      </c>
      <c r="B56" s="10">
        <f>(B54+B55)/2</f>
        <v>26.683250020463589</v>
      </c>
      <c r="C56" s="10">
        <f t="shared" ref="C56:G56" si="19">(C54+C55)/2</f>
        <v>23.837283444200544</v>
      </c>
      <c r="D56" s="10">
        <f t="shared" si="19"/>
        <v>54.592296146590769</v>
      </c>
      <c r="E56" s="10">
        <f t="shared" si="19"/>
        <v>56.835976194971792</v>
      </c>
      <c r="F56" s="10">
        <f t="shared" si="19"/>
        <v>2.8273554975847737</v>
      </c>
      <c r="G56" s="10">
        <f t="shared" si="19"/>
        <v>62.184845820601666</v>
      </c>
    </row>
    <row r="57" spans="1:7" ht="15.6">
      <c r="A57" s="19"/>
      <c r="B57" s="10"/>
      <c r="C57" s="10"/>
      <c r="D57" s="10"/>
      <c r="E57" s="10"/>
    </row>
    <row r="58" spans="1:7" ht="15.6">
      <c r="A58" s="18" t="s">
        <v>32</v>
      </c>
      <c r="B58" s="10"/>
      <c r="C58" s="10"/>
      <c r="D58" s="10"/>
      <c r="E58" s="10"/>
    </row>
    <row r="59" spans="1:7" ht="15.6">
      <c r="A59" s="19" t="s">
        <v>22</v>
      </c>
      <c r="B59" s="10">
        <f t="shared" ref="B59" si="20">B25/B23*100</f>
        <v>100</v>
      </c>
      <c r="C59" s="10"/>
      <c r="D59" s="10"/>
      <c r="E59" s="10"/>
    </row>
    <row r="60" spans="1:7" ht="15.6">
      <c r="A60" s="19"/>
      <c r="B60" s="10"/>
      <c r="C60" s="10"/>
      <c r="D60" s="10"/>
      <c r="E60" s="10"/>
    </row>
    <row r="61" spans="1:7" ht="15.6">
      <c r="A61" s="18" t="s">
        <v>23</v>
      </c>
      <c r="B61" s="10"/>
      <c r="C61" s="10"/>
      <c r="D61" s="10"/>
      <c r="E61" s="10"/>
    </row>
    <row r="62" spans="1:7" ht="15.6">
      <c r="A62" s="19" t="s">
        <v>24</v>
      </c>
      <c r="B62" s="10">
        <f>((B17/B15)-1)*100</f>
        <v>11.943857367365741</v>
      </c>
      <c r="C62" s="10">
        <f t="shared" ref="C62:D62" si="21">((C17/C15)-1)*100</f>
        <v>19.329634243007575</v>
      </c>
      <c r="D62" s="10">
        <f t="shared" si="21"/>
        <v>-6.1969387122751129E-2</v>
      </c>
      <c r="E62" s="10">
        <f t="shared" ref="E62:G62" si="22">((E17/E15)-1)*100</f>
        <v>-15.088757396449704</v>
      </c>
      <c r="F62" s="10">
        <f t="shared" si="22"/>
        <v>-100</v>
      </c>
      <c r="G62" s="10">
        <f t="shared" si="22"/>
        <v>-24.007561436672965</v>
      </c>
    </row>
    <row r="63" spans="1:7" ht="15.6">
      <c r="A63" s="19" t="s">
        <v>25</v>
      </c>
      <c r="B63" s="10">
        <f>((B38/B37)-1)*100</f>
        <v>-18.553279296730473</v>
      </c>
      <c r="C63" s="10">
        <f t="shared" ref="C63:D63" si="23">((C38/C37)-1)*100</f>
        <v>18.953042209829118</v>
      </c>
      <c r="D63" s="10">
        <f t="shared" si="23"/>
        <v>-15.517974530863354</v>
      </c>
      <c r="E63" s="10">
        <f t="shared" ref="E63" si="24">((E38/E37)-1)*100</f>
        <v>9.23640295067678</v>
      </c>
      <c r="F63" s="10">
        <f t="shared" ref="F63:G63" si="25">((F38/F37)-1)*100</f>
        <v>102.65063607325935</v>
      </c>
      <c r="G63" s="10">
        <f t="shared" si="25"/>
        <v>-51.082282133056864</v>
      </c>
    </row>
    <row r="64" spans="1:7" ht="15.6">
      <c r="A64" s="19" t="s">
        <v>26</v>
      </c>
      <c r="B64" s="10">
        <f t="shared" ref="B64:D64" si="26">((B40/B39)-1)*100</f>
        <v>-27.243242622964015</v>
      </c>
      <c r="C64" s="10">
        <f t="shared" si="26"/>
        <v>-0.31558969870936204</v>
      </c>
      <c r="D64" s="10">
        <f t="shared" si="26"/>
        <v>-15.465589074504994</v>
      </c>
      <c r="E64" s="10">
        <f>((E40/E39)-1)*100</f>
        <v>28.647749816476487</v>
      </c>
      <c r="F64" s="10" t="s">
        <v>36</v>
      </c>
      <c r="G64" s="10">
        <f t="shared" ref="G64" si="27">((G40/G39)-1)*100</f>
        <v>-35.628177234793746</v>
      </c>
    </row>
    <row r="65" spans="1:7" ht="15.6">
      <c r="A65" s="19"/>
      <c r="B65" s="10"/>
      <c r="C65" s="10"/>
      <c r="D65" s="10"/>
      <c r="E65" s="10"/>
      <c r="F65" s="10"/>
      <c r="G65" s="10"/>
    </row>
    <row r="66" spans="1:7" ht="15.6">
      <c r="A66" s="18" t="s">
        <v>27</v>
      </c>
      <c r="B66" s="10"/>
      <c r="C66" s="10"/>
      <c r="D66" s="10"/>
      <c r="E66" s="10"/>
      <c r="F66" s="10"/>
      <c r="G66" s="10"/>
    </row>
    <row r="67" spans="1:7" ht="15.6">
      <c r="A67" s="19" t="s">
        <v>40</v>
      </c>
      <c r="B67" s="10">
        <f>B22/(B16*3)</f>
        <v>92540.780650010376</v>
      </c>
      <c r="C67" s="10">
        <f>C22/(C16)</f>
        <v>181993.01784903623</v>
      </c>
      <c r="D67" s="10">
        <f t="shared" ref="D67" si="28">D22/(D16*3)</f>
        <v>125723.93634158056</v>
      </c>
      <c r="E67" s="10">
        <f t="shared" ref="E67:G67" si="29">E22/(E16*3)</f>
        <v>868828.56260259869</v>
      </c>
      <c r="F67" s="10">
        <f>F22/(F16*1)</f>
        <v>17442.566732737047</v>
      </c>
      <c r="G67" s="10">
        <f t="shared" si="29"/>
        <v>673388.3647610551</v>
      </c>
    </row>
    <row r="68" spans="1:7" ht="15.6">
      <c r="A68" s="19" t="s">
        <v>41</v>
      </c>
      <c r="B68" s="10">
        <f t="shared" ref="B68" si="30">B23/(B17*3)</f>
        <v>81926.880899816053</v>
      </c>
      <c r="C68" s="10">
        <f>C23/(C17)</f>
        <v>123838.0191193775</v>
      </c>
      <c r="D68" s="10">
        <f t="shared" ref="D68" si="31">D23/(D17*3)</f>
        <v>120161.00716562287</v>
      </c>
      <c r="E68" s="10">
        <f t="shared" ref="E68:G68" si="32">E23/(E17*3)</f>
        <v>688457.99833914044</v>
      </c>
      <c r="F68" s="10" t="s">
        <v>36</v>
      </c>
      <c r="G68" s="10">
        <f t="shared" si="32"/>
        <v>662254.04224295192</v>
      </c>
    </row>
    <row r="69" spans="1:7" ht="15.6">
      <c r="A69" s="19" t="s">
        <v>28</v>
      </c>
      <c r="B69" s="10">
        <f>(B68/B67)*B51</f>
        <v>79.56710529458968</v>
      </c>
      <c r="C69" s="10">
        <f t="shared" ref="C69" si="33">(C68/C67)*C51</f>
        <v>64.617780134989104</v>
      </c>
      <c r="D69" s="10">
        <f t="shared" ref="D69" si="34">(D68/D67)*D51</f>
        <v>88.29774753244935</v>
      </c>
      <c r="E69" s="10">
        <f t="shared" ref="E69:G69" si="35">(E68/E67)*E51</f>
        <v>67.264679690129014</v>
      </c>
      <c r="F69" s="10" t="s">
        <v>36</v>
      </c>
      <c r="G69" s="10">
        <f t="shared" si="35"/>
        <v>97.170876360901204</v>
      </c>
    </row>
    <row r="70" spans="1:7" ht="15.6">
      <c r="A70" s="19" t="s">
        <v>42</v>
      </c>
      <c r="B70" s="10">
        <f t="shared" ref="B70:B71" si="36">B22/B16</f>
        <v>277622.34195003111</v>
      </c>
      <c r="C70" s="10">
        <f>(C22/C16)*3</f>
        <v>545979.05354710866</v>
      </c>
      <c r="D70" s="10">
        <f t="shared" ref="D70" si="37">D22/D16</f>
        <v>377171.80902474164</v>
      </c>
      <c r="E70" s="10">
        <f t="shared" ref="E70:G70" si="38">E22/E16</f>
        <v>2606485.6878077961</v>
      </c>
      <c r="F70" s="10">
        <f t="shared" si="38"/>
        <v>17442.566732737047</v>
      </c>
      <c r="G70" s="10">
        <f t="shared" si="38"/>
        <v>2020165.0942831654</v>
      </c>
    </row>
    <row r="71" spans="1:7" ht="15.6">
      <c r="A71" s="19" t="s">
        <v>43</v>
      </c>
      <c r="B71" s="10">
        <f t="shared" si="36"/>
        <v>245780.64269944816</v>
      </c>
      <c r="C71" s="10">
        <f>(C23/C17)*3</f>
        <v>371514.0573581325</v>
      </c>
      <c r="D71" s="10">
        <f t="shared" ref="D71" si="39">D23/D17</f>
        <v>360483.02149686858</v>
      </c>
      <c r="E71" s="10">
        <f t="shared" ref="E71:G71" si="40">E23/E17</f>
        <v>2065373.9950174214</v>
      </c>
      <c r="F71" s="10" t="s">
        <v>36</v>
      </c>
      <c r="G71" s="10">
        <f t="shared" si="40"/>
        <v>1986762.1267288558</v>
      </c>
    </row>
    <row r="72" spans="1:7" ht="15.6">
      <c r="A72" s="19"/>
      <c r="B72" s="10"/>
      <c r="C72" s="10"/>
      <c r="D72" s="10"/>
      <c r="E72" s="10"/>
    </row>
    <row r="73" spans="1:7" ht="15.6">
      <c r="A73" s="18" t="s">
        <v>29</v>
      </c>
      <c r="B73" s="10"/>
      <c r="C73" s="10"/>
      <c r="D73" s="10"/>
      <c r="E73" s="10"/>
    </row>
    <row r="74" spans="1:7" ht="15.6">
      <c r="A74" s="19" t="s">
        <v>30</v>
      </c>
      <c r="B74" s="10">
        <f>(B29/B28)*100</f>
        <v>99.999999996851614</v>
      </c>
      <c r="C74" s="10"/>
      <c r="D74" s="10"/>
      <c r="E74" s="10"/>
    </row>
    <row r="75" spans="1:7" ht="15.6">
      <c r="A75" s="19" t="s">
        <v>31</v>
      </c>
      <c r="B75" s="10">
        <f>(B23/B29)*100</f>
        <v>84.407642916127017</v>
      </c>
      <c r="C75" s="10"/>
      <c r="D75" s="10"/>
      <c r="E75" s="10"/>
    </row>
    <row r="76" spans="1:7" ht="16.2" thickBot="1">
      <c r="A76" s="28"/>
      <c r="B76" s="15"/>
      <c r="C76" s="15"/>
      <c r="D76" s="15"/>
      <c r="E76" s="15"/>
      <c r="F76" s="15"/>
      <c r="G76" s="15"/>
    </row>
    <row r="77" spans="1:7" s="22" customFormat="1" ht="16.5" customHeight="1" thickTop="1">
      <c r="A77" s="46" t="s">
        <v>87</v>
      </c>
      <c r="B77" s="46"/>
      <c r="C77" s="46"/>
      <c r="D77" s="46"/>
      <c r="E77" s="46"/>
      <c r="F77" s="46"/>
      <c r="G77" s="46"/>
    </row>
    <row r="78" spans="1:7" customFormat="1"/>
    <row r="79" spans="1:7" customFormat="1"/>
    <row r="80" spans="1:7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</sheetData>
  <mergeCells count="4">
    <mergeCell ref="A9:A10"/>
    <mergeCell ref="B9:B10"/>
    <mergeCell ref="C9:G9"/>
    <mergeCell ref="A77:G77"/>
  </mergeCells>
  <pageMargins left="0.7" right="0.7" top="0.75" bottom="0.75" header="0.3" footer="0.3"/>
  <pageSetup orientation="portrait" r:id="rId1"/>
  <ignoredErrors>
    <ignoredError sqref="C67:C71 F67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89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/>
  <cols>
    <col min="1" max="1" width="64.33203125" style="1" customWidth="1"/>
    <col min="2" max="7" width="24.6640625" style="1" customWidth="1"/>
    <col min="8" max="16384" width="11.44140625" style="1"/>
  </cols>
  <sheetData>
    <row r="1" spans="1:7" customFormat="1"/>
    <row r="2" spans="1:7" customFormat="1"/>
    <row r="3" spans="1:7" customFormat="1"/>
    <row r="4" spans="1:7" customFormat="1"/>
    <row r="5" spans="1:7" customFormat="1"/>
    <row r="6" spans="1:7" customFormat="1"/>
    <row r="7" spans="1:7" customFormat="1"/>
    <row r="8" spans="1:7" customFormat="1"/>
    <row r="9" spans="1:7" s="22" customFormat="1" ht="15.6">
      <c r="A9" s="40" t="s">
        <v>0</v>
      </c>
      <c r="B9" s="42" t="s">
        <v>1</v>
      </c>
      <c r="C9" s="44" t="s">
        <v>2</v>
      </c>
      <c r="D9" s="44"/>
      <c r="E9" s="44"/>
      <c r="F9" s="44"/>
      <c r="G9" s="44"/>
    </row>
    <row r="10" spans="1:7" s="27" customFormat="1" ht="63" thickBot="1">
      <c r="A10" s="41"/>
      <c r="B10" s="43"/>
      <c r="C10" s="24" t="s">
        <v>39</v>
      </c>
      <c r="D10" s="24" t="s">
        <v>48</v>
      </c>
      <c r="E10" s="24" t="s">
        <v>49</v>
      </c>
      <c r="F10" s="24" t="s">
        <v>50</v>
      </c>
      <c r="G10" s="24" t="s">
        <v>51</v>
      </c>
    </row>
    <row r="11" spans="1:7" customFormat="1" ht="15" thickTop="1"/>
    <row r="12" spans="1:7" customFormat="1" ht="15.6">
      <c r="A12" s="18" t="s">
        <v>3</v>
      </c>
      <c r="B12" s="19"/>
      <c r="C12" s="19"/>
      <c r="D12" s="19"/>
      <c r="E12" s="19"/>
    </row>
    <row r="13" spans="1:7" customFormat="1" ht="15.6">
      <c r="A13" s="19"/>
      <c r="B13" s="19"/>
      <c r="C13" s="19"/>
      <c r="D13" s="19"/>
      <c r="E13" s="19"/>
    </row>
    <row r="14" spans="1:7" customFormat="1" ht="15.6">
      <c r="A14" s="18" t="s">
        <v>4</v>
      </c>
      <c r="B14" s="19"/>
      <c r="C14" s="19"/>
      <c r="D14" s="19"/>
      <c r="E14" s="19"/>
    </row>
    <row r="15" spans="1:7" ht="15.6">
      <c r="A15" s="20" t="s">
        <v>60</v>
      </c>
      <c r="B15" s="8">
        <f>+SUM(C15:G15)</f>
        <v>41170.666666666664</v>
      </c>
      <c r="C15" s="8">
        <f>(+'I Trimestre'!C15+'II trimestre'!C15)</f>
        <v>34182</v>
      </c>
      <c r="D15" s="8">
        <f>(+'I Trimestre'!D15+'II trimestre'!D15)/2</f>
        <v>5375.6666666666661</v>
      </c>
      <c r="E15" s="8">
        <f>(+'I Trimestre'!E15+'II trimestre'!E15)/2</f>
        <v>293.5</v>
      </c>
      <c r="F15" s="8">
        <f>(+'I Trimestre'!F15+'II trimestre'!F15)/2</f>
        <v>83.5</v>
      </c>
      <c r="G15" s="8">
        <f>(+'I Trimestre'!G15+'II trimestre'!G15)/2</f>
        <v>1236</v>
      </c>
    </row>
    <row r="16" spans="1:7" ht="15.6">
      <c r="A16" s="20" t="s">
        <v>95</v>
      </c>
      <c r="B16" s="8">
        <f>+SUM(C16:G16)</f>
        <v>47536</v>
      </c>
      <c r="C16" s="8">
        <f>(+'I Trimestre'!C16+'II trimestre'!C16)</f>
        <v>37296</v>
      </c>
      <c r="D16" s="8">
        <f>(+'I Trimestre'!D16+'II trimestre'!D16)/2</f>
        <v>5690</v>
      </c>
      <c r="E16" s="8">
        <f>(+'II trimestre'!E16)</f>
        <v>303</v>
      </c>
      <c r="F16" s="8">
        <f>+'II trimestre'!F16</f>
        <v>3440</v>
      </c>
      <c r="G16" s="8">
        <f>+'II trimestre'!G16</f>
        <v>807</v>
      </c>
    </row>
    <row r="17" spans="1:7" ht="15.6">
      <c r="A17" s="20" t="s">
        <v>96</v>
      </c>
      <c r="B17" s="8">
        <f t="shared" ref="B17:B18" si="0">+SUM(C17:G17)</f>
        <v>44850.166666666672</v>
      </c>
      <c r="C17" s="8">
        <f>(+'I Trimestre'!C17+'II trimestre'!C17)</f>
        <v>38390</v>
      </c>
      <c r="D17" s="8">
        <f>(+'I Trimestre'!D17+'II trimestre'!D17)/2</f>
        <v>5360.8333333333339</v>
      </c>
      <c r="E17" s="8">
        <f>(+'I Trimestre'!E17+'II trimestre'!E17)/2</f>
        <v>295.33333333333337</v>
      </c>
      <c r="F17" s="8">
        <f>(+'I Trimestre'!F17+'II trimestre'!F17)/2</f>
        <v>0</v>
      </c>
      <c r="G17" s="8">
        <f>(+'I Trimestre'!G17+'II trimestre'!G17)/2</f>
        <v>804</v>
      </c>
    </row>
    <row r="18" spans="1:7" ht="15.6">
      <c r="A18" s="20" t="s">
        <v>82</v>
      </c>
      <c r="B18" s="8">
        <f t="shared" si="0"/>
        <v>85365</v>
      </c>
      <c r="C18" s="8">
        <f>+'II trimestre'!C18</f>
        <v>74592</v>
      </c>
      <c r="D18" s="8">
        <f>+'II trimestre'!D18</f>
        <v>6223</v>
      </c>
      <c r="E18" s="8">
        <f>+'II trimestre'!E18</f>
        <v>303</v>
      </c>
      <c r="F18" s="8">
        <f>+'II trimestre'!F18</f>
        <v>3440</v>
      </c>
      <c r="G18" s="8">
        <f>+'II trimestre'!G18</f>
        <v>807</v>
      </c>
    </row>
    <row r="19" spans="1:7" ht="15.6">
      <c r="A19" s="19"/>
      <c r="B19" s="8"/>
      <c r="C19" s="8"/>
      <c r="D19" s="8"/>
      <c r="E19" s="8"/>
    </row>
    <row r="20" spans="1:7" ht="15.6">
      <c r="A20" s="21" t="s">
        <v>5</v>
      </c>
      <c r="B20" s="8"/>
      <c r="C20" s="8"/>
      <c r="D20" s="8"/>
      <c r="E20" s="8"/>
    </row>
    <row r="21" spans="1:7" ht="15.6">
      <c r="A21" s="20" t="s">
        <v>60</v>
      </c>
      <c r="B21" s="8">
        <f>SUM(C21:G21)</f>
        <v>17293236612.18</v>
      </c>
      <c r="C21" s="8">
        <f>+'I Trimestre'!C21+'II trimestre'!C21</f>
        <v>4906248582.1499996</v>
      </c>
      <c r="D21" s="8">
        <f>+'I Trimestre'!D21+'II trimestre'!D21</f>
        <v>4435730183.4300003</v>
      </c>
      <c r="E21" s="8">
        <f>+'I Trimestre'!E21+'II trimestre'!E21</f>
        <v>1164517826.49</v>
      </c>
      <c r="F21" s="8">
        <f>+'I Trimestre'!F21+'II trimestre'!F21</f>
        <v>22705848.149999999</v>
      </c>
      <c r="G21" s="8">
        <f>+'I Trimestre'!G21+'II trimestre'!G21</f>
        <v>6764034171.960001</v>
      </c>
    </row>
    <row r="22" spans="1:7" ht="15.6">
      <c r="A22" s="20" t="s">
        <v>95</v>
      </c>
      <c r="B22" s="8">
        <f>SUM(C22:G22)</f>
        <v>16039908428.504999</v>
      </c>
      <c r="C22" s="8">
        <f>+'I Trimestre'!C22+'II trimestre'!C22</f>
        <v>6813194235.2482557</v>
      </c>
      <c r="D22" s="8">
        <f>+'I Trimestre'!D22+'II trimestre'!D22</f>
        <v>4308392630.1312017</v>
      </c>
      <c r="E22" s="8">
        <f>+'I Trimestre'!E22+'II trimestre'!E22</f>
        <v>1585483607.6690562</v>
      </c>
      <c r="F22" s="8">
        <f>+'I Trimestre'!F22+'II trimestre'!F22</f>
        <v>60002429.560615443</v>
      </c>
      <c r="G22" s="8">
        <f>+'I Trimestre'!G22+'II trimestre'!G22</f>
        <v>3272835525.8958702</v>
      </c>
    </row>
    <row r="23" spans="1:7" ht="15.6">
      <c r="A23" s="20" t="s">
        <v>96</v>
      </c>
      <c r="B23" s="8">
        <f t="shared" ref="B23:B25" si="1">SUM(C23:G23)</f>
        <v>14588956547.470001</v>
      </c>
      <c r="C23" s="8">
        <f>+'I Trimestre'!C23+'II trimestre'!C23</f>
        <v>6154546684.0900002</v>
      </c>
      <c r="D23" s="8">
        <f>+'I Trimestre'!D23+'II trimestre'!D23</f>
        <v>3845664303.79</v>
      </c>
      <c r="E23" s="8">
        <f>+'I Trimestre'!E23+'II trimestre'!E23</f>
        <v>1373373628.2599998</v>
      </c>
      <c r="F23" s="8">
        <f>+'I Trimestre'!F23+'II trimestre'!F23</f>
        <v>31498575.010000002</v>
      </c>
      <c r="G23" s="8">
        <f>+'I Trimestre'!G23+'II trimestre'!G23</f>
        <v>3183873356.3200002</v>
      </c>
    </row>
    <row r="24" spans="1:7" ht="15.6">
      <c r="A24" s="20" t="s">
        <v>82</v>
      </c>
      <c r="B24" s="8">
        <f t="shared" si="1"/>
        <v>32079816857.009998</v>
      </c>
      <c r="C24" s="8">
        <f>+'II trimestre'!C24</f>
        <v>13440132745.959888</v>
      </c>
      <c r="D24" s="8">
        <f>+'II trimestre'!D24</f>
        <v>8499004559.5832787</v>
      </c>
      <c r="E24" s="8">
        <f>+'II trimestre'!E24</f>
        <v>3127624050.9024677</v>
      </c>
      <c r="F24" s="8">
        <f>+'II trimestre'!F24</f>
        <v>556855602.99896228</v>
      </c>
      <c r="G24" s="8">
        <f>+'II trimestre'!G24</f>
        <v>6456199897.5654039</v>
      </c>
    </row>
    <row r="25" spans="1:7" ht="15.6">
      <c r="A25" s="20" t="s">
        <v>97</v>
      </c>
      <c r="B25" s="8">
        <f t="shared" si="1"/>
        <v>14588956547.470001</v>
      </c>
      <c r="C25" s="8">
        <f t="shared" ref="C25:E25" si="2">C23</f>
        <v>6154546684.0900002</v>
      </c>
      <c r="D25" s="8">
        <f t="shared" si="2"/>
        <v>3845664303.79</v>
      </c>
      <c r="E25" s="8">
        <f t="shared" si="2"/>
        <v>1373373628.2599998</v>
      </c>
      <c r="F25" s="8">
        <f t="shared" ref="F25:G25" si="3">F23</f>
        <v>31498575.010000002</v>
      </c>
      <c r="G25" s="8">
        <f t="shared" si="3"/>
        <v>3183873356.3200002</v>
      </c>
    </row>
    <row r="26" spans="1:7" ht="15.6">
      <c r="A26" s="19"/>
      <c r="B26" s="8"/>
      <c r="C26" s="8"/>
      <c r="D26" s="8"/>
      <c r="E26" s="8"/>
    </row>
    <row r="27" spans="1:7" ht="15.6">
      <c r="A27" s="21" t="s">
        <v>6</v>
      </c>
      <c r="B27" s="8"/>
      <c r="C27" s="8"/>
      <c r="D27" s="8"/>
      <c r="E27" s="8"/>
    </row>
    <row r="28" spans="1:7" ht="15.6">
      <c r="A28" s="20" t="s">
        <v>95</v>
      </c>
      <c r="B28" s="8">
        <f>'I Trimestre'!B28+'II trimestre'!B28</f>
        <v>16039908428.504999</v>
      </c>
      <c r="C28" s="8"/>
      <c r="D28" s="8"/>
      <c r="E28" s="8"/>
    </row>
    <row r="29" spans="1:7" ht="15.6">
      <c r="A29" s="20" t="s">
        <v>96</v>
      </c>
      <c r="B29" s="8">
        <f>'I Trimestre'!B29+'II trimestre'!B29</f>
        <v>16039908428</v>
      </c>
      <c r="C29" s="8"/>
      <c r="D29" s="8"/>
      <c r="E29" s="8"/>
    </row>
    <row r="30" spans="1:7" ht="15.6">
      <c r="A30" s="19"/>
      <c r="B30" s="13"/>
      <c r="C30" s="13"/>
      <c r="D30" s="13"/>
      <c r="E30" s="13"/>
    </row>
    <row r="31" spans="1:7" ht="15.6">
      <c r="A31" s="18" t="s">
        <v>7</v>
      </c>
      <c r="B31" s="13"/>
      <c r="C31" s="13"/>
      <c r="D31" s="13"/>
      <c r="E31" s="13"/>
    </row>
    <row r="32" spans="1:7" ht="15.6">
      <c r="A32" s="20" t="s">
        <v>61</v>
      </c>
      <c r="B32" s="29">
        <v>1.0973999999999999</v>
      </c>
      <c r="C32" s="29">
        <v>1.0973999999999999</v>
      </c>
      <c r="D32" s="29">
        <v>1.0973999999999999</v>
      </c>
      <c r="E32" s="29">
        <v>1.0973999999999999</v>
      </c>
      <c r="F32" s="29">
        <v>1.0973999999999999</v>
      </c>
      <c r="G32" s="29">
        <v>1.0973999999999999</v>
      </c>
    </row>
    <row r="33" spans="1:7" ht="15.6">
      <c r="A33" s="20" t="s">
        <v>98</v>
      </c>
      <c r="B33" s="29">
        <v>1.0971</v>
      </c>
      <c r="C33" s="29">
        <v>1.0971</v>
      </c>
      <c r="D33" s="29">
        <v>1.0971</v>
      </c>
      <c r="E33" s="29">
        <v>1.0971</v>
      </c>
      <c r="F33" s="29">
        <v>1.0971</v>
      </c>
      <c r="G33" s="29">
        <v>1.0971</v>
      </c>
    </row>
    <row r="34" spans="1:7" ht="15.6">
      <c r="A34" s="20" t="s">
        <v>8</v>
      </c>
      <c r="B34" s="30" t="s">
        <v>36</v>
      </c>
      <c r="C34" s="30" t="s">
        <v>36</v>
      </c>
      <c r="D34" s="30" t="s">
        <v>36</v>
      </c>
      <c r="E34" s="30" t="s">
        <v>36</v>
      </c>
      <c r="F34" s="30" t="s">
        <v>36</v>
      </c>
      <c r="G34" s="30" t="s">
        <v>36</v>
      </c>
    </row>
    <row r="35" spans="1:7" ht="15.6">
      <c r="A35" s="19"/>
      <c r="B35" s="13"/>
      <c r="C35" s="13"/>
      <c r="D35" s="13"/>
      <c r="E35" s="13"/>
    </row>
    <row r="36" spans="1:7" ht="15.6">
      <c r="A36" s="18" t="s">
        <v>9</v>
      </c>
      <c r="B36" s="13"/>
      <c r="C36" s="13"/>
      <c r="D36" s="13"/>
      <c r="E36" s="13"/>
    </row>
    <row r="37" spans="1:7" ht="15.6">
      <c r="A37" s="20" t="s">
        <v>62</v>
      </c>
      <c r="B37" s="14">
        <f>B21/B32</f>
        <v>15758371252.214327</v>
      </c>
      <c r="C37" s="14">
        <f t="shared" ref="C37:D37" si="4">C21/C32</f>
        <v>4470793313.4226351</v>
      </c>
      <c r="D37" s="14">
        <f t="shared" si="4"/>
        <v>4042035887.9442325</v>
      </c>
      <c r="E37" s="14">
        <f t="shared" ref="E37" si="5">E21/E32</f>
        <v>1061160767.7145982</v>
      </c>
      <c r="F37" s="14">
        <f t="shared" ref="F37:G37" si="6">F21/F32</f>
        <v>20690585.155822854</v>
      </c>
      <c r="G37" s="14">
        <f t="shared" si="6"/>
        <v>6163690697.9770384</v>
      </c>
    </row>
    <row r="38" spans="1:7" ht="15.6">
      <c r="A38" s="20" t="s">
        <v>99</v>
      </c>
      <c r="B38" s="14">
        <f>B23/B33</f>
        <v>13297745463.011578</v>
      </c>
      <c r="C38" s="14">
        <f t="shared" ref="C38:D38" si="7">C23/C33</f>
        <v>5609831997.1652546</v>
      </c>
      <c r="D38" s="14">
        <f t="shared" si="7"/>
        <v>3505299702.6615624</v>
      </c>
      <c r="E38" s="14">
        <f t="shared" ref="E38" si="8">E23/E33</f>
        <v>1251821737.5444353</v>
      </c>
      <c r="F38" s="14">
        <f t="shared" ref="F38:G38" si="9">F23/F33</f>
        <v>28710760.195059706</v>
      </c>
      <c r="G38" s="14">
        <f t="shared" si="9"/>
        <v>2902081265.4452648</v>
      </c>
    </row>
    <row r="39" spans="1:7" ht="15.6">
      <c r="A39" s="20" t="s">
        <v>63</v>
      </c>
      <c r="B39" s="8">
        <f>B37/B15</f>
        <v>382757.25238554133</v>
      </c>
      <c r="C39" s="8">
        <f t="shared" ref="C39:D39" si="10">C37/C15</f>
        <v>130793.78952146262</v>
      </c>
      <c r="D39" s="8">
        <f t="shared" si="10"/>
        <v>751913.41624807462</v>
      </c>
      <c r="E39" s="8">
        <f t="shared" ref="E39:G39" si="11">E37/E15</f>
        <v>3615539.2426391761</v>
      </c>
      <c r="F39" s="8">
        <f t="shared" si="11"/>
        <v>247791.43899189046</v>
      </c>
      <c r="G39" s="8">
        <f t="shared" si="11"/>
        <v>4986804.7718260828</v>
      </c>
    </row>
    <row r="40" spans="1:7" ht="15.6">
      <c r="A40" s="20" t="s">
        <v>100</v>
      </c>
      <c r="B40" s="8">
        <f>B38/B17</f>
        <v>296492.66549759923</v>
      </c>
      <c r="C40" s="8">
        <f t="shared" ref="C40:D40" si="12">C38/C17</f>
        <v>146127.4289441327</v>
      </c>
      <c r="D40" s="8">
        <f t="shared" si="12"/>
        <v>653872.16589365376</v>
      </c>
      <c r="E40" s="8">
        <f t="shared" ref="E40" si="13">E38/E17</f>
        <v>4238674.0548908636</v>
      </c>
      <c r="F40" s="8" t="s">
        <v>36</v>
      </c>
      <c r="G40" s="8">
        <f t="shared" ref="G40" si="14">G38/G17</f>
        <v>3609553.8127428666</v>
      </c>
    </row>
    <row r="41" spans="1:7" ht="15.6">
      <c r="A41" s="19"/>
      <c r="B41" s="13"/>
      <c r="C41" s="13"/>
      <c r="D41" s="13"/>
      <c r="E41" s="13"/>
    </row>
    <row r="42" spans="1:7" ht="15.6">
      <c r="A42" s="18" t="s">
        <v>10</v>
      </c>
      <c r="B42" s="13"/>
      <c r="C42" s="13"/>
      <c r="D42" s="13"/>
      <c r="E42" s="13"/>
    </row>
    <row r="43" spans="1:7" ht="15.6">
      <c r="A43" s="19"/>
      <c r="B43" s="13"/>
      <c r="C43" s="13"/>
      <c r="D43" s="13"/>
      <c r="E43" s="13"/>
    </row>
    <row r="44" spans="1:7" ht="15.6">
      <c r="A44" s="18" t="s">
        <v>11</v>
      </c>
      <c r="B44" s="13"/>
      <c r="C44" s="13"/>
      <c r="D44" s="13"/>
      <c r="E44" s="13"/>
    </row>
    <row r="45" spans="1:7" ht="15.6">
      <c r="A45" s="19" t="s">
        <v>12</v>
      </c>
      <c r="B45" s="17" t="s">
        <v>35</v>
      </c>
      <c r="C45" s="17" t="s">
        <v>35</v>
      </c>
      <c r="D45" s="17" t="s">
        <v>35</v>
      </c>
      <c r="E45" s="17" t="s">
        <v>35</v>
      </c>
      <c r="F45" s="17" t="s">
        <v>35</v>
      </c>
      <c r="G45" s="17" t="s">
        <v>35</v>
      </c>
    </row>
    <row r="46" spans="1:7" ht="15.6">
      <c r="A46" s="19" t="s">
        <v>13</v>
      </c>
      <c r="B46" s="17" t="s">
        <v>35</v>
      </c>
      <c r="C46" s="17" t="s">
        <v>35</v>
      </c>
      <c r="D46" s="17" t="s">
        <v>35</v>
      </c>
      <c r="E46" s="17" t="s">
        <v>35</v>
      </c>
      <c r="F46" s="17" t="s">
        <v>35</v>
      </c>
      <c r="G46" s="17" t="s">
        <v>35</v>
      </c>
    </row>
    <row r="47" spans="1:7" ht="15.6">
      <c r="A47" s="19"/>
      <c r="B47" s="13"/>
      <c r="C47" s="13"/>
      <c r="D47" s="13"/>
      <c r="E47" s="13"/>
      <c r="F47" s="13"/>
      <c r="G47" s="13"/>
    </row>
    <row r="48" spans="1:7" ht="15.6">
      <c r="A48" s="18" t="s">
        <v>14</v>
      </c>
      <c r="B48" s="13"/>
      <c r="C48" s="13"/>
      <c r="D48" s="13"/>
      <c r="E48" s="13"/>
      <c r="F48" s="13"/>
      <c r="G48" s="13"/>
    </row>
    <row r="49" spans="1:7" ht="15.6">
      <c r="A49" s="19" t="s">
        <v>15</v>
      </c>
      <c r="B49" s="10">
        <f>B17/B16*100</f>
        <v>94.349896219005956</v>
      </c>
      <c r="C49" s="10">
        <f t="shared" ref="C49:D49" si="15">C17/C16*100</f>
        <v>102.93329043329042</v>
      </c>
      <c r="D49" s="10">
        <f t="shared" si="15"/>
        <v>94.214997070884593</v>
      </c>
      <c r="E49" s="10">
        <f t="shared" ref="E49:G49" si="16">E17/E16*100</f>
        <v>97.469746974697486</v>
      </c>
      <c r="F49" s="10">
        <f t="shared" si="16"/>
        <v>0</v>
      </c>
      <c r="G49" s="10">
        <f t="shared" si="16"/>
        <v>99.628252788104092</v>
      </c>
    </row>
    <row r="50" spans="1:7" ht="15.6">
      <c r="A50" s="19" t="s">
        <v>16</v>
      </c>
      <c r="B50" s="10">
        <f>B23/B22*100</f>
        <v>90.954113687728608</v>
      </c>
      <c r="C50" s="10">
        <f t="shared" ref="C50:D50" si="17">C23/C22*100</f>
        <v>90.332764215781154</v>
      </c>
      <c r="D50" s="10">
        <f t="shared" si="17"/>
        <v>89.259838504386479</v>
      </c>
      <c r="E50" s="10">
        <f t="shared" ref="E50:G50" si="18">E23/E22*100</f>
        <v>86.621748822689128</v>
      </c>
      <c r="F50" s="10">
        <f t="shared" si="18"/>
        <v>52.495499333372194</v>
      </c>
      <c r="G50" s="10">
        <f t="shared" si="18"/>
        <v>97.281801396007566</v>
      </c>
    </row>
    <row r="51" spans="1:7" ht="15.6">
      <c r="A51" s="19" t="s">
        <v>17</v>
      </c>
      <c r="B51" s="10">
        <f>AVERAGE(B49:B50)</f>
        <v>92.652004953367282</v>
      </c>
      <c r="C51" s="10">
        <f t="shared" ref="C51:D51" si="19">AVERAGE(C49:C50)</f>
        <v>96.633027324535789</v>
      </c>
      <c r="D51" s="10">
        <f t="shared" si="19"/>
        <v>91.737417787635536</v>
      </c>
      <c r="E51" s="10">
        <f t="shared" ref="E51:G51" si="20">AVERAGE(E49:E50)</f>
        <v>92.045747898693307</v>
      </c>
      <c r="F51" s="10">
        <f t="shared" si="20"/>
        <v>26.247749666686097</v>
      </c>
      <c r="G51" s="10">
        <f t="shared" si="20"/>
        <v>98.455027092055829</v>
      </c>
    </row>
    <row r="52" spans="1:7" ht="15.6">
      <c r="A52" s="19"/>
      <c r="B52" s="10"/>
      <c r="C52" s="10"/>
      <c r="D52" s="10"/>
      <c r="E52" s="10"/>
      <c r="F52" s="10"/>
      <c r="G52" s="10"/>
    </row>
    <row r="53" spans="1:7" ht="15.6">
      <c r="A53" s="18" t="s">
        <v>18</v>
      </c>
      <c r="B53" s="10"/>
      <c r="C53" s="10"/>
      <c r="D53" s="10"/>
      <c r="E53" s="10"/>
      <c r="F53" s="10"/>
      <c r="G53" s="10"/>
    </row>
    <row r="54" spans="1:7" ht="15.6">
      <c r="A54" s="19" t="s">
        <v>19</v>
      </c>
      <c r="B54" s="10">
        <f>B17/(B18)*100</f>
        <v>52.539292059587275</v>
      </c>
      <c r="C54" s="10">
        <f t="shared" ref="C54:D54" si="21">C17/(C18)*100</f>
        <v>51.466645216645212</v>
      </c>
      <c r="D54" s="10">
        <f t="shared" si="21"/>
        <v>86.145481814773163</v>
      </c>
      <c r="E54" s="10">
        <f t="shared" ref="E54:G54" si="22">E17/(E18)*100</f>
        <v>97.469746974697486</v>
      </c>
      <c r="F54" s="10">
        <f t="shared" si="22"/>
        <v>0</v>
      </c>
      <c r="G54" s="10">
        <f t="shared" si="22"/>
        <v>99.628252788104092</v>
      </c>
    </row>
    <row r="55" spans="1:7" ht="15.6">
      <c r="A55" s="19" t="s">
        <v>20</v>
      </c>
      <c r="B55" s="10">
        <f>B23/B24*100</f>
        <v>45.477056843864304</v>
      </c>
      <c r="C55" s="10">
        <f t="shared" ref="C55:D55" si="23">C23/C24*100</f>
        <v>45.792305778676628</v>
      </c>
      <c r="D55" s="10">
        <f t="shared" si="23"/>
        <v>45.24840852631052</v>
      </c>
      <c r="E55" s="10">
        <f t="shared" ref="E55:G55" si="24">E23/E24*100</f>
        <v>43.911084129939347</v>
      </c>
      <c r="F55" s="10">
        <f t="shared" si="24"/>
        <v>5.6565067928496182</v>
      </c>
      <c r="G55" s="10">
        <f t="shared" si="24"/>
        <v>49.314974858827107</v>
      </c>
    </row>
    <row r="56" spans="1:7" ht="15.6">
      <c r="A56" s="19" t="s">
        <v>21</v>
      </c>
      <c r="B56" s="10">
        <f>(B54+B55)/2</f>
        <v>49.008174451725793</v>
      </c>
      <c r="C56" s="10">
        <f t="shared" ref="C56:D56" si="25">(C54+C55)/2</f>
        <v>48.62947549766092</v>
      </c>
      <c r="D56" s="10">
        <f t="shared" si="25"/>
        <v>65.696945170541838</v>
      </c>
      <c r="E56" s="10">
        <f t="shared" ref="E56:G56" si="26">(E54+E55)/2</f>
        <v>70.690415552318413</v>
      </c>
      <c r="F56" s="10">
        <f t="shared" si="26"/>
        <v>2.8282533964248091</v>
      </c>
      <c r="G56" s="10">
        <f t="shared" si="26"/>
        <v>74.471613823465603</v>
      </c>
    </row>
    <row r="57" spans="1:7" ht="15.6">
      <c r="A57" s="19"/>
      <c r="B57" s="10"/>
      <c r="C57" s="10"/>
      <c r="D57" s="10"/>
      <c r="E57" s="10"/>
    </row>
    <row r="58" spans="1:7" ht="15.6">
      <c r="A58" s="18" t="s">
        <v>32</v>
      </c>
      <c r="B58" s="10"/>
      <c r="C58" s="10"/>
      <c r="D58" s="10"/>
      <c r="E58" s="10"/>
    </row>
    <row r="59" spans="1:7" ht="15.6">
      <c r="A59" s="19" t="s">
        <v>22</v>
      </c>
      <c r="B59" s="10">
        <f t="shared" ref="B59" si="27">B25/B23*100</f>
        <v>100</v>
      </c>
      <c r="C59" s="10"/>
      <c r="D59" s="10"/>
      <c r="E59" s="10"/>
    </row>
    <row r="60" spans="1:7" ht="15.6">
      <c r="A60" s="19"/>
      <c r="B60" s="10"/>
      <c r="C60" s="10"/>
      <c r="D60" s="10"/>
      <c r="E60" s="10"/>
    </row>
    <row r="61" spans="1:7" ht="15.6">
      <c r="A61" s="18" t="s">
        <v>23</v>
      </c>
      <c r="B61" s="10"/>
      <c r="C61" s="10"/>
      <c r="D61" s="10"/>
      <c r="E61" s="10"/>
    </row>
    <row r="62" spans="1:7" ht="15.6">
      <c r="A62" s="19" t="s">
        <v>24</v>
      </c>
      <c r="B62" s="10">
        <f>((B17/B15)-1)*100</f>
        <v>8.9371882893970032</v>
      </c>
      <c r="C62" s="10">
        <f t="shared" ref="C62:D62" si="28">((C17/C15)-1)*100</f>
        <v>12.310572816102038</v>
      </c>
      <c r="D62" s="10">
        <f t="shared" si="28"/>
        <v>-0.27593476778071668</v>
      </c>
      <c r="E62" s="10">
        <f t="shared" ref="E62:G62" si="29">((E17/E15)-1)*100</f>
        <v>0.62464508801818308</v>
      </c>
      <c r="F62" s="10">
        <f t="shared" si="29"/>
        <v>-100</v>
      </c>
      <c r="G62" s="10">
        <f t="shared" si="29"/>
        <v>-34.95145631067961</v>
      </c>
    </row>
    <row r="63" spans="1:7" ht="15.6">
      <c r="A63" s="19" t="s">
        <v>25</v>
      </c>
      <c r="B63" s="10">
        <f>((B38/B37)-1)*100</f>
        <v>-15.614721533210407</v>
      </c>
      <c r="C63" s="10">
        <f t="shared" ref="C63:D63" si="30">((C38/C37)-1)*100</f>
        <v>25.477328158358169</v>
      </c>
      <c r="D63" s="10">
        <f t="shared" si="30"/>
        <v>-13.278857490690232</v>
      </c>
      <c r="E63" s="10">
        <f t="shared" ref="E63" si="31">((E38/E37)-1)*100</f>
        <v>17.967208704903403</v>
      </c>
      <c r="F63" s="10">
        <f t="shared" ref="F63:G63" si="32">((F38/F37)-1)*100</f>
        <v>38.762437015851006</v>
      </c>
      <c r="G63" s="10">
        <f t="shared" si="32"/>
        <v>-52.916500719321526</v>
      </c>
    </row>
    <row r="64" spans="1:7" ht="15.6">
      <c r="A64" s="19" t="s">
        <v>26</v>
      </c>
      <c r="B64" s="10">
        <f>((B40/B39)-1)*100</f>
        <v>-22.537675341302233</v>
      </c>
      <c r="C64" s="10">
        <f t="shared" ref="C64:D64" si="33">((C40/C39)-1)*100</f>
        <v>11.723522560797051</v>
      </c>
      <c r="D64" s="10">
        <f t="shared" si="33"/>
        <v>-13.038901585721231</v>
      </c>
      <c r="E64" s="10">
        <f t="shared" ref="E64:G64" si="34">((E40/E39)-1)*100</f>
        <v>17.234906619263455</v>
      </c>
      <c r="F64" s="10" t="s">
        <v>36</v>
      </c>
      <c r="G64" s="10">
        <f t="shared" si="34"/>
        <v>-27.617904090897273</v>
      </c>
    </row>
    <row r="65" spans="1:7" ht="15.6">
      <c r="A65" s="19"/>
      <c r="B65" s="10"/>
      <c r="C65" s="10"/>
      <c r="D65" s="10"/>
      <c r="E65" s="10"/>
      <c r="F65" s="10"/>
      <c r="G65" s="10"/>
    </row>
    <row r="66" spans="1:7" ht="15.6">
      <c r="A66" s="18" t="s">
        <v>27</v>
      </c>
      <c r="B66" s="10"/>
      <c r="C66" s="10"/>
      <c r="D66" s="10"/>
      <c r="E66" s="10"/>
      <c r="F66" s="10"/>
      <c r="G66" s="10"/>
    </row>
    <row r="67" spans="1:7" ht="15.6">
      <c r="A67" s="19" t="s">
        <v>40</v>
      </c>
      <c r="B67" s="10">
        <f>B22/(B16*6)</f>
        <v>56237.758149981062</v>
      </c>
      <c r="C67" s="10">
        <f>C22/(C16)</f>
        <v>182678.95311154696</v>
      </c>
      <c r="D67" s="10">
        <f t="shared" ref="D67" si="35">D22/(D16*6)</f>
        <v>126197.79232956069</v>
      </c>
      <c r="E67" s="10">
        <f t="shared" ref="E67:G67" si="36">E22/(E16*6)</f>
        <v>872103.19453743461</v>
      </c>
      <c r="F67" s="10">
        <f>F22/(F16*1)</f>
        <v>17442.566732737047</v>
      </c>
      <c r="G67" s="10">
        <f t="shared" si="36"/>
        <v>675926.37874759815</v>
      </c>
    </row>
    <row r="68" spans="1:7" ht="15.6">
      <c r="A68" s="19" t="s">
        <v>41</v>
      </c>
      <c r="B68" s="10">
        <f>B23/(B17*6)</f>
        <v>54213.683886236031</v>
      </c>
      <c r="C68" s="10">
        <f>C23/(C17)</f>
        <v>160316.40229460798</v>
      </c>
      <c r="D68" s="10">
        <f t="shared" ref="D68" si="37">D23/(D17*6)</f>
        <v>119560.52553365458</v>
      </c>
      <c r="E68" s="10">
        <f t="shared" ref="E68:G68" si="38">E23/(E17*6)</f>
        <v>775041.55093679437</v>
      </c>
      <c r="F68" s="10" t="s">
        <v>36</v>
      </c>
      <c r="G68" s="10">
        <f t="shared" si="38"/>
        <v>660006.91466003319</v>
      </c>
    </row>
    <row r="69" spans="1:7" ht="15.6">
      <c r="A69" s="19" t="s">
        <v>28</v>
      </c>
      <c r="B69" s="10">
        <f>(B68/B67)*B51</f>
        <v>89.317331863975099</v>
      </c>
      <c r="C69" s="10">
        <f t="shared" ref="C69" si="39">(C68/C67)*C51</f>
        <v>84.803744600214159</v>
      </c>
      <c r="D69" s="10">
        <f t="shared" ref="D69" si="40">(D68/D67)*D51</f>
        <v>86.912565420694293</v>
      </c>
      <c r="E69" s="10">
        <f t="shared" ref="E69:G69" si="41">(E68/E67)*E51</f>
        <v>81.801419436812125</v>
      </c>
      <c r="F69" s="10" t="s">
        <v>36</v>
      </c>
      <c r="G69" s="10">
        <f t="shared" si="41"/>
        <v>96.136207591422774</v>
      </c>
    </row>
    <row r="70" spans="1:7" ht="15.6">
      <c r="A70" s="19" t="s">
        <v>44</v>
      </c>
      <c r="B70" s="10">
        <f t="shared" ref="B70:B71" si="42">B22/B16</f>
        <v>337426.54889988637</v>
      </c>
      <c r="C70" s="10">
        <f>(C22/C16)*6</f>
        <v>1096073.7186692818</v>
      </c>
      <c r="D70" s="10">
        <f t="shared" ref="D70" si="43">D22/D16</f>
        <v>757186.75397736405</v>
      </c>
      <c r="E70" s="10">
        <f t="shared" ref="E70:G70" si="44">E22/E16</f>
        <v>5232619.1672246074</v>
      </c>
      <c r="F70" s="10">
        <f t="shared" si="44"/>
        <v>17442.566732737047</v>
      </c>
      <c r="G70" s="10">
        <f t="shared" si="44"/>
        <v>4055558.2724855887</v>
      </c>
    </row>
    <row r="71" spans="1:7" ht="15.6">
      <c r="A71" s="19" t="s">
        <v>45</v>
      </c>
      <c r="B71" s="10">
        <f t="shared" si="42"/>
        <v>325282.10331741616</v>
      </c>
      <c r="C71" s="10">
        <f>(C23/C17)*6</f>
        <v>961898.41376764793</v>
      </c>
      <c r="D71" s="10">
        <f t="shared" ref="D71" si="45">D23/D17</f>
        <v>717363.15320192743</v>
      </c>
      <c r="E71" s="10">
        <f t="shared" ref="E71:G71" si="46">E23/E17</f>
        <v>4650249.3056207662</v>
      </c>
      <c r="F71" s="10" t="s">
        <v>36</v>
      </c>
      <c r="G71" s="10">
        <f t="shared" si="46"/>
        <v>3960041.4879601994</v>
      </c>
    </row>
    <row r="72" spans="1:7" ht="15.6">
      <c r="A72" s="19"/>
      <c r="B72" s="10"/>
      <c r="C72" s="10"/>
      <c r="D72" s="10"/>
      <c r="E72" s="10"/>
    </row>
    <row r="73" spans="1:7" ht="15.6">
      <c r="A73" s="18" t="s">
        <v>29</v>
      </c>
      <c r="B73" s="10"/>
      <c r="C73" s="10"/>
      <c r="D73" s="10"/>
      <c r="E73" s="10"/>
    </row>
    <row r="74" spans="1:7" ht="15.6">
      <c r="A74" s="19" t="s">
        <v>30</v>
      </c>
      <c r="B74" s="10">
        <f>(B29/B28)*100</f>
        <v>99.999999996851614</v>
      </c>
      <c r="C74" s="10"/>
      <c r="D74" s="10"/>
      <c r="E74" s="10"/>
    </row>
    <row r="75" spans="1:7" ht="15.6">
      <c r="A75" s="19" t="s">
        <v>31</v>
      </c>
      <c r="B75" s="10">
        <f>(B23/B29)*100</f>
        <v>90.954113690592209</v>
      </c>
      <c r="C75" s="10"/>
      <c r="D75" s="10"/>
      <c r="E75" s="10"/>
    </row>
    <row r="76" spans="1:7" ht="16.2" thickBot="1">
      <c r="A76" s="15"/>
      <c r="B76" s="15"/>
      <c r="C76" s="15"/>
      <c r="D76" s="15"/>
      <c r="E76" s="15"/>
      <c r="F76" s="15"/>
      <c r="G76" s="15"/>
    </row>
    <row r="77" spans="1:7" s="22" customFormat="1" ht="16.5" customHeight="1" thickTop="1">
      <c r="A77" s="46" t="s">
        <v>87</v>
      </c>
      <c r="B77" s="46"/>
      <c r="C77" s="46"/>
      <c r="D77" s="46"/>
      <c r="E77" s="46"/>
      <c r="F77" s="46"/>
      <c r="G77" s="46"/>
    </row>
    <row r="78" spans="1:7" customFormat="1"/>
    <row r="79" spans="1:7" customFormat="1"/>
    <row r="80" spans="1:7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</sheetData>
  <mergeCells count="4">
    <mergeCell ref="A9:A10"/>
    <mergeCell ref="B9:B10"/>
    <mergeCell ref="C9:G9"/>
    <mergeCell ref="A77:G77"/>
  </mergeCells>
  <pageMargins left="0.7" right="0.7" top="0.75" bottom="0.75" header="0.3" footer="0.3"/>
  <pageSetup orientation="portrait" horizontalDpi="300" verticalDpi="300" r:id="rId1"/>
  <ignoredErrors>
    <ignoredError sqref="C67:C71 F67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9:J95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/>
  <cols>
    <col min="1" max="1" width="64.33203125" style="1" customWidth="1"/>
    <col min="2" max="7" width="24.6640625" style="1" customWidth="1"/>
    <col min="8" max="9" width="24.77734375" style="1" customWidth="1"/>
    <col min="10" max="10" width="36.88671875" style="1" customWidth="1"/>
    <col min="11" max="16384" width="11.44140625" style="1"/>
  </cols>
  <sheetData>
    <row r="9" spans="1:10" s="3" customFormat="1" ht="15.6">
      <c r="A9" s="47" t="s">
        <v>0</v>
      </c>
      <c r="B9" s="49" t="s">
        <v>1</v>
      </c>
      <c r="C9" s="51" t="s">
        <v>2</v>
      </c>
      <c r="D9" s="51"/>
      <c r="E9" s="51"/>
      <c r="F9" s="51"/>
      <c r="G9" s="51"/>
      <c r="H9" s="51"/>
      <c r="I9" s="51"/>
      <c r="J9" s="51"/>
    </row>
    <row r="10" spans="1:10" s="2" customFormat="1" ht="83.4" customHeight="1" thickBot="1">
      <c r="A10" s="48"/>
      <c r="B10" s="50"/>
      <c r="C10" s="4" t="s">
        <v>39</v>
      </c>
      <c r="D10" s="4" t="s">
        <v>48</v>
      </c>
      <c r="E10" s="4" t="s">
        <v>49</v>
      </c>
      <c r="F10" s="4" t="s">
        <v>50</v>
      </c>
      <c r="G10" s="4" t="s">
        <v>51</v>
      </c>
      <c r="H10" s="4" t="s">
        <v>113</v>
      </c>
      <c r="I10" s="4" t="s">
        <v>114</v>
      </c>
      <c r="J10" s="4" t="s">
        <v>115</v>
      </c>
    </row>
    <row r="11" spans="1:10" ht="16.2" thickTop="1">
      <c r="A11" s="6"/>
      <c r="B11" s="6"/>
      <c r="C11" s="6"/>
      <c r="D11" s="6"/>
      <c r="E11" s="6"/>
    </row>
    <row r="12" spans="1:10" ht="15.6">
      <c r="A12" s="5" t="s">
        <v>3</v>
      </c>
      <c r="B12" s="6"/>
      <c r="C12" s="6"/>
      <c r="D12" s="6"/>
      <c r="E12" s="6"/>
    </row>
    <row r="13" spans="1:10" ht="15.6">
      <c r="A13" s="6"/>
      <c r="B13" s="6"/>
      <c r="C13" s="6"/>
      <c r="D13" s="6"/>
      <c r="E13" s="6"/>
    </row>
    <row r="14" spans="1:10" ht="15.6">
      <c r="A14" s="5" t="s">
        <v>4</v>
      </c>
      <c r="B14" s="6"/>
      <c r="C14" s="6"/>
      <c r="D14" s="6"/>
      <c r="E14" s="6"/>
    </row>
    <row r="15" spans="1:10" ht="15.6">
      <c r="A15" s="7" t="s">
        <v>64</v>
      </c>
      <c r="B15" s="8">
        <f>+SUM(C15:G15)</f>
        <v>29573.333333333332</v>
      </c>
      <c r="C15" s="8">
        <v>21996</v>
      </c>
      <c r="D15" s="8">
        <v>5473.666666666667</v>
      </c>
      <c r="E15" s="8">
        <v>352.33333333333331</v>
      </c>
      <c r="F15" s="8">
        <v>693.33333333333337</v>
      </c>
      <c r="G15" s="8">
        <v>1058</v>
      </c>
      <c r="H15" s="8" t="s">
        <v>36</v>
      </c>
      <c r="I15" s="8" t="s">
        <v>36</v>
      </c>
      <c r="J15" s="8" t="s">
        <v>36</v>
      </c>
    </row>
    <row r="16" spans="1:10" ht="15.6">
      <c r="A16" s="7" t="s">
        <v>101</v>
      </c>
      <c r="B16" s="8">
        <f>+SUM(C16:J16)</f>
        <v>34670.5</v>
      </c>
      <c r="C16" s="8">
        <v>18648</v>
      </c>
      <c r="D16" s="8">
        <v>5690</v>
      </c>
      <c r="E16" s="8">
        <v>303</v>
      </c>
      <c r="F16" s="8">
        <v>3440</v>
      </c>
      <c r="G16" s="8">
        <v>807</v>
      </c>
      <c r="H16" s="8">
        <v>1140.5</v>
      </c>
      <c r="I16" s="8">
        <v>4578</v>
      </c>
      <c r="J16" s="8">
        <v>64</v>
      </c>
    </row>
    <row r="17" spans="1:10" ht="15.6">
      <c r="A17" s="7" t="s">
        <v>102</v>
      </c>
      <c r="B17" s="8">
        <f>+SUM(C17:J17)</f>
        <v>32422.666666666664</v>
      </c>
      <c r="C17" s="39">
        <v>19767</v>
      </c>
      <c r="D17" s="8">
        <v>5384</v>
      </c>
      <c r="E17" s="8">
        <v>291.33333333333331</v>
      </c>
      <c r="F17" s="8">
        <v>383</v>
      </c>
      <c r="G17" s="8">
        <v>807.33333333333337</v>
      </c>
      <c r="H17" s="8">
        <v>1142.5</v>
      </c>
      <c r="I17" s="8">
        <v>4583.5</v>
      </c>
      <c r="J17" s="8">
        <v>64</v>
      </c>
    </row>
    <row r="18" spans="1:10" ht="15.6">
      <c r="A18" s="7" t="s">
        <v>82</v>
      </c>
      <c r="B18" s="8">
        <f>+SUM(C18:J18)</f>
        <v>91536</v>
      </c>
      <c r="C18" s="8">
        <v>74592</v>
      </c>
      <c r="D18" s="8">
        <v>5690</v>
      </c>
      <c r="E18" s="8">
        <v>303</v>
      </c>
      <c r="F18" s="8">
        <v>3440</v>
      </c>
      <c r="G18" s="8">
        <v>807</v>
      </c>
      <c r="H18" s="8">
        <v>1262.9166666666665</v>
      </c>
      <c r="I18" s="8">
        <v>5378.75</v>
      </c>
      <c r="J18" s="8">
        <v>62.333333333333329</v>
      </c>
    </row>
    <row r="19" spans="1:10" ht="15.6">
      <c r="A19" s="6"/>
      <c r="B19" s="8"/>
      <c r="C19" s="8"/>
      <c r="D19" s="8"/>
      <c r="E19" s="8"/>
    </row>
    <row r="20" spans="1:10" ht="15.6">
      <c r="A20" s="9" t="s">
        <v>5</v>
      </c>
      <c r="B20" s="8"/>
      <c r="C20" s="8"/>
      <c r="D20" s="8"/>
      <c r="E20" s="8"/>
    </row>
    <row r="21" spans="1:10" ht="15.6">
      <c r="A21" s="7" t="s">
        <v>64</v>
      </c>
      <c r="B21" s="8">
        <f>SUM(C21:G21)</f>
        <v>5504438985.8899994</v>
      </c>
      <c r="C21" s="8">
        <v>2172155306.1199999</v>
      </c>
      <c r="D21" s="8">
        <v>2225095962.79</v>
      </c>
      <c r="E21" s="8">
        <v>533287612.91000009</v>
      </c>
      <c r="F21" s="8">
        <v>38626004.040000007</v>
      </c>
      <c r="G21" s="8">
        <v>535274100.03000003</v>
      </c>
      <c r="H21" s="8" t="s">
        <v>36</v>
      </c>
      <c r="I21" s="8" t="s">
        <v>36</v>
      </c>
      <c r="J21" s="8" t="s">
        <v>36</v>
      </c>
    </row>
    <row r="22" spans="1:10" ht="15.6">
      <c r="A22" s="7" t="s">
        <v>101</v>
      </c>
      <c r="B22" s="8">
        <f>SUM(C22:J22)</f>
        <v>10193471414.262501</v>
      </c>
      <c r="C22" s="8">
        <v>3302703404.8324013</v>
      </c>
      <c r="D22" s="8">
        <v>2088498069.7120395</v>
      </c>
      <c r="E22" s="8">
        <v>768564923.96238744</v>
      </c>
      <c r="F22" s="8">
        <v>273677192.15138382</v>
      </c>
      <c r="G22" s="8">
        <v>1586510623.5942905</v>
      </c>
      <c r="H22" s="8">
        <v>140900000</v>
      </c>
      <c r="I22" s="8">
        <v>1250580765.8699999</v>
      </c>
      <c r="J22" s="8">
        <v>782036434.1400001</v>
      </c>
    </row>
    <row r="23" spans="1:10" ht="15.6">
      <c r="A23" s="7" t="s">
        <v>102</v>
      </c>
      <c r="B23" s="8">
        <f>SUM(C23:J23)</f>
        <v>8918240845.4700012</v>
      </c>
      <c r="C23" s="8">
        <v>2664512621.46</v>
      </c>
      <c r="D23" s="8">
        <v>1905407620.7900002</v>
      </c>
      <c r="E23" s="8">
        <v>562333960.22000003</v>
      </c>
      <c r="F23" s="8">
        <v>46382011.129999995</v>
      </c>
      <c r="G23" s="8">
        <v>1590132862.25</v>
      </c>
      <c r="H23" s="8">
        <v>119100000</v>
      </c>
      <c r="I23" s="8">
        <v>1248335335.5</v>
      </c>
      <c r="J23" s="8">
        <v>782036434.12</v>
      </c>
    </row>
    <row r="24" spans="1:10" ht="15.6">
      <c r="A24" s="7" t="s">
        <v>82</v>
      </c>
      <c r="B24" s="8">
        <f>SUM(C24:J24)</f>
        <v>37799620328.580002</v>
      </c>
      <c r="C24" s="8">
        <v>13456632745.959888</v>
      </c>
      <c r="D24" s="8">
        <v>8494852910.4832792</v>
      </c>
      <c r="E24" s="8">
        <v>3111124050.9024677</v>
      </c>
      <c r="F24" s="8">
        <v>558200347.99896216</v>
      </c>
      <c r="G24" s="8">
        <v>6456199897.5654039</v>
      </c>
      <c r="H24" s="8">
        <v>1017300000</v>
      </c>
      <c r="I24" s="8">
        <v>2913285164.3800001</v>
      </c>
      <c r="J24" s="8">
        <v>1792025211.2900002</v>
      </c>
    </row>
    <row r="25" spans="1:10" ht="15.6">
      <c r="A25" s="7" t="s">
        <v>103</v>
      </c>
      <c r="B25" s="8">
        <f>SUM(C25:J25)</f>
        <v>8918240845.4700012</v>
      </c>
      <c r="C25" s="8">
        <f>+C23</f>
        <v>2664512621.46</v>
      </c>
      <c r="D25" s="8">
        <f t="shared" ref="D25:J25" si="0">+D23</f>
        <v>1905407620.7900002</v>
      </c>
      <c r="E25" s="8">
        <f t="shared" si="0"/>
        <v>562333960.22000003</v>
      </c>
      <c r="F25" s="8">
        <f t="shared" si="0"/>
        <v>46382011.129999995</v>
      </c>
      <c r="G25" s="8">
        <f t="shared" si="0"/>
        <v>1590132862.25</v>
      </c>
      <c r="H25" s="8">
        <f t="shared" si="0"/>
        <v>119100000</v>
      </c>
      <c r="I25" s="8">
        <f t="shared" si="0"/>
        <v>1248335335.5</v>
      </c>
      <c r="J25" s="8">
        <f t="shared" si="0"/>
        <v>782036434.12</v>
      </c>
    </row>
    <row r="26" spans="1:10" ht="15.6">
      <c r="A26" s="6"/>
      <c r="B26" s="8"/>
      <c r="C26" s="8"/>
      <c r="D26" s="8"/>
      <c r="E26" s="8"/>
    </row>
    <row r="27" spans="1:10" ht="15.6">
      <c r="A27" s="9" t="s">
        <v>6</v>
      </c>
      <c r="B27" s="8"/>
      <c r="C27" s="8"/>
      <c r="D27" s="8"/>
      <c r="E27" s="8"/>
    </row>
    <row r="28" spans="1:10" ht="15.6">
      <c r="A28" s="7" t="s">
        <v>101</v>
      </c>
      <c r="B28" s="8">
        <f>B22</f>
        <v>10193471414.262501</v>
      </c>
      <c r="C28" s="8"/>
      <c r="D28" s="8"/>
      <c r="E28" s="8"/>
    </row>
    <row r="29" spans="1:10" ht="15.6">
      <c r="A29" s="7" t="s">
        <v>102</v>
      </c>
      <c r="B29" s="8">
        <v>9613113687.8800011</v>
      </c>
      <c r="C29" s="8"/>
      <c r="D29" s="8"/>
      <c r="E29" s="8"/>
    </row>
    <row r="30" spans="1:10" ht="15.6">
      <c r="A30" s="6"/>
      <c r="B30" s="13"/>
      <c r="C30" s="13"/>
      <c r="D30" s="13"/>
      <c r="E30" s="13"/>
    </row>
    <row r="31" spans="1:10" ht="15.6">
      <c r="A31" s="5" t="s">
        <v>7</v>
      </c>
      <c r="B31" s="13"/>
      <c r="C31" s="13"/>
      <c r="D31" s="13"/>
      <c r="E31" s="13"/>
    </row>
    <row r="32" spans="1:10" ht="15.6">
      <c r="A32" s="7" t="s">
        <v>65</v>
      </c>
      <c r="B32" s="10">
        <v>1.0948</v>
      </c>
      <c r="C32" s="10">
        <v>1.0948</v>
      </c>
      <c r="D32" s="10">
        <v>1.0948</v>
      </c>
      <c r="E32" s="10">
        <v>1.0948</v>
      </c>
      <c r="F32" s="10">
        <v>1.0948</v>
      </c>
      <c r="G32" s="10">
        <v>1.0948</v>
      </c>
      <c r="H32" s="10">
        <v>1.0948</v>
      </c>
      <c r="I32" s="10">
        <v>1.0948</v>
      </c>
      <c r="J32" s="10">
        <v>1.0948</v>
      </c>
    </row>
    <row r="33" spans="1:10" ht="15.6">
      <c r="A33" s="7" t="s">
        <v>104</v>
      </c>
      <c r="B33" s="10">
        <v>1.0932999999999999</v>
      </c>
      <c r="C33" s="10">
        <v>1.0932999999999999</v>
      </c>
      <c r="D33" s="10">
        <v>1.0932999999999999</v>
      </c>
      <c r="E33" s="10">
        <v>1.0932999999999999</v>
      </c>
      <c r="F33" s="10">
        <v>1.0932999999999999</v>
      </c>
      <c r="G33" s="10">
        <v>1.0932999999999999</v>
      </c>
      <c r="H33" s="10">
        <v>1.0932999999999999</v>
      </c>
      <c r="I33" s="10">
        <v>1.0932999999999999</v>
      </c>
      <c r="J33" s="10">
        <v>1.0932999999999999</v>
      </c>
    </row>
    <row r="34" spans="1:10" ht="15.6">
      <c r="A34" s="7" t="s">
        <v>8</v>
      </c>
      <c r="B34" s="16" t="s">
        <v>36</v>
      </c>
      <c r="C34" s="16" t="s">
        <v>36</v>
      </c>
      <c r="D34" s="16" t="s">
        <v>36</v>
      </c>
      <c r="E34" s="16" t="s">
        <v>36</v>
      </c>
      <c r="F34" s="16" t="s">
        <v>36</v>
      </c>
      <c r="G34" s="16" t="s">
        <v>36</v>
      </c>
      <c r="H34" s="16" t="s">
        <v>36</v>
      </c>
      <c r="I34" s="16" t="s">
        <v>36</v>
      </c>
      <c r="J34" s="16" t="s">
        <v>36</v>
      </c>
    </row>
    <row r="35" spans="1:10" ht="15.6">
      <c r="A35" s="6"/>
      <c r="B35" s="13"/>
      <c r="C35" s="13"/>
      <c r="D35" s="13"/>
      <c r="E35" s="13"/>
    </row>
    <row r="36" spans="1:10" ht="15.6">
      <c r="A36" s="5" t="s">
        <v>9</v>
      </c>
      <c r="B36" s="13"/>
      <c r="C36" s="13"/>
      <c r="D36" s="13"/>
      <c r="E36" s="13"/>
    </row>
    <row r="37" spans="1:10" ht="15.6">
      <c r="A37" s="7" t="s">
        <v>66</v>
      </c>
      <c r="B37" s="14">
        <f>B21/B32</f>
        <v>5027803238.8472776</v>
      </c>
      <c r="C37" s="14">
        <f t="shared" ref="C37" si="1">C21/C32</f>
        <v>1984065862.3675556</v>
      </c>
      <c r="D37" s="14">
        <f t="shared" ref="D37:G37" si="2">D21/D32</f>
        <v>2032422326.2605042</v>
      </c>
      <c r="E37" s="14">
        <f t="shared" si="2"/>
        <v>487109620.85312396</v>
      </c>
      <c r="F37" s="14">
        <f t="shared" si="2"/>
        <v>35281333.613445386</v>
      </c>
      <c r="G37" s="14">
        <f t="shared" si="2"/>
        <v>488924095.75264889</v>
      </c>
      <c r="H37" s="16" t="s">
        <v>36</v>
      </c>
      <c r="I37" s="16" t="s">
        <v>36</v>
      </c>
      <c r="J37" s="16" t="s">
        <v>36</v>
      </c>
    </row>
    <row r="38" spans="1:10" ht="15.6">
      <c r="A38" s="7" t="s">
        <v>105</v>
      </c>
      <c r="B38" s="14">
        <f>B23/B33</f>
        <v>8157176296.9633236</v>
      </c>
      <c r="C38" s="14">
        <f t="shared" ref="C38" si="3">C23/C33</f>
        <v>2437128529.6441965</v>
      </c>
      <c r="D38" s="14">
        <f t="shared" ref="D38:G38" si="4">D23/D33</f>
        <v>1742804006.9422851</v>
      </c>
      <c r="E38" s="14">
        <f t="shared" si="4"/>
        <v>514345522.93057722</v>
      </c>
      <c r="F38" s="14">
        <f t="shared" si="4"/>
        <v>42423864.565992862</v>
      </c>
      <c r="G38" s="14">
        <f t="shared" si="4"/>
        <v>1454434155.5382786</v>
      </c>
      <c r="H38" s="14">
        <f t="shared" ref="H38:J38" si="5">H23/H33</f>
        <v>108936248.05634318</v>
      </c>
      <c r="I38" s="14">
        <f t="shared" si="5"/>
        <v>1141804935.0589957</v>
      </c>
      <c r="J38" s="14">
        <f t="shared" si="5"/>
        <v>715299034.22665334</v>
      </c>
    </row>
    <row r="39" spans="1:10" ht="15.6">
      <c r="A39" s="7" t="s">
        <v>67</v>
      </c>
      <c r="B39" s="8">
        <f t="shared" ref="B39:C39" si="6">B37/B15</f>
        <v>170011.38093487188</v>
      </c>
      <c r="C39" s="8">
        <f t="shared" si="6"/>
        <v>90201.212146188205</v>
      </c>
      <c r="D39" s="8">
        <f t="shared" ref="D39:G39" si="7">D37/D15</f>
        <v>371309.11508321739</v>
      </c>
      <c r="E39" s="8">
        <f t="shared" si="7"/>
        <v>1382524.9409265581</v>
      </c>
      <c r="F39" s="8">
        <f t="shared" si="7"/>
        <v>50886.53886554623</v>
      </c>
      <c r="G39" s="8">
        <f t="shared" si="7"/>
        <v>462121.07349021634</v>
      </c>
      <c r="H39" s="16" t="s">
        <v>36</v>
      </c>
      <c r="I39" s="16" t="s">
        <v>36</v>
      </c>
      <c r="J39" s="16" t="s">
        <v>36</v>
      </c>
    </row>
    <row r="40" spans="1:10" ht="15.6">
      <c r="A40" s="7" t="s">
        <v>106</v>
      </c>
      <c r="B40" s="8">
        <f>B38/B17</f>
        <v>251588.69197361899</v>
      </c>
      <c r="C40" s="8">
        <f t="shared" ref="C40" si="8">C38/C17</f>
        <v>123292.78745607307</v>
      </c>
      <c r="D40" s="8">
        <f t="shared" ref="D40:G40" si="9">D38/D17</f>
        <v>323700.5956430693</v>
      </c>
      <c r="E40" s="8">
        <f t="shared" si="9"/>
        <v>1765488.064979098</v>
      </c>
      <c r="F40" s="8">
        <f t="shared" si="9"/>
        <v>110767.27040729208</v>
      </c>
      <c r="G40" s="8">
        <f t="shared" si="9"/>
        <v>1801528.6815090154</v>
      </c>
      <c r="H40" s="8">
        <f t="shared" ref="H40:J40" si="10">H38/H17</f>
        <v>95349.013616055308</v>
      </c>
      <c r="I40" s="8">
        <f t="shared" si="10"/>
        <v>249112.01812130376</v>
      </c>
      <c r="J40" s="8">
        <f t="shared" si="10"/>
        <v>11176547.409791458</v>
      </c>
    </row>
    <row r="41" spans="1:10" ht="15.6">
      <c r="A41" s="6"/>
      <c r="B41" s="13"/>
      <c r="C41" s="13"/>
      <c r="D41" s="13"/>
      <c r="E41" s="13"/>
      <c r="F41" s="13"/>
      <c r="G41" s="13"/>
      <c r="H41" s="13"/>
      <c r="I41" s="13"/>
      <c r="J41" s="13"/>
    </row>
    <row r="42" spans="1:10" ht="15.6">
      <c r="A42" s="5" t="s">
        <v>10</v>
      </c>
      <c r="B42" s="13"/>
      <c r="C42" s="13"/>
      <c r="D42" s="13"/>
      <c r="E42" s="13"/>
      <c r="F42" s="13"/>
      <c r="G42" s="13"/>
      <c r="H42" s="13"/>
      <c r="I42" s="13"/>
      <c r="J42" s="13"/>
    </row>
    <row r="43" spans="1:10" ht="15.6">
      <c r="A43" s="6"/>
      <c r="B43" s="13"/>
      <c r="C43" s="13"/>
      <c r="D43" s="13"/>
      <c r="E43" s="13"/>
      <c r="F43" s="13"/>
      <c r="G43" s="13"/>
      <c r="H43" s="13"/>
      <c r="I43" s="13"/>
      <c r="J43" s="13"/>
    </row>
    <row r="44" spans="1:10" ht="15.6">
      <c r="A44" s="5" t="s">
        <v>11</v>
      </c>
      <c r="B44" s="13"/>
      <c r="C44" s="13"/>
      <c r="D44" s="13"/>
      <c r="E44" s="13"/>
      <c r="F44" s="13"/>
      <c r="G44" s="13"/>
      <c r="H44" s="13"/>
      <c r="I44" s="13"/>
      <c r="J44" s="13"/>
    </row>
    <row r="45" spans="1:10" ht="15.6">
      <c r="A45" s="6" t="s">
        <v>12</v>
      </c>
      <c r="B45" s="17" t="s">
        <v>35</v>
      </c>
      <c r="C45" s="17" t="s">
        <v>35</v>
      </c>
      <c r="D45" s="17" t="s">
        <v>35</v>
      </c>
      <c r="E45" s="17" t="s">
        <v>35</v>
      </c>
      <c r="F45" s="17" t="s">
        <v>35</v>
      </c>
      <c r="G45" s="17" t="s">
        <v>35</v>
      </c>
      <c r="H45" s="17" t="s">
        <v>35</v>
      </c>
      <c r="I45" s="17" t="s">
        <v>35</v>
      </c>
      <c r="J45" s="17" t="s">
        <v>35</v>
      </c>
    </row>
    <row r="46" spans="1:10" ht="15.6">
      <c r="A46" s="6" t="s">
        <v>13</v>
      </c>
      <c r="B46" s="17" t="s">
        <v>35</v>
      </c>
      <c r="C46" s="17" t="s">
        <v>35</v>
      </c>
      <c r="D46" s="17" t="s">
        <v>35</v>
      </c>
      <c r="E46" s="17" t="s">
        <v>35</v>
      </c>
      <c r="F46" s="17" t="s">
        <v>35</v>
      </c>
      <c r="G46" s="17" t="s">
        <v>35</v>
      </c>
      <c r="H46" s="17" t="s">
        <v>35</v>
      </c>
      <c r="I46" s="17" t="s">
        <v>35</v>
      </c>
      <c r="J46" s="17" t="s">
        <v>35</v>
      </c>
    </row>
    <row r="47" spans="1:10" ht="15.6">
      <c r="A47" s="6"/>
      <c r="B47" s="13"/>
      <c r="C47" s="13"/>
      <c r="D47" s="13"/>
      <c r="E47" s="13"/>
      <c r="F47" s="13"/>
      <c r="G47" s="13"/>
      <c r="H47" s="13"/>
      <c r="I47" s="13"/>
      <c r="J47" s="13"/>
    </row>
    <row r="48" spans="1:10" ht="15.6">
      <c r="A48" s="5" t="s">
        <v>14</v>
      </c>
      <c r="B48" s="13"/>
      <c r="C48" s="13"/>
      <c r="D48" s="13"/>
      <c r="E48" s="13"/>
      <c r="F48" s="13"/>
      <c r="G48" s="13"/>
      <c r="H48" s="13"/>
      <c r="I48" s="13"/>
      <c r="J48" s="13"/>
    </row>
    <row r="49" spans="1:10" ht="15.6">
      <c r="A49" s="6" t="s">
        <v>15</v>
      </c>
      <c r="B49" s="10">
        <f>B17/B16*100</f>
        <v>93.516582300995552</v>
      </c>
      <c r="C49" s="10">
        <f t="shared" ref="C49:G49" si="11">C17/C16*100</f>
        <v>106.00064350064351</v>
      </c>
      <c r="D49" s="10">
        <f t="shared" si="11"/>
        <v>94.62214411247804</v>
      </c>
      <c r="E49" s="10">
        <f t="shared" si="11"/>
        <v>96.149614961496141</v>
      </c>
      <c r="F49" s="10">
        <f t="shared" si="11"/>
        <v>11.133720930232558</v>
      </c>
      <c r="G49" s="10">
        <f t="shared" si="11"/>
        <v>100.04130524576622</v>
      </c>
      <c r="H49" s="10">
        <f t="shared" ref="H49:J49" si="12">H17/H16*100</f>
        <v>100.17536168347216</v>
      </c>
      <c r="I49" s="10">
        <f t="shared" si="12"/>
        <v>100.12013979903888</v>
      </c>
      <c r="J49" s="10">
        <f t="shared" si="12"/>
        <v>100</v>
      </c>
    </row>
    <row r="50" spans="1:10" ht="15.6">
      <c r="A50" s="6" t="s">
        <v>16</v>
      </c>
      <c r="B50" s="10">
        <f>B23/B22*100</f>
        <v>87.489732231865361</v>
      </c>
      <c r="C50" s="10">
        <f t="shared" ref="C50:G50" si="13">C23/C22*100</f>
        <v>80.676715249736858</v>
      </c>
      <c r="D50" s="10">
        <f t="shared" si="13"/>
        <v>91.233391518179204</v>
      </c>
      <c r="E50" s="10">
        <f t="shared" si="13"/>
        <v>73.166747881343582</v>
      </c>
      <c r="F50" s="10">
        <f t="shared" si="13"/>
        <v>16.947707905576546</v>
      </c>
      <c r="G50" s="10">
        <f t="shared" si="13"/>
        <v>100.2283148062068</v>
      </c>
      <c r="H50" s="10">
        <f t="shared" ref="H50:J50" si="14">H23/H22*100</f>
        <v>84.528034066713985</v>
      </c>
      <c r="I50" s="10">
        <f t="shared" si="14"/>
        <v>99.820448992077871</v>
      </c>
      <c r="J50" s="10">
        <f t="shared" si="14"/>
        <v>99.999999997442558</v>
      </c>
    </row>
    <row r="51" spans="1:10" ht="15.6">
      <c r="A51" s="6" t="s">
        <v>17</v>
      </c>
      <c r="B51" s="10">
        <f>AVERAGE(B49:B50)</f>
        <v>90.503157266430463</v>
      </c>
      <c r="C51" s="10">
        <f t="shared" ref="C51:G51" si="15">AVERAGE(C49:C50)</f>
        <v>93.338679375190182</v>
      </c>
      <c r="D51" s="10">
        <f t="shared" si="15"/>
        <v>92.927767815328622</v>
      </c>
      <c r="E51" s="10">
        <f t="shared" si="15"/>
        <v>84.658181421419869</v>
      </c>
      <c r="F51" s="10">
        <f t="shared" si="15"/>
        <v>14.040714417904553</v>
      </c>
      <c r="G51" s="10">
        <f t="shared" si="15"/>
        <v>100.13481002598651</v>
      </c>
      <c r="H51" s="10">
        <f t="shared" ref="H51:J51" si="16">AVERAGE(H49:H50)</f>
        <v>92.351697875093066</v>
      </c>
      <c r="I51" s="10">
        <f t="shared" si="16"/>
        <v>99.970294395558369</v>
      </c>
      <c r="J51" s="10">
        <f t="shared" si="16"/>
        <v>99.999999998721279</v>
      </c>
    </row>
    <row r="52" spans="1:10" ht="15.6">
      <c r="A52" s="6"/>
      <c r="B52" s="10"/>
      <c r="C52" s="10"/>
      <c r="D52" s="10"/>
      <c r="E52" s="10"/>
      <c r="F52" s="10"/>
      <c r="G52" s="10"/>
      <c r="H52" s="10"/>
      <c r="I52" s="10"/>
      <c r="J52" s="10"/>
    </row>
    <row r="53" spans="1:10" ht="15.6">
      <c r="A53" s="5" t="s">
        <v>18</v>
      </c>
      <c r="B53" s="10"/>
      <c r="C53" s="10"/>
      <c r="D53" s="10"/>
      <c r="E53" s="10"/>
      <c r="F53" s="10"/>
      <c r="G53" s="10"/>
      <c r="H53" s="10"/>
      <c r="I53" s="10"/>
      <c r="J53" s="10"/>
    </row>
    <row r="54" spans="1:10" ht="15.6">
      <c r="A54" s="6" t="s">
        <v>19</v>
      </c>
      <c r="B54" s="10">
        <f>B17/B18*100</f>
        <v>35.420672376624132</v>
      </c>
      <c r="C54" s="10">
        <f t="shared" ref="C54:G54" si="17">C17/C18*100</f>
        <v>26.500160875160876</v>
      </c>
      <c r="D54" s="10">
        <f t="shared" si="17"/>
        <v>94.62214411247804</v>
      </c>
      <c r="E54" s="10">
        <f t="shared" si="17"/>
        <v>96.149614961496141</v>
      </c>
      <c r="F54" s="10">
        <f t="shared" si="17"/>
        <v>11.133720930232558</v>
      </c>
      <c r="G54" s="10">
        <f t="shared" si="17"/>
        <v>100.04130524576622</v>
      </c>
      <c r="H54" s="10">
        <f t="shared" ref="H54:J54" si="18">H17/H18*100</f>
        <v>90.465193005608725</v>
      </c>
      <c r="I54" s="10">
        <f t="shared" si="18"/>
        <v>85.214966302579597</v>
      </c>
      <c r="J54" s="10">
        <f t="shared" si="18"/>
        <v>102.67379679144386</v>
      </c>
    </row>
    <row r="55" spans="1:10" ht="15.6">
      <c r="A55" s="6" t="s">
        <v>20</v>
      </c>
      <c r="B55" s="10">
        <f>B23/B24*100</f>
        <v>23.593466727831096</v>
      </c>
      <c r="C55" s="10">
        <f t="shared" ref="C55:G55" si="19">C23/C24*100</f>
        <v>19.800738206665944</v>
      </c>
      <c r="D55" s="10">
        <f t="shared" si="19"/>
        <v>22.430142591858015</v>
      </c>
      <c r="E55" s="10">
        <f t="shared" si="19"/>
        <v>18.074944972280342</v>
      </c>
      <c r="F55" s="10">
        <f t="shared" si="19"/>
        <v>8.3092049828113392</v>
      </c>
      <c r="G55" s="10">
        <f t="shared" si="19"/>
        <v>24.629548147194605</v>
      </c>
      <c r="H55" s="10">
        <f t="shared" ref="H55:J55" si="20">H23/H24*100</f>
        <v>11.707460925980536</v>
      </c>
      <c r="I55" s="10">
        <f t="shared" si="20"/>
        <v>42.849747452226097</v>
      </c>
      <c r="J55" s="10">
        <f t="shared" si="20"/>
        <v>43.63981205136318</v>
      </c>
    </row>
    <row r="56" spans="1:10" ht="15.6">
      <c r="A56" s="6" t="s">
        <v>21</v>
      </c>
      <c r="B56" s="10">
        <f>(B54+B55)/2</f>
        <v>29.507069552227613</v>
      </c>
      <c r="C56" s="10">
        <f t="shared" ref="C56:G56" si="21">(C54+C55)/2</f>
        <v>23.15044954091341</v>
      </c>
      <c r="D56" s="10">
        <f t="shared" si="21"/>
        <v>58.526143352168027</v>
      </c>
      <c r="E56" s="10">
        <f t="shared" si="21"/>
        <v>57.112279966888238</v>
      </c>
      <c r="F56" s="10">
        <f t="shared" si="21"/>
        <v>9.7214629565219486</v>
      </c>
      <c r="G56" s="10">
        <f t="shared" si="21"/>
        <v>62.335426696480411</v>
      </c>
      <c r="H56" s="10">
        <f t="shared" ref="H56:J56" si="22">(H54+H55)/2</f>
        <v>51.086326965794633</v>
      </c>
      <c r="I56" s="10">
        <f t="shared" si="22"/>
        <v>64.032356877402847</v>
      </c>
      <c r="J56" s="10">
        <f t="shared" si="22"/>
        <v>73.156804421403521</v>
      </c>
    </row>
    <row r="57" spans="1:10" ht="15.6">
      <c r="A57" s="6"/>
      <c r="B57" s="10"/>
      <c r="C57" s="10"/>
      <c r="D57" s="10"/>
      <c r="E57" s="10"/>
    </row>
    <row r="58" spans="1:10" ht="15.6">
      <c r="A58" s="5" t="s">
        <v>32</v>
      </c>
      <c r="B58" s="10"/>
      <c r="C58" s="10"/>
      <c r="D58" s="10"/>
      <c r="E58" s="10"/>
    </row>
    <row r="59" spans="1:10" ht="15.6">
      <c r="A59" s="6" t="s">
        <v>22</v>
      </c>
      <c r="B59" s="10">
        <f t="shared" ref="B59" si="23">B25/B23*100</f>
        <v>100</v>
      </c>
      <c r="C59" s="10"/>
      <c r="D59" s="10"/>
      <c r="E59" s="10"/>
    </row>
    <row r="60" spans="1:10" ht="15.6">
      <c r="A60" s="6"/>
      <c r="B60" s="10"/>
      <c r="C60" s="10"/>
      <c r="D60" s="10"/>
      <c r="E60" s="10"/>
    </row>
    <row r="61" spans="1:10" ht="15.6">
      <c r="A61" s="5" t="s">
        <v>23</v>
      </c>
      <c r="B61" s="10"/>
      <c r="C61" s="10"/>
      <c r="D61" s="10"/>
      <c r="E61" s="10"/>
    </row>
    <row r="62" spans="1:10" ht="15.6">
      <c r="A62" s="6" t="s">
        <v>24</v>
      </c>
      <c r="B62" s="10">
        <f>((B17/B15)-1)*100</f>
        <v>9.6348061316501301</v>
      </c>
      <c r="C62" s="10">
        <f t="shared" ref="C62" si="24">((C17/C15)-1)*100</f>
        <v>-10.133660665575562</v>
      </c>
      <c r="D62" s="10">
        <f t="shared" ref="D62:G62" si="25">((D17/D15)-1)*100</f>
        <v>-1.6381462761098642</v>
      </c>
      <c r="E62" s="10">
        <f t="shared" si="25"/>
        <v>-17.313150425733205</v>
      </c>
      <c r="F62" s="10">
        <f t="shared" si="25"/>
        <v>-44.759615384615394</v>
      </c>
      <c r="G62" s="10">
        <f t="shared" si="25"/>
        <v>-23.692501575299307</v>
      </c>
      <c r="H62" s="10"/>
      <c r="I62" s="10"/>
      <c r="J62" s="10"/>
    </row>
    <row r="63" spans="1:10" ht="15.6">
      <c r="A63" s="6" t="s">
        <v>25</v>
      </c>
      <c r="B63" s="10">
        <f>((B38/B37)-1)*100</f>
        <v>62.241358888847763</v>
      </c>
      <c r="C63" s="10">
        <f t="shared" ref="C63" si="26">((C38/C37)-1)*100</f>
        <v>22.835061873198505</v>
      </c>
      <c r="D63" s="10">
        <f t="shared" ref="D63:G63" si="27">((D38/D37)-1)*100</f>
        <v>-14.249908376626319</v>
      </c>
      <c r="E63" s="10">
        <f t="shared" si="27"/>
        <v>5.5913291200761606</v>
      </c>
      <c r="F63" s="10">
        <f t="shared" si="27"/>
        <v>20.244503880730647</v>
      </c>
      <c r="G63" s="10">
        <f t="shared" si="27"/>
        <v>197.47647296853415</v>
      </c>
      <c r="H63" s="10"/>
      <c r="I63" s="10"/>
      <c r="J63" s="10"/>
    </row>
    <row r="64" spans="1:10" ht="15.6">
      <c r="A64" s="6" t="s">
        <v>26</v>
      </c>
      <c r="B64" s="10">
        <f t="shared" ref="B64" si="28">((B40/B39)-1)*100</f>
        <v>47.983441220325027</v>
      </c>
      <c r="C64" s="10">
        <f t="shared" ref="C64" si="29">((C40/C39)-1)*100</f>
        <v>36.686397579950111</v>
      </c>
      <c r="D64" s="10">
        <f t="shared" ref="D64:G64" si="30">((D40/D39)-1)*100</f>
        <v>-12.821801972051805</v>
      </c>
      <c r="E64" s="10">
        <f t="shared" si="30"/>
        <v>27.700268741327804</v>
      </c>
      <c r="F64" s="10">
        <f t="shared" si="30"/>
        <v>117.6749939703392</v>
      </c>
      <c r="G64" s="10">
        <f t="shared" si="30"/>
        <v>289.83911032292622</v>
      </c>
      <c r="H64" s="10"/>
      <c r="I64" s="10"/>
      <c r="J64" s="10"/>
    </row>
    <row r="65" spans="1:10" ht="15.6">
      <c r="A65" s="6"/>
      <c r="B65" s="10"/>
      <c r="C65" s="10"/>
      <c r="D65" s="10"/>
      <c r="E65" s="10"/>
    </row>
    <row r="66" spans="1:10" ht="15.6">
      <c r="A66" s="5" t="s">
        <v>27</v>
      </c>
      <c r="B66" s="10"/>
      <c r="C66" s="10"/>
      <c r="D66" s="10"/>
      <c r="E66" s="10"/>
    </row>
    <row r="67" spans="1:10" ht="15.6">
      <c r="A67" s="6" t="s">
        <v>40</v>
      </c>
      <c r="B67" s="10">
        <f>B22/(B16*3)</f>
        <v>98003.311309446566</v>
      </c>
      <c r="C67" s="10">
        <f>C22/(C16)</f>
        <v>177107.64719178472</v>
      </c>
      <c r="D67" s="10">
        <f>D22/(D16*3)</f>
        <v>122349.03747580783</v>
      </c>
      <c r="E67" s="10">
        <f t="shared" ref="E67" si="31">E22/(E16*3)</f>
        <v>845505.96695532172</v>
      </c>
      <c r="F67" s="10">
        <f>F22/(F16*3)</f>
        <v>26519.107766606958</v>
      </c>
      <c r="G67" s="10">
        <f>G22/(G16*3)</f>
        <v>655312.11218268913</v>
      </c>
      <c r="H67" s="10">
        <f t="shared" ref="H67:J68" si="32">H22/(H16*2)</f>
        <v>61771.15300306883</v>
      </c>
      <c r="I67" s="10">
        <f t="shared" si="32"/>
        <v>136585.92899410223</v>
      </c>
      <c r="J67" s="10">
        <f t="shared" si="32"/>
        <v>6109659.6417187508</v>
      </c>
    </row>
    <row r="68" spans="1:10" ht="15.6">
      <c r="A68" s="6" t="s">
        <v>41</v>
      </c>
      <c r="B68" s="10">
        <f t="shared" ref="B68:E68" si="33">B23/(B17*3)</f>
        <v>91687.305644919208</v>
      </c>
      <c r="C68" s="10">
        <f>C23/(C17)</f>
        <v>134796.00452572468</v>
      </c>
      <c r="D68" s="10">
        <f>D23/(D17*3)</f>
        <v>117967.28707218921</v>
      </c>
      <c r="E68" s="10">
        <f t="shared" si="33"/>
        <v>643402.70048054925</v>
      </c>
      <c r="F68" s="10">
        <f>F23/(F17*3)</f>
        <v>40367.285578764138</v>
      </c>
      <c r="G68" s="10">
        <f>G23/(G17*3)</f>
        <v>656537.10249793564</v>
      </c>
      <c r="H68" s="10">
        <f t="shared" si="32"/>
        <v>52122.538293216632</v>
      </c>
      <c r="I68" s="10">
        <f t="shared" si="32"/>
        <v>136177.0847060107</v>
      </c>
      <c r="J68" s="10">
        <f t="shared" si="32"/>
        <v>6109659.6415625</v>
      </c>
    </row>
    <row r="69" spans="1:10" ht="15.6">
      <c r="A69" s="6" t="s">
        <v>28</v>
      </c>
      <c r="B69" s="10">
        <f>(B68/B67)*B51</f>
        <v>84.670512978040108</v>
      </c>
      <c r="C69" s="10">
        <f t="shared" ref="C69" si="34">(C68/C67)*C51</f>
        <v>71.039739090763049</v>
      </c>
      <c r="D69" s="10">
        <f t="shared" ref="D69:E69" si="35">(D68/D67)*D51</f>
        <v>89.599696810170897</v>
      </c>
      <c r="E69" s="10">
        <f t="shared" si="35"/>
        <v>64.422138545584119</v>
      </c>
      <c r="F69" s="10">
        <f t="shared" ref="F69:G69" si="36">(F68/F67)*F51</f>
        <v>21.372722401736471</v>
      </c>
      <c r="G69" s="10">
        <f t="shared" si="36"/>
        <v>100.32199437710786</v>
      </c>
      <c r="H69" s="10">
        <f t="shared" ref="H69:J69" si="37">(H68/H67)*H51</f>
        <v>77.926421556336635</v>
      </c>
      <c r="I69" s="10">
        <f t="shared" si="37"/>
        <v>99.671052122628367</v>
      </c>
      <c r="J69" s="10">
        <f t="shared" si="37"/>
        <v>99.999999996163837</v>
      </c>
    </row>
    <row r="70" spans="1:10" ht="15.6">
      <c r="A70" s="6" t="s">
        <v>42</v>
      </c>
      <c r="B70" s="10">
        <f t="shared" ref="B70:E71" si="38">B22/B16</f>
        <v>294009.93392833968</v>
      </c>
      <c r="C70" s="10">
        <f>(C22/C16)*3</f>
        <v>531322.9415753542</v>
      </c>
      <c r="D70" s="10">
        <f t="shared" ref="D70" si="39">D22/D16</f>
        <v>367047.11242742348</v>
      </c>
      <c r="E70" s="10">
        <f t="shared" si="38"/>
        <v>2536517.9008659651</v>
      </c>
      <c r="F70" s="10">
        <f t="shared" ref="F70:G70" si="40">F22/F16</f>
        <v>79557.323299820884</v>
      </c>
      <c r="G70" s="10">
        <f t="shared" si="40"/>
        <v>1965936.3365480676</v>
      </c>
      <c r="H70" s="10">
        <f>H22/H16</f>
        <v>123542.30600613766</v>
      </c>
      <c r="I70" s="10">
        <f t="shared" ref="I70:J70" si="41">I22/I16</f>
        <v>273171.85798820446</v>
      </c>
      <c r="J70" s="10">
        <f t="shared" si="41"/>
        <v>12219319.283437502</v>
      </c>
    </row>
    <row r="71" spans="1:10" ht="15.6">
      <c r="A71" s="6" t="s">
        <v>43</v>
      </c>
      <c r="B71" s="10">
        <f t="shared" si="38"/>
        <v>275061.91693475761</v>
      </c>
      <c r="C71" s="10">
        <f>(C23/C17)*3</f>
        <v>404388.01357717405</v>
      </c>
      <c r="D71" s="10">
        <f t="shared" ref="D71" si="42">D23/D17</f>
        <v>353901.86121656763</v>
      </c>
      <c r="E71" s="10">
        <f t="shared" si="38"/>
        <v>1930208.1014416479</v>
      </c>
      <c r="F71" s="10">
        <f t="shared" ref="F71:G71" si="43">F23/F17</f>
        <v>121101.85673629242</v>
      </c>
      <c r="G71" s="10">
        <f t="shared" si="43"/>
        <v>1969611.3074938066</v>
      </c>
      <c r="H71" s="10">
        <f>H23/H17</f>
        <v>104245.07658643326</v>
      </c>
      <c r="I71" s="10">
        <f t="shared" ref="I71:J71" si="44">I23/I17</f>
        <v>272354.16941202141</v>
      </c>
      <c r="J71" s="10">
        <f t="shared" si="44"/>
        <v>12219319.283125</v>
      </c>
    </row>
    <row r="72" spans="1:10" ht="15.6">
      <c r="A72" s="6"/>
      <c r="B72" s="10"/>
      <c r="C72" s="10"/>
      <c r="D72" s="10"/>
      <c r="E72" s="10"/>
    </row>
    <row r="73" spans="1:10" ht="15.6">
      <c r="A73" s="5" t="s">
        <v>29</v>
      </c>
      <c r="B73" s="10"/>
      <c r="C73" s="10"/>
      <c r="D73" s="10"/>
      <c r="E73" s="10"/>
    </row>
    <row r="74" spans="1:10" ht="15.6">
      <c r="A74" s="6" t="s">
        <v>30</v>
      </c>
      <c r="B74" s="10">
        <f>(B29/B28)*100</f>
        <v>94.306574249372261</v>
      </c>
      <c r="C74" s="10"/>
      <c r="D74" s="10"/>
      <c r="E74" s="10"/>
    </row>
    <row r="75" spans="1:10" ht="15.6">
      <c r="A75" s="6" t="s">
        <v>31</v>
      </c>
      <c r="B75" s="10">
        <f>(B23/B29)*100</f>
        <v>92.771615264614212</v>
      </c>
      <c r="C75" s="10"/>
      <c r="D75" s="10"/>
      <c r="E75" s="10"/>
    </row>
    <row r="76" spans="1:10" ht="16.2" thickBot="1">
      <c r="A76" s="15"/>
      <c r="B76" s="15"/>
      <c r="C76" s="15"/>
      <c r="D76" s="15"/>
      <c r="E76" s="15"/>
      <c r="F76" s="15"/>
      <c r="G76" s="15"/>
      <c r="H76" s="15"/>
      <c r="I76" s="15"/>
      <c r="J76" s="15"/>
    </row>
    <row r="77" spans="1:10" s="3" customFormat="1" ht="16.5" customHeight="1" thickTop="1">
      <c r="A77" s="52" t="s">
        <v>87</v>
      </c>
      <c r="B77" s="52"/>
      <c r="C77" s="52"/>
      <c r="D77" s="52"/>
      <c r="E77" s="52"/>
      <c r="F77" s="52"/>
      <c r="G77" s="52"/>
      <c r="H77" s="52"/>
      <c r="I77" s="52"/>
      <c r="J77" s="52"/>
    </row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</sheetData>
  <mergeCells count="4">
    <mergeCell ref="A9:A10"/>
    <mergeCell ref="B9:B10"/>
    <mergeCell ref="C9:J9"/>
    <mergeCell ref="A77:J77"/>
  </mergeCells>
  <pageMargins left="0.7" right="0.7" top="0.75" bottom="0.75" header="0.3" footer="0.3"/>
  <pageSetup paperSize="9" orientation="portrait" r:id="rId1"/>
  <ignoredErrors>
    <ignoredError sqref="C67:C71 H67:H71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9:J87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/>
  <cols>
    <col min="1" max="1" width="64.33203125" style="1" customWidth="1"/>
    <col min="2" max="7" width="24.6640625" style="1" customWidth="1"/>
    <col min="8" max="9" width="24.77734375" style="1" customWidth="1"/>
    <col min="10" max="10" width="36.5546875" style="1" customWidth="1"/>
    <col min="11" max="16384" width="11.44140625" style="1"/>
  </cols>
  <sheetData>
    <row r="9" spans="1:10" s="3" customFormat="1" ht="15.6">
      <c r="A9" s="47" t="s">
        <v>0</v>
      </c>
      <c r="B9" s="49" t="s">
        <v>1</v>
      </c>
      <c r="C9" s="51" t="s">
        <v>2</v>
      </c>
      <c r="D9" s="51"/>
      <c r="E9" s="51"/>
      <c r="F9" s="51"/>
      <c r="G9" s="51"/>
      <c r="H9" s="51"/>
      <c r="I9" s="51"/>
      <c r="J9" s="51"/>
    </row>
    <row r="10" spans="1:10" s="2" customFormat="1" ht="78.599999999999994" thickBot="1">
      <c r="A10" s="48"/>
      <c r="B10" s="50"/>
      <c r="C10" s="4" t="s">
        <v>39</v>
      </c>
      <c r="D10" s="4" t="s">
        <v>48</v>
      </c>
      <c r="E10" s="4" t="s">
        <v>49</v>
      </c>
      <c r="F10" s="4" t="s">
        <v>50</v>
      </c>
      <c r="G10" s="4" t="s">
        <v>51</v>
      </c>
      <c r="H10" s="4" t="s">
        <v>113</v>
      </c>
      <c r="I10" s="4" t="s">
        <v>114</v>
      </c>
      <c r="J10" s="4" t="s">
        <v>115</v>
      </c>
    </row>
    <row r="11" spans="1:10" ht="16.2" thickTop="1">
      <c r="A11" s="6"/>
      <c r="B11" s="6"/>
      <c r="C11" s="6"/>
      <c r="D11" s="6"/>
      <c r="E11" s="6"/>
    </row>
    <row r="12" spans="1:10" ht="15.6">
      <c r="A12" s="5" t="s">
        <v>3</v>
      </c>
      <c r="B12" s="6"/>
      <c r="C12" s="6"/>
      <c r="D12" s="6"/>
      <c r="E12" s="6"/>
    </row>
    <row r="13" spans="1:10" ht="15.6">
      <c r="A13" s="6"/>
      <c r="B13" s="6"/>
      <c r="C13" s="6"/>
      <c r="D13" s="6"/>
      <c r="E13" s="6"/>
    </row>
    <row r="14" spans="1:10" ht="15.6">
      <c r="A14" s="5" t="s">
        <v>4</v>
      </c>
      <c r="B14" s="6"/>
      <c r="C14" s="6"/>
      <c r="D14" s="6"/>
      <c r="E14" s="6"/>
    </row>
    <row r="15" spans="1:10" ht="15.6">
      <c r="A15" s="7" t="s">
        <v>68</v>
      </c>
      <c r="B15" s="8">
        <f>+SUM(C15:G15)</f>
        <v>63506.277777777774</v>
      </c>
      <c r="C15" s="8">
        <f>(+'I Trimestre'!C15+'II trimestre'!C15+'III Trimestre'!C15)</f>
        <v>56178</v>
      </c>
      <c r="D15" s="8">
        <f>(+'I Trimestre'!D15+'II trimestre'!D15+'III Trimestre'!D15)/3</f>
        <v>5408.333333333333</v>
      </c>
      <c r="E15" s="8">
        <f>(+'I Trimestre'!E15+'II trimestre'!E15+'III Trimestre'!E15)/3</f>
        <v>313.11111111111109</v>
      </c>
      <c r="F15" s="8">
        <f>('II trimestre'!F15+'III Trimestre'!F15)/2</f>
        <v>430.16666666666669</v>
      </c>
      <c r="G15" s="8">
        <f>+('I Trimestre'!G15+'II trimestre'!G15+'III Trimestre'!G15)/3</f>
        <v>1176.6666666666667</v>
      </c>
      <c r="H15" s="8" t="s">
        <v>36</v>
      </c>
      <c r="I15" s="8" t="s">
        <v>36</v>
      </c>
      <c r="J15" s="8" t="s">
        <v>36</v>
      </c>
    </row>
    <row r="16" spans="1:10" ht="15.6">
      <c r="A16" s="7" t="s">
        <v>107</v>
      </c>
      <c r="B16" s="8">
        <f>+SUM(C16:J16)</f>
        <v>71966.5</v>
      </c>
      <c r="C16" s="8">
        <f>(+'I Trimestre'!C16+'II trimestre'!C16+'III Trimestre'!C16)</f>
        <v>55944</v>
      </c>
      <c r="D16" s="8">
        <f>(+'I Trimestre'!D16+'II trimestre'!D16+'III Trimestre'!D16)/3</f>
        <v>5690</v>
      </c>
      <c r="E16" s="8">
        <f>(+'II trimestre'!E16+'III Trimestre'!E16)/2</f>
        <v>303</v>
      </c>
      <c r="F16" s="8">
        <f>(+'II trimestre'!F16+'III Trimestre'!F16)/2</f>
        <v>3440</v>
      </c>
      <c r="G16" s="8">
        <f>+'III Trimestre'!G16</f>
        <v>807</v>
      </c>
      <c r="H16" s="8">
        <f>+'III Trimestre'!H16</f>
        <v>1140.5</v>
      </c>
      <c r="I16" s="8">
        <f>+'III Trimestre'!I16</f>
        <v>4578</v>
      </c>
      <c r="J16" s="8">
        <f>+'III Trimestre'!J16</f>
        <v>64</v>
      </c>
    </row>
    <row r="17" spans="1:10" ht="15.6">
      <c r="A17" s="7" t="s">
        <v>108</v>
      </c>
      <c r="B17" s="8">
        <f t="shared" ref="B17:B18" si="0">+SUM(C17:J17)</f>
        <v>70797.666666666657</v>
      </c>
      <c r="C17" s="8">
        <f>(+'I Trimestre'!C17+'II trimestre'!C17+'III Trimestre'!C17)</f>
        <v>58157</v>
      </c>
      <c r="D17" s="8">
        <f>(+'I Trimestre'!D17+'II trimestre'!D17+'III Trimestre'!D17)/3</f>
        <v>5368.5555555555557</v>
      </c>
      <c r="E17" s="8">
        <f>(+'I Trimestre'!E17+'II trimestre'!E17+'III Trimestre'!E17)/3</f>
        <v>294</v>
      </c>
      <c r="F17" s="8">
        <f>+'III Trimestre'!F17</f>
        <v>383</v>
      </c>
      <c r="G17" s="8">
        <f>(+'I Trimestre'!G17+'II trimestre'!G17+'III Trimestre'!G17)/3</f>
        <v>805.1111111111112</v>
      </c>
      <c r="H17" s="8">
        <f>+'III Trimestre'!H17</f>
        <v>1142.5</v>
      </c>
      <c r="I17" s="8">
        <f>+'III Trimestre'!I17</f>
        <v>4583.5</v>
      </c>
      <c r="J17" s="8">
        <f>+'III Trimestre'!J17</f>
        <v>64</v>
      </c>
    </row>
    <row r="18" spans="1:10" ht="15.6">
      <c r="A18" s="7" t="s">
        <v>82</v>
      </c>
      <c r="B18" s="8">
        <f t="shared" si="0"/>
        <v>91536</v>
      </c>
      <c r="C18" s="8">
        <f>+'III Trimestre'!C18</f>
        <v>74592</v>
      </c>
      <c r="D18" s="8">
        <f>+'III Trimestre'!D18</f>
        <v>5690</v>
      </c>
      <c r="E18" s="8">
        <f>+'III Trimestre'!E18</f>
        <v>303</v>
      </c>
      <c r="F18" s="8">
        <f>+'III Trimestre'!F18</f>
        <v>3440</v>
      </c>
      <c r="G18" s="8">
        <f>+'III Trimestre'!G18</f>
        <v>807</v>
      </c>
      <c r="H18" s="8">
        <f>+'III Trimestre'!H18</f>
        <v>1262.9166666666665</v>
      </c>
      <c r="I18" s="8">
        <f>+'III Trimestre'!I18</f>
        <v>5378.75</v>
      </c>
      <c r="J18" s="8">
        <f>+'III Trimestre'!J18</f>
        <v>62.333333333333329</v>
      </c>
    </row>
    <row r="19" spans="1:10" ht="15.6">
      <c r="A19" s="6"/>
      <c r="B19" s="8"/>
      <c r="C19" s="8"/>
      <c r="D19" s="8"/>
      <c r="E19" s="8"/>
    </row>
    <row r="20" spans="1:10" ht="15.6">
      <c r="A20" s="9" t="s">
        <v>5</v>
      </c>
      <c r="B20" s="8"/>
      <c r="C20" s="8"/>
      <c r="D20" s="8"/>
      <c r="E20" s="8"/>
    </row>
    <row r="21" spans="1:10" ht="15.6">
      <c r="A21" s="7" t="s">
        <v>68</v>
      </c>
      <c r="B21" s="8">
        <f>SUM(C21:G21)</f>
        <v>22797675598.07</v>
      </c>
      <c r="C21" s="8">
        <f>+'I Trimestre'!C21+'II trimestre'!C21+'III Trimestre'!C21</f>
        <v>7078403888.2699995</v>
      </c>
      <c r="D21" s="8">
        <f>+'I Trimestre'!D21+'II trimestre'!D21+'III Trimestre'!D21</f>
        <v>6660826146.2200003</v>
      </c>
      <c r="E21" s="8">
        <f>+'I Trimestre'!E21+'II trimestre'!E21+'III Trimestre'!E21</f>
        <v>1697805439.4000001</v>
      </c>
      <c r="F21" s="8">
        <f>+'I Trimestre'!F21+'II trimestre'!F21+'III Trimestre'!F21</f>
        <v>61331852.190000005</v>
      </c>
      <c r="G21" s="8">
        <f>+'I Trimestre'!G21+'II trimestre'!G21+'III Trimestre'!G21</f>
        <v>7299308271.9900007</v>
      </c>
      <c r="H21" s="8" t="s">
        <v>36</v>
      </c>
      <c r="I21" s="8" t="s">
        <v>36</v>
      </c>
      <c r="J21" s="8" t="s">
        <v>36</v>
      </c>
    </row>
    <row r="22" spans="1:10" ht="15.6">
      <c r="A22" s="7" t="s">
        <v>107</v>
      </c>
      <c r="B22" s="8">
        <f>SUM(C22:J22)</f>
        <v>26233379842.767502</v>
      </c>
      <c r="C22" s="8">
        <f>+'I Trimestre'!C22+'II trimestre'!C22+'III Trimestre'!C22</f>
        <v>10115897640.080658</v>
      </c>
      <c r="D22" s="8">
        <f>+'I Trimestre'!D22+'II trimestre'!D22+'III Trimestre'!D22</f>
        <v>6396890699.8432407</v>
      </c>
      <c r="E22" s="8">
        <f>+'I Trimestre'!E22+'II trimestre'!E22+'III Trimestre'!E22</f>
        <v>2354048531.6314435</v>
      </c>
      <c r="F22" s="8">
        <f>+'I Trimestre'!F22+'II trimestre'!F22+'III Trimestre'!F22</f>
        <v>333679621.71199924</v>
      </c>
      <c r="G22" s="8">
        <f>+'I Trimestre'!G22+'II trimestre'!G22+'III Trimestre'!G22</f>
        <v>4859346149.4901609</v>
      </c>
      <c r="H22" s="8">
        <f>+'III Trimestre'!H22</f>
        <v>140900000</v>
      </c>
      <c r="I22" s="8">
        <f>+'III Trimestre'!I22</f>
        <v>1250580765.8699999</v>
      </c>
      <c r="J22" s="8">
        <f>+'III Trimestre'!J22</f>
        <v>782036434.1400001</v>
      </c>
    </row>
    <row r="23" spans="1:10" ht="15.6">
      <c r="A23" s="7" t="s">
        <v>108</v>
      </c>
      <c r="B23" s="8">
        <f t="shared" ref="B23:B25" si="1">SUM(C23:J23)</f>
        <v>23507197392.939999</v>
      </c>
      <c r="C23" s="8">
        <f>+'I Trimestre'!C23+'II trimestre'!C23+'III Trimestre'!C23</f>
        <v>8819059305.5499992</v>
      </c>
      <c r="D23" s="8">
        <f>+'I Trimestre'!D23+'II trimestre'!D23+'III Trimestre'!D23</f>
        <v>5751071924.5799999</v>
      </c>
      <c r="E23" s="8">
        <f>+'I Trimestre'!E23+'II trimestre'!E23+'III Trimestre'!E23</f>
        <v>1935707588.4799998</v>
      </c>
      <c r="F23" s="8">
        <f>+'I Trimestre'!F23+'II trimestre'!F23+'III Trimestre'!F23</f>
        <v>77880586.140000001</v>
      </c>
      <c r="G23" s="8">
        <f>+'I Trimestre'!G23+'II trimestre'!G23+'III Trimestre'!G23</f>
        <v>4774006218.5699997</v>
      </c>
      <c r="H23" s="8">
        <f>+'III Trimestre'!H23</f>
        <v>119100000</v>
      </c>
      <c r="I23" s="8">
        <f>+'III Trimestre'!I23</f>
        <v>1248335335.5</v>
      </c>
      <c r="J23" s="8">
        <f>+'III Trimestre'!J23</f>
        <v>782036434.12</v>
      </c>
    </row>
    <row r="24" spans="1:10" ht="15.6">
      <c r="A24" s="7" t="s">
        <v>82</v>
      </c>
      <c r="B24" s="8">
        <f t="shared" si="1"/>
        <v>37799620328.580002</v>
      </c>
      <c r="C24" s="8">
        <f>+'III Trimestre'!C24</f>
        <v>13456632745.959888</v>
      </c>
      <c r="D24" s="8">
        <f>+'III Trimestre'!D24</f>
        <v>8494852910.4832792</v>
      </c>
      <c r="E24" s="8">
        <f>+'III Trimestre'!E24</f>
        <v>3111124050.9024677</v>
      </c>
      <c r="F24" s="8">
        <f>+'III Trimestre'!F24</f>
        <v>558200347.99896216</v>
      </c>
      <c r="G24" s="8">
        <f>+'III Trimestre'!G24</f>
        <v>6456199897.5654039</v>
      </c>
      <c r="H24" s="8">
        <f>+'III Trimestre'!H24</f>
        <v>1017300000</v>
      </c>
      <c r="I24" s="8">
        <f>+'III Trimestre'!I24</f>
        <v>2913285164.3800001</v>
      </c>
      <c r="J24" s="8">
        <f>+'III Trimestre'!J24</f>
        <v>1792025211.2900002</v>
      </c>
    </row>
    <row r="25" spans="1:10" ht="15.6">
      <c r="A25" s="7" t="s">
        <v>109</v>
      </c>
      <c r="B25" s="8">
        <f t="shared" si="1"/>
        <v>23507197392.939999</v>
      </c>
      <c r="C25" s="8">
        <f t="shared" ref="C25" si="2">C23</f>
        <v>8819059305.5499992</v>
      </c>
      <c r="D25" s="8">
        <f t="shared" ref="D25:F25" si="3">D23</f>
        <v>5751071924.5799999</v>
      </c>
      <c r="E25" s="8">
        <f t="shared" si="3"/>
        <v>1935707588.4799998</v>
      </c>
      <c r="F25" s="8">
        <f t="shared" si="3"/>
        <v>77880586.140000001</v>
      </c>
      <c r="G25" s="8">
        <f t="shared" ref="G25:J25" si="4">G23</f>
        <v>4774006218.5699997</v>
      </c>
      <c r="H25" s="8">
        <f t="shared" si="4"/>
        <v>119100000</v>
      </c>
      <c r="I25" s="8">
        <f t="shared" si="4"/>
        <v>1248335335.5</v>
      </c>
      <c r="J25" s="8">
        <f t="shared" si="4"/>
        <v>782036434.12</v>
      </c>
    </row>
    <row r="26" spans="1:10" ht="15.6">
      <c r="A26" s="6"/>
      <c r="B26" s="8"/>
      <c r="C26" s="8"/>
      <c r="D26" s="8"/>
      <c r="E26" s="8"/>
    </row>
    <row r="27" spans="1:10" ht="15.6">
      <c r="A27" s="5" t="s">
        <v>6</v>
      </c>
      <c r="B27" s="8"/>
      <c r="C27" s="8"/>
      <c r="D27" s="8"/>
      <c r="E27" s="8"/>
    </row>
    <row r="28" spans="1:10" ht="15.6">
      <c r="A28" s="7" t="s">
        <v>107</v>
      </c>
      <c r="B28" s="8">
        <f>'I Trimestre'!B28+'II trimestre'!B28+'III Trimestre'!B28</f>
        <v>26233379842.767502</v>
      </c>
      <c r="C28" s="8"/>
      <c r="D28" s="8"/>
      <c r="E28" s="8"/>
    </row>
    <row r="29" spans="1:10" ht="15.6">
      <c r="A29" s="7" t="s">
        <v>108</v>
      </c>
      <c r="B29" s="8">
        <f>'I Trimestre'!B29+'II trimestre'!B29+'III Trimestre'!B29</f>
        <v>25653022115.880001</v>
      </c>
      <c r="C29" s="8"/>
      <c r="D29" s="8"/>
      <c r="E29" s="8"/>
    </row>
    <row r="30" spans="1:10" ht="15.6">
      <c r="A30" s="6"/>
      <c r="B30" s="13"/>
      <c r="C30" s="13"/>
      <c r="D30" s="13"/>
      <c r="E30" s="13"/>
    </row>
    <row r="31" spans="1:10" ht="15.6">
      <c r="A31" s="5" t="s">
        <v>7</v>
      </c>
      <c r="B31" s="13"/>
      <c r="C31" s="13"/>
      <c r="D31" s="13"/>
      <c r="E31" s="13"/>
    </row>
    <row r="32" spans="1:10" ht="15.6">
      <c r="A32" s="7" t="s">
        <v>69</v>
      </c>
      <c r="B32" s="10">
        <v>1.0948</v>
      </c>
      <c r="C32" s="10">
        <v>1.0948</v>
      </c>
      <c r="D32" s="10">
        <v>1.0948</v>
      </c>
      <c r="E32" s="10">
        <v>1.0948</v>
      </c>
      <c r="F32" s="10">
        <v>1.0948</v>
      </c>
      <c r="G32" s="10">
        <v>1.0948</v>
      </c>
      <c r="H32" s="10">
        <v>1.0948</v>
      </c>
      <c r="I32" s="10">
        <v>1.0948</v>
      </c>
      <c r="J32" s="10">
        <v>1.0948</v>
      </c>
    </row>
    <row r="33" spans="1:10" ht="15.6">
      <c r="A33" s="7" t="s">
        <v>110</v>
      </c>
      <c r="B33" s="10">
        <v>1.0932999999999999</v>
      </c>
      <c r="C33" s="10">
        <v>1.0932999999999999</v>
      </c>
      <c r="D33" s="10">
        <v>1.0932999999999999</v>
      </c>
      <c r="E33" s="10">
        <v>1.0932999999999999</v>
      </c>
      <c r="F33" s="10">
        <v>1.0932999999999999</v>
      </c>
      <c r="G33" s="10">
        <v>1.0932999999999999</v>
      </c>
      <c r="H33" s="10">
        <v>1.0932999999999999</v>
      </c>
      <c r="I33" s="10">
        <v>1.0932999999999999</v>
      </c>
      <c r="J33" s="10">
        <v>1.0932999999999999</v>
      </c>
    </row>
    <row r="34" spans="1:10" ht="15.6">
      <c r="A34" s="7" t="s">
        <v>8</v>
      </c>
      <c r="B34" s="16" t="s">
        <v>36</v>
      </c>
      <c r="C34" s="16" t="s">
        <v>36</v>
      </c>
      <c r="D34" s="16" t="s">
        <v>36</v>
      </c>
      <c r="E34" s="16" t="s">
        <v>36</v>
      </c>
      <c r="F34" s="16" t="s">
        <v>36</v>
      </c>
      <c r="G34" s="16" t="s">
        <v>36</v>
      </c>
      <c r="H34" s="16" t="s">
        <v>36</v>
      </c>
      <c r="I34" s="16" t="s">
        <v>36</v>
      </c>
      <c r="J34" s="16" t="s">
        <v>36</v>
      </c>
    </row>
    <row r="35" spans="1:10" ht="15.6">
      <c r="A35" s="6"/>
      <c r="B35" s="13"/>
      <c r="C35" s="13"/>
      <c r="D35" s="13"/>
      <c r="E35" s="13"/>
    </row>
    <row r="36" spans="1:10" ht="15.6">
      <c r="A36" s="5" t="s">
        <v>9</v>
      </c>
      <c r="B36" s="13"/>
      <c r="C36" s="13"/>
      <c r="D36" s="13"/>
      <c r="E36" s="13"/>
    </row>
    <row r="37" spans="1:10" ht="15.6">
      <c r="A37" s="7" t="s">
        <v>70</v>
      </c>
      <c r="B37" s="14">
        <f>B21/B32</f>
        <v>20823598463.710266</v>
      </c>
      <c r="C37" s="14">
        <f t="shared" ref="C37:D37" si="5">C21/C32</f>
        <v>6465476697.3602476</v>
      </c>
      <c r="D37" s="14">
        <f t="shared" si="5"/>
        <v>6084057495.6339064</v>
      </c>
      <c r="E37" s="14">
        <f t="shared" ref="E37:G37" si="6">E21/E32</f>
        <v>1550790500</v>
      </c>
      <c r="F37" s="14">
        <f t="shared" si="6"/>
        <v>56021056.074168801</v>
      </c>
      <c r="G37" s="14">
        <f t="shared" si="6"/>
        <v>6667252714.6419449</v>
      </c>
      <c r="H37" s="8" t="s">
        <v>36</v>
      </c>
      <c r="I37" s="8" t="s">
        <v>36</v>
      </c>
      <c r="J37" s="8" t="s">
        <v>36</v>
      </c>
    </row>
    <row r="38" spans="1:10" ht="15.6">
      <c r="A38" s="7" t="s">
        <v>111</v>
      </c>
      <c r="B38" s="14">
        <f>B23/B33</f>
        <v>21501140942.961674</v>
      </c>
      <c r="C38" s="14">
        <f t="shared" ref="C38:D38" si="7">C23/C33</f>
        <v>8066458708.0856123</v>
      </c>
      <c r="D38" s="14">
        <f t="shared" si="7"/>
        <v>5260287134.8943567</v>
      </c>
      <c r="E38" s="14">
        <f t="shared" ref="E38:G38" si="8">E23/E33</f>
        <v>1770518236.9706392</v>
      </c>
      <c r="F38" s="14">
        <f t="shared" si="8"/>
        <v>71234415.201682985</v>
      </c>
      <c r="G38" s="14">
        <f t="shared" si="8"/>
        <v>4366602230.467392</v>
      </c>
      <c r="H38" s="14">
        <f t="shared" ref="H38:J38" si="9">H23/H33</f>
        <v>108936248.05634318</v>
      </c>
      <c r="I38" s="14">
        <f t="shared" si="9"/>
        <v>1141804935.0589957</v>
      </c>
      <c r="J38" s="14">
        <f t="shared" si="9"/>
        <v>715299034.22665334</v>
      </c>
    </row>
    <row r="39" spans="1:10" ht="15.6">
      <c r="A39" s="7" t="s">
        <v>71</v>
      </c>
      <c r="B39" s="8">
        <f>B37/B15</f>
        <v>327898.26757878251</v>
      </c>
      <c r="C39" s="8">
        <f t="shared" ref="C39:D39" si="10">C37/C15</f>
        <v>115089.12202926853</v>
      </c>
      <c r="D39" s="8">
        <f t="shared" si="10"/>
        <v>1124941.2934916315</v>
      </c>
      <c r="E39" s="8">
        <f t="shared" ref="E39:G39" si="11">E37/E15</f>
        <v>4952844.0383250536</v>
      </c>
      <c r="F39" s="8">
        <f t="shared" si="11"/>
        <v>130231.04860325951</v>
      </c>
      <c r="G39" s="8">
        <f t="shared" si="11"/>
        <v>5666220.4373727571</v>
      </c>
      <c r="H39" s="8" t="s">
        <v>36</v>
      </c>
      <c r="I39" s="8" t="s">
        <v>36</v>
      </c>
      <c r="J39" s="8" t="s">
        <v>36</v>
      </c>
    </row>
    <row r="40" spans="1:10" ht="15.6">
      <c r="A40" s="7" t="s">
        <v>112</v>
      </c>
      <c r="B40" s="8">
        <f>B38/B17</f>
        <v>303698.44029174704</v>
      </c>
      <c r="C40" s="8">
        <f t="shared" ref="C40:D40" si="12">C38/C17</f>
        <v>138701.42387134157</v>
      </c>
      <c r="D40" s="8">
        <f t="shared" si="12"/>
        <v>979832.85829106136</v>
      </c>
      <c r="E40" s="8">
        <f t="shared" ref="E40:G40" si="13">E38/E17</f>
        <v>6022170.874049793</v>
      </c>
      <c r="F40" s="8">
        <f t="shared" si="13"/>
        <v>185990.64021327149</v>
      </c>
      <c r="G40" s="8">
        <f t="shared" si="13"/>
        <v>5423601.9975443725</v>
      </c>
      <c r="H40" s="8">
        <f t="shared" ref="H40:J40" si="14">H38/H17</f>
        <v>95349.013616055308</v>
      </c>
      <c r="I40" s="8">
        <f t="shared" si="14"/>
        <v>249112.01812130376</v>
      </c>
      <c r="J40" s="8">
        <f t="shared" si="14"/>
        <v>11176547.409791458</v>
      </c>
    </row>
    <row r="41" spans="1:10" ht="15.6">
      <c r="A41" s="6"/>
      <c r="B41" s="13"/>
      <c r="C41" s="13"/>
      <c r="D41" s="13"/>
      <c r="E41" s="13"/>
      <c r="F41" s="13"/>
      <c r="G41" s="13"/>
      <c r="H41" s="13"/>
      <c r="I41" s="13"/>
      <c r="J41" s="13"/>
    </row>
    <row r="42" spans="1:10" ht="15.6">
      <c r="A42" s="5" t="s">
        <v>10</v>
      </c>
      <c r="B42" s="13"/>
      <c r="C42" s="13"/>
      <c r="D42" s="13"/>
      <c r="E42" s="13"/>
      <c r="F42" s="13"/>
      <c r="G42" s="13"/>
      <c r="H42" s="13"/>
      <c r="I42" s="13"/>
      <c r="J42" s="13"/>
    </row>
    <row r="43" spans="1:10" ht="15.6">
      <c r="A43" s="6"/>
      <c r="B43" s="13"/>
      <c r="C43" s="13"/>
      <c r="D43" s="13"/>
      <c r="E43" s="13"/>
      <c r="F43" s="13"/>
      <c r="G43" s="13"/>
      <c r="H43" s="13"/>
      <c r="I43" s="13"/>
      <c r="J43" s="13"/>
    </row>
    <row r="44" spans="1:10" ht="15.6">
      <c r="A44" s="5" t="s">
        <v>11</v>
      </c>
      <c r="B44" s="13"/>
      <c r="C44" s="13"/>
      <c r="D44" s="13"/>
      <c r="E44" s="13"/>
      <c r="F44" s="13"/>
      <c r="G44" s="13"/>
      <c r="H44" s="13"/>
      <c r="I44" s="13"/>
      <c r="J44" s="13"/>
    </row>
    <row r="45" spans="1:10" ht="15.6">
      <c r="A45" s="6" t="s">
        <v>12</v>
      </c>
      <c r="B45" s="17" t="s">
        <v>35</v>
      </c>
      <c r="C45" s="17" t="s">
        <v>35</v>
      </c>
      <c r="D45" s="17" t="s">
        <v>35</v>
      </c>
      <c r="E45" s="17" t="s">
        <v>35</v>
      </c>
      <c r="F45" s="17" t="s">
        <v>35</v>
      </c>
      <c r="G45" s="17" t="s">
        <v>35</v>
      </c>
      <c r="H45" s="17" t="s">
        <v>35</v>
      </c>
      <c r="I45" s="17" t="s">
        <v>35</v>
      </c>
      <c r="J45" s="17" t="s">
        <v>35</v>
      </c>
    </row>
    <row r="46" spans="1:10" ht="15.6">
      <c r="A46" s="6" t="s">
        <v>13</v>
      </c>
      <c r="B46" s="17" t="s">
        <v>35</v>
      </c>
      <c r="C46" s="17" t="s">
        <v>35</v>
      </c>
      <c r="D46" s="17" t="s">
        <v>35</v>
      </c>
      <c r="E46" s="17" t="s">
        <v>35</v>
      </c>
      <c r="F46" s="17" t="s">
        <v>35</v>
      </c>
      <c r="G46" s="17" t="s">
        <v>35</v>
      </c>
      <c r="H46" s="17" t="s">
        <v>35</v>
      </c>
      <c r="I46" s="17" t="s">
        <v>35</v>
      </c>
      <c r="J46" s="17" t="s">
        <v>35</v>
      </c>
    </row>
    <row r="47" spans="1:10" ht="15.6">
      <c r="A47" s="6"/>
      <c r="B47" s="13"/>
      <c r="C47" s="13"/>
      <c r="D47" s="13"/>
      <c r="E47" s="13"/>
      <c r="F47" s="13"/>
      <c r="G47" s="13"/>
      <c r="H47" s="13"/>
      <c r="I47" s="13"/>
      <c r="J47" s="13"/>
    </row>
    <row r="48" spans="1:10" ht="15.6">
      <c r="A48" s="5" t="s">
        <v>14</v>
      </c>
      <c r="B48" s="13"/>
      <c r="C48" s="13"/>
      <c r="D48" s="13"/>
      <c r="E48" s="13"/>
      <c r="F48" s="13"/>
      <c r="G48" s="13"/>
      <c r="H48" s="13"/>
      <c r="I48" s="13"/>
      <c r="J48" s="13"/>
    </row>
    <row r="49" spans="1:10" ht="15.6">
      <c r="A49" s="6" t="s">
        <v>15</v>
      </c>
      <c r="B49" s="10">
        <f t="shared" ref="B49" si="15">B17/B16*100</f>
        <v>98.375864696305442</v>
      </c>
      <c r="C49" s="10">
        <f t="shared" ref="C49:G49" si="16">C17/C16*100</f>
        <v>103.95574145574145</v>
      </c>
      <c r="D49" s="10">
        <f t="shared" si="16"/>
        <v>94.350712751415742</v>
      </c>
      <c r="E49" s="10">
        <f t="shared" si="16"/>
        <v>97.029702970297024</v>
      </c>
      <c r="F49" s="10">
        <f t="shared" si="16"/>
        <v>11.133720930232558</v>
      </c>
      <c r="G49" s="10">
        <f t="shared" si="16"/>
        <v>99.765936940658136</v>
      </c>
      <c r="H49" s="10">
        <f t="shared" ref="H49:J49" si="17">H17/H16*100</f>
        <v>100.17536168347216</v>
      </c>
      <c r="I49" s="10">
        <f t="shared" si="17"/>
        <v>100.12013979903888</v>
      </c>
      <c r="J49" s="10">
        <f t="shared" si="17"/>
        <v>100</v>
      </c>
    </row>
    <row r="50" spans="1:10" ht="15.6">
      <c r="A50" s="6" t="s">
        <v>16</v>
      </c>
      <c r="B50" s="10">
        <f t="shared" ref="B50" si="18">B23/B22*100</f>
        <v>89.607963342248837</v>
      </c>
      <c r="C50" s="10">
        <f t="shared" ref="C50:G50" si="19">C23/C22*100</f>
        <v>87.18019516733348</v>
      </c>
      <c r="D50" s="10">
        <f t="shared" si="19"/>
        <v>89.904176801409676</v>
      </c>
      <c r="E50" s="10">
        <f t="shared" si="19"/>
        <v>82.228873469251809</v>
      </c>
      <c r="F50" s="10">
        <f t="shared" si="19"/>
        <v>23.339928803689176</v>
      </c>
      <c r="G50" s="10">
        <f t="shared" si="19"/>
        <v>98.243798068818066</v>
      </c>
      <c r="H50" s="10">
        <f t="shared" ref="H50:J50" si="20">H23/H22*100</f>
        <v>84.528034066713985</v>
      </c>
      <c r="I50" s="10">
        <f t="shared" si="20"/>
        <v>99.820448992077871</v>
      </c>
      <c r="J50" s="10">
        <f t="shared" si="20"/>
        <v>99.999999997442558</v>
      </c>
    </row>
    <row r="51" spans="1:10" ht="15.6">
      <c r="A51" s="6" t="s">
        <v>17</v>
      </c>
      <c r="B51" s="10">
        <f t="shared" ref="B51" si="21">AVERAGE(B49:B50)</f>
        <v>93.991914019277147</v>
      </c>
      <c r="C51" s="10">
        <f t="shared" ref="C51:G51" si="22">AVERAGE(C49:C50)</f>
        <v>95.56796831153747</v>
      </c>
      <c r="D51" s="10">
        <f t="shared" si="22"/>
        <v>92.127444776412716</v>
      </c>
      <c r="E51" s="10">
        <f t="shared" si="22"/>
        <v>89.629288219774423</v>
      </c>
      <c r="F51" s="10">
        <f t="shared" si="22"/>
        <v>17.236824866960866</v>
      </c>
      <c r="G51" s="10">
        <f t="shared" si="22"/>
        <v>99.004867504738101</v>
      </c>
      <c r="H51" s="10">
        <f t="shared" ref="H51:J51" si="23">AVERAGE(H49:H50)</f>
        <v>92.351697875093066</v>
      </c>
      <c r="I51" s="10">
        <f t="shared" si="23"/>
        <v>99.970294395558369</v>
      </c>
      <c r="J51" s="10">
        <f t="shared" si="23"/>
        <v>99.999999998721279</v>
      </c>
    </row>
    <row r="52" spans="1:10" ht="15.6">
      <c r="A52" s="6"/>
      <c r="B52" s="10"/>
      <c r="C52" s="10"/>
      <c r="D52" s="10"/>
      <c r="E52" s="10"/>
      <c r="F52" s="10"/>
      <c r="G52" s="10"/>
      <c r="H52" s="10"/>
      <c r="I52" s="10"/>
      <c r="J52" s="10"/>
    </row>
    <row r="53" spans="1:10" ht="15.6">
      <c r="A53" s="5" t="s">
        <v>18</v>
      </c>
      <c r="B53" s="10"/>
      <c r="C53" s="10"/>
      <c r="D53" s="10"/>
      <c r="E53" s="10"/>
      <c r="F53" s="10"/>
      <c r="G53" s="10"/>
      <c r="H53" s="10"/>
      <c r="I53" s="10"/>
      <c r="J53" s="10"/>
    </row>
    <row r="54" spans="1:10" ht="15.6">
      <c r="A54" s="6" t="s">
        <v>19</v>
      </c>
      <c r="B54" s="10">
        <f>B17/(B18)*100</f>
        <v>77.34406863601933</v>
      </c>
      <c r="C54" s="10">
        <f t="shared" ref="C54:G54" si="24">C17/(C18)*100</f>
        <v>77.966806091806092</v>
      </c>
      <c r="D54" s="10">
        <f t="shared" si="24"/>
        <v>94.350712751415742</v>
      </c>
      <c r="E54" s="10">
        <f t="shared" si="24"/>
        <v>97.029702970297024</v>
      </c>
      <c r="F54" s="10">
        <f t="shared" si="24"/>
        <v>11.133720930232558</v>
      </c>
      <c r="G54" s="10">
        <f t="shared" si="24"/>
        <v>99.765936940658136</v>
      </c>
      <c r="H54" s="10">
        <f t="shared" ref="H54:J54" si="25">H17/(H18)*100</f>
        <v>90.465193005608725</v>
      </c>
      <c r="I54" s="10">
        <f t="shared" si="25"/>
        <v>85.214966302579597</v>
      </c>
      <c r="J54" s="10">
        <f t="shared" si="25"/>
        <v>102.67379679144386</v>
      </c>
    </row>
    <row r="55" spans="1:10" ht="15.6">
      <c r="A55" s="6" t="s">
        <v>20</v>
      </c>
      <c r="B55" s="10">
        <f>B23/B24*100</f>
        <v>62.188977530989611</v>
      </c>
      <c r="C55" s="10">
        <f t="shared" ref="C55:G55" si="26">C23/C24*100</f>
        <v>65.536895239990571</v>
      </c>
      <c r="D55" s="10">
        <f t="shared" si="26"/>
        <v>67.700665157871654</v>
      </c>
      <c r="E55" s="10">
        <f t="shared" si="26"/>
        <v>62.218913704790843</v>
      </c>
      <c r="F55" s="10">
        <f t="shared" si="26"/>
        <v>13.952084841793184</v>
      </c>
      <c r="G55" s="10">
        <f t="shared" si="26"/>
        <v>73.944523006021697</v>
      </c>
      <c r="H55" s="10">
        <f t="shared" ref="H55:J55" si="27">H23/H24*100</f>
        <v>11.707460925980536</v>
      </c>
      <c r="I55" s="10">
        <f t="shared" si="27"/>
        <v>42.849747452226097</v>
      </c>
      <c r="J55" s="10">
        <f t="shared" si="27"/>
        <v>43.63981205136318</v>
      </c>
    </row>
    <row r="56" spans="1:10" ht="15.6">
      <c r="A56" s="6" t="s">
        <v>21</v>
      </c>
      <c r="B56" s="10">
        <f>(B54+B55)/2</f>
        <v>69.766523083504467</v>
      </c>
      <c r="C56" s="10">
        <f t="shared" ref="C56:G56" si="28">(C54+C55)/2</f>
        <v>71.751850665898331</v>
      </c>
      <c r="D56" s="10">
        <f t="shared" si="28"/>
        <v>81.025688954643698</v>
      </c>
      <c r="E56" s="10">
        <f t="shared" si="28"/>
        <v>79.624308337543937</v>
      </c>
      <c r="F56" s="10">
        <f t="shared" si="28"/>
        <v>12.542902886012872</v>
      </c>
      <c r="G56" s="10">
        <f t="shared" si="28"/>
        <v>86.855229973339917</v>
      </c>
      <c r="H56" s="10">
        <f t="shared" ref="H56:J56" si="29">(H54+H55)/2</f>
        <v>51.086326965794633</v>
      </c>
      <c r="I56" s="10">
        <f t="shared" si="29"/>
        <v>64.032356877402847</v>
      </c>
      <c r="J56" s="10">
        <f t="shared" si="29"/>
        <v>73.156804421403521</v>
      </c>
    </row>
    <row r="57" spans="1:10" ht="15.6">
      <c r="A57" s="6"/>
      <c r="B57" s="10"/>
      <c r="C57" s="10"/>
      <c r="D57" s="10"/>
      <c r="E57" s="10"/>
    </row>
    <row r="58" spans="1:10" ht="15.6">
      <c r="A58" s="5" t="s">
        <v>32</v>
      </c>
      <c r="B58" s="10"/>
      <c r="C58" s="10"/>
      <c r="D58" s="10"/>
      <c r="E58" s="10"/>
    </row>
    <row r="59" spans="1:10" ht="15.6">
      <c r="A59" s="6" t="s">
        <v>22</v>
      </c>
      <c r="B59" s="10">
        <f>B25/B23*100</f>
        <v>100</v>
      </c>
      <c r="C59" s="10"/>
      <c r="D59" s="10"/>
      <c r="E59" s="10"/>
    </row>
    <row r="60" spans="1:10" ht="15.6">
      <c r="A60" s="6"/>
      <c r="B60" s="10"/>
      <c r="C60" s="10"/>
      <c r="D60" s="10"/>
      <c r="E60" s="10"/>
    </row>
    <row r="61" spans="1:10" ht="15.6">
      <c r="A61" s="5" t="s">
        <v>23</v>
      </c>
      <c r="B61" s="10"/>
      <c r="C61" s="10"/>
      <c r="D61" s="10"/>
      <c r="E61" s="10"/>
    </row>
    <row r="62" spans="1:10" ht="15.6">
      <c r="A62" s="6" t="s">
        <v>24</v>
      </c>
      <c r="B62" s="10">
        <f>((B17/B15)-1)*100</f>
        <v>11.481367108938478</v>
      </c>
      <c r="C62" s="10">
        <f t="shared" ref="C62:D62" si="30">((C17/C15)-1)*100</f>
        <v>3.5227313183096687</v>
      </c>
      <c r="D62" s="10">
        <f t="shared" si="30"/>
        <v>-0.73549049820235135</v>
      </c>
      <c r="E62" s="10">
        <f t="shared" ref="E62:G62" si="31">((E17/E15)-1)*100</f>
        <v>-6.103619588360532</v>
      </c>
      <c r="F62" s="10">
        <f t="shared" si="31"/>
        <v>-10.964742347927158</v>
      </c>
      <c r="G62" s="10">
        <f t="shared" si="31"/>
        <v>-31.576959395656278</v>
      </c>
      <c r="H62" s="10"/>
      <c r="I62" s="10"/>
      <c r="J62" s="10"/>
    </row>
    <row r="63" spans="1:10" ht="15.6">
      <c r="A63" s="6" t="s">
        <v>25</v>
      </c>
      <c r="B63" s="10">
        <f>((B38/B37)-1)*100</f>
        <v>3.2537242803263533</v>
      </c>
      <c r="C63" s="10">
        <f t="shared" ref="C63:D63" si="32">((C38/C37)-1)*100</f>
        <v>24.762010377038713</v>
      </c>
      <c r="D63" s="10">
        <f t="shared" si="32"/>
        <v>-13.53981880234878</v>
      </c>
      <c r="E63" s="10">
        <f t="shared" ref="E63:G63" si="33">((E38/E37)-1)*100</f>
        <v>14.168756964312013</v>
      </c>
      <c r="F63" s="10">
        <f t="shared" si="33"/>
        <v>27.156501847042168</v>
      </c>
      <c r="G63" s="10">
        <f t="shared" si="33"/>
        <v>-34.506723873269387</v>
      </c>
      <c r="H63" s="10"/>
      <c r="I63" s="10"/>
      <c r="J63" s="10"/>
    </row>
    <row r="64" spans="1:10" ht="15.6">
      <c r="A64" s="6" t="s">
        <v>26</v>
      </c>
      <c r="B64" s="10">
        <f>((B40/B39)-1)*100</f>
        <v>-7.3802851920286798</v>
      </c>
      <c r="C64" s="10">
        <f t="shared" ref="C64:D64" si="34">((C40/C39)-1)*100</f>
        <v>20.516536598539826</v>
      </c>
      <c r="D64" s="10">
        <f t="shared" si="34"/>
        <v>-12.899200699636292</v>
      </c>
      <c r="E64" s="10">
        <f t="shared" ref="E64:G64" si="35">((E40/E39)-1)*100</f>
        <v>21.590157643775989</v>
      </c>
      <c r="F64" s="10">
        <f t="shared" si="35"/>
        <v>42.815896983122649</v>
      </c>
      <c r="G64" s="10">
        <f t="shared" si="35"/>
        <v>-4.2818390585043886</v>
      </c>
      <c r="H64" s="10"/>
      <c r="I64" s="10"/>
      <c r="J64" s="10"/>
    </row>
    <row r="65" spans="1:10" ht="15.6">
      <c r="A65" s="6"/>
      <c r="B65" s="10"/>
      <c r="C65" s="10"/>
      <c r="D65" s="10"/>
      <c r="E65" s="10"/>
    </row>
    <row r="66" spans="1:10" ht="15.6">
      <c r="A66" s="5" t="s">
        <v>27</v>
      </c>
      <c r="B66" s="10"/>
      <c r="C66" s="10"/>
      <c r="D66" s="10"/>
      <c r="E66" s="10"/>
    </row>
    <row r="67" spans="1:10" ht="15.6">
      <c r="A67" s="6" t="s">
        <v>40</v>
      </c>
      <c r="B67" s="10">
        <f>B22/(B16*9)</f>
        <v>40502.455761079422</v>
      </c>
      <c r="C67" s="10">
        <f>C22/C16</f>
        <v>180821.8511382929</v>
      </c>
      <c r="D67" s="10">
        <f t="shared" ref="D67:E67" si="36">D22/(D16*9)</f>
        <v>124914.87404497639</v>
      </c>
      <c r="E67" s="10">
        <f t="shared" si="36"/>
        <v>863237.45201006357</v>
      </c>
      <c r="F67" s="10">
        <f>F22/(F16*4)</f>
        <v>24249.972508139479</v>
      </c>
      <c r="G67" s="10">
        <f>G22/(G16*9)</f>
        <v>669054.95655929518</v>
      </c>
      <c r="H67" s="10">
        <f t="shared" ref="H67:J68" si="37">H22/(H16*2)</f>
        <v>61771.15300306883</v>
      </c>
      <c r="I67" s="10">
        <f t="shared" si="37"/>
        <v>136585.92899410223</v>
      </c>
      <c r="J67" s="10">
        <f t="shared" si="37"/>
        <v>6109659.6417187508</v>
      </c>
    </row>
    <row r="68" spans="1:10" ht="15.6">
      <c r="A68" s="6" t="s">
        <v>41</v>
      </c>
      <c r="B68" s="10">
        <f>B23/(B17*9)</f>
        <v>36892.611641218566</v>
      </c>
      <c r="C68" s="10">
        <f>C23/C17</f>
        <v>151642.26671853775</v>
      </c>
      <c r="D68" s="10">
        <f t="shared" ref="D68:E68" si="38">D23/(D17*9)</f>
        <v>119027.91821884636</v>
      </c>
      <c r="E68" s="10">
        <f t="shared" si="38"/>
        <v>731559.93517762655</v>
      </c>
      <c r="F68" s="10">
        <f>F23/(F17*4)</f>
        <v>50835.891736292426</v>
      </c>
      <c r="G68" s="10">
        <f>G23/(G17*9)</f>
        <v>658847.11821280699</v>
      </c>
      <c r="H68" s="10">
        <f t="shared" si="37"/>
        <v>52122.538293216632</v>
      </c>
      <c r="I68" s="10">
        <f t="shared" si="37"/>
        <v>136177.0847060107</v>
      </c>
      <c r="J68" s="10">
        <f t="shared" si="37"/>
        <v>6109659.6415625</v>
      </c>
    </row>
    <row r="69" spans="1:10" ht="15.6">
      <c r="A69" s="6" t="s">
        <v>28</v>
      </c>
      <c r="B69" s="10">
        <f>(B68/B67)*B51</f>
        <v>85.614739061333012</v>
      </c>
      <c r="C69" s="10">
        <f t="shared" ref="C69:D69" si="39">(C68/C67)*C51</f>
        <v>80.145973781472406</v>
      </c>
      <c r="D69" s="10">
        <f t="shared" si="39"/>
        <v>87.785686423618813</v>
      </c>
      <c r="E69" s="10">
        <f t="shared" ref="E69:G69" si="40">(E68/E67)*E51</f>
        <v>75.957311777189418</v>
      </c>
      <c r="F69" s="10">
        <f t="shared" si="40"/>
        <v>36.134035307468636</v>
      </c>
      <c r="G69" s="10">
        <f t="shared" si="40"/>
        <v>97.49434034535328</v>
      </c>
      <c r="H69" s="10">
        <f t="shared" ref="H69:J69" si="41">(H68/H67)*H51</f>
        <v>77.926421556336635</v>
      </c>
      <c r="I69" s="10">
        <f t="shared" si="41"/>
        <v>99.671052122628367</v>
      </c>
      <c r="J69" s="10">
        <f t="shared" si="41"/>
        <v>99.999999996163837</v>
      </c>
    </row>
    <row r="70" spans="1:10" ht="15.6">
      <c r="A70" s="6" t="s">
        <v>46</v>
      </c>
      <c r="B70" s="10">
        <f t="shared" ref="B70:B71" si="42">B22/B16</f>
        <v>364522.10184971482</v>
      </c>
      <c r="C70" s="10">
        <f>(C22/C16)*9</f>
        <v>1627396.660244636</v>
      </c>
      <c r="D70" s="10">
        <f t="shared" ref="D70" si="43">D22/D16</f>
        <v>1124233.8664047874</v>
      </c>
      <c r="E70" s="10">
        <f t="shared" ref="E70:G70" si="44">E22/E16</f>
        <v>7769137.068090573</v>
      </c>
      <c r="F70" s="10">
        <f t="shared" si="44"/>
        <v>96999.890032557916</v>
      </c>
      <c r="G70" s="10">
        <f t="shared" si="44"/>
        <v>6021494.6090336563</v>
      </c>
      <c r="H70" s="10">
        <f t="shared" ref="H70:I70" si="45">H22/H16</f>
        <v>123542.30600613766</v>
      </c>
      <c r="I70" s="10">
        <f t="shared" si="45"/>
        <v>273171.85798820446</v>
      </c>
      <c r="J70" s="10">
        <f>J22/J16</f>
        <v>12219319.283437502</v>
      </c>
    </row>
    <row r="71" spans="1:10" ht="15.6">
      <c r="A71" s="6" t="s">
        <v>47</v>
      </c>
      <c r="B71" s="10">
        <f t="shared" si="42"/>
        <v>332033.50477096706</v>
      </c>
      <c r="C71" s="10">
        <f>(C23/C17)*9</f>
        <v>1364780.4004668398</v>
      </c>
      <c r="D71" s="10">
        <f t="shared" ref="D71" si="46">D23/D17</f>
        <v>1071251.2639696172</v>
      </c>
      <c r="E71" s="10">
        <f t="shared" ref="E71:G71" si="47">E23/E17</f>
        <v>6584039.4165986385</v>
      </c>
      <c r="F71" s="10">
        <f t="shared" si="47"/>
        <v>203343.5669451697</v>
      </c>
      <c r="G71" s="10">
        <f t="shared" si="47"/>
        <v>5929624.0639152629</v>
      </c>
      <c r="H71" s="10">
        <f t="shared" ref="H71:J71" si="48">H23/H17</f>
        <v>104245.07658643326</v>
      </c>
      <c r="I71" s="10">
        <f t="shared" si="48"/>
        <v>272354.16941202141</v>
      </c>
      <c r="J71" s="10">
        <f t="shared" si="48"/>
        <v>12219319.283125</v>
      </c>
    </row>
    <row r="72" spans="1:10" ht="15.6">
      <c r="A72" s="6"/>
      <c r="B72" s="10"/>
      <c r="C72" s="10"/>
      <c r="D72" s="10"/>
      <c r="E72" s="10"/>
    </row>
    <row r="73" spans="1:10" ht="15.6">
      <c r="A73" s="5" t="s">
        <v>29</v>
      </c>
      <c r="B73" s="10"/>
      <c r="C73" s="10"/>
      <c r="D73" s="10"/>
      <c r="E73" s="10"/>
    </row>
    <row r="74" spans="1:10" ht="15.6">
      <c r="A74" s="6" t="s">
        <v>30</v>
      </c>
      <c r="B74" s="10">
        <f>(B29/B28)*100</f>
        <v>97.787712714236847</v>
      </c>
      <c r="C74" s="10"/>
      <c r="D74" s="10"/>
      <c r="E74" s="10"/>
    </row>
    <row r="75" spans="1:10" ht="15.6">
      <c r="A75" s="6" t="s">
        <v>31</v>
      </c>
      <c r="B75" s="10">
        <f>(B23/B29)*100</f>
        <v>91.635197158265129</v>
      </c>
      <c r="C75" s="10"/>
      <c r="D75" s="10"/>
      <c r="E75" s="10"/>
    </row>
    <row r="76" spans="1:10" ht="16.2" thickBot="1">
      <c r="A76" s="15"/>
      <c r="B76" s="15"/>
      <c r="C76" s="15"/>
      <c r="D76" s="15"/>
      <c r="E76" s="15"/>
      <c r="F76" s="15"/>
      <c r="G76" s="15"/>
      <c r="H76" s="15"/>
      <c r="I76" s="15"/>
      <c r="J76" s="15"/>
    </row>
    <row r="77" spans="1:10" s="3" customFormat="1" ht="16.5" customHeight="1" thickTop="1">
      <c r="A77" s="52" t="s">
        <v>87</v>
      </c>
      <c r="B77" s="52"/>
      <c r="C77" s="52"/>
      <c r="D77" s="52"/>
      <c r="E77" s="52"/>
      <c r="F77" s="52"/>
      <c r="G77" s="52"/>
      <c r="H77" s="52"/>
      <c r="I77" s="52"/>
      <c r="J77" s="52"/>
    </row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</sheetData>
  <mergeCells count="4">
    <mergeCell ref="A9:A10"/>
    <mergeCell ref="B9:B10"/>
    <mergeCell ref="C9:J9"/>
    <mergeCell ref="A77:J77"/>
  </mergeCells>
  <pageMargins left="0.7" right="0.7" top="0.75" bottom="0.75" header="0.3" footer="0.3"/>
  <pageSetup orientation="portrait" r:id="rId1"/>
  <ignoredErrors>
    <ignoredError sqref="C67:C71 F67:F68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77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/>
  <cols>
    <col min="1" max="1" width="64.33203125" style="1" customWidth="1"/>
    <col min="2" max="5" width="24.6640625" style="1" customWidth="1"/>
    <col min="6" max="7" width="24.6640625" style="32" customWidth="1"/>
    <col min="8" max="9" width="24.6640625" style="1" customWidth="1"/>
    <col min="10" max="10" width="36.77734375" style="1" customWidth="1"/>
    <col min="11" max="16384" width="11.44140625" style="1"/>
  </cols>
  <sheetData>
    <row r="1" spans="1:10">
      <c r="F1" s="1"/>
      <c r="G1" s="1"/>
    </row>
    <row r="2" spans="1:10">
      <c r="F2" s="1"/>
      <c r="G2" s="1"/>
    </row>
    <row r="3" spans="1:10">
      <c r="F3" s="1"/>
      <c r="G3" s="1"/>
    </row>
    <row r="4" spans="1:10">
      <c r="F4" s="1"/>
      <c r="G4" s="1"/>
    </row>
    <row r="5" spans="1:10">
      <c r="F5" s="1"/>
      <c r="G5" s="1"/>
    </row>
    <row r="6" spans="1:10">
      <c r="F6" s="1"/>
      <c r="G6" s="1"/>
    </row>
    <row r="7" spans="1:10">
      <c r="F7" s="1"/>
      <c r="G7" s="1"/>
    </row>
    <row r="8" spans="1:10">
      <c r="F8" s="1"/>
      <c r="G8" s="1"/>
    </row>
    <row r="9" spans="1:10" s="3" customFormat="1" ht="15.6">
      <c r="A9" s="47" t="s">
        <v>0</v>
      </c>
      <c r="B9" s="49" t="s">
        <v>1</v>
      </c>
      <c r="C9" s="51" t="s">
        <v>2</v>
      </c>
      <c r="D9" s="51"/>
      <c r="E9" s="51"/>
      <c r="F9" s="51"/>
      <c r="G9" s="51"/>
      <c r="H9" s="51"/>
      <c r="I9" s="51"/>
      <c r="J9" s="51"/>
    </row>
    <row r="10" spans="1:10" s="2" customFormat="1" ht="78.599999999999994" thickBot="1">
      <c r="A10" s="48"/>
      <c r="B10" s="50"/>
      <c r="C10" s="4" t="s">
        <v>39</v>
      </c>
      <c r="D10" s="4" t="s">
        <v>48</v>
      </c>
      <c r="E10" s="4" t="s">
        <v>49</v>
      </c>
      <c r="F10" s="4" t="s">
        <v>50</v>
      </c>
      <c r="G10" s="4" t="s">
        <v>51</v>
      </c>
      <c r="H10" s="4" t="s">
        <v>113</v>
      </c>
      <c r="I10" s="4" t="s">
        <v>114</v>
      </c>
      <c r="J10" s="4" t="s">
        <v>115</v>
      </c>
    </row>
    <row r="11" spans="1:10" ht="16.2" thickTop="1">
      <c r="A11" s="6"/>
      <c r="B11" s="6"/>
      <c r="C11" s="6"/>
      <c r="D11" s="6"/>
      <c r="E11" s="6"/>
      <c r="F11" s="1"/>
      <c r="G11" s="1"/>
    </row>
    <row r="12" spans="1:10" ht="15.6">
      <c r="A12" s="5" t="s">
        <v>3</v>
      </c>
      <c r="B12" s="6"/>
      <c r="C12" s="6"/>
      <c r="D12" s="6"/>
      <c r="E12" s="6"/>
      <c r="F12" s="1"/>
      <c r="G12" s="1"/>
    </row>
    <row r="13" spans="1:10" ht="15.6">
      <c r="A13" s="6"/>
      <c r="B13" s="6"/>
      <c r="C13" s="6"/>
      <c r="D13" s="6"/>
      <c r="E13" s="6"/>
      <c r="F13" s="1"/>
      <c r="G13" s="1"/>
    </row>
    <row r="14" spans="1:10" ht="15.6">
      <c r="A14" s="5" t="s">
        <v>4</v>
      </c>
      <c r="B14" s="6"/>
      <c r="C14" s="6"/>
      <c r="D14" s="6"/>
      <c r="E14" s="6"/>
      <c r="F14" s="1"/>
      <c r="G14" s="1"/>
    </row>
    <row r="15" spans="1:10" ht="15.6">
      <c r="A15" s="7" t="s">
        <v>72</v>
      </c>
      <c r="B15" s="8">
        <f>+SUM(C15:G15)</f>
        <v>25194.666666666664</v>
      </c>
      <c r="C15" s="8">
        <v>16296</v>
      </c>
      <c r="D15" s="8">
        <v>5497.333333333333</v>
      </c>
      <c r="E15" s="8">
        <v>344</v>
      </c>
      <c r="F15" s="33">
        <v>1999.3333333333333</v>
      </c>
      <c r="G15" s="8">
        <v>1058</v>
      </c>
      <c r="H15" s="8" t="s">
        <v>36</v>
      </c>
      <c r="I15" s="8" t="s">
        <v>36</v>
      </c>
      <c r="J15" s="8" t="s">
        <v>36</v>
      </c>
    </row>
    <row r="16" spans="1:10" ht="15.6">
      <c r="A16" s="7" t="s">
        <v>116</v>
      </c>
      <c r="B16" s="8">
        <f>+SUM(C16:J16)</f>
        <v>36513.499999999993</v>
      </c>
      <c r="C16" s="8">
        <v>18648</v>
      </c>
      <c r="D16" s="8">
        <v>5690</v>
      </c>
      <c r="E16" s="8">
        <v>303</v>
      </c>
      <c r="F16" s="8">
        <v>3440</v>
      </c>
      <c r="G16" s="8">
        <v>807</v>
      </c>
      <c r="H16" s="8">
        <v>1385.3333333333333</v>
      </c>
      <c r="I16" s="8">
        <v>6179.5</v>
      </c>
      <c r="J16" s="8">
        <v>60.666666666666664</v>
      </c>
    </row>
    <row r="17" spans="1:10" ht="15.6">
      <c r="A17" s="7" t="s">
        <v>117</v>
      </c>
      <c r="B17" s="8">
        <f>+SUM(C17:J17)</f>
        <v>28310.833333333332</v>
      </c>
      <c r="C17" s="8">
        <v>15659</v>
      </c>
      <c r="D17" s="8">
        <v>5416.333333333333</v>
      </c>
      <c r="E17" s="8">
        <v>284</v>
      </c>
      <c r="F17" s="33">
        <v>879.66666666666663</v>
      </c>
      <c r="G17" s="8">
        <v>794.33333333333337</v>
      </c>
      <c r="H17" s="8">
        <v>1356.3333333333333</v>
      </c>
      <c r="I17" s="8">
        <v>3860.5</v>
      </c>
      <c r="J17" s="8">
        <v>60.666666666666664</v>
      </c>
    </row>
    <row r="18" spans="1:10" ht="15.6">
      <c r="A18" s="7" t="s">
        <v>82</v>
      </c>
      <c r="B18" s="8">
        <f>+SUM(C18:J18)</f>
        <v>91535.666666666672</v>
      </c>
      <c r="C18" s="8">
        <v>74592</v>
      </c>
      <c r="D18" s="8">
        <v>5690</v>
      </c>
      <c r="E18" s="8">
        <v>303</v>
      </c>
      <c r="F18" s="8">
        <v>3440</v>
      </c>
      <c r="G18" s="8">
        <v>807</v>
      </c>
      <c r="H18" s="8">
        <v>1262.9166666666665</v>
      </c>
      <c r="I18" s="8">
        <v>5378.75</v>
      </c>
      <c r="J18" s="8">
        <v>62</v>
      </c>
    </row>
    <row r="19" spans="1:10" ht="15.6">
      <c r="A19" s="6"/>
      <c r="B19" s="8"/>
      <c r="C19" s="8"/>
      <c r="D19" s="8"/>
      <c r="E19" s="8"/>
      <c r="F19" s="6"/>
      <c r="G19" s="6"/>
      <c r="H19" s="6"/>
      <c r="I19" s="6"/>
      <c r="J19" s="6"/>
    </row>
    <row r="20" spans="1:10" ht="15.6">
      <c r="A20" s="9" t="s">
        <v>5</v>
      </c>
      <c r="B20" s="8"/>
      <c r="C20" s="8"/>
      <c r="D20" s="8"/>
      <c r="E20" s="8"/>
      <c r="F20" s="6"/>
      <c r="G20" s="6"/>
      <c r="H20" s="6"/>
      <c r="I20" s="6"/>
      <c r="J20" s="6"/>
    </row>
    <row r="21" spans="1:10" ht="15.6">
      <c r="A21" s="7" t="s">
        <v>72</v>
      </c>
      <c r="B21" s="8">
        <f>SUM(C21:G21)</f>
        <v>8140625876.6399984</v>
      </c>
      <c r="C21" s="8">
        <v>3626009196.6599989</v>
      </c>
      <c r="D21" s="8">
        <v>3142003231.5999999</v>
      </c>
      <c r="E21" s="8">
        <v>795479716.06000018</v>
      </c>
      <c r="F21" s="8">
        <v>426929198.88</v>
      </c>
      <c r="G21" s="8">
        <v>150204533.44</v>
      </c>
      <c r="H21" s="8" t="s">
        <v>36</v>
      </c>
      <c r="I21" s="8" t="s">
        <v>36</v>
      </c>
      <c r="J21" s="8" t="s">
        <v>36</v>
      </c>
    </row>
    <row r="22" spans="1:10" ht="15.6">
      <c r="A22" s="7" t="s">
        <v>116</v>
      </c>
      <c r="B22" s="8">
        <f>SUM(C22:J22)</f>
        <v>11566240485.8125</v>
      </c>
      <c r="C22" s="8">
        <v>3340735105.8792305</v>
      </c>
      <c r="D22" s="8">
        <v>2097962210.6400383</v>
      </c>
      <c r="E22" s="8">
        <v>757075519.27102447</v>
      </c>
      <c r="F22" s="8">
        <v>224520726.28696296</v>
      </c>
      <c r="G22" s="8">
        <v>1596853748.075243</v>
      </c>
      <c r="H22" s="8">
        <v>876400000</v>
      </c>
      <c r="I22" s="8">
        <v>1662704398.51</v>
      </c>
      <c r="J22" s="8">
        <v>1009988777.1500001</v>
      </c>
    </row>
    <row r="23" spans="1:10" ht="15.6">
      <c r="A23" s="7" t="s">
        <v>117</v>
      </c>
      <c r="B23" s="8">
        <f t="shared" ref="B23:B25" si="0">SUM(C23:J23)</f>
        <v>12151968119.359999</v>
      </c>
      <c r="C23" s="8">
        <v>3633046032.0599999</v>
      </c>
      <c r="D23" s="8">
        <v>2485863004.0900002</v>
      </c>
      <c r="E23" s="8">
        <v>788083284.39999998</v>
      </c>
      <c r="F23" s="8">
        <v>432685346.64999998</v>
      </c>
      <c r="G23" s="8">
        <v>1673367012.22</v>
      </c>
      <c r="H23" s="8">
        <v>710900000</v>
      </c>
      <c r="I23" s="8">
        <v>1661911893.6600001</v>
      </c>
      <c r="J23" s="8">
        <v>766111546.27999997</v>
      </c>
    </row>
    <row r="24" spans="1:10" ht="15.6">
      <c r="A24" s="7" t="s">
        <v>82</v>
      </c>
      <c r="B24" s="8">
        <f t="shared" si="0"/>
        <v>37799620328.580002</v>
      </c>
      <c r="C24" s="8">
        <v>13456632745.959888</v>
      </c>
      <c r="D24" s="8">
        <v>8494852910.4832792</v>
      </c>
      <c r="E24" s="8">
        <v>3111124050.9024677</v>
      </c>
      <c r="F24" s="8">
        <v>558200347.99896216</v>
      </c>
      <c r="G24" s="8">
        <v>6456199897.5654039</v>
      </c>
      <c r="H24" s="8">
        <v>1017300000</v>
      </c>
      <c r="I24" s="8">
        <v>2913285164.3800001</v>
      </c>
      <c r="J24" s="8">
        <v>1792025211.2900002</v>
      </c>
    </row>
    <row r="25" spans="1:10" ht="15.6">
      <c r="A25" s="7" t="s">
        <v>118</v>
      </c>
      <c r="B25" s="8">
        <f t="shared" si="0"/>
        <v>12151968119.359999</v>
      </c>
      <c r="C25" s="8">
        <f>+C23</f>
        <v>3633046032.0599999</v>
      </c>
      <c r="D25" s="8">
        <f t="shared" ref="D25:J25" si="1">+D23</f>
        <v>2485863004.0900002</v>
      </c>
      <c r="E25" s="8">
        <f t="shared" si="1"/>
        <v>788083284.39999998</v>
      </c>
      <c r="F25" s="8">
        <f t="shared" si="1"/>
        <v>432685346.64999998</v>
      </c>
      <c r="G25" s="8">
        <f t="shared" si="1"/>
        <v>1673367012.22</v>
      </c>
      <c r="H25" s="8">
        <f t="shared" si="1"/>
        <v>710900000</v>
      </c>
      <c r="I25" s="8">
        <f t="shared" si="1"/>
        <v>1661911893.6600001</v>
      </c>
      <c r="J25" s="8">
        <f t="shared" si="1"/>
        <v>766111546.27999997</v>
      </c>
    </row>
    <row r="26" spans="1:10" ht="15.6">
      <c r="A26" s="6"/>
      <c r="B26" s="8"/>
      <c r="C26" s="8"/>
      <c r="D26" s="8"/>
      <c r="E26" s="8"/>
      <c r="F26" s="6"/>
      <c r="G26" s="6"/>
      <c r="H26" s="6"/>
      <c r="I26" s="6"/>
      <c r="J26" s="6"/>
    </row>
    <row r="27" spans="1:10" ht="15.6">
      <c r="A27" s="12" t="s">
        <v>6</v>
      </c>
      <c r="B27" s="8"/>
      <c r="C27" s="8"/>
      <c r="D27" s="8"/>
      <c r="E27" s="8"/>
      <c r="F27" s="6"/>
      <c r="G27" s="6"/>
      <c r="H27" s="6"/>
      <c r="I27" s="6"/>
      <c r="J27" s="6"/>
    </row>
    <row r="28" spans="1:10" ht="15.6">
      <c r="A28" s="7" t="s">
        <v>116</v>
      </c>
      <c r="B28" s="8">
        <f>B22</f>
        <v>11566240485.8125</v>
      </c>
      <c r="C28" s="8"/>
      <c r="D28" s="8"/>
      <c r="E28" s="8"/>
      <c r="F28" s="6"/>
      <c r="G28" s="6"/>
      <c r="H28" s="6"/>
      <c r="I28" s="6"/>
      <c r="J28" s="6"/>
    </row>
    <row r="29" spans="1:10" ht="15.6">
      <c r="A29" s="7" t="s">
        <v>117</v>
      </c>
      <c r="B29" s="8">
        <v>11256110126.119999</v>
      </c>
      <c r="C29" s="8"/>
      <c r="D29" s="8"/>
      <c r="E29" s="8"/>
      <c r="F29" s="6"/>
      <c r="G29" s="6"/>
      <c r="H29" s="6"/>
      <c r="I29" s="6"/>
      <c r="J29" s="6"/>
    </row>
    <row r="30" spans="1:10" ht="15.6">
      <c r="A30" s="6"/>
      <c r="B30" s="13"/>
      <c r="C30" s="13"/>
      <c r="D30" s="13"/>
      <c r="E30" s="13"/>
      <c r="F30" s="6"/>
      <c r="G30" s="6"/>
      <c r="H30" s="6"/>
      <c r="I30" s="6"/>
      <c r="J30" s="6"/>
    </row>
    <row r="31" spans="1:10" ht="15.6">
      <c r="A31" s="5" t="s">
        <v>7</v>
      </c>
      <c r="B31" s="13"/>
      <c r="C31" s="13"/>
      <c r="D31" s="13"/>
      <c r="E31" s="13"/>
      <c r="F31" s="6"/>
      <c r="G31" s="6"/>
      <c r="H31" s="6"/>
      <c r="I31" s="6"/>
      <c r="J31" s="6"/>
    </row>
    <row r="32" spans="1:10" ht="15.6">
      <c r="A32" s="7" t="s">
        <v>73</v>
      </c>
      <c r="B32" s="11">
        <v>1.0947</v>
      </c>
      <c r="C32" s="11">
        <v>1.0947</v>
      </c>
      <c r="D32" s="11">
        <v>1.0947</v>
      </c>
      <c r="E32" s="11">
        <v>1.0947</v>
      </c>
      <c r="F32" s="11">
        <v>1.0947</v>
      </c>
      <c r="G32" s="11">
        <v>1.0947</v>
      </c>
      <c r="H32" s="11">
        <v>1.0947</v>
      </c>
      <c r="I32" s="11">
        <v>1.0947</v>
      </c>
      <c r="J32" s="11">
        <v>1.0947</v>
      </c>
    </row>
    <row r="33" spans="1:10" ht="15.6">
      <c r="A33" s="7" t="s">
        <v>119</v>
      </c>
      <c r="B33" s="11">
        <v>1.1039000000000001</v>
      </c>
      <c r="C33" s="11">
        <v>1.1039000000000001</v>
      </c>
      <c r="D33" s="11">
        <v>1.1039000000000001</v>
      </c>
      <c r="E33" s="11">
        <v>1.1039000000000001</v>
      </c>
      <c r="F33" s="11">
        <v>1.1039000000000001</v>
      </c>
      <c r="G33" s="11">
        <v>1.1039000000000001</v>
      </c>
      <c r="H33" s="11">
        <v>1.1039000000000001</v>
      </c>
      <c r="I33" s="11">
        <v>1.1039000000000001</v>
      </c>
      <c r="J33" s="11">
        <v>1.1039000000000001</v>
      </c>
    </row>
    <row r="34" spans="1:10" ht="15.6">
      <c r="A34" s="7" t="s">
        <v>8</v>
      </c>
      <c r="B34" s="16" t="s">
        <v>36</v>
      </c>
      <c r="C34" s="16" t="s">
        <v>36</v>
      </c>
      <c r="D34" s="16" t="s">
        <v>36</v>
      </c>
      <c r="E34" s="16" t="s">
        <v>36</v>
      </c>
      <c r="F34" s="16" t="s">
        <v>36</v>
      </c>
      <c r="G34" s="16" t="s">
        <v>36</v>
      </c>
      <c r="H34" s="16" t="s">
        <v>36</v>
      </c>
      <c r="I34" s="16" t="s">
        <v>36</v>
      </c>
      <c r="J34" s="16" t="s">
        <v>36</v>
      </c>
    </row>
    <row r="35" spans="1:10" ht="15.6">
      <c r="A35" s="6"/>
      <c r="B35" s="13"/>
      <c r="C35" s="13"/>
      <c r="D35" s="13"/>
      <c r="E35" s="13"/>
      <c r="F35" s="6"/>
      <c r="G35" s="6"/>
      <c r="H35" s="6"/>
      <c r="I35" s="6"/>
      <c r="J35" s="6"/>
    </row>
    <row r="36" spans="1:10" ht="15.6">
      <c r="A36" s="12" t="s">
        <v>9</v>
      </c>
      <c r="B36" s="13"/>
      <c r="C36" s="13"/>
      <c r="D36" s="13"/>
      <c r="E36" s="13"/>
      <c r="F36" s="6"/>
      <c r="G36" s="6"/>
      <c r="H36" s="6"/>
      <c r="I36" s="6"/>
      <c r="J36" s="6"/>
    </row>
    <row r="37" spans="1:10" ht="15.6">
      <c r="A37" s="7" t="s">
        <v>74</v>
      </c>
      <c r="B37" s="14">
        <f>B21/B32</f>
        <v>7436398900.7399273</v>
      </c>
      <c r="C37" s="14">
        <f t="shared" ref="C37:G37" si="2">C21/C32</f>
        <v>3312331411.9484782</v>
      </c>
      <c r="D37" s="14">
        <f t="shared" si="2"/>
        <v>2870195698.9129443</v>
      </c>
      <c r="E37" s="14">
        <f t="shared" si="2"/>
        <v>726664580.30510664</v>
      </c>
      <c r="F37" s="14">
        <f t="shared" si="2"/>
        <v>389996527.70622087</v>
      </c>
      <c r="G37" s="14">
        <f t="shared" si="2"/>
        <v>137210681.86717823</v>
      </c>
      <c r="H37" s="16" t="s">
        <v>36</v>
      </c>
      <c r="I37" s="16" t="s">
        <v>36</v>
      </c>
      <c r="J37" s="16" t="s">
        <v>36</v>
      </c>
    </row>
    <row r="38" spans="1:10" ht="15.6">
      <c r="A38" s="7" t="s">
        <v>120</v>
      </c>
      <c r="B38" s="14">
        <f>B23/B33</f>
        <v>11008214620.309809</v>
      </c>
      <c r="C38" s="14">
        <f t="shared" ref="C38:J38" si="3">C23/C33</f>
        <v>3291100672.2166858</v>
      </c>
      <c r="D38" s="14">
        <f t="shared" si="3"/>
        <v>2251891479.3821902</v>
      </c>
      <c r="E38" s="14">
        <f t="shared" si="3"/>
        <v>713908220.30981064</v>
      </c>
      <c r="F38" s="14">
        <f t="shared" si="3"/>
        <v>391960636.51598871</v>
      </c>
      <c r="G38" s="14">
        <f t="shared" si="3"/>
        <v>1515868296.2406013</v>
      </c>
      <c r="H38" s="14">
        <f t="shared" si="3"/>
        <v>643989491.80179358</v>
      </c>
      <c r="I38" s="14">
        <f t="shared" si="3"/>
        <v>1505491343.1107891</v>
      </c>
      <c r="J38" s="14">
        <f t="shared" si="3"/>
        <v>694004480.73195028</v>
      </c>
    </row>
    <row r="39" spans="1:10" ht="15.6">
      <c r="A39" s="7" t="s">
        <v>75</v>
      </c>
      <c r="B39" s="8">
        <f>B37/B15</f>
        <v>295157.66170379688</v>
      </c>
      <c r="C39" s="8">
        <f t="shared" ref="C39:G39" si="4">C37/C15</f>
        <v>203260.39592221883</v>
      </c>
      <c r="D39" s="8">
        <f t="shared" si="4"/>
        <v>522106.90618110803</v>
      </c>
      <c r="E39" s="8">
        <f t="shared" si="4"/>
        <v>2112397.0357706589</v>
      </c>
      <c r="F39" s="8">
        <f t="shared" si="4"/>
        <v>195063.28494809315</v>
      </c>
      <c r="G39" s="8">
        <f t="shared" si="4"/>
        <v>129688.73522417602</v>
      </c>
      <c r="H39" s="16" t="s">
        <v>36</v>
      </c>
      <c r="I39" s="16" t="s">
        <v>36</v>
      </c>
      <c r="J39" s="16" t="s">
        <v>36</v>
      </c>
    </row>
    <row r="40" spans="1:10" ht="15.6">
      <c r="A40" s="7" t="s">
        <v>121</v>
      </c>
      <c r="B40" s="8">
        <f>B38/B17</f>
        <v>388834.00183592178</v>
      </c>
      <c r="C40" s="8">
        <f t="shared" ref="C40:J40" si="5">C38/C17</f>
        <v>210173.10634246669</v>
      </c>
      <c r="D40" s="8">
        <f t="shared" si="5"/>
        <v>415759.39677189803</v>
      </c>
      <c r="E40" s="8">
        <f t="shared" si="5"/>
        <v>2513761.3391190516</v>
      </c>
      <c r="F40" s="8">
        <f t="shared" si="5"/>
        <v>445578.5939931664</v>
      </c>
      <c r="G40" s="8">
        <f t="shared" si="5"/>
        <v>1908352.8697951338</v>
      </c>
      <c r="H40" s="8">
        <f t="shared" si="5"/>
        <v>474801.78800820367</v>
      </c>
      <c r="I40" s="8">
        <f t="shared" si="5"/>
        <v>389973.14936168608</v>
      </c>
      <c r="J40" s="8">
        <f t="shared" si="5"/>
        <v>11439634.2977794</v>
      </c>
    </row>
    <row r="41" spans="1:10" ht="15.6">
      <c r="A41" s="6"/>
      <c r="B41" s="13"/>
      <c r="C41" s="13"/>
      <c r="D41" s="13"/>
      <c r="E41" s="13"/>
      <c r="F41" s="6"/>
      <c r="G41" s="6"/>
      <c r="H41" s="6"/>
      <c r="I41" s="6"/>
      <c r="J41" s="6"/>
    </row>
    <row r="42" spans="1:10" ht="15.6">
      <c r="A42" s="5" t="s">
        <v>10</v>
      </c>
      <c r="B42" s="13"/>
      <c r="C42" s="13"/>
      <c r="D42" s="13"/>
      <c r="E42" s="13"/>
      <c r="F42" s="6"/>
      <c r="G42" s="6"/>
      <c r="H42" s="6"/>
      <c r="I42" s="6"/>
      <c r="J42" s="6"/>
    </row>
    <row r="43" spans="1:10" ht="15.6">
      <c r="A43" s="6"/>
      <c r="B43" s="13"/>
      <c r="C43" s="13"/>
      <c r="D43" s="13"/>
      <c r="E43" s="13"/>
      <c r="F43" s="6"/>
      <c r="G43" s="6"/>
      <c r="H43" s="6"/>
      <c r="I43" s="6"/>
      <c r="J43" s="6"/>
    </row>
    <row r="44" spans="1:10" ht="15.6">
      <c r="A44" s="5" t="s">
        <v>11</v>
      </c>
      <c r="B44" s="13"/>
      <c r="C44" s="13"/>
      <c r="D44" s="13"/>
      <c r="E44" s="13"/>
      <c r="F44" s="6"/>
      <c r="G44" s="6"/>
      <c r="H44" s="6"/>
      <c r="I44" s="6"/>
      <c r="J44" s="6"/>
    </row>
    <row r="45" spans="1:10" ht="15.6">
      <c r="A45" s="6" t="s">
        <v>12</v>
      </c>
      <c r="B45" s="10" t="s">
        <v>35</v>
      </c>
      <c r="C45" s="10" t="s">
        <v>35</v>
      </c>
      <c r="D45" s="10" t="s">
        <v>35</v>
      </c>
      <c r="E45" s="10" t="s">
        <v>35</v>
      </c>
      <c r="F45" s="10" t="s">
        <v>35</v>
      </c>
      <c r="G45" s="10" t="s">
        <v>35</v>
      </c>
      <c r="H45" s="10" t="s">
        <v>35</v>
      </c>
      <c r="I45" s="10" t="s">
        <v>35</v>
      </c>
      <c r="J45" s="10" t="s">
        <v>35</v>
      </c>
    </row>
    <row r="46" spans="1:10" ht="15.6">
      <c r="A46" s="6" t="s">
        <v>13</v>
      </c>
      <c r="B46" s="10" t="s">
        <v>35</v>
      </c>
      <c r="C46" s="10" t="s">
        <v>35</v>
      </c>
      <c r="D46" s="10" t="s">
        <v>35</v>
      </c>
      <c r="E46" s="10" t="s">
        <v>35</v>
      </c>
      <c r="F46" s="10" t="s">
        <v>35</v>
      </c>
      <c r="G46" s="10" t="s">
        <v>35</v>
      </c>
      <c r="H46" s="10" t="s">
        <v>35</v>
      </c>
      <c r="I46" s="10" t="s">
        <v>35</v>
      </c>
      <c r="J46" s="10" t="s">
        <v>35</v>
      </c>
    </row>
    <row r="47" spans="1:10" ht="15.6">
      <c r="A47" s="6"/>
      <c r="B47" s="10"/>
      <c r="C47" s="10"/>
      <c r="D47" s="10"/>
      <c r="E47" s="10"/>
      <c r="F47" s="6"/>
      <c r="G47" s="6"/>
      <c r="H47" s="6"/>
      <c r="I47" s="6"/>
      <c r="J47" s="6"/>
    </row>
    <row r="48" spans="1:10" ht="15.6">
      <c r="A48" s="5" t="s">
        <v>14</v>
      </c>
      <c r="B48" s="10"/>
      <c r="C48" s="10"/>
      <c r="D48" s="10"/>
      <c r="E48" s="10"/>
      <c r="F48" s="6"/>
      <c r="G48" s="6"/>
      <c r="H48" s="6"/>
      <c r="I48" s="6"/>
      <c r="J48" s="6"/>
    </row>
    <row r="49" spans="1:10" ht="15.6">
      <c r="A49" s="6" t="s">
        <v>15</v>
      </c>
      <c r="B49" s="10">
        <f>B17/B16*100</f>
        <v>77.535249519584099</v>
      </c>
      <c r="C49" s="10">
        <f t="shared" ref="C49:J49" si="6">C17/C16*100</f>
        <v>83.971471471471475</v>
      </c>
      <c r="D49" s="10">
        <f t="shared" si="6"/>
        <v>95.190392501464544</v>
      </c>
      <c r="E49" s="10">
        <f t="shared" si="6"/>
        <v>93.729372937293732</v>
      </c>
      <c r="F49" s="10">
        <f t="shared" si="6"/>
        <v>25.571705426356591</v>
      </c>
      <c r="G49" s="10">
        <f t="shared" si="6"/>
        <v>98.430400660883933</v>
      </c>
      <c r="H49" s="10">
        <f t="shared" si="6"/>
        <v>97.906641000962466</v>
      </c>
      <c r="I49" s="10">
        <f t="shared" si="6"/>
        <v>62.472691965369364</v>
      </c>
      <c r="J49" s="10">
        <f t="shared" si="6"/>
        <v>100</v>
      </c>
    </row>
    <row r="50" spans="1:10" ht="15.6">
      <c r="A50" s="6" t="s">
        <v>16</v>
      </c>
      <c r="B50" s="10">
        <f>B23/B22*100</f>
        <v>105.06411425792133</v>
      </c>
      <c r="C50" s="10">
        <f t="shared" ref="C50:J50" si="7">C23/C22*100</f>
        <v>108.74989835818897</v>
      </c>
      <c r="D50" s="10">
        <f t="shared" si="7"/>
        <v>118.48940803045365</v>
      </c>
      <c r="E50" s="10">
        <f t="shared" si="7"/>
        <v>104.09572946683474</v>
      </c>
      <c r="F50" s="10">
        <f t="shared" si="7"/>
        <v>192.7151019888378</v>
      </c>
      <c r="G50" s="10">
        <f t="shared" si="7"/>
        <v>104.79150105242773</v>
      </c>
      <c r="H50" s="10">
        <f t="shared" si="7"/>
        <v>81.115928799634872</v>
      </c>
      <c r="I50" s="10">
        <f t="shared" si="7"/>
        <v>99.952336395410384</v>
      </c>
      <c r="J50" s="10">
        <f t="shared" si="7"/>
        <v>75.853471208048845</v>
      </c>
    </row>
    <row r="51" spans="1:10" ht="15.6">
      <c r="A51" s="6" t="s">
        <v>17</v>
      </c>
      <c r="B51" s="10">
        <f>AVERAGE(B49:B50)</f>
        <v>91.299681888752716</v>
      </c>
      <c r="C51" s="10">
        <f t="shared" ref="C51:J51" si="8">AVERAGE(C49:C50)</f>
        <v>96.360684914830216</v>
      </c>
      <c r="D51" s="10">
        <f t="shared" si="8"/>
        <v>106.8399002659591</v>
      </c>
      <c r="E51" s="10">
        <f t="shared" si="8"/>
        <v>98.912551202064236</v>
      </c>
      <c r="F51" s="10">
        <f t="shared" si="8"/>
        <v>109.1434037075972</v>
      </c>
      <c r="G51" s="10">
        <f t="shared" si="8"/>
        <v>101.61095085665583</v>
      </c>
      <c r="H51" s="10">
        <f t="shared" si="8"/>
        <v>89.511284900298676</v>
      </c>
      <c r="I51" s="10">
        <f t="shared" si="8"/>
        <v>81.212514180389874</v>
      </c>
      <c r="J51" s="10">
        <f t="shared" si="8"/>
        <v>87.926735604024429</v>
      </c>
    </row>
    <row r="52" spans="1:10" ht="15.6">
      <c r="A52" s="6"/>
      <c r="B52" s="10"/>
      <c r="C52" s="10"/>
      <c r="D52" s="10"/>
      <c r="E52" s="10"/>
      <c r="F52" s="10"/>
      <c r="G52" s="10"/>
      <c r="H52" s="10"/>
      <c r="I52" s="10"/>
      <c r="J52" s="10"/>
    </row>
    <row r="53" spans="1:10" ht="15.6">
      <c r="A53" s="5" t="s">
        <v>18</v>
      </c>
      <c r="B53" s="10"/>
      <c r="C53" s="10"/>
      <c r="D53" s="10"/>
      <c r="E53" s="10"/>
      <c r="F53" s="10"/>
      <c r="G53" s="10"/>
      <c r="H53" s="10"/>
      <c r="I53" s="10"/>
      <c r="J53" s="10"/>
    </row>
    <row r="54" spans="1:10" ht="15.6">
      <c r="A54" s="6" t="s">
        <v>19</v>
      </c>
      <c r="B54" s="10">
        <f>B17/B18*100</f>
        <v>30.928745443488324</v>
      </c>
      <c r="C54" s="10">
        <f t="shared" ref="C54:G54" si="9">C17/C18*100</f>
        <v>20.992867867867869</v>
      </c>
      <c r="D54" s="10">
        <f t="shared" si="9"/>
        <v>95.190392501464544</v>
      </c>
      <c r="E54" s="10">
        <f t="shared" si="9"/>
        <v>93.729372937293732</v>
      </c>
      <c r="F54" s="10">
        <f t="shared" si="9"/>
        <v>25.571705426356591</v>
      </c>
      <c r="G54" s="10">
        <f t="shared" si="9"/>
        <v>98.430400660883933</v>
      </c>
      <c r="H54" s="10">
        <f t="shared" ref="H54:J54" si="10">H17/H18*100</f>
        <v>107.39689871329594</v>
      </c>
      <c r="I54" s="10">
        <f t="shared" si="10"/>
        <v>71.773181501278188</v>
      </c>
      <c r="J54" s="10">
        <f t="shared" si="10"/>
        <v>97.849462365591393</v>
      </c>
    </row>
    <row r="55" spans="1:10" ht="15.6">
      <c r="A55" s="6" t="s">
        <v>20</v>
      </c>
      <c r="B55" s="10">
        <f>B23/B24*100</f>
        <v>32.148386713217832</v>
      </c>
      <c r="C55" s="10">
        <f t="shared" ref="C55:G55" si="11">C23/C24*100</f>
        <v>26.998180753285077</v>
      </c>
      <c r="D55" s="10">
        <f t="shared" si="11"/>
        <v>29.26316712349734</v>
      </c>
      <c r="E55" s="10">
        <f t="shared" si="11"/>
        <v>25.331143069380168</v>
      </c>
      <c r="F55" s="10">
        <f t="shared" si="11"/>
        <v>77.514345557305958</v>
      </c>
      <c r="G55" s="10">
        <f t="shared" si="11"/>
        <v>25.918760861958706</v>
      </c>
      <c r="H55" s="10">
        <f t="shared" ref="H55:J55" si="12">H23/H24*100</f>
        <v>69.881057701759559</v>
      </c>
      <c r="I55" s="10">
        <f t="shared" si="12"/>
        <v>57.045973871002268</v>
      </c>
      <c r="J55" s="10">
        <f t="shared" si="12"/>
        <v>42.751158937574871</v>
      </c>
    </row>
    <row r="56" spans="1:10" ht="15.6">
      <c r="A56" s="6" t="s">
        <v>21</v>
      </c>
      <c r="B56" s="10">
        <f>(B54+B55)/2</f>
        <v>31.538566078353078</v>
      </c>
      <c r="C56" s="10">
        <f t="shared" ref="C56:G56" si="13">(C54+C55)/2</f>
        <v>23.995524310576471</v>
      </c>
      <c r="D56" s="10">
        <f t="shared" si="13"/>
        <v>62.226779812480942</v>
      </c>
      <c r="E56" s="10">
        <f t="shared" si="13"/>
        <v>59.530258003336954</v>
      </c>
      <c r="F56" s="10">
        <f t="shared" si="13"/>
        <v>51.543025491831273</v>
      </c>
      <c r="G56" s="10">
        <f t="shared" si="13"/>
        <v>62.174580761421318</v>
      </c>
      <c r="H56" s="10">
        <f t="shared" ref="H56" si="14">(H54+H55)/2</f>
        <v>88.638978207527742</v>
      </c>
      <c r="I56" s="10">
        <f t="shared" ref="I56" si="15">(I54+I55)/2</f>
        <v>64.409577686140224</v>
      </c>
      <c r="J56" s="10">
        <f t="shared" ref="J56" si="16">(J54+J55)/2</f>
        <v>70.300310651583132</v>
      </c>
    </row>
    <row r="57" spans="1:10" ht="15.6">
      <c r="A57" s="6"/>
      <c r="B57" s="10"/>
      <c r="C57" s="10"/>
      <c r="D57" s="10"/>
      <c r="E57" s="10"/>
      <c r="F57" s="6"/>
      <c r="G57" s="6"/>
      <c r="H57" s="6"/>
      <c r="I57" s="6"/>
      <c r="J57" s="6"/>
    </row>
    <row r="58" spans="1:10" ht="15.6">
      <c r="A58" s="5" t="s">
        <v>32</v>
      </c>
      <c r="B58" s="10"/>
      <c r="C58" s="10"/>
      <c r="D58" s="10"/>
      <c r="E58" s="10"/>
      <c r="F58" s="6"/>
      <c r="G58" s="6"/>
      <c r="H58" s="6"/>
      <c r="I58" s="6"/>
      <c r="J58" s="6"/>
    </row>
    <row r="59" spans="1:10" ht="15.6">
      <c r="A59" s="6" t="s">
        <v>22</v>
      </c>
      <c r="B59" s="10">
        <f t="shared" ref="B59" si="17">B25/B23*100</f>
        <v>100</v>
      </c>
      <c r="C59" s="10"/>
      <c r="D59" s="10"/>
      <c r="E59" s="10"/>
      <c r="F59" s="6"/>
      <c r="G59" s="6"/>
      <c r="H59" s="6"/>
      <c r="I59" s="6"/>
      <c r="J59" s="6"/>
    </row>
    <row r="60" spans="1:10" ht="15.6">
      <c r="A60" s="6"/>
      <c r="B60" s="10"/>
      <c r="C60" s="10"/>
      <c r="D60" s="10"/>
      <c r="E60" s="10"/>
      <c r="F60" s="6"/>
      <c r="G60" s="6"/>
      <c r="H60" s="6"/>
      <c r="I60" s="6"/>
      <c r="J60" s="6"/>
    </row>
    <row r="61" spans="1:10" ht="15.6">
      <c r="A61" s="5" t="s">
        <v>23</v>
      </c>
      <c r="B61" s="10"/>
      <c r="C61" s="10"/>
      <c r="D61" s="10"/>
      <c r="E61" s="10"/>
      <c r="F61" s="6"/>
      <c r="G61" s="6"/>
      <c r="H61" s="6"/>
      <c r="I61" s="6"/>
      <c r="J61" s="6"/>
    </row>
    <row r="62" spans="1:10" ht="15.6">
      <c r="A62" s="6" t="s">
        <v>24</v>
      </c>
      <c r="B62" s="10">
        <f>((B17/B15)-1)*100</f>
        <v>12.36835838272652</v>
      </c>
      <c r="C62" s="10">
        <f t="shared" ref="C62:G62" si="18">((C17/C15)-1)*100</f>
        <v>-3.9089347079037773</v>
      </c>
      <c r="D62" s="10">
        <f t="shared" si="18"/>
        <v>-1.4734416686878471</v>
      </c>
      <c r="E62" s="10">
        <f t="shared" si="18"/>
        <v>-17.441860465116278</v>
      </c>
      <c r="F62" s="10">
        <f t="shared" si="18"/>
        <v>-56.002000666888961</v>
      </c>
      <c r="G62" s="10">
        <f t="shared" si="18"/>
        <v>-24.921235034656586</v>
      </c>
      <c r="H62" s="10"/>
      <c r="I62" s="10"/>
      <c r="J62" s="10"/>
    </row>
    <row r="63" spans="1:10" ht="15.6">
      <c r="A63" s="6" t="s">
        <v>25</v>
      </c>
      <c r="B63" s="10">
        <f>((B38/B37)-1)*100</f>
        <v>48.031523957307918</v>
      </c>
      <c r="C63" s="10">
        <f t="shared" ref="C63:G63" si="19">((C38/C37)-1)*100</f>
        <v>-0.64096061327701959</v>
      </c>
      <c r="D63" s="10">
        <f t="shared" si="19"/>
        <v>-21.542232112079684</v>
      </c>
      <c r="E63" s="10">
        <f t="shared" si="19"/>
        <v>-1.7554674248660862</v>
      </c>
      <c r="F63" s="10">
        <f t="shared" si="19"/>
        <v>0.50362212743786383</v>
      </c>
      <c r="G63" s="10">
        <f t="shared" si="19"/>
        <v>1004.7742607299205</v>
      </c>
      <c r="H63" s="10"/>
      <c r="I63" s="10"/>
      <c r="J63" s="10"/>
    </row>
    <row r="64" spans="1:10" ht="15.6">
      <c r="A64" s="6" t="s">
        <v>26</v>
      </c>
      <c r="B64" s="10">
        <f t="shared" ref="B64:G64" si="20">((B40/B39)-1)*100</f>
        <v>31.737729453261853</v>
      </c>
      <c r="C64" s="10">
        <f t="shared" si="20"/>
        <v>3.4009135861828854</v>
      </c>
      <c r="D64" s="10">
        <f t="shared" si="20"/>
        <v>-20.368914517349879</v>
      </c>
      <c r="E64" s="10">
        <f t="shared" si="20"/>
        <v>19.000419738894593</v>
      </c>
      <c r="F64" s="10">
        <f t="shared" si="20"/>
        <v>128.42770955679131</v>
      </c>
      <c r="G64" s="10">
        <f t="shared" si="20"/>
        <v>1371.4869926801373</v>
      </c>
      <c r="H64" s="10"/>
      <c r="I64" s="10"/>
      <c r="J64" s="10"/>
    </row>
    <row r="65" spans="1:10" ht="15.6">
      <c r="A65" s="6"/>
      <c r="B65" s="10"/>
      <c r="C65" s="10"/>
      <c r="D65" s="10"/>
      <c r="E65" s="10"/>
      <c r="F65" s="6"/>
      <c r="G65" s="6"/>
      <c r="H65" s="6"/>
      <c r="I65" s="6"/>
      <c r="J65" s="6"/>
    </row>
    <row r="66" spans="1:10" ht="15.6">
      <c r="A66" s="5" t="s">
        <v>27</v>
      </c>
      <c r="B66" s="10"/>
      <c r="C66" s="10"/>
      <c r="D66" s="10"/>
      <c r="E66" s="10"/>
      <c r="F66" s="6"/>
      <c r="G66" s="6"/>
      <c r="H66" s="6"/>
      <c r="I66" s="6"/>
      <c r="J66" s="6"/>
    </row>
    <row r="67" spans="1:10" ht="15.6">
      <c r="A67" s="6" t="s">
        <v>40</v>
      </c>
      <c r="B67" s="10">
        <f>B22/(B16*3)</f>
        <v>105588.7136338843</v>
      </c>
      <c r="C67" s="10">
        <f>C22/(C16)</f>
        <v>179147.09919987293</v>
      </c>
      <c r="D67" s="10">
        <f t="shared" ref="D67" si="21">D22/(D16*3)</f>
        <v>122903.46869596007</v>
      </c>
      <c r="E67" s="10">
        <f t="shared" ref="E67:J67" si="22">E22/(E16*3)</f>
        <v>832866.35783391027</v>
      </c>
      <c r="F67" s="10">
        <f t="shared" si="22"/>
        <v>21755.88433013207</v>
      </c>
      <c r="G67" s="10">
        <f t="shared" si="22"/>
        <v>659584.36516945192</v>
      </c>
      <c r="H67" s="10">
        <f t="shared" si="22"/>
        <v>210875.84215591915</v>
      </c>
      <c r="I67" s="10">
        <f>I22/(I16*2)</f>
        <v>134533.89420746014</v>
      </c>
      <c r="J67" s="10">
        <f t="shared" si="22"/>
        <v>5549388.8854395607</v>
      </c>
    </row>
    <row r="68" spans="1:10" ht="15.6">
      <c r="A68" s="6" t="s">
        <v>41</v>
      </c>
      <c r="B68" s="10">
        <f t="shared" ref="B68:D68" si="23">B23/(B17*3)</f>
        <v>143077.95154222471</v>
      </c>
      <c r="C68" s="10">
        <f>C23/(C17)</f>
        <v>232010.09209144901</v>
      </c>
      <c r="D68" s="10">
        <f t="shared" si="23"/>
        <v>152985.59936549942</v>
      </c>
      <c r="E68" s="10">
        <f t="shared" ref="E68:J68" si="24">E23/(E17*3)</f>
        <v>924980.38075117371</v>
      </c>
      <c r="F68" s="10">
        <f t="shared" si="24"/>
        <v>163958.06996968549</v>
      </c>
      <c r="G68" s="10">
        <f t="shared" si="24"/>
        <v>702210.24432228284</v>
      </c>
      <c r="H68" s="10">
        <f t="shared" si="24"/>
        <v>174711.23126075201</v>
      </c>
      <c r="I68" s="10">
        <f>I23/(I17*2)</f>
        <v>215245.67979018262</v>
      </c>
      <c r="J68" s="10">
        <f t="shared" si="24"/>
        <v>4209404.1004395606</v>
      </c>
    </row>
    <row r="69" spans="1:10" ht="15.6">
      <c r="A69" s="6" t="s">
        <v>28</v>
      </c>
      <c r="B69" s="10">
        <f>(B68/B67)*B51</f>
        <v>123.71560379448997</v>
      </c>
      <c r="C69" s="10">
        <f t="shared" ref="C69" si="25">(C68/C67)*C51</f>
        <v>124.79493935953565</v>
      </c>
      <c r="D69" s="10">
        <f t="shared" ref="D69" si="26">(D68/D67)*D51</f>
        <v>132.99027563471208</v>
      </c>
      <c r="E69" s="10">
        <f t="shared" ref="E69:J69" si="27">(E68/E67)*E51</f>
        <v>109.85216104766793</v>
      </c>
      <c r="F69" s="10">
        <f t="shared" si="27"/>
        <v>822.53341442136718</v>
      </c>
      <c r="G69" s="10">
        <f t="shared" si="27"/>
        <v>108.17759545974208</v>
      </c>
      <c r="H69" s="10">
        <f t="shared" si="27"/>
        <v>74.160352540999568</v>
      </c>
      <c r="I69" s="10">
        <f t="shared" si="27"/>
        <v>129.93486084087894</v>
      </c>
      <c r="J69" s="10">
        <f t="shared" si="27"/>
        <v>66.695481075575913</v>
      </c>
    </row>
    <row r="70" spans="1:10" ht="15.6">
      <c r="A70" s="6" t="s">
        <v>42</v>
      </c>
      <c r="B70" s="10">
        <f t="shared" ref="B70:D71" si="28">B22/B16</f>
        <v>316766.14090165286</v>
      </c>
      <c r="C70" s="10">
        <f>(C22/C16)*3</f>
        <v>537441.29759961879</v>
      </c>
      <c r="D70" s="10">
        <f t="shared" si="28"/>
        <v>368710.4060878802</v>
      </c>
      <c r="E70" s="10">
        <f t="shared" ref="E70:J70" si="29">E22/E16</f>
        <v>2498599.0735017308</v>
      </c>
      <c r="F70" s="10">
        <f t="shared" si="29"/>
        <v>65267.652990396207</v>
      </c>
      <c r="G70" s="10">
        <f t="shared" si="29"/>
        <v>1978753.0955083556</v>
      </c>
      <c r="H70" s="10">
        <f t="shared" si="29"/>
        <v>632627.52646775753</v>
      </c>
      <c r="I70" s="10">
        <f t="shared" si="29"/>
        <v>269067.78841492027</v>
      </c>
      <c r="J70" s="10">
        <f t="shared" si="29"/>
        <v>16648166.656318683</v>
      </c>
    </row>
    <row r="71" spans="1:10" ht="15.6">
      <c r="A71" s="6" t="s">
        <v>43</v>
      </c>
      <c r="B71" s="10">
        <f t="shared" si="28"/>
        <v>429233.85462667409</v>
      </c>
      <c r="C71" s="10">
        <f>(C23/C17)*3</f>
        <v>696030.27627434698</v>
      </c>
      <c r="D71" s="10">
        <f t="shared" si="28"/>
        <v>458956.7980964983</v>
      </c>
      <c r="E71" s="10">
        <f t="shared" ref="E71:J71" si="30">E23/E17</f>
        <v>2774941.1422535209</v>
      </c>
      <c r="F71" s="10">
        <f t="shared" si="30"/>
        <v>491874.20990905643</v>
      </c>
      <c r="G71" s="10">
        <f t="shared" si="30"/>
        <v>2106630.7329668486</v>
      </c>
      <c r="H71" s="10">
        <f t="shared" si="30"/>
        <v>524133.6937822561</v>
      </c>
      <c r="I71" s="10">
        <f t="shared" si="30"/>
        <v>430491.35958036524</v>
      </c>
      <c r="J71" s="10">
        <f t="shared" si="30"/>
        <v>12628212.301318681</v>
      </c>
    </row>
    <row r="72" spans="1:10" ht="15.6">
      <c r="A72" s="6"/>
      <c r="B72" s="10"/>
      <c r="C72" s="10"/>
      <c r="D72" s="10"/>
      <c r="E72" s="10"/>
      <c r="F72" s="6"/>
      <c r="G72" s="6"/>
      <c r="H72" s="6"/>
      <c r="I72" s="6"/>
      <c r="J72" s="6"/>
    </row>
    <row r="73" spans="1:10" ht="15.6">
      <c r="A73" s="5" t="s">
        <v>29</v>
      </c>
      <c r="B73" s="10"/>
      <c r="C73" s="10"/>
      <c r="D73" s="10"/>
      <c r="E73" s="10"/>
      <c r="F73" s="6"/>
      <c r="G73" s="6"/>
      <c r="H73" s="6"/>
      <c r="I73" s="6"/>
      <c r="J73" s="6"/>
    </row>
    <row r="74" spans="1:10" ht="15.6">
      <c r="A74" s="6" t="s">
        <v>30</v>
      </c>
      <c r="B74" s="10">
        <f>(B29/B28)*100</f>
        <v>97.318658901542676</v>
      </c>
      <c r="C74" s="10"/>
      <c r="D74" s="10"/>
      <c r="E74" s="10"/>
      <c r="F74" s="6"/>
      <c r="G74" s="6"/>
      <c r="H74" s="6"/>
      <c r="I74" s="6"/>
      <c r="J74" s="6"/>
    </row>
    <row r="75" spans="1:10" ht="15.6">
      <c r="A75" s="6" t="s">
        <v>31</v>
      </c>
      <c r="B75" s="10">
        <f>(B23/B29)*100</f>
        <v>107.95885952786786</v>
      </c>
      <c r="C75" s="10"/>
      <c r="D75" s="10"/>
      <c r="E75" s="10"/>
      <c r="F75" s="6"/>
      <c r="G75" s="6"/>
      <c r="H75" s="6"/>
      <c r="I75" s="6"/>
      <c r="J75" s="6"/>
    </row>
    <row r="76" spans="1:10" ht="16.2" thickBot="1">
      <c r="A76" s="15"/>
      <c r="B76" s="15"/>
      <c r="C76" s="15"/>
      <c r="D76" s="15"/>
      <c r="E76" s="15"/>
      <c r="F76" s="15"/>
      <c r="G76" s="15"/>
      <c r="H76" s="15"/>
      <c r="I76" s="15"/>
      <c r="J76" s="15"/>
    </row>
    <row r="77" spans="1:10" s="3" customFormat="1" ht="16.5" customHeight="1" thickTop="1">
      <c r="A77" s="52" t="s">
        <v>87</v>
      </c>
      <c r="B77" s="52"/>
      <c r="C77" s="52"/>
      <c r="D77" s="52"/>
      <c r="E77" s="52"/>
      <c r="F77" s="52"/>
      <c r="G77" s="52"/>
      <c r="H77" s="52"/>
      <c r="I77" s="52"/>
      <c r="J77" s="52"/>
    </row>
  </sheetData>
  <mergeCells count="4">
    <mergeCell ref="A9:A10"/>
    <mergeCell ref="B9:B10"/>
    <mergeCell ref="C9:J9"/>
    <mergeCell ref="A77:J77"/>
  </mergeCells>
  <pageMargins left="0.7" right="0.7" top="0.75" bottom="0.75" header="0.3" footer="0.3"/>
  <pageSetup paperSize="9" orientation="portrait" r:id="rId1"/>
  <ignoredErrors>
    <ignoredError sqref="D65:D66" evalError="1"/>
    <ignoredError sqref="C67:C71 I67:I68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9:K77"/>
  <sheetViews>
    <sheetView showGridLines="0" zoomScale="80" zoomScaleNormal="80" zoomScaleSheetLayoutView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/>
  <cols>
    <col min="1" max="1" width="64.33203125" style="1" customWidth="1"/>
    <col min="2" max="5" width="24.6640625" style="1" customWidth="1"/>
    <col min="6" max="7" width="24.88671875" style="1" customWidth="1"/>
    <col min="8" max="9" width="24.6640625" style="1" customWidth="1"/>
    <col min="10" max="10" width="36.77734375" style="1" customWidth="1"/>
    <col min="11" max="11" width="4.109375" style="1" customWidth="1"/>
    <col min="12" max="16384" width="11.44140625" style="1"/>
  </cols>
  <sheetData>
    <row r="9" spans="1:10" s="3" customFormat="1" ht="15.6">
      <c r="A9" s="47" t="s">
        <v>0</v>
      </c>
      <c r="B9" s="49" t="s">
        <v>1</v>
      </c>
      <c r="C9" s="51" t="s">
        <v>2</v>
      </c>
      <c r="D9" s="51"/>
      <c r="E9" s="51"/>
      <c r="F9" s="51"/>
      <c r="G9" s="51"/>
      <c r="H9" s="51"/>
      <c r="I9" s="51"/>
      <c r="J9" s="51"/>
    </row>
    <row r="10" spans="1:10" s="2" customFormat="1" ht="78.599999999999994" thickBot="1">
      <c r="A10" s="48"/>
      <c r="B10" s="50"/>
      <c r="C10" s="4" t="s">
        <v>39</v>
      </c>
      <c r="D10" s="4" t="s">
        <v>48</v>
      </c>
      <c r="E10" s="4" t="s">
        <v>49</v>
      </c>
      <c r="F10" s="4" t="s">
        <v>50</v>
      </c>
      <c r="G10" s="4" t="s">
        <v>51</v>
      </c>
      <c r="H10" s="4" t="s">
        <v>113</v>
      </c>
      <c r="I10" s="4" t="s">
        <v>114</v>
      </c>
      <c r="J10" s="4" t="s">
        <v>115</v>
      </c>
    </row>
    <row r="11" spans="1:10" ht="16.2" thickTop="1">
      <c r="A11" s="6"/>
      <c r="B11" s="6"/>
      <c r="C11" s="6"/>
      <c r="D11" s="6"/>
      <c r="E11" s="6"/>
    </row>
    <row r="12" spans="1:10" ht="15.6">
      <c r="A12" s="5" t="s">
        <v>3</v>
      </c>
      <c r="B12" s="6"/>
      <c r="C12" s="6"/>
      <c r="D12" s="6"/>
      <c r="E12" s="6"/>
    </row>
    <row r="13" spans="1:10" ht="15.6">
      <c r="A13" s="6"/>
      <c r="B13" s="6"/>
      <c r="C13" s="6"/>
      <c r="D13" s="6"/>
      <c r="E13" s="6"/>
    </row>
    <row r="14" spans="1:10" ht="15.6">
      <c r="A14" s="5" t="s">
        <v>4</v>
      </c>
      <c r="B14" s="6"/>
      <c r="C14" s="6"/>
      <c r="D14" s="6"/>
      <c r="E14" s="6"/>
    </row>
    <row r="15" spans="1:10" ht="15.6">
      <c r="A15" s="7" t="s">
        <v>76</v>
      </c>
      <c r="B15" s="34">
        <f>SUM(C15:G15)</f>
        <v>80325.638888888876</v>
      </c>
      <c r="C15" s="34">
        <f>(+'I Trimestre'!C15+'II trimestre'!C15+'III Trimestre'!C15+'IV Trimestre'!C15)</f>
        <v>72474</v>
      </c>
      <c r="D15" s="34">
        <f>(+'I Trimestre'!D15+'II trimestre'!D15+'III Trimestre'!D15+'IV Trimestre'!D15)/4</f>
        <v>5430.583333333333</v>
      </c>
      <c r="E15" s="34">
        <f>(+'I Trimestre'!E15+'II trimestre'!E15+'III Trimestre'!E15+'IV Trimestre'!E15)/4</f>
        <v>320.83333333333331</v>
      </c>
      <c r="F15" s="34">
        <f>+(+'II trimestre'!F15+'III Trimestre'!F15+'IV Trimestre'!F15)/3</f>
        <v>953.22222222222217</v>
      </c>
      <c r="G15" s="8">
        <f>+(+'I Trimestre'!G15+'II trimestre'!G15+'III Trimestre'!G15+'IV Trimestre'!G15)/4</f>
        <v>1147</v>
      </c>
      <c r="H15" s="8" t="s">
        <v>36</v>
      </c>
      <c r="I15" s="8" t="s">
        <v>36</v>
      </c>
      <c r="J15" s="8" t="s">
        <v>36</v>
      </c>
    </row>
    <row r="16" spans="1:10" ht="15.6">
      <c r="A16" s="7" t="s">
        <v>122</v>
      </c>
      <c r="B16" s="34">
        <f>SUM(C16:J16)</f>
        <v>91536</v>
      </c>
      <c r="C16" s="34">
        <f>(+'I Trimestre'!C16+'II trimestre'!C16+'III Trimestre'!C16+'IV Trimestre'!C16)</f>
        <v>74592</v>
      </c>
      <c r="D16" s="34">
        <f>(+'I Trimestre'!D16+'II trimestre'!D16+'III Trimestre'!D16+'IV Trimestre'!D16)/4</f>
        <v>5690</v>
      </c>
      <c r="E16" s="34">
        <f>(+'I Trimestre'!E16+'II trimestre'!E16+'III Trimestre'!E16+'IV Trimestre'!E16)/4</f>
        <v>303</v>
      </c>
      <c r="F16" s="34">
        <f>('II trimestre'!F16+'III Trimestre'!F16+'IV Trimestre'!F16)/3</f>
        <v>3440</v>
      </c>
      <c r="G16" s="34">
        <f>(+'I Trimestre'!G16+'II trimestre'!G16+'III Trimestre'!G16+'IV Trimestre'!G16)/4</f>
        <v>807</v>
      </c>
      <c r="H16" s="34">
        <f>+('III Trimestre'!H16+'IV Trimestre'!H16)/2</f>
        <v>1262.9166666666665</v>
      </c>
      <c r="I16" s="34">
        <f>+('III Trimestre'!I16+'IV Trimestre'!I16)/2</f>
        <v>5378.75</v>
      </c>
      <c r="J16" s="34">
        <f>+('III Trimestre'!J16+'IV Trimestre'!J16)/2</f>
        <v>62.333333333333329</v>
      </c>
    </row>
    <row r="17" spans="1:11" ht="15.6">
      <c r="A17" s="7" t="s">
        <v>123</v>
      </c>
      <c r="B17" s="34">
        <f>SUM(C17:J17)</f>
        <v>86455.5</v>
      </c>
      <c r="C17" s="34">
        <f>(+'I Trimestre'!C17+'II trimestre'!C17+'III Trimestre'!C17+'IV Trimestre'!C17)</f>
        <v>73816</v>
      </c>
      <c r="D17" s="34">
        <f>(+'I Trimestre'!D17+'II trimestre'!D17+'III Trimestre'!D17+'IV Trimestre'!D17)/4</f>
        <v>5380.5</v>
      </c>
      <c r="E17" s="34">
        <f>(+'I Trimestre'!E17+'II trimestre'!E17+'III Trimestre'!E17+'IV Trimestre'!E17)/4</f>
        <v>291.5</v>
      </c>
      <c r="F17" s="34">
        <f>+('III Trimestre'!F17+'IV Trimestre'!F17)/2</f>
        <v>631.33333333333326</v>
      </c>
      <c r="G17" s="34">
        <f>+('I Trimestre'!G17+'II trimestre'!G17+'III Trimestre'!G17+'IV Trimestre'!G17)/4</f>
        <v>802.41666666666674</v>
      </c>
      <c r="H17" s="34">
        <f>+('III Trimestre'!H17+'IV Trimestre'!H17)/2</f>
        <v>1249.4166666666665</v>
      </c>
      <c r="I17" s="34">
        <f>+('III Trimestre'!I17+'IV Trimestre'!I17)/2</f>
        <v>4222</v>
      </c>
      <c r="J17" s="34">
        <f>+('III Trimestre'!J17+'IV Trimestre'!J17)/2</f>
        <v>62.333333333333329</v>
      </c>
    </row>
    <row r="18" spans="1:11" ht="15.6">
      <c r="A18" s="7" t="s">
        <v>82</v>
      </c>
      <c r="B18" s="34">
        <f t="shared" ref="B18" si="0">SUM(C18:J18)</f>
        <v>91535.666666666672</v>
      </c>
      <c r="C18" s="34">
        <f>+'IV Trimestre'!C18</f>
        <v>74592</v>
      </c>
      <c r="D18" s="34">
        <f>+'IV Trimestre'!D18</f>
        <v>5690</v>
      </c>
      <c r="E18" s="34">
        <f>+'IV Trimestre'!E18</f>
        <v>303</v>
      </c>
      <c r="F18" s="34">
        <f>+'IV Trimestre'!F18</f>
        <v>3440</v>
      </c>
      <c r="G18" s="34">
        <f>+'IV Trimestre'!G18</f>
        <v>807</v>
      </c>
      <c r="H18" s="34">
        <f>+'IV Trimestre'!H18</f>
        <v>1262.9166666666665</v>
      </c>
      <c r="I18" s="34">
        <f>+'IV Trimestre'!I18</f>
        <v>5378.75</v>
      </c>
      <c r="J18" s="34">
        <f>+'IV Trimestre'!J18</f>
        <v>62</v>
      </c>
      <c r="K18" s="34"/>
    </row>
    <row r="19" spans="1:11" ht="15.6">
      <c r="A19" s="6"/>
      <c r="B19" s="34"/>
      <c r="C19" s="34"/>
      <c r="D19" s="34"/>
      <c r="E19" s="34"/>
    </row>
    <row r="20" spans="1:11" ht="15.6">
      <c r="A20" s="9" t="s">
        <v>5</v>
      </c>
      <c r="B20" s="34"/>
      <c r="C20" s="34"/>
      <c r="D20" s="34"/>
      <c r="E20" s="34"/>
    </row>
    <row r="21" spans="1:11" ht="15.6">
      <c r="A21" s="7" t="s">
        <v>52</v>
      </c>
      <c r="B21" s="34">
        <f>SUM(C21:G21)</f>
        <v>30938301474.709999</v>
      </c>
      <c r="C21" s="34">
        <f>+'I Trimestre'!C21+'II trimestre'!C21+'III Trimestre'!C21+'IV Trimestre'!C21</f>
        <v>10704413084.929998</v>
      </c>
      <c r="D21" s="34">
        <f>+'I Trimestre'!D21+'II trimestre'!D21+'III Trimestre'!D21+'IV Trimestre'!D21</f>
        <v>9802829377.8199997</v>
      </c>
      <c r="E21" s="34">
        <f>+'I Trimestre'!E21+'II trimestre'!E21+'III Trimestre'!E21+'IV Trimestre'!E21</f>
        <v>2493285155.46</v>
      </c>
      <c r="F21" s="34">
        <f>+'I Trimestre'!F21+'II trimestre'!F21+'III Trimestre'!F21+'IV Trimestre'!F21</f>
        <v>488261051.06999999</v>
      </c>
      <c r="G21" s="34">
        <f>+'I Trimestre'!G21+'II trimestre'!G21+'III Trimestre'!G21+'IV Trimestre'!G21</f>
        <v>7449512805.4300003</v>
      </c>
      <c r="H21" s="8" t="s">
        <v>36</v>
      </c>
      <c r="I21" s="8" t="s">
        <v>36</v>
      </c>
      <c r="J21" s="8" t="s">
        <v>36</v>
      </c>
    </row>
    <row r="22" spans="1:11" ht="15.6">
      <c r="A22" s="7" t="s">
        <v>122</v>
      </c>
      <c r="B22" s="34">
        <f>SUM(C22:J22)</f>
        <v>37799620328.580002</v>
      </c>
      <c r="C22" s="34">
        <f>+'I Trimestre'!C22+'II trimestre'!C22+'III Trimestre'!C22+'IV Trimestre'!C22</f>
        <v>13456632745.959888</v>
      </c>
      <c r="D22" s="34">
        <f>+'I Trimestre'!D22+'II trimestre'!D22+'III Trimestre'!D22+'IV Trimestre'!D22</f>
        <v>8494852910.4832792</v>
      </c>
      <c r="E22" s="34">
        <f>+'I Trimestre'!E22+'II trimestre'!E22+'III Trimestre'!E22+'IV Trimestre'!E22</f>
        <v>3111124050.9024677</v>
      </c>
      <c r="F22" s="34">
        <f>+'I Trimestre'!F22+'II trimestre'!F22+'III Trimestre'!F22+'IV Trimestre'!F22</f>
        <v>558200347.99896216</v>
      </c>
      <c r="G22" s="34">
        <f>+'I Trimestre'!G22+'II trimestre'!G22+'III Trimestre'!G22+'IV Trimestre'!G22</f>
        <v>6456199897.5654039</v>
      </c>
      <c r="H22" s="34">
        <f>+'III Trimestre'!H22+'IV Trimestre'!H22</f>
        <v>1017300000</v>
      </c>
      <c r="I22" s="34">
        <f>+'III Trimestre'!I22+'IV Trimestre'!I22</f>
        <v>2913285164.3800001</v>
      </c>
      <c r="J22" s="34">
        <f>+'III Trimestre'!J22+'IV Trimestre'!J22</f>
        <v>1792025211.2900002</v>
      </c>
    </row>
    <row r="23" spans="1:11" ht="15.6">
      <c r="A23" s="7" t="s">
        <v>123</v>
      </c>
      <c r="B23" s="34">
        <f>SUM(C23:J23)</f>
        <v>35659165512.300003</v>
      </c>
      <c r="C23" s="34">
        <f>+'I Trimestre'!C23+'II trimestre'!C23+'III Trimestre'!C23+'IV Trimestre'!C23</f>
        <v>12452105337.609999</v>
      </c>
      <c r="D23" s="34">
        <f>+'I Trimestre'!D23+'II trimestre'!D23+'III Trimestre'!D23+'IV Trimestre'!D23</f>
        <v>8236934928.6700001</v>
      </c>
      <c r="E23" s="34">
        <f>+'I Trimestre'!E23+'II trimestre'!E23+'III Trimestre'!E23+'IV Trimestre'!E23</f>
        <v>2723790872.8799996</v>
      </c>
      <c r="F23" s="34">
        <f>+'I Trimestre'!F23+'II trimestre'!F23+'III Trimestre'!F23+'IV Trimestre'!F23</f>
        <v>510565932.78999996</v>
      </c>
      <c r="G23" s="34">
        <f>+'I Trimestre'!G23+'II trimestre'!G23+'III Trimestre'!G23+'IV Trimestre'!G23</f>
        <v>6447373230.79</v>
      </c>
      <c r="H23" s="34">
        <f>+'III Trimestre'!H23+'IV Trimestre'!H23</f>
        <v>830000000</v>
      </c>
      <c r="I23" s="34">
        <f>+'III Trimestre'!I23+'IV Trimestre'!I23</f>
        <v>2910247229.1599998</v>
      </c>
      <c r="J23" s="34">
        <f>+'III Trimestre'!J23+'IV Trimestre'!J23</f>
        <v>1548147980.4000001</v>
      </c>
    </row>
    <row r="24" spans="1:11" ht="15.6">
      <c r="A24" s="7" t="s">
        <v>82</v>
      </c>
      <c r="B24" s="34">
        <f>SUM(C24:J24)</f>
        <v>37799620328.580002</v>
      </c>
      <c r="C24" s="34">
        <f>+'IV Trimestre'!C24</f>
        <v>13456632745.959888</v>
      </c>
      <c r="D24" s="34">
        <f>+'IV Trimestre'!D24</f>
        <v>8494852910.4832792</v>
      </c>
      <c r="E24" s="34">
        <f>+'IV Trimestre'!E24</f>
        <v>3111124050.9024677</v>
      </c>
      <c r="F24" s="34">
        <f>+'IV Trimestre'!F24</f>
        <v>558200347.99896216</v>
      </c>
      <c r="G24" s="34">
        <f>+'IV Trimestre'!G24</f>
        <v>6456199897.5654039</v>
      </c>
      <c r="H24" s="34">
        <f>+'IV Trimestre'!H24</f>
        <v>1017300000</v>
      </c>
      <c r="I24" s="34">
        <f>+'IV Trimestre'!I24</f>
        <v>2913285164.3800001</v>
      </c>
      <c r="J24" s="34">
        <f>+'IV Trimestre'!J24</f>
        <v>1792025211.2900002</v>
      </c>
    </row>
    <row r="25" spans="1:11" ht="15.6">
      <c r="A25" s="7" t="s">
        <v>124</v>
      </c>
      <c r="B25" s="34">
        <f>SUM(C25:J25)</f>
        <v>35659165512.300003</v>
      </c>
      <c r="C25" s="34">
        <f t="shared" ref="C25:E25" si="1">C23</f>
        <v>12452105337.609999</v>
      </c>
      <c r="D25" s="34">
        <f t="shared" si="1"/>
        <v>8236934928.6700001</v>
      </c>
      <c r="E25" s="34">
        <f t="shared" si="1"/>
        <v>2723790872.8799996</v>
      </c>
      <c r="F25" s="34">
        <f t="shared" ref="F25:J25" si="2">F23</f>
        <v>510565932.78999996</v>
      </c>
      <c r="G25" s="34">
        <f t="shared" si="2"/>
        <v>6447373230.79</v>
      </c>
      <c r="H25" s="34">
        <f t="shared" si="2"/>
        <v>830000000</v>
      </c>
      <c r="I25" s="34">
        <f t="shared" si="2"/>
        <v>2910247229.1599998</v>
      </c>
      <c r="J25" s="34">
        <f t="shared" si="2"/>
        <v>1548147980.4000001</v>
      </c>
    </row>
    <row r="26" spans="1:11" ht="15.6">
      <c r="A26" s="5"/>
      <c r="B26" s="34"/>
      <c r="C26" s="34"/>
      <c r="D26" s="34"/>
      <c r="E26" s="34"/>
    </row>
    <row r="27" spans="1:11" ht="15.6">
      <c r="A27" s="12" t="s">
        <v>6</v>
      </c>
      <c r="B27" s="34"/>
      <c r="C27" s="34"/>
      <c r="D27" s="34"/>
      <c r="E27" s="34"/>
    </row>
    <row r="28" spans="1:11" ht="15.6">
      <c r="A28" s="7" t="s">
        <v>122</v>
      </c>
      <c r="B28" s="34">
        <f>+B22</f>
        <v>37799620328.580002</v>
      </c>
      <c r="C28" s="34"/>
      <c r="D28" s="34"/>
      <c r="E28" s="34"/>
    </row>
    <row r="29" spans="1:11" ht="15.6">
      <c r="A29" s="7" t="s">
        <v>123</v>
      </c>
      <c r="B29" s="34">
        <f>'I Trimestre'!B29+'II trimestre'!B29+'III Trimestre'!B29+'IV Trimestre'!B29</f>
        <v>36909132242</v>
      </c>
      <c r="C29" s="34"/>
      <c r="D29" s="34"/>
      <c r="E29" s="34"/>
    </row>
    <row r="30" spans="1:11" ht="15.6">
      <c r="A30" s="6"/>
      <c r="B30" s="34"/>
      <c r="C30" s="34"/>
      <c r="D30" s="34"/>
      <c r="E30" s="34"/>
    </row>
    <row r="31" spans="1:11" ht="15.6">
      <c r="A31" s="5" t="s">
        <v>7</v>
      </c>
      <c r="B31" s="6"/>
      <c r="C31" s="6"/>
      <c r="D31" s="6"/>
      <c r="E31" s="6"/>
    </row>
    <row r="32" spans="1:11" ht="15.6">
      <c r="A32" s="7" t="s">
        <v>77</v>
      </c>
      <c r="B32" s="11">
        <v>1.0947</v>
      </c>
      <c r="C32" s="11">
        <v>1.0947</v>
      </c>
      <c r="D32" s="11">
        <v>1.0947</v>
      </c>
      <c r="E32" s="11">
        <v>1.0947</v>
      </c>
      <c r="F32" s="11">
        <v>1.0947</v>
      </c>
      <c r="G32" s="11">
        <v>1.0947</v>
      </c>
      <c r="H32" s="11">
        <v>1.0947</v>
      </c>
      <c r="I32" s="11">
        <v>1.0947</v>
      </c>
      <c r="J32" s="11">
        <v>1.0947</v>
      </c>
    </row>
    <row r="33" spans="1:10" ht="15.6">
      <c r="A33" s="7" t="s">
        <v>125</v>
      </c>
      <c r="B33" s="11">
        <v>1.1039000000000001</v>
      </c>
      <c r="C33" s="11">
        <v>1.1039000000000001</v>
      </c>
      <c r="D33" s="11">
        <v>1.1039000000000001</v>
      </c>
      <c r="E33" s="11">
        <v>1.1039000000000001</v>
      </c>
      <c r="F33" s="11">
        <v>1.1039000000000001</v>
      </c>
      <c r="G33" s="11">
        <v>1.1039000000000001</v>
      </c>
      <c r="H33" s="11">
        <v>1.1039000000000001</v>
      </c>
      <c r="I33" s="11">
        <v>1.1039000000000001</v>
      </c>
      <c r="J33" s="11">
        <v>1.1039000000000001</v>
      </c>
    </row>
    <row r="34" spans="1:10" ht="15.6">
      <c r="A34" s="7" t="s">
        <v>8</v>
      </c>
      <c r="B34" s="35" t="s">
        <v>36</v>
      </c>
      <c r="C34" s="35" t="s">
        <v>36</v>
      </c>
      <c r="D34" s="35" t="s">
        <v>36</v>
      </c>
      <c r="E34" s="35" t="s">
        <v>36</v>
      </c>
      <c r="F34" s="35" t="s">
        <v>36</v>
      </c>
      <c r="G34" s="35" t="s">
        <v>36</v>
      </c>
      <c r="H34" s="35" t="s">
        <v>36</v>
      </c>
      <c r="I34" s="35" t="s">
        <v>36</v>
      </c>
      <c r="J34" s="35" t="s">
        <v>36</v>
      </c>
    </row>
    <row r="35" spans="1:10" ht="15.6">
      <c r="A35" s="6"/>
      <c r="B35" s="6"/>
      <c r="C35" s="6"/>
      <c r="D35" s="6"/>
      <c r="E35" s="6"/>
      <c r="G35" s="38"/>
      <c r="H35" s="38"/>
      <c r="I35" s="38"/>
      <c r="J35" s="38"/>
    </row>
    <row r="36" spans="1:10" ht="15.6">
      <c r="A36" s="12" t="s">
        <v>9</v>
      </c>
      <c r="B36" s="6"/>
      <c r="C36" s="6"/>
      <c r="D36" s="6"/>
      <c r="E36" s="6"/>
      <c r="G36" s="38"/>
      <c r="H36" s="38"/>
      <c r="I36" s="38"/>
      <c r="J36" s="38"/>
    </row>
    <row r="37" spans="1:10" ht="15.6">
      <c r="A37" s="7" t="s">
        <v>78</v>
      </c>
      <c r="B37" s="14">
        <f>B21/B32</f>
        <v>28261899584.0961</v>
      </c>
      <c r="C37" s="14">
        <f t="shared" ref="C37" si="3">C21/C32</f>
        <v>9778398725.6143227</v>
      </c>
      <c r="D37" s="14">
        <f>D21/D32</f>
        <v>8954808968.5027866</v>
      </c>
      <c r="E37" s="14">
        <f t="shared" ref="E37:G37" si="4">E21/E32</f>
        <v>2277596743.8202248</v>
      </c>
      <c r="F37" s="14">
        <f t="shared" si="4"/>
        <v>446022701.26061934</v>
      </c>
      <c r="G37" s="14">
        <f t="shared" si="4"/>
        <v>6805072444.8981457</v>
      </c>
      <c r="H37" s="35" t="s">
        <v>36</v>
      </c>
      <c r="I37" s="35" t="s">
        <v>36</v>
      </c>
      <c r="J37" s="35" t="s">
        <v>36</v>
      </c>
    </row>
    <row r="38" spans="1:10" ht="15.6">
      <c r="A38" s="7" t="s">
        <v>126</v>
      </c>
      <c r="B38" s="14">
        <f>B23/B33</f>
        <v>32302894747.984417</v>
      </c>
      <c r="C38" s="14">
        <f t="shared" ref="C38" si="5">C23/C33</f>
        <v>11280102670.178455</v>
      </c>
      <c r="D38" s="14">
        <f>D23/D33</f>
        <v>7461667658.9093208</v>
      </c>
      <c r="E38" s="14">
        <f t="shared" ref="E38:G38" si="6">E23/E33</f>
        <v>2467425376.2840834</v>
      </c>
      <c r="F38" s="14">
        <f t="shared" si="6"/>
        <v>462511036.13551944</v>
      </c>
      <c r="G38" s="14">
        <f t="shared" si="6"/>
        <v>5840541018.9238148</v>
      </c>
      <c r="H38" s="14">
        <f t="shared" ref="H38:J38" si="7">H23/H33</f>
        <v>751879699.24812019</v>
      </c>
      <c r="I38" s="14">
        <f t="shared" si="7"/>
        <v>2636332302.8897543</v>
      </c>
      <c r="J38" s="14">
        <f t="shared" si="7"/>
        <v>1402434985.4153454</v>
      </c>
    </row>
    <row r="39" spans="1:10" ht="15.6">
      <c r="A39" s="7" t="s">
        <v>79</v>
      </c>
      <c r="B39" s="8">
        <f>B37/B15</f>
        <v>351841.57854243292</v>
      </c>
      <c r="C39" s="8">
        <f t="shared" ref="C39:D39" si="8">C37/C15</f>
        <v>134922.85130687311</v>
      </c>
      <c r="D39" s="8">
        <f t="shared" si="8"/>
        <v>1648958.9458166473</v>
      </c>
      <c r="E39" s="8">
        <f t="shared" ref="E39:G39" si="9">E37/E15</f>
        <v>7099002.8378812205</v>
      </c>
      <c r="F39" s="8">
        <f t="shared" si="9"/>
        <v>467910.51536840823</v>
      </c>
      <c r="G39" s="8">
        <f t="shared" si="9"/>
        <v>5932931.5125528732</v>
      </c>
      <c r="H39" s="35" t="s">
        <v>36</v>
      </c>
      <c r="I39" s="35" t="s">
        <v>36</v>
      </c>
      <c r="J39" s="35" t="s">
        <v>36</v>
      </c>
    </row>
    <row r="40" spans="1:10" ht="15.6">
      <c r="A40" s="7" t="s">
        <v>127</v>
      </c>
      <c r="B40" s="8">
        <f>B38/B17</f>
        <v>373636.08732798282</v>
      </c>
      <c r="C40" s="8">
        <f t="shared" ref="C40:D40" si="10">C38/C17</f>
        <v>152813.78928929305</v>
      </c>
      <c r="D40" s="8">
        <f t="shared" si="10"/>
        <v>1386798.1895566063</v>
      </c>
      <c r="E40" s="8">
        <f t="shared" ref="E40:G40" si="11">E38/E17</f>
        <v>8464581.0507172663</v>
      </c>
      <c r="F40" s="8">
        <f t="shared" si="11"/>
        <v>732594.03822943952</v>
      </c>
      <c r="G40" s="8">
        <f t="shared" si="11"/>
        <v>7278688.5686037773</v>
      </c>
      <c r="H40" s="8">
        <f t="shared" ref="H40:J40" si="12">H38/H17</f>
        <v>601784.59220819338</v>
      </c>
      <c r="I40" s="8">
        <f t="shared" si="12"/>
        <v>624427.35738743586</v>
      </c>
      <c r="J40" s="8">
        <f t="shared" si="12"/>
        <v>22498956.985272922</v>
      </c>
    </row>
    <row r="41" spans="1:10" ht="15.6">
      <c r="A41" s="6"/>
      <c r="B41" s="34"/>
      <c r="C41" s="34"/>
      <c r="D41" s="34"/>
      <c r="E41" s="34"/>
      <c r="G41" s="38"/>
      <c r="H41" s="38"/>
      <c r="I41" s="38"/>
      <c r="J41" s="38"/>
    </row>
    <row r="42" spans="1:10" ht="15.6">
      <c r="A42" s="5" t="s">
        <v>10</v>
      </c>
      <c r="B42" s="6"/>
      <c r="C42" s="6"/>
      <c r="D42" s="6"/>
      <c r="E42" s="6"/>
      <c r="G42" s="38"/>
      <c r="H42" s="38"/>
      <c r="I42" s="38"/>
      <c r="J42" s="38"/>
    </row>
    <row r="43" spans="1:10" ht="15.6">
      <c r="A43" s="6"/>
      <c r="B43" s="6"/>
      <c r="C43" s="6"/>
      <c r="D43" s="6"/>
      <c r="E43" s="6"/>
      <c r="G43" s="38"/>
      <c r="H43" s="38"/>
      <c r="I43" s="38"/>
      <c r="J43" s="38"/>
    </row>
    <row r="44" spans="1:10" ht="15.6">
      <c r="A44" s="5" t="s">
        <v>11</v>
      </c>
      <c r="B44" s="6"/>
      <c r="C44" s="6"/>
      <c r="D44" s="6"/>
      <c r="E44" s="6"/>
      <c r="G44" s="38"/>
      <c r="H44" s="38"/>
      <c r="I44" s="38"/>
      <c r="J44" s="38"/>
    </row>
    <row r="45" spans="1:10" ht="15.6">
      <c r="A45" s="6" t="s">
        <v>12</v>
      </c>
      <c r="B45" s="10" t="s">
        <v>35</v>
      </c>
      <c r="C45" s="10" t="s">
        <v>35</v>
      </c>
      <c r="D45" s="10" t="s">
        <v>35</v>
      </c>
      <c r="E45" s="10" t="s">
        <v>35</v>
      </c>
      <c r="F45" s="10" t="s">
        <v>35</v>
      </c>
      <c r="G45" s="10" t="s">
        <v>35</v>
      </c>
      <c r="H45" s="10" t="s">
        <v>35</v>
      </c>
      <c r="I45" s="10" t="s">
        <v>35</v>
      </c>
      <c r="J45" s="10" t="s">
        <v>35</v>
      </c>
    </row>
    <row r="46" spans="1:10" ht="15.6">
      <c r="A46" s="6" t="s">
        <v>13</v>
      </c>
      <c r="B46" s="10" t="s">
        <v>35</v>
      </c>
      <c r="C46" s="10" t="s">
        <v>35</v>
      </c>
      <c r="D46" s="10" t="s">
        <v>35</v>
      </c>
      <c r="E46" s="10" t="s">
        <v>35</v>
      </c>
      <c r="F46" s="10" t="s">
        <v>35</v>
      </c>
      <c r="G46" s="10" t="s">
        <v>35</v>
      </c>
      <c r="H46" s="10" t="s">
        <v>35</v>
      </c>
      <c r="I46" s="10" t="s">
        <v>35</v>
      </c>
      <c r="J46" s="10" t="s">
        <v>35</v>
      </c>
    </row>
    <row r="47" spans="1:10" ht="15.6">
      <c r="A47" s="6"/>
      <c r="B47" s="36"/>
      <c r="C47" s="36"/>
      <c r="D47" s="36"/>
      <c r="E47" s="36"/>
      <c r="F47" s="36"/>
      <c r="G47" s="10"/>
      <c r="H47" s="10"/>
      <c r="I47" s="10"/>
      <c r="J47" s="10"/>
    </row>
    <row r="48" spans="1:10" ht="15.6">
      <c r="A48" s="5" t="s">
        <v>14</v>
      </c>
      <c r="B48" s="36"/>
      <c r="C48" s="36"/>
      <c r="D48" s="36"/>
      <c r="E48" s="36"/>
      <c r="F48" s="36"/>
      <c r="G48" s="10"/>
      <c r="H48" s="10"/>
      <c r="I48" s="10"/>
      <c r="J48" s="10"/>
    </row>
    <row r="49" spans="1:10" ht="15.6">
      <c r="A49" s="6" t="s">
        <v>15</v>
      </c>
      <c r="B49" s="36">
        <f>B17/B16*100</f>
        <v>94.449724698479287</v>
      </c>
      <c r="C49" s="36">
        <f t="shared" ref="C49:G49" si="13">C17/C16*100</f>
        <v>98.95967395967395</v>
      </c>
      <c r="D49" s="36">
        <f t="shared" si="13"/>
        <v>94.560632688927953</v>
      </c>
      <c r="E49" s="36">
        <f t="shared" si="13"/>
        <v>96.204620462046208</v>
      </c>
      <c r="F49" s="36">
        <f t="shared" si="13"/>
        <v>18.352713178294572</v>
      </c>
      <c r="G49" s="10">
        <f t="shared" si="13"/>
        <v>99.4320528707146</v>
      </c>
      <c r="H49" s="10">
        <f t="shared" ref="H49:J49" si="14">H17/H16*100</f>
        <v>98.931045859452325</v>
      </c>
      <c r="I49" s="10">
        <f t="shared" si="14"/>
        <v>78.494073901928886</v>
      </c>
      <c r="J49" s="10">
        <f t="shared" si="14"/>
        <v>100</v>
      </c>
    </row>
    <row r="50" spans="1:10" ht="15.6">
      <c r="A50" s="6" t="s">
        <v>16</v>
      </c>
      <c r="B50" s="36">
        <f>B23/B22*100</f>
        <v>94.33736424420745</v>
      </c>
      <c r="C50" s="36">
        <f t="shared" ref="C50:G50" si="15">C23/C22*100</f>
        <v>92.535075993275655</v>
      </c>
      <c r="D50" s="36">
        <f t="shared" si="15"/>
        <v>96.963832281368994</v>
      </c>
      <c r="E50" s="36">
        <f t="shared" si="15"/>
        <v>87.550056774171011</v>
      </c>
      <c r="F50" s="36">
        <f t="shared" si="15"/>
        <v>91.466430399099153</v>
      </c>
      <c r="G50" s="10">
        <f t="shared" si="15"/>
        <v>99.863283867980414</v>
      </c>
      <c r="H50" s="10">
        <f t="shared" ref="H50:J50" si="16">H23/H22*100</f>
        <v>81.588518627740086</v>
      </c>
      <c r="I50" s="10">
        <f t="shared" si="16"/>
        <v>99.895721323228344</v>
      </c>
      <c r="J50" s="10">
        <f t="shared" si="16"/>
        <v>86.390970988938065</v>
      </c>
    </row>
    <row r="51" spans="1:10" ht="15.6">
      <c r="A51" s="6" t="s">
        <v>17</v>
      </c>
      <c r="B51" s="36">
        <f>AVERAGE(B49:B50)</f>
        <v>94.393544471343375</v>
      </c>
      <c r="C51" s="36">
        <f t="shared" ref="C51:G51" si="17">AVERAGE(C49:C50)</f>
        <v>95.747374976474802</v>
      </c>
      <c r="D51" s="36">
        <f t="shared" si="17"/>
        <v>95.762232485148473</v>
      </c>
      <c r="E51" s="36">
        <f t="shared" si="17"/>
        <v>91.87733861810861</v>
      </c>
      <c r="F51" s="36">
        <f t="shared" si="17"/>
        <v>54.909571788696866</v>
      </c>
      <c r="G51" s="10">
        <f t="shared" si="17"/>
        <v>99.647668369347514</v>
      </c>
      <c r="H51" s="10">
        <f t="shared" ref="H51:J51" si="18">AVERAGE(H49:H50)</f>
        <v>90.259782243596206</v>
      </c>
      <c r="I51" s="10">
        <f t="shared" si="18"/>
        <v>89.194897612578615</v>
      </c>
      <c r="J51" s="10">
        <f t="shared" si="18"/>
        <v>93.19548549446904</v>
      </c>
    </row>
    <row r="52" spans="1:10" ht="15.6">
      <c r="A52" s="6"/>
      <c r="B52" s="36"/>
      <c r="C52" s="36"/>
      <c r="D52" s="36"/>
      <c r="E52" s="36"/>
      <c r="F52" s="36"/>
      <c r="G52" s="10"/>
      <c r="H52" s="10"/>
      <c r="I52" s="10"/>
      <c r="J52" s="10"/>
    </row>
    <row r="53" spans="1:10" ht="15.6">
      <c r="A53" s="5" t="s">
        <v>18</v>
      </c>
      <c r="B53" s="36"/>
      <c r="C53" s="36"/>
      <c r="D53" s="36"/>
      <c r="E53" s="36"/>
      <c r="F53" s="36"/>
      <c r="G53" s="10"/>
      <c r="H53" s="10"/>
      <c r="I53" s="10"/>
      <c r="J53" s="10"/>
    </row>
    <row r="54" spans="1:10" ht="15.6">
      <c r="A54" s="6" t="s">
        <v>19</v>
      </c>
      <c r="B54" s="36">
        <f>B17/B18*100</f>
        <v>94.450068643552427</v>
      </c>
      <c r="C54" s="36">
        <f t="shared" ref="C54:G54" si="19">C17/C18*100</f>
        <v>98.95967395967395</v>
      </c>
      <c r="D54" s="36">
        <f t="shared" si="19"/>
        <v>94.560632688927953</v>
      </c>
      <c r="E54" s="36">
        <f t="shared" si="19"/>
        <v>96.204620462046208</v>
      </c>
      <c r="F54" s="36">
        <f t="shared" si="19"/>
        <v>18.352713178294572</v>
      </c>
      <c r="G54" s="10">
        <f t="shared" si="19"/>
        <v>99.4320528707146</v>
      </c>
      <c r="H54" s="10">
        <f t="shared" ref="H54:J54" si="20">H17/H18*100</f>
        <v>98.931045859452325</v>
      </c>
      <c r="I54" s="10">
        <f t="shared" si="20"/>
        <v>78.494073901928886</v>
      </c>
      <c r="J54" s="10">
        <f t="shared" si="20"/>
        <v>100.53763440860214</v>
      </c>
    </row>
    <row r="55" spans="1:10" ht="15.6">
      <c r="A55" s="6" t="s">
        <v>20</v>
      </c>
      <c r="B55" s="36">
        <f>B23/B24*100</f>
        <v>94.33736424420745</v>
      </c>
      <c r="C55" s="36">
        <f t="shared" ref="C55:G55" si="21">C23/C24*100</f>
        <v>92.535075993275655</v>
      </c>
      <c r="D55" s="36">
        <f t="shared" si="21"/>
        <v>96.963832281368994</v>
      </c>
      <c r="E55" s="36">
        <f t="shared" si="21"/>
        <v>87.550056774171011</v>
      </c>
      <c r="F55" s="36">
        <f t="shared" si="21"/>
        <v>91.466430399099153</v>
      </c>
      <c r="G55" s="10">
        <f t="shared" si="21"/>
        <v>99.863283867980414</v>
      </c>
      <c r="H55" s="10">
        <f t="shared" ref="H55:J55" si="22">H23/H24*100</f>
        <v>81.588518627740086</v>
      </c>
      <c r="I55" s="10">
        <f t="shared" si="22"/>
        <v>99.895721323228344</v>
      </c>
      <c r="J55" s="10">
        <f t="shared" si="22"/>
        <v>86.390970988938065</v>
      </c>
    </row>
    <row r="56" spans="1:10" ht="15.6">
      <c r="A56" s="6" t="s">
        <v>21</v>
      </c>
      <c r="B56" s="36">
        <f>(B54+B55)/2</f>
        <v>94.393716443879939</v>
      </c>
      <c r="C56" s="36">
        <f t="shared" ref="C56:G56" si="23">(C54+C55)/2</f>
        <v>95.747374976474802</v>
      </c>
      <c r="D56" s="36">
        <f t="shared" si="23"/>
        <v>95.762232485148473</v>
      </c>
      <c r="E56" s="36">
        <f t="shared" si="23"/>
        <v>91.87733861810861</v>
      </c>
      <c r="F56" s="36">
        <f t="shared" si="23"/>
        <v>54.909571788696866</v>
      </c>
      <c r="G56" s="10">
        <f t="shared" si="23"/>
        <v>99.647668369347514</v>
      </c>
      <c r="H56" s="10">
        <f t="shared" ref="H56:J56" si="24">(H54+H55)/2</f>
        <v>90.259782243596206</v>
      </c>
      <c r="I56" s="10">
        <f t="shared" si="24"/>
        <v>89.194897612578615</v>
      </c>
      <c r="J56" s="10">
        <f t="shared" si="24"/>
        <v>93.464302698770098</v>
      </c>
    </row>
    <row r="57" spans="1:10" ht="15.6">
      <c r="A57" s="6"/>
      <c r="B57" s="36"/>
      <c r="C57" s="36"/>
      <c r="D57" s="36"/>
      <c r="E57" s="36"/>
      <c r="G57" s="38"/>
      <c r="H57" s="38"/>
      <c r="I57" s="38"/>
      <c r="J57" s="38"/>
    </row>
    <row r="58" spans="1:10" ht="15.6">
      <c r="A58" s="5" t="s">
        <v>32</v>
      </c>
      <c r="B58" s="36"/>
      <c r="C58" s="36"/>
      <c r="D58" s="36"/>
      <c r="E58" s="36"/>
      <c r="G58" s="38"/>
      <c r="H58" s="38"/>
      <c r="I58" s="38"/>
      <c r="J58" s="38"/>
    </row>
    <row r="59" spans="1:10" ht="15.6">
      <c r="A59" s="6" t="s">
        <v>22</v>
      </c>
      <c r="B59" s="36">
        <f>B25/B23*100</f>
        <v>100</v>
      </c>
      <c r="C59" s="36"/>
      <c r="D59" s="36"/>
      <c r="E59" s="36"/>
      <c r="G59" s="38"/>
      <c r="H59" s="38"/>
      <c r="I59" s="38"/>
      <c r="J59" s="38"/>
    </row>
    <row r="60" spans="1:10" ht="15.6">
      <c r="A60" s="6"/>
      <c r="B60" s="36"/>
      <c r="C60" s="36"/>
      <c r="D60" s="36"/>
      <c r="E60" s="36"/>
      <c r="G60" s="38"/>
      <c r="H60" s="38"/>
      <c r="I60" s="38"/>
      <c r="J60" s="38"/>
    </row>
    <row r="61" spans="1:10" ht="15.6">
      <c r="A61" s="5" t="s">
        <v>23</v>
      </c>
      <c r="B61" s="36"/>
      <c r="C61" s="36"/>
      <c r="D61" s="36"/>
      <c r="E61" s="36"/>
      <c r="G61" s="38"/>
      <c r="H61" s="38"/>
      <c r="I61" s="38"/>
      <c r="J61" s="38"/>
    </row>
    <row r="62" spans="1:10" ht="15.6">
      <c r="A62" s="6" t="s">
        <v>24</v>
      </c>
      <c r="B62" s="10">
        <f t="shared" ref="B62:D62" si="25">((B17/B15)-1)*100</f>
        <v>7.6312634370581334</v>
      </c>
      <c r="C62" s="10">
        <f t="shared" si="25"/>
        <v>1.8516985401661357</v>
      </c>
      <c r="D62" s="10">
        <f t="shared" si="25"/>
        <v>-0.92224592201574085</v>
      </c>
      <c r="E62" s="10">
        <f t="shared" ref="E62:G62" si="26">((E17/E15)-1)*100</f>
        <v>-9.1428571428571423</v>
      </c>
      <c r="F62" s="10">
        <f t="shared" si="26"/>
        <v>-33.768504487702536</v>
      </c>
      <c r="G62" s="10">
        <f t="shared" si="26"/>
        <v>-30.042138913106655</v>
      </c>
      <c r="H62" s="10"/>
      <c r="I62" s="10"/>
      <c r="J62" s="10"/>
    </row>
    <row r="63" spans="1:10" ht="15.6">
      <c r="A63" s="6" t="s">
        <v>25</v>
      </c>
      <c r="B63" s="10">
        <f>((B38/B37)-1)*100</f>
        <v>14.298384833842936</v>
      </c>
      <c r="C63" s="10">
        <f t="shared" ref="C63" si="27">((C38/C37)-1)*100</f>
        <v>15.357360511700646</v>
      </c>
      <c r="D63" s="10">
        <f>((D38/D37)-1)*100</f>
        <v>-16.674183836253455</v>
      </c>
      <c r="E63" s="10">
        <f t="shared" ref="E63:G63" si="28">((E38/E37)-1)*100</f>
        <v>8.3346023820467074</v>
      </c>
      <c r="F63" s="10">
        <f t="shared" si="28"/>
        <v>3.6967479072921972</v>
      </c>
      <c r="G63" s="10">
        <f t="shared" si="28"/>
        <v>-14.173712826488028</v>
      </c>
      <c r="H63" s="10"/>
      <c r="I63" s="10"/>
      <c r="J63" s="10"/>
    </row>
    <row r="64" spans="1:10" ht="15.6">
      <c r="A64" s="6" t="s">
        <v>26</v>
      </c>
      <c r="B64" s="10">
        <f t="shared" ref="B64:D64" si="29">((B40/B39)-1)*100</f>
        <v>6.1944096760359058</v>
      </c>
      <c r="C64" s="10">
        <f t="shared" si="29"/>
        <v>13.260124440839306</v>
      </c>
      <c r="D64" s="10">
        <f t="shared" si="29"/>
        <v>-15.898561751651474</v>
      </c>
      <c r="E64" s="10">
        <f t="shared" ref="E64:G64" si="30">((E40/E39)-1)*100</f>
        <v>19.23619759030295</v>
      </c>
      <c r="F64" s="10">
        <f t="shared" si="30"/>
        <v>56.567124304234405</v>
      </c>
      <c r="G64" s="10">
        <f t="shared" si="30"/>
        <v>22.682834838115973</v>
      </c>
      <c r="H64" s="10"/>
      <c r="I64" s="10"/>
      <c r="J64" s="10"/>
    </row>
    <row r="65" spans="1:10" ht="15.6">
      <c r="A65" s="6"/>
      <c r="B65" s="36"/>
      <c r="C65" s="36"/>
      <c r="D65" s="36"/>
      <c r="E65" s="36"/>
      <c r="G65" s="38"/>
      <c r="H65" s="38"/>
      <c r="I65" s="38"/>
      <c r="J65" s="38"/>
    </row>
    <row r="66" spans="1:10" ht="15.6">
      <c r="A66" s="5" t="s">
        <v>27</v>
      </c>
      <c r="B66" s="36"/>
      <c r="C66" s="36"/>
      <c r="D66" s="36"/>
      <c r="E66" s="36"/>
      <c r="G66" s="38"/>
      <c r="H66" s="38"/>
      <c r="I66" s="38"/>
      <c r="J66" s="38"/>
    </row>
    <row r="67" spans="1:10" ht="15.6">
      <c r="A67" s="6" t="s">
        <v>33</v>
      </c>
      <c r="B67" s="36">
        <f>B22/(B16*12)</f>
        <v>34412.344440602603</v>
      </c>
      <c r="C67" s="36">
        <f>C22/C16</f>
        <v>180403.1631536879</v>
      </c>
      <c r="D67" s="36">
        <f>D22/(D16*12)</f>
        <v>124412.02270772231</v>
      </c>
      <c r="E67" s="36">
        <f>E22/(E16*12)</f>
        <v>855644.67846602527</v>
      </c>
      <c r="F67" s="36">
        <f>F22/(F16*7)</f>
        <v>23181.077574707731</v>
      </c>
      <c r="G67" s="10">
        <f>G22/(G16*12)</f>
        <v>666687.30871183437</v>
      </c>
      <c r="H67" s="10">
        <f>H22/(H16*5)</f>
        <v>161103.26624876281</v>
      </c>
      <c r="I67" s="10">
        <f>I22/(I16*4)</f>
        <v>135407.16543713689</v>
      </c>
      <c r="J67" s="10">
        <f>J22/(J16*5)</f>
        <v>5749813.5121604288</v>
      </c>
    </row>
    <row r="68" spans="1:10" ht="15.6">
      <c r="A68" s="6" t="s">
        <v>34</v>
      </c>
      <c r="B68" s="36">
        <f t="shared" ref="B68" si="31">B23/(B17*12)</f>
        <v>34371.406400113359</v>
      </c>
      <c r="C68" s="36">
        <f>C23/C17</f>
        <v>168691.14199645061</v>
      </c>
      <c r="D68" s="36">
        <f>D23/(D17*12)</f>
        <v>127573.87678762816</v>
      </c>
      <c r="E68" s="36">
        <f>E23/(E17*12)</f>
        <v>778670.91849056596</v>
      </c>
      <c r="F68" s="36">
        <f>F23/(F17*7)</f>
        <v>115530.07982878262</v>
      </c>
      <c r="G68" s="10">
        <f>G23/(G17*12)</f>
        <v>669578.692573476</v>
      </c>
      <c r="H68" s="10">
        <f>H23/(H17*5)</f>
        <v>132862.00226772495</v>
      </c>
      <c r="I68" s="10">
        <f>I23/(I17*4)</f>
        <v>172326.33995499762</v>
      </c>
      <c r="J68" s="10">
        <f>J23/(J17*5)</f>
        <v>4967319.7232085569</v>
      </c>
    </row>
    <row r="69" spans="1:10" ht="15.6">
      <c r="A69" s="6" t="s">
        <v>28</v>
      </c>
      <c r="B69" s="36">
        <f>(B68/B67)*B51</f>
        <v>94.281250850890956</v>
      </c>
      <c r="C69" s="36">
        <f>(C68/C67)*C51</f>
        <v>89.531323872542259</v>
      </c>
      <c r="D69" s="36">
        <f>(D68/D67)*D51</f>
        <v>98.195969988117824</v>
      </c>
      <c r="E69" s="36">
        <f>(E68/E67)*E51</f>
        <v>83.61205702639343</v>
      </c>
      <c r="F69" s="36">
        <f t="shared" ref="F69:G69" si="32">(F68/F67)*F51</f>
        <v>273.65885781918405</v>
      </c>
      <c r="G69" s="10">
        <f t="shared" si="32"/>
        <v>100.07983447841903</v>
      </c>
      <c r="H69" s="10">
        <f t="shared" ref="H69:J69" si="33">(H68/H67)*H51</f>
        <v>74.437320064112185</v>
      </c>
      <c r="I69" s="10">
        <f t="shared" si="33"/>
        <v>113.51415708773759</v>
      </c>
      <c r="J69" s="10">
        <f t="shared" si="33"/>
        <v>80.512484836526724</v>
      </c>
    </row>
    <row r="70" spans="1:10" ht="15.6">
      <c r="A70" s="6" t="s">
        <v>37</v>
      </c>
      <c r="B70" s="36">
        <f t="shared" ref="B70:B71" si="34">B22/B16</f>
        <v>412948.13328723126</v>
      </c>
      <c r="C70" s="36">
        <f>(C22/C16)*12</f>
        <v>2164837.9578442546</v>
      </c>
      <c r="D70" s="36">
        <f t="shared" ref="D70" si="35">D22/D16</f>
        <v>1492944.2724926677</v>
      </c>
      <c r="E70" s="36">
        <f t="shared" ref="E70:F70" si="36">E22/E16</f>
        <v>10267736.141592303</v>
      </c>
      <c r="F70" s="36">
        <f t="shared" si="36"/>
        <v>162267.54302295411</v>
      </c>
      <c r="G70" s="10">
        <f t="shared" ref="G70:J70" si="37">G22/G16</f>
        <v>8000247.704542012</v>
      </c>
      <c r="H70" s="10">
        <f t="shared" si="37"/>
        <v>805516.33124381397</v>
      </c>
      <c r="I70" s="10">
        <f t="shared" si="37"/>
        <v>541628.66174854757</v>
      </c>
      <c r="J70" s="10">
        <f t="shared" si="37"/>
        <v>28749067.560802143</v>
      </c>
    </row>
    <row r="71" spans="1:10" ht="15.6">
      <c r="A71" s="6" t="s">
        <v>38</v>
      </c>
      <c r="B71" s="36">
        <f t="shared" si="34"/>
        <v>412456.87680136028</v>
      </c>
      <c r="C71" s="36">
        <f>(C23/C17)*12</f>
        <v>2024293.7039574073</v>
      </c>
      <c r="D71" s="36">
        <f t="shared" ref="D71" si="38">D23/D17</f>
        <v>1530886.521451538</v>
      </c>
      <c r="E71" s="36">
        <f t="shared" ref="E71:F71" si="39">E23/E17</f>
        <v>9344051.021886792</v>
      </c>
      <c r="F71" s="36">
        <f t="shared" si="39"/>
        <v>808710.55880147836</v>
      </c>
      <c r="G71" s="10">
        <f t="shared" ref="G71:J71" si="40">G23/G17</f>
        <v>8034944.3108817106</v>
      </c>
      <c r="H71" s="10">
        <f t="shared" si="40"/>
        <v>664310.01133862475</v>
      </c>
      <c r="I71" s="10">
        <f t="shared" si="40"/>
        <v>689305.35981999047</v>
      </c>
      <c r="J71" s="10">
        <f t="shared" si="40"/>
        <v>24836598.616042785</v>
      </c>
    </row>
    <row r="72" spans="1:10" ht="15.6">
      <c r="A72" s="6"/>
      <c r="B72" s="36"/>
      <c r="C72" s="36"/>
      <c r="D72" s="36"/>
      <c r="E72" s="36"/>
    </row>
    <row r="73" spans="1:10" ht="15.6">
      <c r="A73" s="5" t="s">
        <v>29</v>
      </c>
      <c r="B73" s="36"/>
      <c r="C73" s="36"/>
      <c r="D73" s="36"/>
      <c r="E73" s="36"/>
    </row>
    <row r="74" spans="1:10" ht="15.6">
      <c r="A74" s="6" t="s">
        <v>30</v>
      </c>
      <c r="B74" s="36">
        <f>(B29/B28)*100</f>
        <v>97.644187748873463</v>
      </c>
      <c r="C74" s="36"/>
      <c r="D74" s="36"/>
      <c r="E74" s="36"/>
    </row>
    <row r="75" spans="1:10" ht="15.6">
      <c r="A75" s="6" t="s">
        <v>31</v>
      </c>
      <c r="B75" s="36">
        <f>(B23/B29)*100</f>
        <v>96.613394426332192</v>
      </c>
      <c r="C75" s="36"/>
      <c r="D75" s="36"/>
      <c r="E75" s="36"/>
    </row>
    <row r="76" spans="1:10" ht="16.2" thickBot="1">
      <c r="A76" s="15"/>
      <c r="B76" s="15"/>
      <c r="C76" s="15"/>
      <c r="D76" s="15"/>
      <c r="E76" s="15"/>
      <c r="F76" s="15"/>
      <c r="G76" s="15"/>
      <c r="H76" s="15"/>
      <c r="I76" s="15"/>
      <c r="J76" s="15"/>
    </row>
    <row r="77" spans="1:10" s="3" customFormat="1" ht="16.5" customHeight="1" thickTop="1">
      <c r="A77" s="52" t="s">
        <v>87</v>
      </c>
      <c r="B77" s="52"/>
      <c r="C77" s="52"/>
      <c r="D77" s="52"/>
      <c r="E77" s="52"/>
      <c r="F77" s="52"/>
      <c r="G77" s="52"/>
      <c r="H77" s="52"/>
      <c r="I77" s="52"/>
      <c r="J77" s="52"/>
    </row>
  </sheetData>
  <mergeCells count="4">
    <mergeCell ref="A77:J77"/>
    <mergeCell ref="A9:A10"/>
    <mergeCell ref="B9:B10"/>
    <mergeCell ref="C9:J9"/>
  </mergeCells>
  <pageMargins left="0.7" right="0.7" top="0.75" bottom="0.75" header="0.3" footer="0.3"/>
  <pageSetup scale="10" orientation="portrait" r:id="rId1"/>
  <ignoredErrors>
    <ignoredError sqref="C70:C71 C67:C68 F67:F68 I67:I6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 Trimestre</vt:lpstr>
      <vt:lpstr>II trimestre</vt:lpstr>
      <vt:lpstr>I Semestre</vt:lpstr>
      <vt:lpstr>III Trimestre</vt:lpstr>
      <vt:lpstr>III T Acumulado</vt:lpstr>
      <vt:lpstr>IV Trimestre</vt:lpstr>
      <vt:lpstr>Anual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Astorga</dc:creator>
  <cp:lastModifiedBy>Stephanie Tatiana Salas Soto</cp:lastModifiedBy>
  <dcterms:created xsi:type="dcterms:W3CDTF">2012-04-10T15:25:06Z</dcterms:created>
  <dcterms:modified xsi:type="dcterms:W3CDTF">2026-01-03T12:49:01Z</dcterms:modified>
</cp:coreProperties>
</file>