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207180055\Desktop\ACTUALIZACIÓN PW 2025\2024\Indicadores\"/>
    </mc:Choice>
  </mc:AlternateContent>
  <xr:revisionPtr revIDLastSave="0" documentId="13_ncr:1_{431E497A-65F7-435E-AE67-49C345BFD36C}" xr6:coauthVersionLast="47" xr6:coauthVersionMax="47" xr10:uidLastSave="{00000000-0000-0000-0000-000000000000}"/>
  <bookViews>
    <workbookView xWindow="-108" yWindow="-108" windowWidth="23256" windowHeight="13896" tabRatio="843" xr2:uid="{00000000-000D-0000-FFFF-FFFF00000000}"/>
  </bookViews>
  <sheets>
    <sheet name="I Trimestre" sheetId="2" r:id="rId1"/>
    <sheet name="II Trimestre" sheetId="3" r:id="rId2"/>
    <sheet name="I Semestre" sheetId="5" r:id="rId3"/>
    <sheet name="III Trimestre" sheetId="1" r:id="rId4"/>
    <sheet name="III T Acumulado" sheetId="6" r:id="rId5"/>
    <sheet name="IV Trimestre" sheetId="4" r:id="rId6"/>
    <sheet name="Anual" sheetId="7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40" i="7" l="1"/>
  <c r="I42" i="7"/>
  <c r="H39" i="7"/>
  <c r="H40" i="7"/>
  <c r="H42" i="7" s="1"/>
  <c r="H41" i="7"/>
  <c r="G39" i="7"/>
  <c r="G40" i="7"/>
  <c r="G41" i="7"/>
  <c r="G42" i="7"/>
  <c r="F39" i="7"/>
  <c r="F40" i="7"/>
  <c r="F42" i="7" s="1"/>
  <c r="F41" i="7"/>
  <c r="E39" i="7"/>
  <c r="E40" i="7"/>
  <c r="E41" i="7"/>
  <c r="E42" i="7"/>
  <c r="I53" i="7" l="1"/>
  <c r="I51" i="7"/>
  <c r="H51" i="7"/>
  <c r="G51" i="7"/>
  <c r="F51" i="7"/>
  <c r="D53" i="7"/>
  <c r="D51" i="7"/>
  <c r="B40" i="7"/>
  <c r="B39" i="7"/>
  <c r="C48" i="7"/>
  <c r="C47" i="7"/>
  <c r="C71" i="7"/>
  <c r="C42" i="7"/>
  <c r="C41" i="7"/>
  <c r="H66" i="7"/>
  <c r="B77" i="7"/>
  <c r="B76" i="7"/>
  <c r="I70" i="4" l="1"/>
  <c r="I69" i="4"/>
  <c r="I56" i="4"/>
  <c r="I57" i="4"/>
  <c r="I58" i="4"/>
  <c r="I51" i="4"/>
  <c r="I52" i="4"/>
  <c r="I53" i="4"/>
  <c r="C25" i="7"/>
  <c r="C27" i="7" s="1"/>
  <c r="B27" i="7" s="1"/>
  <c r="B23" i="7"/>
  <c r="B23" i="4"/>
  <c r="I71" i="4" l="1"/>
  <c r="I72" i="4"/>
  <c r="I73" i="4"/>
  <c r="C24" i="5"/>
  <c r="D20" i="5"/>
  <c r="D17" i="5"/>
  <c r="D16" i="5"/>
  <c r="B25" i="4"/>
  <c r="B30" i="7" l="1"/>
  <c r="B17" i="7"/>
  <c r="D16" i="7"/>
  <c r="E16" i="7"/>
  <c r="B26" i="4"/>
  <c r="B24" i="4"/>
  <c r="I73" i="6" l="1"/>
  <c r="I72" i="6"/>
  <c r="I71" i="6"/>
  <c r="I70" i="6"/>
  <c r="I69" i="6"/>
  <c r="I51" i="6"/>
  <c r="I52" i="6"/>
  <c r="I53" i="6"/>
  <c r="B23" i="6"/>
  <c r="I69" i="1"/>
  <c r="I70" i="1"/>
  <c r="I71" i="1"/>
  <c r="I72" i="1"/>
  <c r="I73" i="1"/>
  <c r="I61" i="1"/>
  <c r="I51" i="1"/>
  <c r="I52" i="1"/>
  <c r="I53" i="1"/>
  <c r="I40" i="1"/>
  <c r="I42" i="1"/>
  <c r="B23" i="1"/>
  <c r="B23" i="5"/>
  <c r="B19" i="5"/>
  <c r="B23" i="3"/>
  <c r="F27" i="3"/>
  <c r="G27" i="3"/>
  <c r="H27" i="3"/>
  <c r="I27" i="3"/>
  <c r="I69" i="2" l="1"/>
  <c r="I70" i="2"/>
  <c r="I71" i="2" s="1"/>
  <c r="I72" i="2"/>
  <c r="I73" i="2"/>
  <c r="I61" i="2"/>
  <c r="I56" i="2"/>
  <c r="I58" i="2" s="1"/>
  <c r="I57" i="2"/>
  <c r="I51" i="2"/>
  <c r="I52" i="2"/>
  <c r="I53" i="2"/>
  <c r="I40" i="2"/>
  <c r="I42" i="2"/>
  <c r="B30" i="2"/>
  <c r="B27" i="2"/>
  <c r="B26" i="2"/>
  <c r="B25" i="2"/>
  <c r="B24" i="2"/>
  <c r="I27" i="2"/>
  <c r="H27" i="2"/>
  <c r="F64" i="7" l="1"/>
  <c r="G64" i="7"/>
  <c r="H64" i="7"/>
  <c r="D51" i="4" l="1"/>
  <c r="C69" i="4"/>
  <c r="C72" i="4"/>
  <c r="D19" i="7" l="1"/>
  <c r="F47" i="4"/>
  <c r="F48" i="4"/>
  <c r="F48" i="6"/>
  <c r="F47" i="1"/>
  <c r="F48" i="1"/>
  <c r="F48" i="5"/>
  <c r="F48" i="3"/>
  <c r="E48" i="3"/>
  <c r="C48" i="3"/>
  <c r="B48" i="3"/>
  <c r="F47" i="3"/>
  <c r="E47" i="3"/>
  <c r="C47" i="3"/>
  <c r="F47" i="2"/>
  <c r="F48" i="2"/>
  <c r="F48" i="7"/>
  <c r="B31" i="7"/>
  <c r="H17" i="7"/>
  <c r="I70" i="3"/>
  <c r="I69" i="3"/>
  <c r="C23" i="7" l="1"/>
  <c r="B23" i="2" l="1"/>
  <c r="I25" i="7" l="1"/>
  <c r="I27" i="7" s="1"/>
  <c r="H25" i="7"/>
  <c r="H27" i="7" s="1"/>
  <c r="G25" i="7"/>
  <c r="F25" i="7"/>
  <c r="E25" i="7"/>
  <c r="E19" i="7"/>
  <c r="F19" i="7"/>
  <c r="G19" i="7"/>
  <c r="H19" i="7"/>
  <c r="I19" i="7"/>
  <c r="E17" i="7"/>
  <c r="F17" i="7"/>
  <c r="G17" i="7"/>
  <c r="I17" i="7"/>
  <c r="I16" i="7"/>
  <c r="F16" i="7"/>
  <c r="F47" i="7" s="1"/>
  <c r="G16" i="7"/>
  <c r="H16" i="7"/>
  <c r="E73" i="7" l="1"/>
  <c r="B19" i="7"/>
  <c r="B25" i="7"/>
  <c r="F27" i="7"/>
  <c r="G27" i="7"/>
  <c r="H70" i="7"/>
  <c r="I70" i="7"/>
  <c r="I73" i="7"/>
  <c r="E70" i="7"/>
  <c r="H73" i="7"/>
  <c r="G70" i="7"/>
  <c r="G73" i="7"/>
  <c r="F73" i="7"/>
  <c r="F70" i="7"/>
  <c r="B17" i="4" l="1"/>
  <c r="I24" i="7"/>
  <c r="B19" i="4"/>
  <c r="I52" i="7" l="1"/>
  <c r="I72" i="7"/>
  <c r="I69" i="7"/>
  <c r="F25" i="6"/>
  <c r="F27" i="6" s="1"/>
  <c r="G25" i="6"/>
  <c r="H25" i="6"/>
  <c r="H27" i="6" s="1"/>
  <c r="I25" i="6"/>
  <c r="I27" i="6" s="1"/>
  <c r="F26" i="6"/>
  <c r="G26" i="6"/>
  <c r="H26" i="6"/>
  <c r="I26" i="6"/>
  <c r="G27" i="6"/>
  <c r="F24" i="6"/>
  <c r="G24" i="6"/>
  <c r="H24" i="6"/>
  <c r="I24" i="6"/>
  <c r="F23" i="6"/>
  <c r="G23" i="6"/>
  <c r="H23" i="6"/>
  <c r="I19" i="6"/>
  <c r="E20" i="6"/>
  <c r="F20" i="6"/>
  <c r="G20" i="6"/>
  <c r="H20" i="6"/>
  <c r="I20" i="6"/>
  <c r="E17" i="6"/>
  <c r="F17" i="6"/>
  <c r="G17" i="6"/>
  <c r="H17" i="6"/>
  <c r="I17" i="6"/>
  <c r="E16" i="6"/>
  <c r="F16" i="6"/>
  <c r="F47" i="6" s="1"/>
  <c r="G16" i="6"/>
  <c r="H16" i="6"/>
  <c r="I16" i="6"/>
  <c r="B24" i="1"/>
  <c r="B25" i="1"/>
  <c r="B26" i="1"/>
  <c r="B19" i="1"/>
  <c r="B17" i="1"/>
  <c r="F23" i="5"/>
  <c r="G23" i="5"/>
  <c r="H23" i="5"/>
  <c r="F24" i="5"/>
  <c r="G24" i="5"/>
  <c r="H24" i="5"/>
  <c r="I24" i="5"/>
  <c r="F25" i="5"/>
  <c r="F27" i="5" s="1"/>
  <c r="G25" i="5"/>
  <c r="G27" i="5" s="1"/>
  <c r="H25" i="5"/>
  <c r="H27" i="5" s="1"/>
  <c r="I25" i="5"/>
  <c r="I40" i="5" s="1"/>
  <c r="I42" i="5" s="1"/>
  <c r="F26" i="5"/>
  <c r="G26" i="5"/>
  <c r="H26" i="5"/>
  <c r="I26" i="5"/>
  <c r="I19" i="5"/>
  <c r="E19" i="5"/>
  <c r="F19" i="5"/>
  <c r="G19" i="5"/>
  <c r="H19" i="5"/>
  <c r="I17" i="5"/>
  <c r="H64" i="3"/>
  <c r="I40" i="3"/>
  <c r="I42" i="3" s="1"/>
  <c r="B24" i="3"/>
  <c r="B25" i="3"/>
  <c r="B26" i="3"/>
  <c r="B19" i="3"/>
  <c r="B17" i="3"/>
  <c r="F56" i="2"/>
  <c r="F57" i="2"/>
  <c r="F51" i="2"/>
  <c r="F52" i="2"/>
  <c r="F69" i="2"/>
  <c r="G69" i="2"/>
  <c r="H69" i="2"/>
  <c r="F70" i="2"/>
  <c r="G70" i="2"/>
  <c r="H70" i="2"/>
  <c r="F72" i="2"/>
  <c r="G72" i="2"/>
  <c r="H72" i="2"/>
  <c r="F73" i="2"/>
  <c r="G73" i="2"/>
  <c r="H73" i="2"/>
  <c r="B19" i="2"/>
  <c r="B17" i="2"/>
  <c r="B17" i="6" l="1"/>
  <c r="I71" i="7"/>
  <c r="I70" i="5"/>
  <c r="I27" i="5"/>
  <c r="I40" i="6"/>
  <c r="I42" i="6" s="1"/>
  <c r="F58" i="2"/>
  <c r="F53" i="2"/>
  <c r="I69" i="5"/>
  <c r="F71" i="2"/>
  <c r="C24" i="7"/>
  <c r="C23" i="6" l="1"/>
  <c r="C16" i="6"/>
  <c r="D16" i="6"/>
  <c r="B16" i="6"/>
  <c r="C64" i="6" l="1"/>
  <c r="C64" i="1"/>
  <c r="H64" i="6" l="1"/>
  <c r="G64" i="6"/>
  <c r="F64" i="6"/>
  <c r="E64" i="6"/>
  <c r="B64" i="6"/>
  <c r="E48" i="6"/>
  <c r="C48" i="6"/>
  <c r="B48" i="6"/>
  <c r="E23" i="6"/>
  <c r="H73" i="1"/>
  <c r="G73" i="1"/>
  <c r="F73" i="1"/>
  <c r="E73" i="1"/>
  <c r="C73" i="1"/>
  <c r="H72" i="1"/>
  <c r="G72" i="1"/>
  <c r="F72" i="1"/>
  <c r="E72" i="1"/>
  <c r="C72" i="1"/>
  <c r="H70" i="1"/>
  <c r="G70" i="1"/>
  <c r="F70" i="1"/>
  <c r="E70" i="1"/>
  <c r="C70" i="1"/>
  <c r="H69" i="1"/>
  <c r="G69" i="1"/>
  <c r="F69" i="1"/>
  <c r="E69" i="1"/>
  <c r="C69" i="1"/>
  <c r="H64" i="1"/>
  <c r="G64" i="1"/>
  <c r="F64" i="1"/>
  <c r="E64" i="1"/>
  <c r="B64" i="1"/>
  <c r="I57" i="1"/>
  <c r="H57" i="1"/>
  <c r="G57" i="1"/>
  <c r="F57" i="1"/>
  <c r="E57" i="1"/>
  <c r="C57" i="1"/>
  <c r="I56" i="1"/>
  <c r="H56" i="1"/>
  <c r="G56" i="1"/>
  <c r="F56" i="1"/>
  <c r="E56" i="1"/>
  <c r="C56" i="1"/>
  <c r="H52" i="1"/>
  <c r="G52" i="1"/>
  <c r="F52" i="1"/>
  <c r="E52" i="1"/>
  <c r="C52" i="1"/>
  <c r="H51" i="1"/>
  <c r="G51" i="1"/>
  <c r="F51" i="1"/>
  <c r="E51" i="1"/>
  <c r="D51" i="1"/>
  <c r="E48" i="1"/>
  <c r="C48" i="1"/>
  <c r="B48" i="1"/>
  <c r="E47" i="1"/>
  <c r="C47" i="1"/>
  <c r="H40" i="1"/>
  <c r="H42" i="1" s="1"/>
  <c r="G40" i="1"/>
  <c r="F40" i="1"/>
  <c r="F42" i="1" s="1"/>
  <c r="E40" i="1"/>
  <c r="E42" i="1" s="1"/>
  <c r="C40" i="1"/>
  <c r="C42" i="1" s="1"/>
  <c r="H39" i="1"/>
  <c r="H41" i="1" s="1"/>
  <c r="G39" i="1"/>
  <c r="G41" i="1" s="1"/>
  <c r="F39" i="1"/>
  <c r="F41" i="1" s="1"/>
  <c r="E39" i="1"/>
  <c r="E41" i="1" s="1"/>
  <c r="C39" i="1"/>
  <c r="C41" i="1" s="1"/>
  <c r="B39" i="1"/>
  <c r="B41" i="1" s="1"/>
  <c r="H64" i="5"/>
  <c r="G64" i="5"/>
  <c r="F64" i="5"/>
  <c r="E64" i="5"/>
  <c r="C64" i="5"/>
  <c r="B64" i="5"/>
  <c r="E48" i="5"/>
  <c r="C48" i="5"/>
  <c r="B48" i="5"/>
  <c r="F39" i="5"/>
  <c r="F41" i="5" s="1"/>
  <c r="G39" i="5"/>
  <c r="G41" i="5" s="1"/>
  <c r="H39" i="5"/>
  <c r="H41" i="5" s="1"/>
  <c r="G61" i="5"/>
  <c r="H40" i="5"/>
  <c r="I61" i="5"/>
  <c r="F61" i="5"/>
  <c r="H61" i="5"/>
  <c r="E23" i="5"/>
  <c r="E39" i="5" s="1"/>
  <c r="E41" i="5" s="1"/>
  <c r="C23" i="5"/>
  <c r="D19" i="5"/>
  <c r="E17" i="5"/>
  <c r="F17" i="5"/>
  <c r="G17" i="5"/>
  <c r="H17" i="5"/>
  <c r="B16" i="5"/>
  <c r="C16" i="5"/>
  <c r="D51" i="5"/>
  <c r="E16" i="5"/>
  <c r="E47" i="5" s="1"/>
  <c r="F16" i="5"/>
  <c r="G16" i="5"/>
  <c r="G51" i="5" s="1"/>
  <c r="H16" i="5"/>
  <c r="H51" i="5" s="1"/>
  <c r="I16" i="5"/>
  <c r="I51" i="5" s="1"/>
  <c r="I73" i="3"/>
  <c r="H73" i="3"/>
  <c r="G73" i="3"/>
  <c r="F73" i="3"/>
  <c r="E73" i="3"/>
  <c r="C73" i="3"/>
  <c r="I72" i="3"/>
  <c r="H72" i="3"/>
  <c r="G72" i="3"/>
  <c r="F72" i="3"/>
  <c r="E72" i="3"/>
  <c r="C72" i="3"/>
  <c r="H70" i="3"/>
  <c r="G70" i="3"/>
  <c r="F70" i="3"/>
  <c r="E70" i="3"/>
  <c r="C70" i="3"/>
  <c r="H69" i="3"/>
  <c r="G69" i="3"/>
  <c r="F69" i="3"/>
  <c r="E69" i="3"/>
  <c r="C69" i="3"/>
  <c r="G64" i="3"/>
  <c r="F64" i="3"/>
  <c r="E64" i="3"/>
  <c r="C64" i="3"/>
  <c r="B64" i="3"/>
  <c r="I57" i="3"/>
  <c r="H57" i="3"/>
  <c r="G57" i="3"/>
  <c r="F57" i="3"/>
  <c r="E57" i="3"/>
  <c r="C57" i="3"/>
  <c r="I56" i="3"/>
  <c r="H56" i="3"/>
  <c r="G56" i="3"/>
  <c r="F56" i="3"/>
  <c r="E56" i="3"/>
  <c r="C56" i="3"/>
  <c r="I52" i="3"/>
  <c r="H52" i="3"/>
  <c r="G52" i="3"/>
  <c r="F52" i="3"/>
  <c r="E52" i="3"/>
  <c r="C52" i="3"/>
  <c r="I51" i="3"/>
  <c r="H51" i="3"/>
  <c r="G51" i="3"/>
  <c r="F51" i="3"/>
  <c r="E51" i="3"/>
  <c r="D51" i="3"/>
  <c r="H40" i="3"/>
  <c r="G40" i="3"/>
  <c r="F40" i="3"/>
  <c r="E40" i="3"/>
  <c r="C40" i="3"/>
  <c r="H39" i="3"/>
  <c r="H41" i="3" s="1"/>
  <c r="G39" i="3"/>
  <c r="G41" i="3" s="1"/>
  <c r="F39" i="3"/>
  <c r="F41" i="3" s="1"/>
  <c r="E39" i="3"/>
  <c r="E41" i="3" s="1"/>
  <c r="C39" i="3"/>
  <c r="C41" i="3" s="1"/>
  <c r="B77" i="3"/>
  <c r="B39" i="3"/>
  <c r="B41" i="3" s="1"/>
  <c r="E73" i="2"/>
  <c r="C73" i="2"/>
  <c r="E72" i="2"/>
  <c r="C72" i="2"/>
  <c r="E70" i="2"/>
  <c r="C70" i="2"/>
  <c r="E69" i="2"/>
  <c r="C69" i="2"/>
  <c r="H64" i="2"/>
  <c r="G64" i="2"/>
  <c r="F64" i="2"/>
  <c r="E64" i="2"/>
  <c r="C64" i="2"/>
  <c r="B64" i="2"/>
  <c r="H57" i="2"/>
  <c r="G57" i="2"/>
  <c r="E57" i="2"/>
  <c r="C57" i="2"/>
  <c r="H56" i="2"/>
  <c r="G56" i="2"/>
  <c r="E56" i="2"/>
  <c r="C56" i="2"/>
  <c r="H52" i="2"/>
  <c r="G52" i="2"/>
  <c r="E52" i="2"/>
  <c r="C52" i="2"/>
  <c r="H51" i="2"/>
  <c r="G51" i="2"/>
  <c r="E51" i="2"/>
  <c r="D51" i="2"/>
  <c r="E48" i="2"/>
  <c r="C48" i="2"/>
  <c r="B48" i="2"/>
  <c r="E47" i="2"/>
  <c r="C47" i="2"/>
  <c r="H40" i="2"/>
  <c r="G40" i="2"/>
  <c r="F40" i="2"/>
  <c r="E40" i="2"/>
  <c r="C40" i="2"/>
  <c r="H39" i="2"/>
  <c r="H41" i="2" s="1"/>
  <c r="G39" i="2"/>
  <c r="G41" i="2" s="1"/>
  <c r="F39" i="2"/>
  <c r="F41" i="2" s="1"/>
  <c r="E39" i="2"/>
  <c r="E41" i="2" s="1"/>
  <c r="C39" i="2"/>
  <c r="C41" i="2" s="1"/>
  <c r="B72" i="2"/>
  <c r="B39" i="2"/>
  <c r="B41" i="2" s="1"/>
  <c r="H42" i="3" l="1"/>
  <c r="H65" i="3"/>
  <c r="H66" i="3"/>
  <c r="F51" i="5"/>
  <c r="F47" i="5"/>
  <c r="E39" i="6"/>
  <c r="E41" i="6" s="1"/>
  <c r="D53" i="1"/>
  <c r="C71" i="1" s="1"/>
  <c r="F58" i="1"/>
  <c r="C65" i="3"/>
  <c r="F65" i="3"/>
  <c r="G53" i="1"/>
  <c r="G71" i="1" s="1"/>
  <c r="H53" i="1"/>
  <c r="H71" i="1" s="1"/>
  <c r="E58" i="1"/>
  <c r="H58" i="3"/>
  <c r="F53" i="3"/>
  <c r="F71" i="3" s="1"/>
  <c r="C58" i="3"/>
  <c r="C39" i="5"/>
  <c r="C41" i="5" s="1"/>
  <c r="B39" i="5"/>
  <c r="B41" i="5" s="1"/>
  <c r="H53" i="3"/>
  <c r="H71" i="3" s="1"/>
  <c r="F53" i="1"/>
  <c r="F71" i="1" s="1"/>
  <c r="H58" i="1"/>
  <c r="E53" i="1"/>
  <c r="E71" i="1" s="1"/>
  <c r="I58" i="1"/>
  <c r="H53" i="2"/>
  <c r="H71" i="2" s="1"/>
  <c r="C47" i="5"/>
  <c r="D53" i="2"/>
  <c r="C71" i="2" s="1"/>
  <c r="G58" i="1"/>
  <c r="D53" i="3"/>
  <c r="C71" i="3" s="1"/>
  <c r="F58" i="3"/>
  <c r="C58" i="1"/>
  <c r="E66" i="1"/>
  <c r="E65" i="1"/>
  <c r="G65" i="1"/>
  <c r="G42" i="1"/>
  <c r="G66" i="1" s="1"/>
  <c r="E65" i="3"/>
  <c r="G65" i="3"/>
  <c r="F42" i="3"/>
  <c r="F66" i="3" s="1"/>
  <c r="B73" i="3"/>
  <c r="B57" i="3"/>
  <c r="E53" i="3"/>
  <c r="E71" i="3" s="1"/>
  <c r="G53" i="3"/>
  <c r="G71" i="3" s="1"/>
  <c r="I53" i="3"/>
  <c r="I71" i="3" s="1"/>
  <c r="E58" i="3"/>
  <c r="G58" i="3"/>
  <c r="I58" i="3"/>
  <c r="I57" i="5"/>
  <c r="B72" i="3"/>
  <c r="B40" i="3"/>
  <c r="B65" i="3" s="1"/>
  <c r="C42" i="3"/>
  <c r="C66" i="3" s="1"/>
  <c r="B52" i="3"/>
  <c r="B70" i="3"/>
  <c r="G73" i="5"/>
  <c r="B69" i="3"/>
  <c r="E51" i="5"/>
  <c r="G57" i="5"/>
  <c r="E53" i="2"/>
  <c r="E71" i="2" s="1"/>
  <c r="G53" i="2"/>
  <c r="G71" i="2" s="1"/>
  <c r="E58" i="2"/>
  <c r="G58" i="2"/>
  <c r="I73" i="5"/>
  <c r="I52" i="5"/>
  <c r="I53" i="5" s="1"/>
  <c r="G72" i="5"/>
  <c r="I72" i="5"/>
  <c r="B77" i="2"/>
  <c r="B57" i="2"/>
  <c r="B69" i="2"/>
  <c r="B70" i="2"/>
  <c r="B73" i="2"/>
  <c r="H65" i="5"/>
  <c r="B40" i="2"/>
  <c r="B65" i="2" s="1"/>
  <c r="E65" i="2"/>
  <c r="G65" i="2"/>
  <c r="B52" i="2"/>
  <c r="C58" i="2"/>
  <c r="H58" i="2"/>
  <c r="H73" i="5"/>
  <c r="H70" i="5"/>
  <c r="H57" i="5"/>
  <c r="H52" i="5"/>
  <c r="H53" i="5" s="1"/>
  <c r="F73" i="5"/>
  <c r="F70" i="5"/>
  <c r="F57" i="5"/>
  <c r="F52" i="5"/>
  <c r="F53" i="5" s="1"/>
  <c r="H72" i="5"/>
  <c r="H69" i="5"/>
  <c r="F72" i="5"/>
  <c r="F69" i="5"/>
  <c r="F40" i="5"/>
  <c r="F65" i="5" s="1"/>
  <c r="C65" i="2"/>
  <c r="F65" i="2"/>
  <c r="H65" i="2"/>
  <c r="G40" i="5"/>
  <c r="G65" i="5" s="1"/>
  <c r="G52" i="5"/>
  <c r="G53" i="5" s="1"/>
  <c r="G69" i="5"/>
  <c r="G70" i="5"/>
  <c r="C66" i="1"/>
  <c r="F66" i="1"/>
  <c r="H66" i="1"/>
  <c r="C65" i="1"/>
  <c r="F65" i="1"/>
  <c r="H65" i="1"/>
  <c r="H42" i="5"/>
  <c r="H66" i="5" s="1"/>
  <c r="E42" i="3"/>
  <c r="E66" i="3" s="1"/>
  <c r="G42" i="3"/>
  <c r="G66" i="3" s="1"/>
  <c r="E42" i="2"/>
  <c r="E66" i="2" s="1"/>
  <c r="G42" i="2"/>
  <c r="G66" i="2" s="1"/>
  <c r="C42" i="2"/>
  <c r="C66" i="2" s="1"/>
  <c r="F42" i="2"/>
  <c r="F66" i="2" s="1"/>
  <c r="H42" i="2"/>
  <c r="H66" i="2" s="1"/>
  <c r="G42" i="5" l="1"/>
  <c r="G66" i="5" s="1"/>
  <c r="I71" i="5"/>
  <c r="F71" i="5"/>
  <c r="B42" i="3"/>
  <c r="B66" i="3" s="1"/>
  <c r="B42" i="2"/>
  <c r="B66" i="2" s="1"/>
  <c r="F42" i="5"/>
  <c r="F66" i="5" s="1"/>
  <c r="H71" i="5"/>
  <c r="G71" i="5"/>
  <c r="D17" i="7" l="1"/>
  <c r="C72" i="7" s="1"/>
  <c r="B77" i="1" l="1"/>
  <c r="B40" i="1"/>
  <c r="B57" i="1"/>
  <c r="B52" i="1"/>
  <c r="B65" i="1" l="1"/>
  <c r="B42" i="1"/>
  <c r="B66" i="1" s="1"/>
  <c r="B73" i="1"/>
  <c r="B70" i="1"/>
  <c r="B72" i="1"/>
  <c r="B69" i="1"/>
  <c r="E48" i="7" l="1"/>
  <c r="H73" i="4" l="1"/>
  <c r="G73" i="4"/>
  <c r="F73" i="4"/>
  <c r="E73" i="4"/>
  <c r="C73" i="4"/>
  <c r="H72" i="4"/>
  <c r="G72" i="4"/>
  <c r="F72" i="4"/>
  <c r="E72" i="4"/>
  <c r="H70" i="4"/>
  <c r="G70" i="4"/>
  <c r="F70" i="4"/>
  <c r="E70" i="4"/>
  <c r="C70" i="4"/>
  <c r="H69" i="4"/>
  <c r="G69" i="4"/>
  <c r="F69" i="4"/>
  <c r="E69" i="4"/>
  <c r="H64" i="4"/>
  <c r="G64" i="4"/>
  <c r="F64" i="4"/>
  <c r="E64" i="4"/>
  <c r="C64" i="4"/>
  <c r="B64" i="4"/>
  <c r="H57" i="4"/>
  <c r="G57" i="4"/>
  <c r="F57" i="4"/>
  <c r="E57" i="4"/>
  <c r="C57" i="4"/>
  <c r="H56" i="4"/>
  <c r="G56" i="4"/>
  <c r="F56" i="4"/>
  <c r="E56" i="4"/>
  <c r="C56" i="4"/>
  <c r="H52" i="4"/>
  <c r="G52" i="4"/>
  <c r="F52" i="4"/>
  <c r="E52" i="4"/>
  <c r="C52" i="4"/>
  <c r="H51" i="4"/>
  <c r="G51" i="4"/>
  <c r="F51" i="4"/>
  <c r="E51" i="4"/>
  <c r="E53" i="4" s="1"/>
  <c r="E48" i="4"/>
  <c r="C48" i="4"/>
  <c r="B48" i="4"/>
  <c r="E47" i="4"/>
  <c r="C47" i="4"/>
  <c r="I40" i="4"/>
  <c r="H40" i="4"/>
  <c r="G40" i="4"/>
  <c r="F40" i="4"/>
  <c r="E40" i="4"/>
  <c r="C40" i="4"/>
  <c r="H39" i="4"/>
  <c r="H41" i="4" s="1"/>
  <c r="G39" i="4"/>
  <c r="G41" i="4" s="1"/>
  <c r="F39" i="4"/>
  <c r="F41" i="4" s="1"/>
  <c r="E39" i="4"/>
  <c r="E41" i="4" s="1"/>
  <c r="C39" i="4"/>
  <c r="C41" i="4" s="1"/>
  <c r="F53" i="4" l="1"/>
  <c r="F71" i="4" s="1"/>
  <c r="C58" i="4"/>
  <c r="H53" i="4"/>
  <c r="H71" i="4" s="1"/>
  <c r="E58" i="4"/>
  <c r="H58" i="4"/>
  <c r="D53" i="4"/>
  <c r="C71" i="4" s="1"/>
  <c r="C65" i="4"/>
  <c r="F58" i="4"/>
  <c r="E65" i="4"/>
  <c r="G53" i="4"/>
  <c r="G71" i="4" s="1"/>
  <c r="G58" i="4"/>
  <c r="F65" i="4"/>
  <c r="G65" i="4"/>
  <c r="E71" i="4"/>
  <c r="H65" i="4"/>
  <c r="E42" i="4"/>
  <c r="E66" i="4" s="1"/>
  <c r="G42" i="4"/>
  <c r="G66" i="4" s="1"/>
  <c r="H42" i="4"/>
  <c r="H66" i="4" s="1"/>
  <c r="I42" i="4"/>
  <c r="F42" i="4"/>
  <c r="F66" i="4" s="1"/>
  <c r="C42" i="4"/>
  <c r="C66" i="4" s="1"/>
  <c r="F24" i="7" l="1"/>
  <c r="G24" i="7"/>
  <c r="H24" i="7"/>
  <c r="E24" i="7"/>
  <c r="C26" i="7"/>
  <c r="E69" i="7" l="1"/>
  <c r="E72" i="7"/>
  <c r="H69" i="7"/>
  <c r="H52" i="7"/>
  <c r="H53" i="7" s="1"/>
  <c r="H71" i="7" s="1"/>
  <c r="H72" i="7"/>
  <c r="G72" i="7"/>
  <c r="G69" i="7"/>
  <c r="G52" i="7"/>
  <c r="G53" i="7" s="1"/>
  <c r="F69" i="7"/>
  <c r="F52" i="7"/>
  <c r="F53" i="7" s="1"/>
  <c r="F72" i="7"/>
  <c r="B24" i="7"/>
  <c r="C69" i="7"/>
  <c r="G71" i="7" l="1"/>
  <c r="F71" i="7"/>
  <c r="C19" i="7"/>
  <c r="C17" i="7"/>
  <c r="C19" i="6"/>
  <c r="D19" i="6"/>
  <c r="E19" i="6"/>
  <c r="F19" i="6"/>
  <c r="G19" i="6"/>
  <c r="H19" i="6"/>
  <c r="C17" i="6"/>
  <c r="D17" i="6"/>
  <c r="B69" i="7" l="1"/>
  <c r="B72" i="7"/>
  <c r="B69" i="4"/>
  <c r="B72" i="4"/>
  <c r="B17" i="5"/>
  <c r="B19" i="6"/>
  <c r="F23" i="7" l="1"/>
  <c r="G23" i="7"/>
  <c r="H23" i="7"/>
  <c r="B20" i="7"/>
  <c r="B16" i="7"/>
  <c r="C25" i="6"/>
  <c r="C24" i="6"/>
  <c r="B20" i="6"/>
  <c r="C25" i="5"/>
  <c r="B20" i="5"/>
  <c r="I27" i="4"/>
  <c r="I61" i="4" s="1"/>
  <c r="B39" i="4"/>
  <c r="B41" i="4" s="1"/>
  <c r="F66" i="7" l="1"/>
  <c r="F65" i="7"/>
  <c r="C72" i="5"/>
  <c r="C69" i="5"/>
  <c r="C72" i="6"/>
  <c r="C69" i="6"/>
  <c r="C73" i="5"/>
  <c r="C70" i="5"/>
  <c r="C52" i="5"/>
  <c r="D53" i="5" s="1"/>
  <c r="C40" i="5"/>
  <c r="C39" i="6"/>
  <c r="C41" i="6" s="1"/>
  <c r="C73" i="6"/>
  <c r="C70" i="6"/>
  <c r="C40" i="6"/>
  <c r="C52" i="6"/>
  <c r="B40" i="4"/>
  <c r="B57" i="4"/>
  <c r="B52" i="4"/>
  <c r="B70" i="4"/>
  <c r="B77" i="4"/>
  <c r="B73" i="4"/>
  <c r="C40" i="7"/>
  <c r="C70" i="7"/>
  <c r="C73" i="7"/>
  <c r="C65" i="5" l="1"/>
  <c r="C42" i="5"/>
  <c r="C66" i="5" s="1"/>
  <c r="C71" i="5"/>
  <c r="C65" i="6"/>
  <c r="C42" i="6"/>
  <c r="C66" i="6" s="1"/>
  <c r="B65" i="4"/>
  <c r="B42" i="4"/>
  <c r="B66" i="4" s="1"/>
  <c r="I27" i="1" l="1"/>
  <c r="I61" i="3" l="1"/>
  <c r="C27" i="2"/>
  <c r="C61" i="2" l="1"/>
  <c r="C16" i="7" l="1"/>
  <c r="F51" i="6"/>
  <c r="H51" i="6"/>
  <c r="G51" i="6" l="1"/>
  <c r="E51" i="6"/>
  <c r="E47" i="6"/>
  <c r="C47" i="6"/>
  <c r="D51" i="6"/>
  <c r="D53" i="6" s="1"/>
  <c r="C71" i="6" s="1"/>
  <c r="C26" i="6" l="1"/>
  <c r="C57" i="6" l="1"/>
  <c r="H20" i="7"/>
  <c r="H56" i="7" s="1"/>
  <c r="C39" i="7"/>
  <c r="C20" i="6"/>
  <c r="H39" i="6"/>
  <c r="H41" i="6" s="1"/>
  <c r="G39" i="6"/>
  <c r="G41" i="6" s="1"/>
  <c r="I20" i="5"/>
  <c r="I56" i="5" s="1"/>
  <c r="I58" i="5" s="1"/>
  <c r="F26" i="7"/>
  <c r="G26" i="7"/>
  <c r="H26" i="7"/>
  <c r="I26" i="7"/>
  <c r="E26" i="7"/>
  <c r="C20" i="7"/>
  <c r="D20" i="7"/>
  <c r="C56" i="7" s="1"/>
  <c r="E20" i="7"/>
  <c r="E56" i="7" s="1"/>
  <c r="F20" i="7"/>
  <c r="F56" i="7" s="1"/>
  <c r="G20" i="7"/>
  <c r="G56" i="7" s="1"/>
  <c r="I20" i="7"/>
  <c r="I56" i="7" s="1"/>
  <c r="E51" i="7"/>
  <c r="E26" i="6"/>
  <c r="B26" i="6" s="1"/>
  <c r="D20" i="6"/>
  <c r="C56" i="6" s="1"/>
  <c r="E56" i="6"/>
  <c r="F56" i="6"/>
  <c r="G56" i="6"/>
  <c r="H56" i="6"/>
  <c r="I56" i="6"/>
  <c r="E26" i="5"/>
  <c r="E24" i="5"/>
  <c r="B24" i="5" s="1"/>
  <c r="C20" i="5"/>
  <c r="C56" i="5"/>
  <c r="E20" i="5"/>
  <c r="E56" i="5" s="1"/>
  <c r="F20" i="5"/>
  <c r="F56" i="5" s="1"/>
  <c r="F58" i="5" s="1"/>
  <c r="G20" i="5"/>
  <c r="G56" i="5" s="1"/>
  <c r="G58" i="5" s="1"/>
  <c r="H20" i="5"/>
  <c r="H56" i="5" s="1"/>
  <c r="H58" i="5" s="1"/>
  <c r="B30" i="4"/>
  <c r="B76" i="4" s="1"/>
  <c r="B30" i="3"/>
  <c r="B76" i="3" s="1"/>
  <c r="F27" i="4"/>
  <c r="F61" i="4" s="1"/>
  <c r="G27" i="4"/>
  <c r="G61" i="4" s="1"/>
  <c r="H27" i="4"/>
  <c r="H61" i="4" s="1"/>
  <c r="F27" i="1"/>
  <c r="F61" i="1" s="1"/>
  <c r="G27" i="1"/>
  <c r="G61" i="1" s="1"/>
  <c r="H27" i="1"/>
  <c r="H61" i="1" s="1"/>
  <c r="F61" i="3"/>
  <c r="G61" i="3"/>
  <c r="H61" i="3"/>
  <c r="F27" i="2"/>
  <c r="F61" i="2" s="1"/>
  <c r="G27" i="2"/>
  <c r="G61" i="2" s="1"/>
  <c r="H61" i="2"/>
  <c r="C26" i="5"/>
  <c r="E23" i="7"/>
  <c r="E27" i="4"/>
  <c r="E61" i="4" s="1"/>
  <c r="C27" i="4"/>
  <c r="E27" i="1"/>
  <c r="E61" i="1" s="1"/>
  <c r="C27" i="1"/>
  <c r="C27" i="3"/>
  <c r="E27" i="2"/>
  <c r="E24" i="6"/>
  <c r="B24" i="6" s="1"/>
  <c r="E64" i="7"/>
  <c r="C64" i="7"/>
  <c r="B31" i="6"/>
  <c r="B26" i="5" l="1"/>
  <c r="C61" i="1"/>
  <c r="B27" i="1"/>
  <c r="B61" i="1" s="1"/>
  <c r="B27" i="4"/>
  <c r="B61" i="4" s="1"/>
  <c r="B26" i="7"/>
  <c r="C58" i="6"/>
  <c r="C61" i="3"/>
  <c r="C57" i="5"/>
  <c r="C58" i="5" s="1"/>
  <c r="E72" i="5"/>
  <c r="E69" i="5"/>
  <c r="G72" i="6"/>
  <c r="G69" i="6"/>
  <c r="G57" i="6"/>
  <c r="G58" i="6" s="1"/>
  <c r="G52" i="6"/>
  <c r="G53" i="6" s="1"/>
  <c r="G73" i="6"/>
  <c r="G70" i="6"/>
  <c r="G40" i="6"/>
  <c r="E61" i="2"/>
  <c r="B61" i="2"/>
  <c r="F39" i="6"/>
  <c r="F41" i="6" s="1"/>
  <c r="B39" i="6"/>
  <c r="B41" i="6" s="1"/>
  <c r="E72" i="6"/>
  <c r="E69" i="6"/>
  <c r="F72" i="6"/>
  <c r="F69" i="6"/>
  <c r="H72" i="6"/>
  <c r="H69" i="6"/>
  <c r="I57" i="6"/>
  <c r="I58" i="6" s="1"/>
  <c r="H73" i="6"/>
  <c r="H70" i="6"/>
  <c r="H40" i="6"/>
  <c r="H57" i="6"/>
  <c r="H58" i="6" s="1"/>
  <c r="H52" i="6"/>
  <c r="H53" i="6" s="1"/>
  <c r="F73" i="6"/>
  <c r="F70" i="6"/>
  <c r="F40" i="6"/>
  <c r="F57" i="6"/>
  <c r="F58" i="6" s="1"/>
  <c r="F52" i="6"/>
  <c r="F53" i="6" s="1"/>
  <c r="C61" i="4"/>
  <c r="H61" i="6"/>
  <c r="C61" i="7"/>
  <c r="I57" i="7"/>
  <c r="I58" i="7" s="1"/>
  <c r="I61" i="7"/>
  <c r="B41" i="7"/>
  <c r="I61" i="6"/>
  <c r="B76" i="2"/>
  <c r="C57" i="7"/>
  <c r="C58" i="7" s="1"/>
  <c r="C65" i="7"/>
  <c r="B30" i="1"/>
  <c r="B76" i="1" s="1"/>
  <c r="C27" i="6"/>
  <c r="G61" i="7"/>
  <c r="G57" i="7"/>
  <c r="G58" i="7" s="1"/>
  <c r="G65" i="7"/>
  <c r="F61" i="7"/>
  <c r="F57" i="7"/>
  <c r="F58" i="7" s="1"/>
  <c r="H57" i="7"/>
  <c r="H58" i="7" s="1"/>
  <c r="F61" i="6"/>
  <c r="H61" i="7"/>
  <c r="D52" i="7"/>
  <c r="E47" i="7"/>
  <c r="G61" i="6"/>
  <c r="C27" i="5"/>
  <c r="B64" i="7"/>
  <c r="B48" i="7"/>
  <c r="H65" i="7" l="1"/>
  <c r="C61" i="6"/>
  <c r="H71" i="6"/>
  <c r="F65" i="6"/>
  <c r="F42" i="6"/>
  <c r="F66" i="6" s="1"/>
  <c r="G42" i="6"/>
  <c r="G66" i="6" s="1"/>
  <c r="G65" i="6"/>
  <c r="C61" i="5"/>
  <c r="F71" i="6"/>
  <c r="H65" i="6"/>
  <c r="H42" i="6"/>
  <c r="H66" i="6" s="1"/>
  <c r="B72" i="6"/>
  <c r="B69" i="6"/>
  <c r="G71" i="6"/>
  <c r="B72" i="5"/>
  <c r="B69" i="5"/>
  <c r="B30" i="5"/>
  <c r="B76" i="5" s="1"/>
  <c r="B30" i="6"/>
  <c r="B76" i="6" s="1"/>
  <c r="C66" i="7"/>
  <c r="G66" i="7"/>
  <c r="E27" i="3" l="1"/>
  <c r="B27" i="3" s="1"/>
  <c r="E25" i="5"/>
  <c r="B25" i="5" s="1"/>
  <c r="E25" i="6"/>
  <c r="B25" i="6" s="1"/>
  <c r="E61" i="3" l="1"/>
  <c r="B61" i="3"/>
  <c r="E57" i="5"/>
  <c r="E58" i="5" s="1"/>
  <c r="E40" i="5"/>
  <c r="E73" i="5"/>
  <c r="E70" i="5"/>
  <c r="E52" i="5"/>
  <c r="E53" i="5" s="1"/>
  <c r="E57" i="6"/>
  <c r="E58" i="6" s="1"/>
  <c r="E52" i="6"/>
  <c r="E53" i="6" s="1"/>
  <c r="E73" i="6"/>
  <c r="E70" i="6"/>
  <c r="E40" i="6"/>
  <c r="E52" i="7"/>
  <c r="E53" i="7" s="1"/>
  <c r="E71" i="7" s="1"/>
  <c r="E57" i="7"/>
  <c r="E58" i="7" s="1"/>
  <c r="E27" i="7"/>
  <c r="E27" i="5"/>
  <c r="B27" i="5" s="1"/>
  <c r="E27" i="6"/>
  <c r="B27" i="6" s="1"/>
  <c r="E42" i="6" l="1"/>
  <c r="E66" i="6" s="1"/>
  <c r="E65" i="6"/>
  <c r="B77" i="5"/>
  <c r="B73" i="5"/>
  <c r="B70" i="5"/>
  <c r="B52" i="5"/>
  <c r="B40" i="5"/>
  <c r="B57" i="5"/>
  <c r="E65" i="5"/>
  <c r="E42" i="5"/>
  <c r="E66" i="5" s="1"/>
  <c r="B61" i="6"/>
  <c r="E61" i="6"/>
  <c r="E61" i="5"/>
  <c r="B61" i="5"/>
  <c r="E71" i="6"/>
  <c r="B77" i="6"/>
  <c r="B57" i="6"/>
  <c r="B52" i="6"/>
  <c r="B73" i="6"/>
  <c r="B70" i="6"/>
  <c r="B40" i="6"/>
  <c r="E71" i="5"/>
  <c r="B70" i="7"/>
  <c r="B73" i="7"/>
  <c r="E61" i="7"/>
  <c r="B61" i="7"/>
  <c r="B57" i="7"/>
  <c r="B52" i="7"/>
  <c r="E65" i="7"/>
  <c r="E66" i="7"/>
  <c r="B42" i="6" l="1"/>
  <c r="B66" i="6" s="1"/>
  <c r="B65" i="6"/>
  <c r="B65" i="5"/>
  <c r="B42" i="5"/>
  <c r="B66" i="5" s="1"/>
  <c r="B42" i="7"/>
  <c r="B66" i="7" s="1"/>
  <c r="B65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Stephanie Tatiana Salas Soto</author>
  </authors>
  <commentList>
    <comment ref="B31" authorId="0" shapeId="0" xr:uid="{84DE6F78-4973-4256-8430-E5BE18C36532}">
      <text>
        <r>
          <rPr>
            <b/>
            <sz val="9"/>
            <color indexed="81"/>
            <rFont val="Tahoma"/>
            <family val="2"/>
          </rPr>
          <t>Stephanie Tatiana Salas Soto:</t>
        </r>
        <r>
          <rPr>
            <sz val="9"/>
            <color indexed="81"/>
            <rFont val="Tahoma"/>
            <family val="2"/>
          </rPr>
          <t xml:space="preserve">
Este dato no puede ser más alto que lo programado en el cronograma de metas e inversión (El dato de cada trimestre es más alto). Se debe prestar atención a esto. En el Reporte de ejecución del II T la UE del programa en la tabla #5 indica que el Presupuesto 2024 es de 177 706 749 325,461</t>
        </r>
      </text>
    </comment>
  </commentList>
</comments>
</file>

<file path=xl/sharedStrings.xml><?xml version="1.0" encoding="utf-8"?>
<sst xmlns="http://schemas.openxmlformats.org/spreadsheetml/2006/main" count="695" uniqueCount="136">
  <si>
    <t>Indicador</t>
  </si>
  <si>
    <t>Avancemos</t>
  </si>
  <si>
    <t>Insumos</t>
  </si>
  <si>
    <t>Gasto FODESAF</t>
  </si>
  <si>
    <t>Ingresos FODESAF</t>
  </si>
  <si>
    <t>Otros insumos</t>
  </si>
  <si>
    <t>Población objetivo</t>
  </si>
  <si>
    <t>Cálculos intermedios</t>
  </si>
  <si>
    <t>Indicadores</t>
  </si>
  <si>
    <t>De Cobertura Potencial</t>
  </si>
  <si>
    <t>Cobertura Programada</t>
  </si>
  <si>
    <t>Cobertura Efectiva</t>
  </si>
  <si>
    <t>De resultado</t>
  </si>
  <si>
    <t>Índice efectividad en beneficiarios (IEB)</t>
  </si>
  <si>
    <t xml:space="preserve">Índice efectividad en gasto (IEG) </t>
  </si>
  <si>
    <t>Índice efectividad total (IET)</t>
  </si>
  <si>
    <t xml:space="preserve">De avance </t>
  </si>
  <si>
    <t xml:space="preserve">Índice avance beneficiarios (IAB) </t>
  </si>
  <si>
    <t>Índice avance gasto (IAG)</t>
  </si>
  <si>
    <t xml:space="preserve">Índice avance total (IAT) </t>
  </si>
  <si>
    <t>Índice transferencia efectiva del gasto (ITG)</t>
  </si>
  <si>
    <t>De expansión</t>
  </si>
  <si>
    <t xml:space="preserve">Índice de crecimiento beneficiarios (ICB) </t>
  </si>
  <si>
    <t xml:space="preserve">Índice de crecimiento del gasto real (ICGR) </t>
  </si>
  <si>
    <t xml:space="preserve">Índice de crecimiento del gasto real por beneficiario (ICGRB) </t>
  </si>
  <si>
    <t>De gasto medio</t>
  </si>
  <si>
    <t xml:space="preserve">Índice de eficiencia (IE) </t>
  </si>
  <si>
    <t>De giro de recursos</t>
  </si>
  <si>
    <t>Índice de giro efectivo (IGE)</t>
  </si>
  <si>
    <t xml:space="preserve">Índice de uso de recursos (IUR) </t>
  </si>
  <si>
    <t>De Composición</t>
  </si>
  <si>
    <t xml:space="preserve">Gasto trimestral programado por beneficiario (GPB) </t>
  </si>
  <si>
    <t xml:space="preserve">Gasto trimestral efectivo por beneficiario (GEB) </t>
  </si>
  <si>
    <t xml:space="preserve">Gasto mensual programado por beneficiario (GPB) </t>
  </si>
  <si>
    <t xml:space="preserve">Gasto mensual efectivo por beneficiario (GEB) </t>
  </si>
  <si>
    <t xml:space="preserve">Gasto semestral programado por beneficiario (GPB) </t>
  </si>
  <si>
    <t xml:space="preserve">Gasto semestral efectivo por beneficiario (GEB) </t>
  </si>
  <si>
    <t xml:space="preserve">Gasto acumulado programado por beneficiario (GPB) </t>
  </si>
  <si>
    <t xml:space="preserve">Gasto acumulado efectivo por beneficiario (GEB) </t>
  </si>
  <si>
    <t xml:space="preserve">Gasto anual programado por beneficiario (GPB) </t>
  </si>
  <si>
    <t xml:space="preserve">Gasto anual efectivo por beneficiario (GEB) </t>
  </si>
  <si>
    <t>Beneficiarios (familias)</t>
  </si>
  <si>
    <t>Familias</t>
  </si>
  <si>
    <t>Estudiantes</t>
  </si>
  <si>
    <t>Asignación Familiar</t>
  </si>
  <si>
    <t>Seguridad Alimentaria</t>
  </si>
  <si>
    <t xml:space="preserve">                                 </t>
  </si>
  <si>
    <t>n.d.</t>
  </si>
  <si>
    <t>n.d</t>
  </si>
  <si>
    <t>Niños/Niñas</t>
  </si>
  <si>
    <t xml:space="preserve">Protección Familiar </t>
  </si>
  <si>
    <t xml:space="preserve">    Subsidios </t>
  </si>
  <si>
    <t xml:space="preserve">n.d. </t>
  </si>
  <si>
    <t xml:space="preserve">Familias </t>
  </si>
  <si>
    <t>Programa de Protección y Promoción Social</t>
  </si>
  <si>
    <t xml:space="preserve">Productos </t>
  </si>
  <si>
    <t xml:space="preserve">Cuidado y Desarrollo Infantil </t>
  </si>
  <si>
    <t xml:space="preserve">Familias diferentes </t>
  </si>
  <si>
    <t>Gasto efectivo real 1T 2022</t>
  </si>
  <si>
    <t>Gasto efectivo real por beneficiario 1T 2022</t>
  </si>
  <si>
    <t>Efectivos 1T 2023</t>
  </si>
  <si>
    <t>IPC (1T 2023)</t>
  </si>
  <si>
    <t>Gasto efectivo real 1T 2023</t>
  </si>
  <si>
    <t>Gasto efectivo real por beneficiario 1T 2023</t>
  </si>
  <si>
    <t>Efectivos 2T 2023</t>
  </si>
  <si>
    <t>IPC (2T 2023)</t>
  </si>
  <si>
    <t>Gasto efectivo real 2T 2023</t>
  </si>
  <si>
    <t>Gasto efectivo real por beneficiario 2T 2023</t>
  </si>
  <si>
    <t>Efectivos 1S 2023</t>
  </si>
  <si>
    <t>IPC (1S 2023)</t>
  </si>
  <si>
    <t>Gasto efectivo real 1S 2023</t>
  </si>
  <si>
    <t>Gasto efectivo real por beneficiario 1S 2023</t>
  </si>
  <si>
    <t>Efectivos 3T 2023</t>
  </si>
  <si>
    <t>IPC (3T 2023)</t>
  </si>
  <si>
    <t>Gasto efectivo real 3T 2023</t>
  </si>
  <si>
    <t>Gasto efectivo real por beneficiario 3T 2023</t>
  </si>
  <si>
    <t>Efectivos 3TA 2023</t>
  </si>
  <si>
    <t>IPC (3TA 2023)</t>
  </si>
  <si>
    <t>Gasto efectivo real 3TA 2023</t>
  </si>
  <si>
    <t>Gasto efectivo real por beneficiario 3TA 2023</t>
  </si>
  <si>
    <t>Efectivos 4T 2023</t>
  </si>
  <si>
    <t>IPC (4T 2023)</t>
  </si>
  <si>
    <t>Gasto efectivo real 4T 2023</t>
  </si>
  <si>
    <t>Gasto efectivo real por beneficiario 4T 2023</t>
  </si>
  <si>
    <t>Efectivos 2023</t>
  </si>
  <si>
    <t>IPC (2023)</t>
  </si>
  <si>
    <t>Gasto efectivo real 2023</t>
  </si>
  <si>
    <t>Gasto efectivo real por beneficiario 2023</t>
  </si>
  <si>
    <t xml:space="preserve">Prestación Alimentaria </t>
  </si>
  <si>
    <t>Programados 1T 2024</t>
  </si>
  <si>
    <t>Efectivos 1T 2024</t>
  </si>
  <si>
    <t>Programados año 2024</t>
  </si>
  <si>
    <t>En transferencias 1T 2024</t>
  </si>
  <si>
    <t>IPC (1T 2024)</t>
  </si>
  <si>
    <r>
      <rPr>
        <b/>
        <sz val="11"/>
        <color theme="1"/>
        <rFont val="Palatino Linotype"/>
        <family val="1"/>
      </rPr>
      <t xml:space="preserve">Fuentes: </t>
    </r>
    <r>
      <rPr>
        <sz val="11"/>
        <color theme="1"/>
        <rFont val="Palatino Linotype"/>
        <family val="1"/>
      </rPr>
      <t>Informes Trimestrales IMAS 2023 y 2024 - Cronogramas de Metas e Inversión - Modificaciones 2024 - IPC, INEC 2023 y 2024</t>
    </r>
  </si>
  <si>
    <r>
      <rPr>
        <b/>
        <sz val="11"/>
        <color theme="1"/>
        <rFont val="Palatino Linotype"/>
        <family val="1"/>
      </rPr>
      <t>Notas:</t>
    </r>
    <r>
      <rPr>
        <sz val="11"/>
        <color theme="1"/>
        <rFont val="Palatino Linotype"/>
        <family val="1"/>
      </rPr>
      <t xml:space="preserve">
</t>
    </r>
    <r>
      <rPr>
        <b/>
        <sz val="11"/>
        <color theme="1"/>
        <rFont val="Palatino Linotype"/>
        <family val="1"/>
      </rPr>
      <t xml:space="preserve">1. </t>
    </r>
    <r>
      <rPr>
        <sz val="11"/>
        <color theme="1"/>
        <rFont val="Palatino Linotype"/>
        <family val="1"/>
      </rPr>
      <t xml:space="preserve">El gasto efectivo del total del programa para el año 2024 es diferente al dato que se encuentra en el cálculo de los indicadores del año 2023, esto debido a que en el año anterior en algunos trimestres habían más o menos productos de los que están en el año 2024. 
</t>
    </r>
    <r>
      <rPr>
        <b/>
        <sz val="11"/>
        <color theme="1"/>
        <rFont val="Palatino Linotype"/>
        <family val="1"/>
      </rPr>
      <t xml:space="preserve">2. </t>
    </r>
    <r>
      <rPr>
        <sz val="11"/>
        <color theme="1"/>
        <rFont val="Palatino Linotype"/>
        <family val="1"/>
      </rPr>
      <t>En la tabla #2 del Reporte de ejecución se agregó la siguiente nota: E</t>
    </r>
    <r>
      <rPr>
        <i/>
        <sz val="11"/>
        <color theme="1"/>
        <rFont val="Palatino Linotype"/>
        <family val="1"/>
      </rPr>
      <t>l monto total de la ejecucición es de ¢36.635.775.583.00, la diferencia de los ¢23.937.735.23 corresponde a gastos financiados con los ingresos reales de recursos por "otros ingresos y reintegros o devoluciones" que realizaron algunos beneficiarios por diferentes motivos y se tomaron esos recursos para este propósito</t>
    </r>
    <r>
      <rPr>
        <sz val="11"/>
        <color theme="1"/>
        <rFont val="Palatino Linotype"/>
        <family val="1"/>
      </rPr>
      <t xml:space="preserve">. De igual manera, en la tabla #6 se agregó la siguiente nota: </t>
    </r>
    <r>
      <rPr>
        <i/>
        <sz val="11"/>
        <color theme="1"/>
        <rFont val="Palatino Linotype"/>
        <family val="1"/>
      </rPr>
      <t>El monto total de los ingresos reales al primer trimestre es de  ¢44,450,625.07, la diferencia que corresponde a ¢23,937,735.23 corresponde a ingresos reales de recursos por "otros ingresos y reintegros o devoluciones" que realizaron algunos beneficiarios por diferentes motivos.</t>
    </r>
  </si>
  <si>
    <t>Programados 2T 2024</t>
  </si>
  <si>
    <t>Efectivos 2T 2024</t>
  </si>
  <si>
    <t>En transferencias 2T 2024</t>
  </si>
  <si>
    <t>IPC (2T 2024)</t>
  </si>
  <si>
    <t>Gasto efectivo real 2T 2024</t>
  </si>
  <si>
    <t>Gasto efectivo real por beneficiario 2T 2024</t>
  </si>
  <si>
    <t>Programados 1S 2024</t>
  </si>
  <si>
    <t>Efectivos 1S 2024</t>
  </si>
  <si>
    <t>En transferencias 1S 2024</t>
  </si>
  <si>
    <t>IPC (1S 2024)</t>
  </si>
  <si>
    <t>Gasto efectivo real 1S 2024</t>
  </si>
  <si>
    <t>Gasto efectivo real por beneficiario 1S 2024</t>
  </si>
  <si>
    <t>Programados 3T 2024</t>
  </si>
  <si>
    <t>Efectivos 3T 2024</t>
  </si>
  <si>
    <t>En transferencias 3T 2024</t>
  </si>
  <si>
    <t>IPC (3T 2024)</t>
  </si>
  <si>
    <t>Gasto efectivo real 3T 2024</t>
  </si>
  <si>
    <t>Gasto efectivo real por beneficiario 3T 2024</t>
  </si>
  <si>
    <t>Programados 3TA 2024</t>
  </si>
  <si>
    <t>Efectivos 3TA 2024</t>
  </si>
  <si>
    <t>En transferencias 3TA 2024</t>
  </si>
  <si>
    <t>IPC (3TA 2024)</t>
  </si>
  <si>
    <t>Gasto efectivo real 3TA 2024</t>
  </si>
  <si>
    <t>Gasto efectivo real por beneficiario 3TA 2024</t>
  </si>
  <si>
    <t>Programados 4T 2024</t>
  </si>
  <si>
    <t>Efectivos 4T 2024</t>
  </si>
  <si>
    <t>En transferencias 4T 2024</t>
  </si>
  <si>
    <t>IPC (4T 2024)</t>
  </si>
  <si>
    <t>Gasto efectivo real 4T 2024</t>
  </si>
  <si>
    <t>Gasto efectivo real por beneficiario 4T 2024</t>
  </si>
  <si>
    <t>Programados 2024</t>
  </si>
  <si>
    <t>Efectivos 2024</t>
  </si>
  <si>
    <t>En transferencias 2024</t>
  </si>
  <si>
    <t>IPC (2024)</t>
  </si>
  <si>
    <t>Gasto efectivo real 2024</t>
  </si>
  <si>
    <t>Gasto efectivo real por beneficiario 2024</t>
  </si>
  <si>
    <r>
      <rPr>
        <b/>
        <sz val="11"/>
        <color theme="1"/>
        <rFont val="Palatino Linotype"/>
        <family val="1"/>
      </rPr>
      <t>Notas:</t>
    </r>
    <r>
      <rPr>
        <sz val="11"/>
        <color theme="1"/>
        <rFont val="Palatino Linotype"/>
        <family val="1"/>
      </rPr>
      <t xml:space="preserve">
</t>
    </r>
    <r>
      <rPr>
        <b/>
        <sz val="11"/>
        <color theme="1"/>
        <rFont val="Palatino Linotype"/>
        <family val="1"/>
      </rPr>
      <t xml:space="preserve">1. </t>
    </r>
    <r>
      <rPr>
        <sz val="11"/>
        <color theme="1"/>
        <rFont val="Palatino Linotype"/>
        <family val="1"/>
      </rPr>
      <t xml:space="preserve">El gasto efectivo del total del programa para el año 2024 es diferente al dato que se encuentra en el cálculo de los indicadores del año 2023, esto debido a que en el año anterior en algunos trimestres habían más o menos productos de los que están en el año 2024. 
</t>
    </r>
    <r>
      <rPr>
        <b/>
        <sz val="11"/>
        <color theme="1"/>
        <rFont val="Palatino Linotype"/>
        <family val="1"/>
      </rPr>
      <t xml:space="preserve">2. </t>
    </r>
    <r>
      <rPr>
        <sz val="11"/>
        <color theme="1"/>
        <rFont val="Palatino Linotype"/>
        <family val="1"/>
      </rPr>
      <t xml:space="preserve">En la tabla #6 del Reporte de ejecución se agregó la siguiente nota: El monto total acumulado de los ingresos reales al tercer trimestre es de  ¢133,794,547,839.09, la diferencia que corresponde a ¢514,485,841.58 corresponde a ingresos reales de recursos por "otros ingresos y reintegros o devoluciones" un monto de ¢117,393,682.20 que realizaron algunos beneficiarios por diferentes motivos, así como la "devolución del superávit 2023" por un monto de ¢397,092,159.38. Prestar atención a las notas de las tablas #1 y #2 al elaborar el Informe de ejecución correspondiente. 
</t>
    </r>
    <r>
      <rPr>
        <b/>
        <sz val="11"/>
        <color theme="1"/>
        <rFont val="Palatino Linotype"/>
        <family val="1"/>
      </rPr>
      <t xml:space="preserve">3. </t>
    </r>
    <r>
      <rPr>
        <sz val="11"/>
        <color theme="1"/>
        <rFont val="Palatino Linotype"/>
        <family val="1"/>
      </rPr>
      <t xml:space="preserve">El día lunes 24-02-2025 se ajustaron los datos programados del productos Avancemos - Estudiantes, esto debido a que se realizó un ajuste en el Cronograma de Metas e Inversiones del año 2024 para atrás. La analista del programa cuenta con el detalle correspondiente. </t>
    </r>
  </si>
  <si>
    <r>
      <rPr>
        <b/>
        <sz val="11"/>
        <color theme="1"/>
        <rFont val="Palatino Linotype"/>
        <family val="1"/>
      </rPr>
      <t>Notas:</t>
    </r>
    <r>
      <rPr>
        <sz val="11"/>
        <color theme="1"/>
        <rFont val="Palatino Linotype"/>
        <family val="1"/>
      </rPr>
      <t xml:space="preserve">
</t>
    </r>
    <r>
      <rPr>
        <b/>
        <sz val="11"/>
        <color theme="1"/>
        <rFont val="Palatino Linotype"/>
        <family val="1"/>
      </rPr>
      <t xml:space="preserve">1. </t>
    </r>
    <r>
      <rPr>
        <sz val="11"/>
        <color theme="1"/>
        <rFont val="Palatino Linotype"/>
        <family val="1"/>
      </rPr>
      <t xml:space="preserve">El gasto efectivo del total del programa para el año 2024 es diferente al dato que se encuentra en el cálculo de los indicadores del año 2023, esto debido a que en el año anterior en algunos trimestres habían más o menos productos de los que están en el año 2024. 
</t>
    </r>
    <r>
      <rPr>
        <b/>
        <sz val="11"/>
        <color theme="1"/>
        <rFont val="Palatino Linotype"/>
        <family val="1"/>
      </rPr>
      <t xml:space="preserve">2. </t>
    </r>
    <r>
      <rPr>
        <sz val="11"/>
        <color theme="1"/>
        <rFont val="Palatino Linotype"/>
        <family val="1"/>
      </rPr>
      <t xml:space="preserve">En la tabla #2 del Reporte de ejecución se agregó la siguiente nota: </t>
    </r>
    <r>
      <rPr>
        <i/>
        <sz val="11"/>
        <color theme="1"/>
        <rFont val="Palatino Linotype"/>
        <family val="1"/>
      </rPr>
      <t xml:space="preserve">El monto total de la ejecucición es de ¢15.222.922.263.00, la diferencia de los ¢20.916.063.54 corresponde a gastos financiados con los ingresos reales de recursos por "otros ingresos y reintegros o devoluciones" que realizaron algunos beneficiarios por diferentes motivos y se tomaron esos recursos para este propósito. </t>
    </r>
    <r>
      <rPr>
        <sz val="11"/>
        <color theme="1"/>
        <rFont val="Palatino Linotype"/>
        <family val="1"/>
      </rPr>
      <t xml:space="preserve">De igual manera, en la tabla #6 se agregó la siguiente nota: </t>
    </r>
    <r>
      <rPr>
        <i/>
        <sz val="11"/>
        <color theme="1"/>
        <rFont val="Palatino Linotype"/>
        <family val="1"/>
      </rPr>
      <t xml:space="preserve">El monto total de los ingresos reales al segundo trimestre es de  ¢88,853,374,666.00, la diferencia que corresponde a ¢473,503,100.18 corresponde a ingresos reales de recursos por "otros ingresos y reintegros o devoluciones" un monto de ¢76,410,940.80 que realizaron algunos beneficiarios por diferentes motivos, así como la "devolución del superávit 2023" por un monto de ¢397,092,159.38.
</t>
    </r>
    <r>
      <rPr>
        <b/>
        <i/>
        <sz val="11"/>
        <color theme="1"/>
        <rFont val="Palatino Linotype"/>
        <family val="1"/>
      </rPr>
      <t xml:space="preserve">3. </t>
    </r>
    <r>
      <rPr>
        <sz val="11"/>
        <color theme="1"/>
        <rFont val="Palatino Linotype"/>
        <family val="1"/>
      </rPr>
      <t xml:space="preserve">El día lunes 24-02-2025 se ajustaron los datos programados del productos Avancemos - Estudiantes, esto debido a que se realizó un ajuste en el Cronograma de Metas e Inversiones del año 2024 para atrás. La analista del programa cuenta con el detalle correspondiente. </t>
    </r>
  </si>
  <si>
    <r>
      <rPr>
        <b/>
        <sz val="11"/>
        <color theme="1"/>
        <rFont val="Palatino Linotype"/>
        <family val="1"/>
      </rPr>
      <t>Notas:</t>
    </r>
    <r>
      <rPr>
        <sz val="11"/>
        <color theme="1"/>
        <rFont val="Palatino Linotype"/>
        <family val="1"/>
      </rPr>
      <t xml:space="preserve">
</t>
    </r>
    <r>
      <rPr>
        <b/>
        <sz val="11"/>
        <color theme="1"/>
        <rFont val="Palatino Linotype"/>
        <family val="1"/>
      </rPr>
      <t xml:space="preserve">1. </t>
    </r>
    <r>
      <rPr>
        <sz val="11"/>
        <color theme="1"/>
        <rFont val="Palatino Linotype"/>
        <family val="1"/>
      </rPr>
      <t xml:space="preserve">El gasto efectivo del total del programa para el año 2024 es diferente al dato que se encuentra en el cálculo de los indicadores del año 2023, esto debido a que en el año anterior en algunos trimestres habían más o menos productos de los que están en el año 2024. 
</t>
    </r>
    <r>
      <rPr>
        <b/>
        <sz val="11"/>
        <color theme="1"/>
        <rFont val="Palatino Linotype"/>
        <family val="1"/>
      </rPr>
      <t xml:space="preserve">2. </t>
    </r>
    <r>
      <rPr>
        <sz val="11"/>
        <color theme="1"/>
        <rFont val="Palatino Linotype"/>
        <family val="1"/>
      </rPr>
      <t xml:space="preserve">En la tabla #6 del Reporte de ejecución se agregó la siguiente nota: El monto total acumulado de los ingresos reales al tercer trimestre es de  ¢197,369,269,812.46, la diferencia que corresponde a ¢552,458,187.96 corresponde a ingresos reales de recursos por "otros ingresos y reintegros o devoluciones" un monto de ¢155,366,028.58 que realizaron algunos beneficiarios por diferentes motivos, así como la "devolución del superávit 2023" por un monto de ¢397,092,159.38. Prestar atención a las notas de las tablas #1 y #2 al elaborar el Informe de ejecución correspondiente.
</t>
    </r>
  </si>
  <si>
    <r>
      <rPr>
        <b/>
        <sz val="11"/>
        <color theme="1"/>
        <rFont val="Palatino Linotype"/>
        <family val="1"/>
      </rPr>
      <t>Nota:</t>
    </r>
    <r>
      <rPr>
        <sz val="11"/>
        <color theme="1"/>
        <rFont val="Palatino Linotype"/>
        <family val="1"/>
      </rPr>
      <t xml:space="preserve">
</t>
    </r>
    <r>
      <rPr>
        <b/>
        <sz val="11"/>
        <color theme="1"/>
        <rFont val="Palatino Linotype"/>
        <family val="1"/>
      </rPr>
      <t xml:space="preserve">1. </t>
    </r>
    <r>
      <rPr>
        <sz val="11"/>
        <color theme="1"/>
        <rFont val="Palatino Linotype"/>
        <family val="1"/>
      </rPr>
      <t xml:space="preserve">El gasto efectivo del total del programa para el año 2024 es diferente al dato que se encuentra en el cálculo de los indicadores del año 2023, esto debido a que en el año anterior en algunos trimestres habían más o menos productos de los que están en el año 2024. 
</t>
    </r>
    <r>
      <rPr>
        <b/>
        <sz val="11"/>
        <color theme="1"/>
        <rFont val="Palatino Linotype"/>
        <family val="1"/>
      </rPr>
      <t>2.</t>
    </r>
    <r>
      <rPr>
        <sz val="11"/>
        <color theme="1"/>
        <rFont val="Palatino Linotype"/>
        <family val="1"/>
      </rPr>
      <t xml:space="preserve">Se ajustaron los datos de los beneficiarios del total del programa y el producto Avancemos. Este ajuste se realizó por cambios que realizó la UE del programa (El envío de la información estaba erróneo). 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</si>
</sst>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0"/>
      <name val="Arial"/>
      <family val="2"/>
    </font>
    <font>
      <b/>
      <sz val="11"/>
      <color theme="1"/>
      <name val="Palatino Linotype"/>
      <family val="1"/>
    </font>
    <font>
      <sz val="11"/>
      <color theme="1"/>
      <name val="Palatino Linotype"/>
      <family val="1"/>
    </font>
    <font>
      <sz val="10"/>
      <color theme="1"/>
      <name val="Palatino Linotype"/>
      <family val="1"/>
    </font>
    <font>
      <sz val="9"/>
      <color indexed="81"/>
      <name val="Tahoma"/>
      <family val="2"/>
    </font>
    <font>
      <i/>
      <sz val="11"/>
      <color theme="1"/>
      <name val="Palatino Linotype"/>
      <family val="1"/>
    </font>
    <font>
      <b/>
      <sz val="9"/>
      <color indexed="81"/>
      <name val="Tahoma"/>
      <family val="2"/>
    </font>
    <font>
      <b/>
      <i/>
      <sz val="11"/>
      <color theme="1"/>
      <name val="Palatino Linotype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double">
        <color indexed="64"/>
      </top>
      <bottom/>
      <diagonal/>
    </border>
  </borders>
  <cellStyleXfs count="19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164" fontId="4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70">
    <xf numFmtId="0" fontId="0" fillId="0" borderId="0" xfId="0"/>
    <xf numFmtId="165" fontId="1" fillId="0" borderId="0" xfId="1" applyNumberFormat="1" applyFont="1" applyFill="1"/>
    <xf numFmtId="165" fontId="1" fillId="0" borderId="4" xfId="1" applyNumberFormat="1" applyFont="1" applyFill="1" applyBorder="1"/>
    <xf numFmtId="165" fontId="6" fillId="0" borderId="0" xfId="1" applyNumberFormat="1" applyFont="1" applyFill="1"/>
    <xf numFmtId="165" fontId="5" fillId="0" borderId="0" xfId="1" applyNumberFormat="1" applyFont="1" applyFill="1"/>
    <xf numFmtId="165" fontId="5" fillId="0" borderId="0" xfId="1" applyNumberFormat="1" applyFont="1" applyFill="1" applyAlignment="1">
      <alignment horizontal="center" vertical="center"/>
    </xf>
    <xf numFmtId="165" fontId="6" fillId="0" borderId="0" xfId="1" applyNumberFormat="1" applyFont="1" applyFill="1" applyAlignment="1">
      <alignment horizontal="left" indent="1"/>
    </xf>
    <xf numFmtId="165" fontId="5" fillId="0" borderId="0" xfId="1" applyNumberFormat="1" applyFont="1" applyFill="1" applyAlignment="1">
      <alignment horizontal="left"/>
    </xf>
    <xf numFmtId="165" fontId="6" fillId="0" borderId="0" xfId="1" applyNumberFormat="1" applyFont="1" applyFill="1" applyAlignment="1">
      <alignment horizontal="right"/>
    </xf>
    <xf numFmtId="165" fontId="6" fillId="0" borderId="3" xfId="1" applyNumberFormat="1" applyFont="1" applyFill="1" applyBorder="1"/>
    <xf numFmtId="165" fontId="6" fillId="0" borderId="3" xfId="1" applyNumberFormat="1" applyFont="1" applyFill="1" applyBorder="1" applyAlignment="1">
      <alignment horizontal="right"/>
    </xf>
    <xf numFmtId="0" fontId="6" fillId="0" borderId="0" xfId="0" applyFont="1" applyFill="1" applyAlignment="1">
      <alignment horizontal="center"/>
    </xf>
    <xf numFmtId="3" fontId="6" fillId="0" borderId="0" xfId="0" applyNumberFormat="1" applyFont="1" applyFill="1" applyAlignment="1">
      <alignment horizontal="right"/>
    </xf>
    <xf numFmtId="0" fontId="6" fillId="0" borderId="3" xfId="0" applyFont="1" applyFill="1" applyBorder="1"/>
    <xf numFmtId="4" fontId="6" fillId="0" borderId="3" xfId="1" applyNumberFormat="1" applyFont="1" applyFill="1" applyBorder="1" applyAlignment="1">
      <alignment horizontal="right"/>
    </xf>
    <xf numFmtId="3" fontId="6" fillId="0" borderId="0" xfId="0" applyNumberFormat="1" applyFont="1" applyFill="1"/>
    <xf numFmtId="0" fontId="6" fillId="0" borderId="0" xfId="0" applyFont="1" applyFill="1" applyAlignment="1">
      <alignment horizontal="right" vertical="center"/>
    </xf>
    <xf numFmtId="165" fontId="6" fillId="0" borderId="0" xfId="1" applyNumberFormat="1" applyFont="1" applyFill="1" applyAlignment="1">
      <alignment horizontal="right" vertical="center"/>
    </xf>
    <xf numFmtId="165" fontId="6" fillId="0" borderId="3" xfId="1" applyNumberFormat="1" applyFont="1" applyFill="1" applyBorder="1" applyAlignment="1">
      <alignment horizontal="right" vertical="center"/>
    </xf>
    <xf numFmtId="165" fontId="6" fillId="0" borderId="0" xfId="1" applyNumberFormat="1" applyFont="1" applyFill="1" applyAlignment="1">
      <alignment horizontal="center" vertical="center"/>
    </xf>
    <xf numFmtId="2" fontId="6" fillId="0" borderId="0" xfId="0" applyNumberFormat="1" applyFont="1" applyFill="1" applyAlignment="1">
      <alignment horizontal="right"/>
    </xf>
    <xf numFmtId="164" fontId="6" fillId="0" borderId="0" xfId="1" applyFont="1" applyFill="1" applyAlignment="1">
      <alignment horizontal="right" vertical="center"/>
    </xf>
    <xf numFmtId="165" fontId="6" fillId="0" borderId="0" xfId="1" applyNumberFormat="1" applyFont="1" applyFill="1" applyBorder="1" applyAlignment="1">
      <alignment horizontal="right" vertical="center"/>
    </xf>
    <xf numFmtId="165" fontId="5" fillId="0" borderId="0" xfId="1" applyNumberFormat="1" applyFont="1" applyFill="1" applyAlignment="1">
      <alignment horizontal="center" vertical="center" wrapText="1"/>
    </xf>
    <xf numFmtId="165" fontId="5" fillId="0" borderId="0" xfId="1" applyNumberFormat="1" applyFont="1" applyFill="1" applyAlignment="1">
      <alignment vertical="center"/>
    </xf>
    <xf numFmtId="165" fontId="1" fillId="0" borderId="0" xfId="1" applyNumberFormat="1" applyFont="1" applyFill="1" applyAlignment="1">
      <alignment vertical="center"/>
    </xf>
    <xf numFmtId="165" fontId="6" fillId="0" borderId="0" xfId="1" applyNumberFormat="1" applyFont="1" applyFill="1" applyAlignment="1">
      <alignment horizontal="left"/>
    </xf>
    <xf numFmtId="165" fontId="6" fillId="0" borderId="0" xfId="1" applyNumberFormat="1" applyFont="1" applyFill="1" applyAlignment="1">
      <alignment horizontal="left" indent="3"/>
    </xf>
    <xf numFmtId="0" fontId="6" fillId="0" borderId="0" xfId="0" applyFont="1" applyFill="1" applyAlignment="1">
      <alignment horizontal="center" vertical="center"/>
    </xf>
    <xf numFmtId="0" fontId="6" fillId="0" borderId="3" xfId="0" applyFont="1" applyFill="1" applyBorder="1" applyAlignment="1">
      <alignment horizontal="right" vertical="center"/>
    </xf>
    <xf numFmtId="0" fontId="6" fillId="0" borderId="3" xfId="0" applyFont="1" applyFill="1" applyBorder="1" applyAlignment="1">
      <alignment horizontal="right"/>
    </xf>
    <xf numFmtId="165" fontId="1" fillId="0" borderId="0" xfId="4" applyNumberFormat="1" applyFont="1" applyFill="1" applyBorder="1"/>
    <xf numFmtId="165" fontId="1" fillId="0" borderId="0" xfId="1" applyNumberFormat="1" applyFont="1" applyFill="1" applyAlignment="1">
      <alignment horizontal="left" indent="3"/>
    </xf>
    <xf numFmtId="0" fontId="5" fillId="0" borderId="0" xfId="0" applyFont="1" applyFill="1" applyAlignment="1">
      <alignment horizontal="center" vertical="center"/>
    </xf>
    <xf numFmtId="0" fontId="1" fillId="0" borderId="0" xfId="0" applyFont="1" applyFill="1"/>
    <xf numFmtId="0" fontId="1" fillId="0" borderId="0" xfId="0" applyFont="1" applyFill="1" applyAlignment="1">
      <alignment horizontal="right"/>
    </xf>
    <xf numFmtId="0" fontId="7" fillId="0" borderId="0" xfId="0" applyFont="1" applyFill="1" applyAlignment="1">
      <alignment vertical="center"/>
    </xf>
    <xf numFmtId="4" fontId="6" fillId="0" borderId="0" xfId="1" applyNumberFormat="1" applyFont="1" applyFill="1" applyAlignment="1">
      <alignment vertical="center"/>
    </xf>
    <xf numFmtId="4" fontId="6" fillId="0" borderId="0" xfId="1" applyNumberFormat="1" applyFont="1" applyFill="1" applyAlignment="1">
      <alignment horizontal="right"/>
    </xf>
    <xf numFmtId="165" fontId="5" fillId="0" borderId="3" xfId="1" applyNumberFormat="1" applyFont="1" applyFill="1" applyBorder="1" applyAlignment="1">
      <alignment horizontal="center" vertical="center" wrapText="1"/>
    </xf>
    <xf numFmtId="3" fontId="6" fillId="0" borderId="0" xfId="1" applyNumberFormat="1" applyFont="1" applyFill="1" applyAlignment="1">
      <alignment horizontal="center" vertical="center"/>
    </xf>
    <xf numFmtId="3" fontId="6" fillId="0" borderId="0" xfId="1" applyNumberFormat="1" applyFont="1" applyFill="1" applyAlignment="1">
      <alignment horizontal="right" vertical="center"/>
    </xf>
    <xf numFmtId="3" fontId="6" fillId="0" borderId="0" xfId="1" applyNumberFormat="1" applyFont="1" applyFill="1" applyAlignment="1">
      <alignment horizontal="right"/>
    </xf>
    <xf numFmtId="4" fontId="6" fillId="0" borderId="0" xfId="0" applyNumberFormat="1" applyFont="1" applyFill="1" applyAlignment="1">
      <alignment horizontal="right"/>
    </xf>
    <xf numFmtId="3" fontId="6" fillId="0" borderId="0" xfId="1" applyNumberFormat="1" applyFont="1" applyFill="1" applyAlignment="1">
      <alignment horizontal="center"/>
    </xf>
    <xf numFmtId="3" fontId="6" fillId="0" borderId="0" xfId="0" applyNumberFormat="1" applyFont="1" applyFill="1" applyAlignment="1">
      <alignment horizontal="center"/>
    </xf>
    <xf numFmtId="3" fontId="6" fillId="0" borderId="0" xfId="0" applyNumberFormat="1" applyFont="1" applyFill="1" applyAlignment="1">
      <alignment horizontal="center" vertical="center"/>
    </xf>
    <xf numFmtId="4" fontId="6" fillId="0" borderId="0" xfId="0" applyNumberFormat="1" applyFont="1" applyFill="1" applyAlignment="1">
      <alignment horizontal="right" vertical="center"/>
    </xf>
    <xf numFmtId="3" fontId="6" fillId="0" borderId="0" xfId="0" applyNumberFormat="1" applyFont="1" applyFill="1" applyAlignment="1">
      <alignment horizontal="right" vertical="center"/>
    </xf>
    <xf numFmtId="4" fontId="6" fillId="0" borderId="0" xfId="1" applyNumberFormat="1" applyFont="1" applyFill="1" applyAlignment="1">
      <alignment horizontal="right" vertical="center"/>
    </xf>
    <xf numFmtId="164" fontId="6" fillId="0" borderId="0" xfId="1" applyFont="1" applyFill="1" applyAlignment="1">
      <alignment horizontal="right"/>
    </xf>
    <xf numFmtId="3" fontId="6" fillId="0" borderId="0" xfId="0" applyNumberFormat="1" applyFont="1" applyFill="1" applyAlignment="1">
      <alignment horizontal="center" vertical="center"/>
    </xf>
    <xf numFmtId="0" fontId="6" fillId="0" borderId="5" xfId="0" applyFont="1" applyFill="1" applyBorder="1" applyAlignment="1">
      <alignment horizontal="left" vertical="top" wrapText="1"/>
    </xf>
    <xf numFmtId="0" fontId="6" fillId="0" borderId="0" xfId="1" applyNumberFormat="1" applyFont="1" applyFill="1" applyAlignment="1">
      <alignment horizontal="left" vertical="top" wrapText="1"/>
    </xf>
    <xf numFmtId="4" fontId="6" fillId="0" borderId="0" xfId="1" applyNumberFormat="1" applyFont="1" applyFill="1" applyAlignment="1">
      <alignment horizontal="right"/>
    </xf>
    <xf numFmtId="4" fontId="6" fillId="0" borderId="0" xfId="0" applyNumberFormat="1" applyFont="1" applyFill="1" applyAlignment="1">
      <alignment horizontal="right"/>
    </xf>
    <xf numFmtId="165" fontId="5" fillId="0" borderId="1" xfId="1" applyNumberFormat="1" applyFont="1" applyFill="1" applyBorder="1" applyAlignment="1">
      <alignment horizontal="center" vertical="center"/>
    </xf>
    <xf numFmtId="165" fontId="5" fillId="0" borderId="3" xfId="1" applyNumberFormat="1" applyFont="1" applyFill="1" applyBorder="1" applyAlignment="1">
      <alignment horizontal="center" vertical="center"/>
    </xf>
    <xf numFmtId="165" fontId="5" fillId="0" borderId="1" xfId="1" applyNumberFormat="1" applyFont="1" applyFill="1" applyBorder="1" applyAlignment="1">
      <alignment horizontal="center" vertical="center" wrapText="1"/>
    </xf>
    <xf numFmtId="165" fontId="5" fillId="0" borderId="3" xfId="1" applyNumberFormat="1" applyFont="1" applyFill="1" applyBorder="1" applyAlignment="1">
      <alignment horizontal="center" vertical="center" wrapText="1"/>
    </xf>
    <xf numFmtId="3" fontId="6" fillId="0" borderId="0" xfId="1" applyNumberFormat="1" applyFont="1" applyFill="1" applyAlignment="1">
      <alignment horizontal="center" vertical="center"/>
    </xf>
    <xf numFmtId="3" fontId="6" fillId="0" borderId="0" xfId="1" applyNumberFormat="1" applyFont="1" applyFill="1" applyAlignment="1">
      <alignment horizontal="right" vertical="center"/>
    </xf>
    <xf numFmtId="3" fontId="6" fillId="0" borderId="0" xfId="1" applyNumberFormat="1" applyFont="1" applyFill="1" applyAlignment="1">
      <alignment horizontal="right"/>
    </xf>
    <xf numFmtId="165" fontId="5" fillId="0" borderId="2" xfId="1" applyNumberFormat="1" applyFont="1" applyFill="1" applyBorder="1" applyAlignment="1">
      <alignment horizontal="center" vertical="center"/>
    </xf>
    <xf numFmtId="3" fontId="6" fillId="0" borderId="0" xfId="1" applyNumberFormat="1" applyFont="1" applyFill="1" applyAlignment="1">
      <alignment horizontal="center"/>
    </xf>
    <xf numFmtId="3" fontId="6" fillId="0" borderId="0" xfId="0" applyNumberFormat="1" applyFont="1" applyFill="1" applyAlignment="1">
      <alignment horizontal="center"/>
    </xf>
    <xf numFmtId="3" fontId="6" fillId="0" borderId="0" xfId="0" applyNumberFormat="1" applyFont="1" applyFill="1" applyAlignment="1">
      <alignment horizontal="center" vertical="center"/>
    </xf>
    <xf numFmtId="4" fontId="6" fillId="0" borderId="0" xfId="0" applyNumberFormat="1" applyFont="1" applyFill="1" applyAlignment="1">
      <alignment horizontal="right" vertical="center"/>
    </xf>
    <xf numFmtId="3" fontId="6" fillId="0" borderId="0" xfId="0" applyNumberFormat="1" applyFont="1" applyFill="1" applyAlignment="1">
      <alignment horizontal="right" vertical="center"/>
    </xf>
    <xf numFmtId="4" fontId="6" fillId="0" borderId="0" xfId="1" applyNumberFormat="1" applyFont="1" applyFill="1" applyAlignment="1">
      <alignment horizontal="right" vertical="center"/>
    </xf>
  </cellXfs>
  <cellStyles count="19">
    <cellStyle name="Hipervínculo" xfId="2" builtinId="8" hidden="1"/>
    <cellStyle name="Hipervínculo" xfId="5" builtinId="8" hidden="1"/>
    <cellStyle name="Hipervínculo" xfId="7" builtinId="8" hidden="1"/>
    <cellStyle name="Hipervínculo" xfId="9" builtinId="8" hidden="1"/>
    <cellStyle name="Hipervínculo" xfId="11" builtinId="8" hidden="1"/>
    <cellStyle name="Hipervínculo" xfId="13" builtinId="8" hidden="1"/>
    <cellStyle name="Hipervínculo" xfId="15" builtinId="8" hidden="1"/>
    <cellStyle name="Hipervínculo" xfId="17" builtinId="8" hidden="1"/>
    <cellStyle name="Hipervínculo visitado" xfId="3" builtinId="9" hidden="1"/>
    <cellStyle name="Hipervínculo visitado" xfId="6" builtinId="9" hidden="1"/>
    <cellStyle name="Hipervínculo visitado" xfId="8" builtinId="9" hidden="1"/>
    <cellStyle name="Hipervínculo visitado" xfId="10" builtinId="9" hidden="1"/>
    <cellStyle name="Hipervínculo visitado" xfId="12" builtinId="9" hidden="1"/>
    <cellStyle name="Hipervínculo visitado" xfId="14" builtinId="9" hidden="1"/>
    <cellStyle name="Hipervínculo visitado" xfId="16" builtinId="9" hidden="1"/>
    <cellStyle name="Hipervínculo visitado" xfId="18" builtinId="9" hidden="1"/>
    <cellStyle name="Millares" xfId="1" builtinId="3"/>
    <cellStyle name="Millares 2 2" xfId="4" xr:uid="{00000000-0005-0000-0000-000011000000}"/>
    <cellStyle name="Normal" xfId="0" builtinId="0"/>
  </cellStyles>
  <dxfs count="0"/>
  <tableStyles count="0" defaultTableStyle="TableStyleMedium2" defaultPivotStyle="PivotStyleLight16"/>
  <colors>
    <mruColors>
      <color rgb="FFC1C5C8"/>
      <color rgb="FF0035A0"/>
      <color rgb="FF192952"/>
      <color rgb="FF000000"/>
      <color rgb="FFFF00FF"/>
      <color rgb="FF102D7C"/>
      <color rgb="FFA2BFE6"/>
      <color rgb="FF4071B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tx1"/>
                </a:solidFill>
                <a:latin typeface="Palatino Linotype" panose="02040502050505030304" pitchFamily="18" charset="0"/>
                <a:ea typeface="+mn-ea"/>
                <a:cs typeface="+mn-cs"/>
              </a:defRPr>
            </a:pPr>
            <a:r>
              <a:rPr lang="es-CR" sz="1800"/>
              <a:t>IMAS: Indicadores de Cobertura 2024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tx1"/>
              </a:solidFill>
              <a:latin typeface="Palatino Linotype" panose="02040502050505030304" pitchFamily="18" charset="0"/>
              <a:ea typeface="+mn-ea"/>
              <a:cs typeface="+mn-cs"/>
            </a:defRPr>
          </a:pPr>
          <a:endParaRPr lang="es-CR"/>
        </a:p>
      </c:txPr>
    </c:title>
    <c:autoTitleDeleted val="0"/>
    <c:view3D>
      <c:rotX val="0"/>
      <c:rotY val="0"/>
      <c:rAngAx val="0"/>
      <c:perspective val="2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Anual!$A$47</c:f>
              <c:strCache>
                <c:ptCount val="1"/>
                <c:pt idx="0">
                  <c:v> Cobertura Programada </c:v>
                </c:pt>
              </c:strCache>
            </c:strRef>
          </c:tx>
          <c:spPr>
            <a:solidFill>
              <a:srgbClr val="192952"/>
            </a:solidFill>
            <a:ln>
              <a:solidFill>
                <a:srgbClr val="192952"/>
              </a:solidFill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  <a:contourClr>
                <a:srgbClr val="192952"/>
              </a:contourClr>
            </a:sp3d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549-4519-AFF7-3B4FF924BC4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Palatino Linotype" panose="02040502050505030304" pitchFamily="18" charset="0"/>
                    <a:ea typeface="+mn-ea"/>
                    <a:cs typeface="+mn-cs"/>
                  </a:defRPr>
                </a:pPr>
                <a:endParaRPr lang="es-C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(Anual!$B$9,Anual!$C$10,Anual!$E$10,Anual!$F$10)</c:f>
              <c:strCache>
                <c:ptCount val="4"/>
                <c:pt idx="0">
                  <c:v> Programa de Protección y Promoción Social </c:v>
                </c:pt>
                <c:pt idx="1">
                  <c:v> Avancemos </c:v>
                </c:pt>
                <c:pt idx="2">
                  <c:v> Asignación Familiar </c:v>
                </c:pt>
                <c:pt idx="3">
                  <c:v> Seguridad Alimentaria </c:v>
                </c:pt>
              </c:strCache>
            </c:strRef>
          </c:cat>
          <c:val>
            <c:numRef>
              <c:f>(Anual!$B$47,Anual!$C$47,Anual!$E$47,Anual!$F$47)</c:f>
              <c:numCache>
                <c:formatCode>#,##0.00</c:formatCode>
                <c:ptCount val="4"/>
                <c:pt idx="0">
                  <c:v>0</c:v>
                </c:pt>
                <c:pt idx="1">
                  <c:v>138.63810952189343</c:v>
                </c:pt>
                <c:pt idx="2">
                  <c:v>1.0432088923308203</c:v>
                </c:pt>
                <c:pt idx="3">
                  <c:v>7.5246349010607556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DC-4DD0-A8A5-86DE66536A7A}"/>
            </c:ext>
          </c:extLst>
        </c:ser>
        <c:ser>
          <c:idx val="1"/>
          <c:order val="1"/>
          <c:tx>
            <c:strRef>
              <c:f>Anual!$A$48</c:f>
              <c:strCache>
                <c:ptCount val="1"/>
                <c:pt idx="0">
                  <c:v> Cobertura Efectiva </c:v>
                </c:pt>
              </c:strCache>
            </c:strRef>
          </c:tx>
          <c:spPr>
            <a:solidFill>
              <a:srgbClr val="0035A0"/>
            </a:solidFill>
            <a:ln>
              <a:solidFill>
                <a:srgbClr val="0035A0"/>
              </a:solidFill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  <a:contourClr>
                <a:srgbClr val="0035A0"/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Palatino Linotype" panose="02040502050505030304" pitchFamily="18" charset="0"/>
                    <a:ea typeface="+mn-ea"/>
                    <a:cs typeface="+mn-cs"/>
                  </a:defRPr>
                </a:pPr>
                <a:endParaRPr lang="es-C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(Anual!$B$9,Anual!$C$10,Anual!$E$10,Anual!$F$10)</c:f>
              <c:strCache>
                <c:ptCount val="4"/>
                <c:pt idx="0">
                  <c:v> Programa de Protección y Promoción Social </c:v>
                </c:pt>
                <c:pt idx="1">
                  <c:v> Avancemos </c:v>
                </c:pt>
                <c:pt idx="2">
                  <c:v> Asignación Familiar </c:v>
                </c:pt>
                <c:pt idx="3">
                  <c:v> Seguridad Alimentaria </c:v>
                </c:pt>
              </c:strCache>
            </c:strRef>
          </c:cat>
          <c:val>
            <c:numRef>
              <c:f>(Anual!$B$48,Anual!$C$48,Anual!$E$48,Anual!$F$48)</c:f>
              <c:numCache>
                <c:formatCode>#,##0.00</c:formatCode>
                <c:ptCount val="4"/>
                <c:pt idx="0">
                  <c:v>91.165523722678671</c:v>
                </c:pt>
                <c:pt idx="1">
                  <c:v>189.79466169172429</c:v>
                </c:pt>
                <c:pt idx="2">
                  <c:v>1.1927810552050353</c:v>
                </c:pt>
                <c:pt idx="3">
                  <c:v>16.273307528060379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5DC-4DD0-A8A5-86DE66536A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shape val="box"/>
        <c:axId val="114993936"/>
        <c:axId val="114994328"/>
        <c:axId val="0"/>
      </c:bar3DChart>
      <c:catAx>
        <c:axId val="114993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Palatino Linotype" panose="02040502050505030304" pitchFamily="18" charset="0"/>
                <a:ea typeface="+mn-ea"/>
                <a:cs typeface="+mn-cs"/>
              </a:defRPr>
            </a:pPr>
            <a:endParaRPr lang="es-CR"/>
          </a:p>
        </c:txPr>
        <c:crossAx val="114994328"/>
        <c:crosses val="autoZero"/>
        <c:auto val="1"/>
        <c:lblAlgn val="ctr"/>
        <c:lblOffset val="100"/>
        <c:noMultiLvlLbl val="0"/>
      </c:catAx>
      <c:valAx>
        <c:axId val="114994328"/>
        <c:scaling>
          <c:orientation val="minMax"/>
          <c:max val="3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Palatino Linotype" panose="02040502050505030304" pitchFamily="18" charset="0"/>
                <a:ea typeface="+mn-ea"/>
                <a:cs typeface="+mn-cs"/>
              </a:defRPr>
            </a:pPr>
            <a:endParaRPr lang="es-CR"/>
          </a:p>
        </c:txPr>
        <c:crossAx val="114993936"/>
        <c:crosses val="autoZero"/>
        <c:crossBetween val="between"/>
        <c:majorUnit val="1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Palatino Linotype" panose="02040502050505030304" pitchFamily="18" charset="0"/>
              <a:ea typeface="+mn-ea"/>
              <a:cs typeface="+mn-cs"/>
            </a:defRPr>
          </a:pPr>
          <a:endParaRPr lang="es-C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>
          <a:lumMod val="85000"/>
        </a:schemeClr>
      </a:solidFill>
      <a:round/>
    </a:ln>
    <a:effectLst/>
  </c:spPr>
  <c:txPr>
    <a:bodyPr/>
    <a:lstStyle/>
    <a:p>
      <a:pPr>
        <a:defRPr sz="1000">
          <a:solidFill>
            <a:schemeClr val="tx1"/>
          </a:solidFill>
          <a:latin typeface="Palatino Linotype" panose="02040502050505030304" pitchFamily="18" charset="0"/>
        </a:defRPr>
      </a:pPr>
      <a:endParaRPr lang="es-C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tx1"/>
                </a:solidFill>
                <a:latin typeface="Palatino Linotype" panose="02040502050505030304" pitchFamily="18" charset="0"/>
                <a:ea typeface="+mn-ea"/>
                <a:cs typeface="+mn-cs"/>
              </a:defRPr>
            </a:pPr>
            <a:r>
              <a:rPr lang="es-CR" sz="1800"/>
              <a:t>IMAS: Indicadores de resultado 2024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tx1"/>
              </a:solidFill>
              <a:latin typeface="Palatino Linotype" panose="02040502050505030304" pitchFamily="18" charset="0"/>
              <a:ea typeface="+mn-ea"/>
              <a:cs typeface="+mn-cs"/>
            </a:defRPr>
          </a:pPr>
          <a:endParaRPr lang="es-CR"/>
        </a:p>
      </c:txPr>
    </c:title>
    <c:autoTitleDeleted val="0"/>
    <c:view3D>
      <c:rotX val="0"/>
      <c:rotY val="0"/>
      <c:rAngAx val="0"/>
      <c:perspective val="2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Anual!$A$51</c:f>
              <c:strCache>
                <c:ptCount val="1"/>
                <c:pt idx="0">
                  <c:v> Índice efectividad en beneficiarios (IEB) </c:v>
                </c:pt>
              </c:strCache>
            </c:strRef>
          </c:tx>
          <c:spPr>
            <a:solidFill>
              <a:srgbClr val="192952"/>
            </a:solidFill>
            <a:ln>
              <a:solidFill>
                <a:srgbClr val="192952"/>
              </a:solidFill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  <a:contourClr>
                <a:srgbClr val="192952"/>
              </a:contourClr>
            </a:sp3d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919-4C64-BE7A-FCD8FC09B6E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Palatino Linotype" panose="02040502050505030304" pitchFamily="18" charset="0"/>
                    <a:ea typeface="+mn-ea"/>
                    <a:cs typeface="+mn-cs"/>
                  </a:defRPr>
                </a:pPr>
                <a:endParaRPr lang="es-C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(Anual!$B$9,Anual!$C$10,Anual!$E$10,Anual!$F$10,Anual!$G$10,Anual!$H$10,Anual!$I$10)</c:f>
              <c:strCache>
                <c:ptCount val="7"/>
                <c:pt idx="0">
                  <c:v> Programa de Protección y Promoción Social </c:v>
                </c:pt>
                <c:pt idx="1">
                  <c:v> Avancemos </c:v>
                </c:pt>
                <c:pt idx="2">
                  <c:v> Asignación Familiar </c:v>
                </c:pt>
                <c:pt idx="3">
                  <c:v> Seguridad Alimentaria </c:v>
                </c:pt>
                <c:pt idx="4">
                  <c:v> Protección Familiar  </c:v>
                </c:pt>
                <c:pt idx="5">
                  <c:v> Cuidado y Desarrollo Infantil  </c:v>
                </c:pt>
                <c:pt idx="6">
                  <c:v> Prestación Alimentaria  </c:v>
                </c:pt>
              </c:strCache>
            </c:strRef>
          </c:cat>
          <c:val>
            <c:numRef>
              <c:f>(Anual!$B$51,Anual!$D$51,Anual!$E$51,Anual!$F$51,Anual!$G$51,Anual!$H$51,Anual!$I$51)</c:f>
              <c:numCache>
                <c:formatCode>#,##0.00</c:formatCode>
                <c:ptCount val="7"/>
                <c:pt idx="0">
                  <c:v>0</c:v>
                </c:pt>
                <c:pt idx="1">
                  <c:v>136.89934343900757</c:v>
                </c:pt>
                <c:pt idx="2">
                  <c:v>114.33770014556042</c:v>
                </c:pt>
                <c:pt idx="3">
                  <c:v>216.26707132018211</c:v>
                </c:pt>
                <c:pt idx="4">
                  <c:v>126.18037759365124</c:v>
                </c:pt>
                <c:pt idx="5">
                  <c:v>150.778038755138</c:v>
                </c:pt>
                <c:pt idx="6">
                  <c:v>180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88-41ED-A7CD-19270DCAF9EE}"/>
            </c:ext>
          </c:extLst>
        </c:ser>
        <c:ser>
          <c:idx val="1"/>
          <c:order val="1"/>
          <c:tx>
            <c:strRef>
              <c:f>Anual!$A$52</c:f>
              <c:strCache>
                <c:ptCount val="1"/>
                <c:pt idx="0">
                  <c:v> Índice efectividad en gasto (IEG)  </c:v>
                </c:pt>
              </c:strCache>
            </c:strRef>
          </c:tx>
          <c:spPr>
            <a:solidFill>
              <a:srgbClr val="0035A0"/>
            </a:solidFill>
            <a:ln>
              <a:solidFill>
                <a:srgbClr val="0035A0"/>
              </a:solidFill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  <a:contourClr>
                <a:srgbClr val="0035A0"/>
              </a:contourClr>
            </a:sp3d>
          </c:spPr>
          <c:invertIfNegative val="0"/>
          <c:dLbls>
            <c:dLbl>
              <c:idx val="1"/>
              <c:layout>
                <c:manualLayout>
                  <c:x val="3.9015986109079618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193-4747-9D99-82CD283A9D8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Palatino Linotype" panose="02040502050505030304" pitchFamily="18" charset="0"/>
                    <a:ea typeface="+mn-ea"/>
                    <a:cs typeface="+mn-cs"/>
                  </a:defRPr>
                </a:pPr>
                <a:endParaRPr lang="es-C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(Anual!$B$9,Anual!$C$10,Anual!$E$10,Anual!$F$10,Anual!$G$10,Anual!$H$10,Anual!$I$10)</c:f>
              <c:strCache>
                <c:ptCount val="7"/>
                <c:pt idx="0">
                  <c:v> Programa de Protección y Promoción Social </c:v>
                </c:pt>
                <c:pt idx="1">
                  <c:v> Avancemos </c:v>
                </c:pt>
                <c:pt idx="2">
                  <c:v> Asignación Familiar </c:v>
                </c:pt>
                <c:pt idx="3">
                  <c:v> Seguridad Alimentaria </c:v>
                </c:pt>
                <c:pt idx="4">
                  <c:v> Protección Familiar  </c:v>
                </c:pt>
                <c:pt idx="5">
                  <c:v> Cuidado y Desarrollo Infantil  </c:v>
                </c:pt>
                <c:pt idx="6">
                  <c:v> Prestación Alimentaria  </c:v>
                </c:pt>
              </c:strCache>
            </c:strRef>
          </c:cat>
          <c:val>
            <c:numRef>
              <c:f>(Anual!$B$52,Anual!$D$52,Anual!$E$52,Anual!$F$52,Anual!$G$52,Anual!$H$52,Anual!$I$52)</c:f>
              <c:numCache>
                <c:formatCode>#,##0.00</c:formatCode>
                <c:ptCount val="7"/>
                <c:pt idx="0">
                  <c:v>95.538020836151148</c:v>
                </c:pt>
                <c:pt idx="1">
                  <c:v>90.69752205821176</c:v>
                </c:pt>
                <c:pt idx="2">
                  <c:v>99.140240203809299</c:v>
                </c:pt>
                <c:pt idx="3">
                  <c:v>99.602972450919637</c:v>
                </c:pt>
                <c:pt idx="4">
                  <c:v>98.67810745813064</c:v>
                </c:pt>
                <c:pt idx="5">
                  <c:v>99.466403172636873</c:v>
                </c:pt>
                <c:pt idx="6">
                  <c:v>71.044140388862161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888-41ED-A7CD-19270DCAF9EE}"/>
            </c:ext>
          </c:extLst>
        </c:ser>
        <c:ser>
          <c:idx val="2"/>
          <c:order val="2"/>
          <c:tx>
            <c:strRef>
              <c:f>Anual!$A$53</c:f>
              <c:strCache>
                <c:ptCount val="1"/>
                <c:pt idx="0">
                  <c:v> Índice efectividad total (IET) </c:v>
                </c:pt>
              </c:strCache>
            </c:strRef>
          </c:tx>
          <c:spPr>
            <a:solidFill>
              <a:srgbClr val="C1C5C8"/>
            </a:solidFill>
            <a:ln>
              <a:solidFill>
                <a:srgbClr val="C1C5C8"/>
              </a:solidFill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  <a:contourClr>
                <a:srgbClr val="C1C5C8"/>
              </a:contourClr>
            </a:sp3d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919-4C64-BE7A-FCD8FC09B6E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Palatino Linotype" panose="02040502050505030304" pitchFamily="18" charset="0"/>
                    <a:ea typeface="+mn-ea"/>
                    <a:cs typeface="+mn-cs"/>
                  </a:defRPr>
                </a:pPr>
                <a:endParaRPr lang="es-C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(Anual!$B$9,Anual!$C$10,Anual!$E$10,Anual!$F$10,Anual!$G$10,Anual!$H$10,Anual!$I$10)</c:f>
              <c:strCache>
                <c:ptCount val="7"/>
                <c:pt idx="0">
                  <c:v> Programa de Protección y Promoción Social </c:v>
                </c:pt>
                <c:pt idx="1">
                  <c:v> Avancemos </c:v>
                </c:pt>
                <c:pt idx="2">
                  <c:v> Asignación Familiar </c:v>
                </c:pt>
                <c:pt idx="3">
                  <c:v> Seguridad Alimentaria </c:v>
                </c:pt>
                <c:pt idx="4">
                  <c:v> Protección Familiar  </c:v>
                </c:pt>
                <c:pt idx="5">
                  <c:v> Cuidado y Desarrollo Infantil  </c:v>
                </c:pt>
                <c:pt idx="6">
                  <c:v> Prestación Alimentaria  </c:v>
                </c:pt>
              </c:strCache>
            </c:strRef>
          </c:cat>
          <c:val>
            <c:numRef>
              <c:f>(Anual!$B$53,Anual!$D$53,Anual!$E$53,Anual!$F$53,Anual!$G$53,Anual!$H$53,Anual!$I$53)</c:f>
              <c:numCache>
                <c:formatCode>#,##0.00</c:formatCode>
                <c:ptCount val="7"/>
                <c:pt idx="0">
                  <c:v>0</c:v>
                </c:pt>
                <c:pt idx="1">
                  <c:v>113.79843274860966</c:v>
                </c:pt>
                <c:pt idx="2">
                  <c:v>106.73897017468485</c:v>
                </c:pt>
                <c:pt idx="3">
                  <c:v>157.93502188555087</c:v>
                </c:pt>
                <c:pt idx="4">
                  <c:v>112.42924252589094</c:v>
                </c:pt>
                <c:pt idx="5">
                  <c:v>125.12222096388743</c:v>
                </c:pt>
                <c:pt idx="6">
                  <c:v>125.52207019443108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888-41ED-A7CD-19270DCAF9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shape val="box"/>
        <c:axId val="114995112"/>
        <c:axId val="114995504"/>
        <c:axId val="0"/>
      </c:bar3DChart>
      <c:catAx>
        <c:axId val="1149951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Palatino Linotype" panose="02040502050505030304" pitchFamily="18" charset="0"/>
                <a:ea typeface="+mn-ea"/>
                <a:cs typeface="+mn-cs"/>
              </a:defRPr>
            </a:pPr>
            <a:endParaRPr lang="es-CR"/>
          </a:p>
        </c:txPr>
        <c:crossAx val="114995504"/>
        <c:crosses val="autoZero"/>
        <c:auto val="1"/>
        <c:lblAlgn val="ctr"/>
        <c:lblOffset val="100"/>
        <c:noMultiLvlLbl val="0"/>
      </c:catAx>
      <c:valAx>
        <c:axId val="114995504"/>
        <c:scaling>
          <c:orientation val="minMax"/>
          <c:max val="3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Palatino Linotype" panose="02040502050505030304" pitchFamily="18" charset="0"/>
                <a:ea typeface="+mn-ea"/>
                <a:cs typeface="+mn-cs"/>
              </a:defRPr>
            </a:pPr>
            <a:endParaRPr lang="es-CR"/>
          </a:p>
        </c:txPr>
        <c:crossAx val="114995112"/>
        <c:crosses val="autoZero"/>
        <c:crossBetween val="between"/>
        <c:majorUnit val="1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Palatino Linotype" panose="02040502050505030304" pitchFamily="18" charset="0"/>
              <a:ea typeface="+mn-ea"/>
              <a:cs typeface="+mn-cs"/>
            </a:defRPr>
          </a:pPr>
          <a:endParaRPr lang="es-C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>
          <a:lumMod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  <a:latin typeface="Palatino Linotype" panose="02040502050505030304" pitchFamily="18" charset="0"/>
        </a:defRPr>
      </a:pPr>
      <a:endParaRPr lang="es-C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tx1"/>
                </a:solidFill>
                <a:latin typeface="Palatino Linotype" panose="02040502050505030304" pitchFamily="18" charset="0"/>
                <a:ea typeface="+mn-ea"/>
                <a:cs typeface="+mn-cs"/>
              </a:defRPr>
            </a:pPr>
            <a:r>
              <a:rPr lang="es-CR" sz="1800"/>
              <a:t>IMAS: Indicadores de avance 2024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tx1"/>
              </a:solidFill>
              <a:latin typeface="Palatino Linotype" panose="02040502050505030304" pitchFamily="18" charset="0"/>
              <a:ea typeface="+mn-ea"/>
              <a:cs typeface="+mn-cs"/>
            </a:defRPr>
          </a:pPr>
          <a:endParaRPr lang="es-CR"/>
        </a:p>
      </c:txPr>
    </c:title>
    <c:autoTitleDeleted val="0"/>
    <c:view3D>
      <c:rotX val="0"/>
      <c:rotY val="0"/>
      <c:rAngAx val="0"/>
      <c:perspective val="2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Anual!$A$56</c:f>
              <c:strCache>
                <c:ptCount val="1"/>
                <c:pt idx="0">
                  <c:v> Índice avance beneficiarios (IAB)  </c:v>
                </c:pt>
              </c:strCache>
            </c:strRef>
          </c:tx>
          <c:spPr>
            <a:solidFill>
              <a:srgbClr val="192952"/>
            </a:solidFill>
            <a:ln>
              <a:solidFill>
                <a:srgbClr val="192952"/>
              </a:solidFill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  <a:contourClr>
                <a:srgbClr val="192952"/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Palatino Linotype" panose="02040502050505030304" pitchFamily="18" charset="0"/>
                    <a:ea typeface="+mn-ea"/>
                    <a:cs typeface="+mn-cs"/>
                  </a:defRPr>
                </a:pPr>
                <a:endParaRPr lang="es-C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(Anual!$B$9,Anual!$C$10,Anual!$E$10,Anual!$F$10,Anual!$G$10,Anual!$H$10,Anual!$I$10)</c:f>
              <c:strCache>
                <c:ptCount val="7"/>
                <c:pt idx="0">
                  <c:v> Programa de Protección y Promoción Social </c:v>
                </c:pt>
                <c:pt idx="1">
                  <c:v> Avancemos </c:v>
                </c:pt>
                <c:pt idx="2">
                  <c:v> Asignación Familiar </c:v>
                </c:pt>
                <c:pt idx="3">
                  <c:v> Seguridad Alimentaria </c:v>
                </c:pt>
                <c:pt idx="4">
                  <c:v> Protección Familiar  </c:v>
                </c:pt>
                <c:pt idx="5">
                  <c:v> Cuidado y Desarrollo Infantil  </c:v>
                </c:pt>
                <c:pt idx="6">
                  <c:v> Prestación Alimentaria  </c:v>
                </c:pt>
              </c:strCache>
            </c:strRef>
          </c:cat>
          <c:val>
            <c:numRef>
              <c:f>(Anual!$B$56,Anual!$C$56,Anual!$E$56,Anual!$F$56,Anual!$G$56,Anual!$H$56,Anual!$I$56)</c:f>
              <c:numCache>
                <c:formatCode>#,##0.00</c:formatCode>
                <c:ptCount val="7"/>
                <c:pt idx="0">
                  <c:v>0</c:v>
                </c:pt>
                <c:pt idx="1">
                  <c:v>136.89934343900757</c:v>
                </c:pt>
                <c:pt idx="2">
                  <c:v>114.33770014556042</c:v>
                </c:pt>
                <c:pt idx="3">
                  <c:v>216.26707132018211</c:v>
                </c:pt>
                <c:pt idx="4">
                  <c:v>126.18037759365124</c:v>
                </c:pt>
                <c:pt idx="5">
                  <c:v>150.778038755138</c:v>
                </c:pt>
                <c:pt idx="6">
                  <c:v>180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6B-4459-B5EF-38E5794C6196}"/>
            </c:ext>
          </c:extLst>
        </c:ser>
        <c:ser>
          <c:idx val="1"/>
          <c:order val="1"/>
          <c:tx>
            <c:strRef>
              <c:f>Anual!$A$57</c:f>
              <c:strCache>
                <c:ptCount val="1"/>
                <c:pt idx="0">
                  <c:v> Índice avance gasto (IAG) </c:v>
                </c:pt>
              </c:strCache>
            </c:strRef>
          </c:tx>
          <c:spPr>
            <a:solidFill>
              <a:srgbClr val="0035A0"/>
            </a:solidFill>
            <a:ln>
              <a:solidFill>
                <a:srgbClr val="0035A0"/>
              </a:solidFill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  <a:contourClr>
                <a:srgbClr val="0035A0"/>
              </a:contourClr>
            </a:sp3d>
          </c:spPr>
          <c:invertIfNegative val="0"/>
          <c:dLbls>
            <c:dLbl>
              <c:idx val="1"/>
              <c:layout>
                <c:manualLayout>
                  <c:x val="0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3F0-427B-9CD7-B97CAFDC15D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Palatino Linotype" panose="02040502050505030304" pitchFamily="18" charset="0"/>
                    <a:ea typeface="+mn-ea"/>
                    <a:cs typeface="+mn-cs"/>
                  </a:defRPr>
                </a:pPr>
                <a:endParaRPr lang="es-C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(Anual!$B$9,Anual!$C$10,Anual!$E$10,Anual!$F$10,Anual!$G$10,Anual!$H$10,Anual!$I$10)</c:f>
              <c:strCache>
                <c:ptCount val="7"/>
                <c:pt idx="0">
                  <c:v> Programa de Protección y Promoción Social </c:v>
                </c:pt>
                <c:pt idx="1">
                  <c:v> Avancemos </c:v>
                </c:pt>
                <c:pt idx="2">
                  <c:v> Asignación Familiar </c:v>
                </c:pt>
                <c:pt idx="3">
                  <c:v> Seguridad Alimentaria </c:v>
                </c:pt>
                <c:pt idx="4">
                  <c:v> Protección Familiar  </c:v>
                </c:pt>
                <c:pt idx="5">
                  <c:v> Cuidado y Desarrollo Infantil  </c:v>
                </c:pt>
                <c:pt idx="6">
                  <c:v> Prestación Alimentaria  </c:v>
                </c:pt>
              </c:strCache>
            </c:strRef>
          </c:cat>
          <c:val>
            <c:numRef>
              <c:f>(Anual!$B$57,Anual!$C$57,Anual!$E$57,Anual!$F$57,Anual!$G$57,Anual!$H$57,Anual!$I$57)</c:f>
              <c:numCache>
                <c:formatCode>#,##0.00</c:formatCode>
                <c:ptCount val="7"/>
                <c:pt idx="0">
                  <c:v>95.538020836151148</c:v>
                </c:pt>
                <c:pt idx="1">
                  <c:v>90.69752205821176</c:v>
                </c:pt>
                <c:pt idx="2">
                  <c:v>99.140240203809299</c:v>
                </c:pt>
                <c:pt idx="3">
                  <c:v>99.602972450919637</c:v>
                </c:pt>
                <c:pt idx="4">
                  <c:v>98.67810745813064</c:v>
                </c:pt>
                <c:pt idx="5">
                  <c:v>99.466403172636873</c:v>
                </c:pt>
                <c:pt idx="6">
                  <c:v>71.044140388862161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B6B-4459-B5EF-38E5794C6196}"/>
            </c:ext>
          </c:extLst>
        </c:ser>
        <c:ser>
          <c:idx val="2"/>
          <c:order val="2"/>
          <c:tx>
            <c:strRef>
              <c:f>Anual!$A$58</c:f>
              <c:strCache>
                <c:ptCount val="1"/>
                <c:pt idx="0">
                  <c:v> Índice avance total (IAT)  </c:v>
                </c:pt>
              </c:strCache>
            </c:strRef>
          </c:tx>
          <c:spPr>
            <a:solidFill>
              <a:srgbClr val="C1C5C8"/>
            </a:solidFill>
            <a:ln>
              <a:solidFill>
                <a:srgbClr val="C1C5C8"/>
              </a:solidFill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  <a:contourClr>
                <a:srgbClr val="C1C5C8"/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Palatino Linotype" panose="02040502050505030304" pitchFamily="18" charset="0"/>
                    <a:ea typeface="+mn-ea"/>
                    <a:cs typeface="+mn-cs"/>
                  </a:defRPr>
                </a:pPr>
                <a:endParaRPr lang="es-C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(Anual!$B$9,Anual!$C$10,Anual!$E$10,Anual!$F$10,Anual!$G$10,Anual!$H$10,Anual!$I$10)</c:f>
              <c:strCache>
                <c:ptCount val="7"/>
                <c:pt idx="0">
                  <c:v> Programa de Protección y Promoción Social </c:v>
                </c:pt>
                <c:pt idx="1">
                  <c:v> Avancemos </c:v>
                </c:pt>
                <c:pt idx="2">
                  <c:v> Asignación Familiar </c:v>
                </c:pt>
                <c:pt idx="3">
                  <c:v> Seguridad Alimentaria </c:v>
                </c:pt>
                <c:pt idx="4">
                  <c:v> Protección Familiar  </c:v>
                </c:pt>
                <c:pt idx="5">
                  <c:v> Cuidado y Desarrollo Infantil  </c:v>
                </c:pt>
                <c:pt idx="6">
                  <c:v> Prestación Alimentaria  </c:v>
                </c:pt>
              </c:strCache>
            </c:strRef>
          </c:cat>
          <c:val>
            <c:numRef>
              <c:f>(Anual!$B$58,Anual!$C$58,Anual!$E$58,Anual!$F$58,Anual!$G$58,Anual!$H$58,Anual!$I$58)</c:f>
              <c:numCache>
                <c:formatCode>#,##0.00</c:formatCode>
                <c:ptCount val="7"/>
                <c:pt idx="0">
                  <c:v>0</c:v>
                </c:pt>
                <c:pt idx="1">
                  <c:v>113.79843274860966</c:v>
                </c:pt>
                <c:pt idx="2">
                  <c:v>106.73897017468485</c:v>
                </c:pt>
                <c:pt idx="3">
                  <c:v>157.93502188555087</c:v>
                </c:pt>
                <c:pt idx="4">
                  <c:v>112.42924252589094</c:v>
                </c:pt>
                <c:pt idx="5">
                  <c:v>125.12222096388743</c:v>
                </c:pt>
                <c:pt idx="6">
                  <c:v>125.52207019443108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B6B-4459-B5EF-38E5794C61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shape val="box"/>
        <c:axId val="114996288"/>
        <c:axId val="387613528"/>
        <c:axId val="0"/>
      </c:bar3DChart>
      <c:catAx>
        <c:axId val="1149962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Palatino Linotype" panose="02040502050505030304" pitchFamily="18" charset="0"/>
                <a:ea typeface="+mn-ea"/>
                <a:cs typeface="+mn-cs"/>
              </a:defRPr>
            </a:pPr>
            <a:endParaRPr lang="es-CR"/>
          </a:p>
        </c:txPr>
        <c:crossAx val="387613528"/>
        <c:crosses val="autoZero"/>
        <c:auto val="1"/>
        <c:lblAlgn val="ctr"/>
        <c:lblOffset val="100"/>
        <c:noMultiLvlLbl val="0"/>
      </c:catAx>
      <c:valAx>
        <c:axId val="387613528"/>
        <c:scaling>
          <c:orientation val="minMax"/>
          <c:max val="3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Palatino Linotype" panose="02040502050505030304" pitchFamily="18" charset="0"/>
                <a:ea typeface="+mn-ea"/>
                <a:cs typeface="+mn-cs"/>
              </a:defRPr>
            </a:pPr>
            <a:endParaRPr lang="es-CR"/>
          </a:p>
        </c:txPr>
        <c:crossAx val="114996288"/>
        <c:crosses val="autoZero"/>
        <c:crossBetween val="between"/>
        <c:majorUnit val="1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Palatino Linotype" panose="02040502050505030304" pitchFamily="18" charset="0"/>
              <a:ea typeface="+mn-ea"/>
              <a:cs typeface="+mn-cs"/>
            </a:defRPr>
          </a:pPr>
          <a:endParaRPr lang="es-C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>
          <a:lumMod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  <a:latin typeface="Palatino Linotype" panose="02040502050505030304" pitchFamily="18" charset="0"/>
        </a:defRPr>
      </a:pPr>
      <a:endParaRPr lang="es-C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tx1"/>
                </a:solidFill>
                <a:latin typeface="Palatino Linotype" panose="02040502050505030304" pitchFamily="18" charset="0"/>
                <a:ea typeface="+mn-ea"/>
                <a:cs typeface="+mn-cs"/>
              </a:defRPr>
            </a:pPr>
            <a:r>
              <a:rPr lang="es-CR" sz="1800"/>
              <a:t>IMAS: Indicadores de expansión 2024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tx1"/>
              </a:solidFill>
              <a:latin typeface="Palatino Linotype" panose="02040502050505030304" pitchFamily="18" charset="0"/>
              <a:ea typeface="+mn-ea"/>
              <a:cs typeface="+mn-cs"/>
            </a:defRPr>
          </a:pPr>
          <a:endParaRPr lang="es-CR"/>
        </a:p>
      </c:txPr>
    </c:title>
    <c:autoTitleDeleted val="0"/>
    <c:view3D>
      <c:rotX val="0"/>
      <c:rotY val="0"/>
      <c:rAngAx val="0"/>
      <c:perspective val="2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3.8894959061850462E-2"/>
          <c:y val="0.13815381143834801"/>
          <c:w val="0.94641878334350416"/>
          <c:h val="0.62043547668231036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Anual!$A$64</c:f>
              <c:strCache>
                <c:ptCount val="1"/>
                <c:pt idx="0">
                  <c:v> Índice de crecimiento beneficiarios (ICB)  </c:v>
                </c:pt>
              </c:strCache>
            </c:strRef>
          </c:tx>
          <c:spPr>
            <a:solidFill>
              <a:srgbClr val="192952"/>
            </a:solidFill>
            <a:ln>
              <a:solidFill>
                <a:srgbClr val="192952"/>
              </a:solidFill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  <a:contourClr>
                <a:srgbClr val="192952"/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Palatino Linotype" panose="02040502050505030304" pitchFamily="18" charset="0"/>
                    <a:ea typeface="+mn-ea"/>
                    <a:cs typeface="+mn-cs"/>
                  </a:defRPr>
                </a:pPr>
                <a:endParaRPr lang="es-C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(Anual!$B$9,Anual!$C$10,Anual!$E$10,Anual!$F$10,Anual!$G$10,Anual!$H$10)</c:f>
              <c:strCache>
                <c:ptCount val="6"/>
                <c:pt idx="0">
                  <c:v> Programa de Protección y Promoción Social </c:v>
                </c:pt>
                <c:pt idx="1">
                  <c:v> Avancemos </c:v>
                </c:pt>
                <c:pt idx="2">
                  <c:v> Asignación Familiar </c:v>
                </c:pt>
                <c:pt idx="3">
                  <c:v> Seguridad Alimentaria </c:v>
                </c:pt>
                <c:pt idx="4">
                  <c:v> Protección Familiar  </c:v>
                </c:pt>
                <c:pt idx="5">
                  <c:v> Cuidado y Desarrollo Infantil  </c:v>
                </c:pt>
              </c:strCache>
            </c:strRef>
          </c:cat>
          <c:val>
            <c:numRef>
              <c:f>(Anual!$B$64,Anual!$C$64,Anual!$E$64,Anual!$F$64,Anual!$G$64,Anual!$H$64)</c:f>
              <c:numCache>
                <c:formatCode>#,##0.00</c:formatCode>
                <c:ptCount val="6"/>
                <c:pt idx="0">
                  <c:v>45.05688926395581</c:v>
                </c:pt>
                <c:pt idx="1">
                  <c:v>12.615399085489386</c:v>
                </c:pt>
                <c:pt idx="2">
                  <c:v>7.6764907470870503</c:v>
                </c:pt>
                <c:pt idx="3">
                  <c:v>65.393988627132416</c:v>
                </c:pt>
                <c:pt idx="4">
                  <c:v>44.051862445462397</c:v>
                </c:pt>
                <c:pt idx="5">
                  <c:v>-1.0119506553585178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37-4AE3-8828-A9F9BA43A25A}"/>
            </c:ext>
          </c:extLst>
        </c:ser>
        <c:ser>
          <c:idx val="1"/>
          <c:order val="1"/>
          <c:tx>
            <c:strRef>
              <c:f>Anual!$A$65</c:f>
              <c:strCache>
                <c:ptCount val="1"/>
                <c:pt idx="0">
                  <c:v> Índice de crecimiento del gasto real (ICGR)  </c:v>
                </c:pt>
              </c:strCache>
            </c:strRef>
          </c:tx>
          <c:spPr>
            <a:solidFill>
              <a:srgbClr val="0035A0"/>
            </a:solidFill>
            <a:ln>
              <a:solidFill>
                <a:srgbClr val="0035A0"/>
              </a:solidFill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  <a:contourClr>
                <a:srgbClr val="0035A0"/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Palatino Linotype" panose="02040502050505030304" pitchFamily="18" charset="0"/>
                    <a:ea typeface="+mn-ea"/>
                    <a:cs typeface="+mn-cs"/>
                  </a:defRPr>
                </a:pPr>
                <a:endParaRPr lang="es-C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(Anual!$B$9,Anual!$C$10,Anual!$E$10,Anual!$F$10,Anual!$G$10,Anual!$H$10)</c:f>
              <c:strCache>
                <c:ptCount val="6"/>
                <c:pt idx="0">
                  <c:v> Programa de Protección y Promoción Social </c:v>
                </c:pt>
                <c:pt idx="1">
                  <c:v> Avancemos </c:v>
                </c:pt>
                <c:pt idx="2">
                  <c:v> Asignación Familiar </c:v>
                </c:pt>
                <c:pt idx="3">
                  <c:v> Seguridad Alimentaria </c:v>
                </c:pt>
                <c:pt idx="4">
                  <c:v> Protección Familiar  </c:v>
                </c:pt>
                <c:pt idx="5">
                  <c:v> Cuidado y Desarrollo Infantil  </c:v>
                </c:pt>
              </c:strCache>
            </c:strRef>
          </c:cat>
          <c:val>
            <c:numRef>
              <c:f>(Anual!$B$65,Anual!$C$65,Anual!$E$65,Anual!$F$65,Anual!$G$65,Anual!$H$65)</c:f>
              <c:numCache>
                <c:formatCode>#,##0.00</c:formatCode>
                <c:ptCount val="6"/>
                <c:pt idx="0">
                  <c:v>15.358438226075277</c:v>
                </c:pt>
                <c:pt idx="1">
                  <c:v>16.031216602226237</c:v>
                </c:pt>
                <c:pt idx="2">
                  <c:v>-0.2276665844079373</c:v>
                </c:pt>
                <c:pt idx="3">
                  <c:v>-13.711232696166398</c:v>
                </c:pt>
                <c:pt idx="4">
                  <c:v>21.948157187058982</c:v>
                </c:pt>
                <c:pt idx="5">
                  <c:v>3.7900590236982001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137-4AE3-8828-A9F9BA43A25A}"/>
            </c:ext>
          </c:extLst>
        </c:ser>
        <c:ser>
          <c:idx val="2"/>
          <c:order val="2"/>
          <c:tx>
            <c:strRef>
              <c:f>Anual!$A$66</c:f>
              <c:strCache>
                <c:ptCount val="1"/>
                <c:pt idx="0">
                  <c:v> Índice de crecimiento del gasto real por beneficiario (ICGRB)  </c:v>
                </c:pt>
              </c:strCache>
            </c:strRef>
          </c:tx>
          <c:spPr>
            <a:solidFill>
              <a:srgbClr val="C1C5C8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Palatino Linotype" panose="02040502050505030304" pitchFamily="18" charset="0"/>
                    <a:ea typeface="+mn-ea"/>
                    <a:cs typeface="+mn-cs"/>
                  </a:defRPr>
                </a:pPr>
                <a:endParaRPr lang="es-C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(Anual!$B$9,Anual!$C$10,Anual!$E$10,Anual!$F$10,Anual!$G$10,Anual!$H$10)</c:f>
              <c:strCache>
                <c:ptCount val="6"/>
                <c:pt idx="0">
                  <c:v> Programa de Protección y Promoción Social </c:v>
                </c:pt>
                <c:pt idx="1">
                  <c:v> Avancemos </c:v>
                </c:pt>
                <c:pt idx="2">
                  <c:v> Asignación Familiar </c:v>
                </c:pt>
                <c:pt idx="3">
                  <c:v> Seguridad Alimentaria </c:v>
                </c:pt>
                <c:pt idx="4">
                  <c:v> Protección Familiar  </c:v>
                </c:pt>
                <c:pt idx="5">
                  <c:v> Cuidado y Desarrollo Infantil  </c:v>
                </c:pt>
              </c:strCache>
            </c:strRef>
          </c:cat>
          <c:val>
            <c:numRef>
              <c:f>(Anual!$B$66,Anual!$C$66,Anual!$E$66,Anual!$F$66,Anual!$G$66,Anual!$H$66)</c:f>
              <c:numCache>
                <c:formatCode>#,##0.00</c:formatCode>
                <c:ptCount val="6"/>
                <c:pt idx="0">
                  <c:v>-20.473657741163287</c:v>
                </c:pt>
                <c:pt idx="1">
                  <c:v>3.0331709024480791</c:v>
                </c:pt>
                <c:pt idx="2">
                  <c:v>-7.3406527986321972</c:v>
                </c:pt>
                <c:pt idx="3">
                  <c:v>-47.828353363939513</c:v>
                </c:pt>
                <c:pt idx="4">
                  <c:v>-15.344268989768761</c:v>
                </c:pt>
                <c:pt idx="5">
                  <c:v>4.8511004215648246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137-4AE3-8828-A9F9BA43A2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shape val="box"/>
        <c:axId val="387617448"/>
        <c:axId val="387617840"/>
        <c:axId val="0"/>
      </c:bar3DChart>
      <c:catAx>
        <c:axId val="3876174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Palatino Linotype" panose="02040502050505030304" pitchFamily="18" charset="0"/>
                <a:ea typeface="+mn-ea"/>
                <a:cs typeface="+mn-cs"/>
              </a:defRPr>
            </a:pPr>
            <a:endParaRPr lang="es-CR"/>
          </a:p>
        </c:txPr>
        <c:crossAx val="387617840"/>
        <c:crosses val="autoZero"/>
        <c:auto val="1"/>
        <c:lblAlgn val="ctr"/>
        <c:lblOffset val="100"/>
        <c:noMultiLvlLbl val="0"/>
      </c:catAx>
      <c:valAx>
        <c:axId val="387617840"/>
        <c:scaling>
          <c:orientation val="minMax"/>
          <c:max val="150"/>
          <c:min val="-1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Palatino Linotype" panose="02040502050505030304" pitchFamily="18" charset="0"/>
                <a:ea typeface="+mn-ea"/>
                <a:cs typeface="+mn-cs"/>
              </a:defRPr>
            </a:pPr>
            <a:endParaRPr lang="es-CR"/>
          </a:p>
        </c:txPr>
        <c:crossAx val="387617448"/>
        <c:crosses val="autoZero"/>
        <c:crossBetween val="between"/>
        <c:majorUnit val="5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5195162026260821E-3"/>
          <c:y val="0.91487874197033059"/>
          <c:w val="0.98124547501478188"/>
          <c:h val="6.9647334601464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Palatino Linotype" panose="02040502050505030304" pitchFamily="18" charset="0"/>
              <a:ea typeface="+mn-ea"/>
              <a:cs typeface="+mn-cs"/>
            </a:defRPr>
          </a:pPr>
          <a:endParaRPr lang="es-C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>
          <a:lumMod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  <a:latin typeface="Palatino Linotype" panose="02040502050505030304" pitchFamily="18" charset="0"/>
        </a:defRPr>
      </a:pPr>
      <a:endParaRPr lang="es-C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tx1"/>
                </a:solidFill>
                <a:latin typeface="Palatino Linotype" panose="02040502050505030304" pitchFamily="18" charset="0"/>
                <a:ea typeface="+mn-ea"/>
                <a:cs typeface="+mn-cs"/>
              </a:defRPr>
            </a:pPr>
            <a:r>
              <a:rPr lang="es-CR" sz="1800"/>
              <a:t>IMAS: Indicadores de gasto medio 2024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tx1"/>
              </a:solidFill>
              <a:latin typeface="Palatino Linotype" panose="02040502050505030304" pitchFamily="18" charset="0"/>
              <a:ea typeface="+mn-ea"/>
              <a:cs typeface="+mn-cs"/>
            </a:defRPr>
          </a:pPr>
          <a:endParaRPr lang="es-CR"/>
        </a:p>
      </c:txPr>
    </c:title>
    <c:autoTitleDeleted val="0"/>
    <c:view3D>
      <c:rotX val="0"/>
      <c:rotY val="0"/>
      <c:rAngAx val="0"/>
      <c:perspective val="1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Anual!$A$69</c:f>
              <c:strCache>
                <c:ptCount val="1"/>
                <c:pt idx="0">
                  <c:v> Gasto anual programado por beneficiario (GPB)  </c:v>
                </c:pt>
              </c:strCache>
            </c:strRef>
          </c:tx>
          <c:spPr>
            <a:solidFill>
              <a:srgbClr val="192952"/>
            </a:solidFill>
            <a:ln>
              <a:solidFill>
                <a:srgbClr val="192952"/>
              </a:solidFill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  <a:contourClr>
                <a:srgbClr val="192952"/>
              </a:contourClr>
            </a:sp3d>
          </c:spPr>
          <c:invertIfNegative val="0"/>
          <c:cat>
            <c:strRef>
              <c:f>(Anual!$B$9,Anual!$C$10,Anual!$E$10,Anual!$F$10,Anual!$G$10,Anual!$H$10,Anual!$I$10)</c:f>
              <c:strCache>
                <c:ptCount val="7"/>
                <c:pt idx="0">
                  <c:v> Programa de Protección y Promoción Social </c:v>
                </c:pt>
                <c:pt idx="1">
                  <c:v> Avancemos </c:v>
                </c:pt>
                <c:pt idx="2">
                  <c:v> Asignación Familiar </c:v>
                </c:pt>
                <c:pt idx="3">
                  <c:v> Seguridad Alimentaria </c:v>
                </c:pt>
                <c:pt idx="4">
                  <c:v> Protección Familiar  </c:v>
                </c:pt>
                <c:pt idx="5">
                  <c:v> Cuidado y Desarrollo Infantil  </c:v>
                </c:pt>
                <c:pt idx="6">
                  <c:v> Prestación Alimentaria  </c:v>
                </c:pt>
              </c:strCache>
            </c:strRef>
          </c:cat>
          <c:val>
            <c:numRef>
              <c:f>(Anual!$B$69,Anual!$C$69,Anual!$E$69,Anual!$F$69,Anual!$G$69,Anual!$H$69,Anual!$I$69)</c:f>
              <c:numCache>
                <c:formatCode>#,##0.00</c:formatCode>
                <c:ptCount val="7"/>
                <c:pt idx="0">
                  <c:v>645912.34922560991</c:v>
                </c:pt>
                <c:pt idx="1">
                  <c:v>420000</c:v>
                </c:pt>
                <c:pt idx="2">
                  <c:v>1200000</c:v>
                </c:pt>
                <c:pt idx="3">
                  <c:v>900000</c:v>
                </c:pt>
                <c:pt idx="4">
                  <c:v>900000</c:v>
                </c:pt>
                <c:pt idx="5">
                  <c:v>1560000</c:v>
                </c:pt>
                <c:pt idx="6">
                  <c:v>1640000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04-4AFD-AF47-E4E269E62DE3}"/>
            </c:ext>
          </c:extLst>
        </c:ser>
        <c:ser>
          <c:idx val="1"/>
          <c:order val="1"/>
          <c:tx>
            <c:strRef>
              <c:f>Anual!$A$70</c:f>
              <c:strCache>
                <c:ptCount val="1"/>
                <c:pt idx="0">
                  <c:v> Gasto anual efectivo por beneficiario (GEB)  </c:v>
                </c:pt>
              </c:strCache>
            </c:strRef>
          </c:tx>
          <c:spPr>
            <a:solidFill>
              <a:srgbClr val="0035A0"/>
            </a:solidFill>
            <a:ln>
              <a:solidFill>
                <a:srgbClr val="0035A0"/>
              </a:solidFill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  <a:contourClr>
                <a:srgbClr val="0035A0"/>
              </a:contourClr>
            </a:sp3d>
          </c:spPr>
          <c:invertIfNegative val="0"/>
          <c:cat>
            <c:strRef>
              <c:f>(Anual!$B$9,Anual!$C$10,Anual!$E$10,Anual!$F$10,Anual!$G$10,Anual!$H$10,Anual!$I$10)</c:f>
              <c:strCache>
                <c:ptCount val="7"/>
                <c:pt idx="0">
                  <c:v> Programa de Protección y Promoción Social </c:v>
                </c:pt>
                <c:pt idx="1">
                  <c:v> Avancemos </c:v>
                </c:pt>
                <c:pt idx="2">
                  <c:v> Asignación Familiar </c:v>
                </c:pt>
                <c:pt idx="3">
                  <c:v> Seguridad Alimentaria </c:v>
                </c:pt>
                <c:pt idx="4">
                  <c:v> Protección Familiar  </c:v>
                </c:pt>
                <c:pt idx="5">
                  <c:v> Cuidado y Desarrollo Infantil  </c:v>
                </c:pt>
                <c:pt idx="6">
                  <c:v> Prestación Alimentaria  </c:v>
                </c:pt>
              </c:strCache>
            </c:strRef>
          </c:cat>
          <c:val>
            <c:numRef>
              <c:f>(Anual!$B$70,Anual!$C$70,Anual!$E$70,Anual!$F$70,Anual!$G$70,Anual!$H$70,Anual!$I$70)</c:f>
              <c:numCache>
                <c:formatCode>#,##0.00</c:formatCode>
                <c:ptCount val="7"/>
                <c:pt idx="0">
                  <c:v>638665.915312786</c:v>
                </c:pt>
                <c:pt idx="1">
                  <c:v>335451.56961819215</c:v>
                </c:pt>
                <c:pt idx="2">
                  <c:v>1318705.8428023937</c:v>
                </c:pt>
                <c:pt idx="3">
                  <c:v>1046034.0561376582</c:v>
                </c:pt>
                <c:pt idx="4">
                  <c:v>1517126.1189539279</c:v>
                </c:pt>
                <c:pt idx="5">
                  <c:v>1302257.7973409649</c:v>
                </c:pt>
                <c:pt idx="6">
                  <c:v>1192879.3138270327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A04-4AFD-AF47-E4E269E62D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87618624"/>
        <c:axId val="387619016"/>
        <c:axId val="0"/>
      </c:bar3DChart>
      <c:catAx>
        <c:axId val="3876186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Palatino Linotype" panose="02040502050505030304" pitchFamily="18" charset="0"/>
                <a:ea typeface="+mn-ea"/>
                <a:cs typeface="+mn-cs"/>
              </a:defRPr>
            </a:pPr>
            <a:endParaRPr lang="es-CR"/>
          </a:p>
        </c:txPr>
        <c:crossAx val="387619016"/>
        <c:crosses val="autoZero"/>
        <c:auto val="1"/>
        <c:lblAlgn val="ctr"/>
        <c:lblOffset val="100"/>
        <c:noMultiLvlLbl val="0"/>
      </c:catAx>
      <c:valAx>
        <c:axId val="387619016"/>
        <c:scaling>
          <c:orientation val="minMax"/>
          <c:max val="220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Palatino Linotype" panose="02040502050505030304" pitchFamily="18" charset="0"/>
                <a:ea typeface="+mn-ea"/>
                <a:cs typeface="+mn-cs"/>
              </a:defRPr>
            </a:pPr>
            <a:endParaRPr lang="es-CR"/>
          </a:p>
        </c:txPr>
        <c:crossAx val="387618624"/>
        <c:crosses val="autoZero"/>
        <c:crossBetween val="between"/>
        <c:majorUnit val="500000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000" b="0" i="0" u="none" strike="noStrike" kern="1200" baseline="0">
                <a:solidFill>
                  <a:schemeClr val="tx1"/>
                </a:solidFill>
                <a:latin typeface="Palatino Linotype" panose="02040502050505030304" pitchFamily="18" charset="0"/>
                <a:ea typeface="+mn-ea"/>
                <a:cs typeface="+mn-cs"/>
              </a:defRPr>
            </a:pPr>
            <a:endParaRPr lang="es-CR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>
          <a:lumMod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  <a:latin typeface="Palatino Linotype" panose="02040502050505030304" pitchFamily="18" charset="0"/>
        </a:defRPr>
      </a:pPr>
      <a:endParaRPr lang="es-C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tx1"/>
                </a:solidFill>
                <a:latin typeface="Palatino Linotype" panose="02040502050505030304" pitchFamily="18" charset="0"/>
                <a:ea typeface="+mn-ea"/>
                <a:cs typeface="+mn-cs"/>
              </a:defRPr>
            </a:pPr>
            <a:r>
              <a:rPr lang="en-US" sz="1800"/>
              <a:t>IMAS: Índice de eficiencia (IE) 2024 </a:t>
            </a:r>
          </a:p>
        </c:rich>
      </c:tx>
      <c:layout>
        <c:manualLayout>
          <c:xMode val="edge"/>
          <c:yMode val="edge"/>
          <c:x val="0.30444261730803612"/>
          <c:y val="3.50572886788295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tx1"/>
              </a:solidFill>
              <a:latin typeface="Palatino Linotype" panose="02040502050505030304" pitchFamily="18" charset="0"/>
              <a:ea typeface="+mn-ea"/>
              <a:cs typeface="+mn-cs"/>
            </a:defRPr>
          </a:pPr>
          <a:endParaRPr lang="es-CR"/>
        </a:p>
      </c:txPr>
    </c:title>
    <c:autoTitleDeleted val="0"/>
    <c:view3D>
      <c:rotX val="0"/>
      <c:rotY val="0"/>
      <c:rAngAx val="0"/>
      <c:perspective val="1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Anual!$A$71</c:f>
              <c:strCache>
                <c:ptCount val="1"/>
                <c:pt idx="0">
                  <c:v> Índice de eficiencia (IE)  </c:v>
                </c:pt>
              </c:strCache>
            </c:strRef>
          </c:tx>
          <c:spPr>
            <a:solidFill>
              <a:srgbClr val="192952"/>
            </a:solidFill>
            <a:ln>
              <a:solidFill>
                <a:srgbClr val="192952"/>
              </a:solidFill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  <a:contourClr>
                <a:srgbClr val="192952"/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Palatino Linotype" panose="02040502050505030304" pitchFamily="18" charset="0"/>
                    <a:ea typeface="+mn-ea"/>
                    <a:cs typeface="+mn-cs"/>
                  </a:defRPr>
                </a:pPr>
                <a:endParaRPr lang="es-C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(Anual!$C$10,Anual!$E$10,Anual!$F$10,Anual!$G$10,Anual!$H$10,Anual!$I$10)</c:f>
              <c:strCache>
                <c:ptCount val="6"/>
                <c:pt idx="0">
                  <c:v> Avancemos </c:v>
                </c:pt>
                <c:pt idx="1">
                  <c:v> Asignación Familiar </c:v>
                </c:pt>
                <c:pt idx="2">
                  <c:v> Seguridad Alimentaria </c:v>
                </c:pt>
                <c:pt idx="3">
                  <c:v> Protección Familiar  </c:v>
                </c:pt>
                <c:pt idx="4">
                  <c:v> Cuidado y Desarrollo Infantil  </c:v>
                </c:pt>
                <c:pt idx="5">
                  <c:v> Prestación Alimentaria  </c:v>
                </c:pt>
              </c:strCache>
            </c:strRef>
          </c:cat>
          <c:val>
            <c:numRef>
              <c:f>(Anual!$C$71,Anual!$E$71,Anual!$F$71,Anual!$G$71,Anual!$H$71,Anual!$I$71)</c:f>
              <c:numCache>
                <c:formatCode>#,##0.00</c:formatCode>
                <c:ptCount val="6"/>
                <c:pt idx="0">
                  <c:v>90.890149727646175</c:v>
                </c:pt>
                <c:pt idx="1">
                  <c:v>117.29775302005613</c:v>
                </c:pt>
                <c:pt idx="2">
                  <c:v>183.56156838792509</c:v>
                </c:pt>
                <c:pt idx="3">
                  <c:v>189.52148930026092</c:v>
                </c:pt>
                <c:pt idx="4">
                  <c:v>104.44960760951381</c:v>
                </c:pt>
                <c:pt idx="5">
                  <c:v>91.300415221757063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B3-4C78-BA13-1610982744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shape val="box"/>
        <c:axId val="387619800"/>
        <c:axId val="387620192"/>
        <c:axId val="0"/>
      </c:bar3DChart>
      <c:catAx>
        <c:axId val="3876198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Palatino Linotype" panose="02040502050505030304" pitchFamily="18" charset="0"/>
                <a:ea typeface="+mn-ea"/>
                <a:cs typeface="+mn-cs"/>
              </a:defRPr>
            </a:pPr>
            <a:endParaRPr lang="es-CR"/>
          </a:p>
        </c:txPr>
        <c:crossAx val="387620192"/>
        <c:crosses val="autoZero"/>
        <c:auto val="1"/>
        <c:lblAlgn val="ctr"/>
        <c:lblOffset val="100"/>
        <c:noMultiLvlLbl val="0"/>
      </c:catAx>
      <c:valAx>
        <c:axId val="387620192"/>
        <c:scaling>
          <c:orientation val="minMax"/>
          <c:max val="25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Palatino Linotype" panose="02040502050505030304" pitchFamily="18" charset="0"/>
                <a:ea typeface="+mn-ea"/>
                <a:cs typeface="+mn-cs"/>
              </a:defRPr>
            </a:pPr>
            <a:endParaRPr lang="es-CR"/>
          </a:p>
        </c:txPr>
        <c:crossAx val="387619800"/>
        <c:crosses val="autoZero"/>
        <c:crossBetween val="between"/>
        <c:majorUnit val="5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>
          <a:lumMod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  <a:latin typeface="Palatino Linotype" panose="02040502050505030304" pitchFamily="18" charset="0"/>
        </a:defRPr>
      </a:pPr>
      <a:endParaRPr lang="es-CR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0" i="0" u="none" strike="noStrike" kern="1200" spc="0" baseline="0">
                <a:solidFill>
                  <a:schemeClr val="tx1"/>
                </a:solidFill>
                <a:latin typeface="Palatino Linotype" panose="02040502050505030304" pitchFamily="18" charset="0"/>
                <a:ea typeface="+mn-ea"/>
                <a:cs typeface="+mn-cs"/>
              </a:defRPr>
            </a:pPr>
            <a:r>
              <a:rPr lang="es-CR" sz="1800" b="1"/>
              <a:t>IMAS: Indicadores de giro de recursos 2024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spc="0" baseline="0">
              <a:solidFill>
                <a:schemeClr val="tx1"/>
              </a:solidFill>
              <a:latin typeface="Palatino Linotype" panose="02040502050505030304" pitchFamily="18" charset="0"/>
              <a:ea typeface="+mn-ea"/>
              <a:cs typeface="+mn-cs"/>
            </a:defRPr>
          </a:pPr>
          <a:endParaRPr lang="es-CR"/>
        </a:p>
      </c:txPr>
    </c:title>
    <c:autoTitleDeleted val="0"/>
    <c:view3D>
      <c:rotX val="0"/>
      <c:rotY val="0"/>
      <c:rAngAx val="0"/>
      <c:perspective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 w="25400"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spPr>
              <a:solidFill>
                <a:srgbClr val="0035A0"/>
              </a:solidFill>
              <a:ln w="19050">
                <a:solidFill>
                  <a:srgbClr val="0035A0"/>
                </a:solidFill>
              </a:ln>
              <a:effectLst/>
              <a:sp3d contourW="19050">
                <a:contourClr>
                  <a:srgbClr val="0035A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2-5E0C-4C8E-8B21-D791378433CE}"/>
              </c:ext>
            </c:extLst>
          </c:dPt>
          <c:dPt>
            <c:idx val="1"/>
            <c:invertIfNegative val="0"/>
            <c:bubble3D val="0"/>
            <c:spPr>
              <a:solidFill>
                <a:srgbClr val="192952"/>
              </a:solidFill>
              <a:ln w="19050">
                <a:solidFill>
                  <a:srgbClr val="192952"/>
                </a:solidFill>
              </a:ln>
              <a:effectLst/>
              <a:sp3d contourW="19050">
                <a:contourClr>
                  <a:srgbClr val="192952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5053-43A9-8BEA-F1A22FF426A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Palatino Linotype" panose="02040502050505030304" pitchFamily="18" charset="0"/>
                    <a:ea typeface="+mn-ea"/>
                    <a:cs typeface="+mn-cs"/>
                  </a:defRPr>
                </a:pPr>
                <a:endParaRPr lang="es-C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Anual!$A$76:$A$77</c:f>
              <c:strCache>
                <c:ptCount val="2"/>
                <c:pt idx="0">
                  <c:v> Índice de giro efectivo (IGE) </c:v>
                </c:pt>
                <c:pt idx="1">
                  <c:v> Índice de uso de recursos (IUR)  </c:v>
                </c:pt>
              </c:strCache>
            </c:strRef>
          </c:cat>
          <c:val>
            <c:numRef>
              <c:f>Anual!$B$76:$B$77</c:f>
              <c:numCache>
                <c:formatCode>#,##0.00</c:formatCode>
                <c:ptCount val="2"/>
                <c:pt idx="0">
                  <c:v>98.994362850426143</c:v>
                </c:pt>
                <c:pt idx="1">
                  <c:v>96.508546633612568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053-43A9-8BEA-F1A22FF426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shape val="box"/>
        <c:axId val="209038640"/>
        <c:axId val="209039952"/>
        <c:axId val="0"/>
      </c:bar3DChart>
      <c:valAx>
        <c:axId val="209039952"/>
        <c:scaling>
          <c:orientation val="minMax"/>
          <c:max val="12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Palatino Linotype" panose="02040502050505030304" pitchFamily="18" charset="0"/>
                <a:ea typeface="+mn-ea"/>
                <a:cs typeface="+mn-cs"/>
              </a:defRPr>
            </a:pPr>
            <a:endParaRPr lang="es-CR"/>
          </a:p>
        </c:txPr>
        <c:crossAx val="209038640"/>
        <c:crosses val="autoZero"/>
        <c:crossBetween val="between"/>
        <c:majorUnit val="20"/>
      </c:valAx>
      <c:catAx>
        <c:axId val="20903864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0903995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Palatino Linotype" panose="02040502050505030304" pitchFamily="18" charset="0"/>
              <a:ea typeface="+mn-ea"/>
              <a:cs typeface="+mn-cs"/>
            </a:defRPr>
          </a:pPr>
          <a:endParaRPr lang="es-C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  <a:latin typeface="Palatino Linotype" panose="02040502050505030304" pitchFamily="18" charset="0"/>
        </a:defRPr>
      </a:pPr>
      <a:endParaRPr lang="es-C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1250155</xdr:colOff>
      <xdr:row>5</xdr:row>
      <xdr:rowOff>178592</xdr:rowOff>
    </xdr:to>
    <xdr:sp macro="" textlink="">
      <xdr:nvSpPr>
        <xdr:cNvPr id="8" name="Rectángulo 7">
          <a:extLst>
            <a:ext uri="{FF2B5EF4-FFF2-40B4-BE49-F238E27FC236}">
              <a16:creationId xmlns:a16="http://schemas.microsoft.com/office/drawing/2014/main" id="{D9849407-23C8-4C2A-B587-7D7B6374D492}"/>
            </a:ext>
          </a:extLst>
        </xdr:cNvPr>
        <xdr:cNvSpPr/>
      </xdr:nvSpPr>
      <xdr:spPr>
        <a:xfrm>
          <a:off x="0" y="0"/>
          <a:ext cx="14213680" cy="1131092"/>
        </a:xfrm>
        <a:prstGeom prst="rect">
          <a:avLst/>
        </a:prstGeom>
        <a:solidFill>
          <a:srgbClr val="0035A0"/>
        </a:solidFill>
        <a:ln>
          <a:solidFill>
            <a:srgbClr val="0035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R" sz="1100"/>
        </a:p>
      </xdr:txBody>
    </xdr:sp>
    <xdr:clientData/>
  </xdr:twoCellAnchor>
  <xdr:twoCellAnchor editAs="oneCell">
    <xdr:from>
      <xdr:col>0</xdr:col>
      <xdr:colOff>166443</xdr:colOff>
      <xdr:row>0</xdr:row>
      <xdr:rowOff>107156</xdr:rowOff>
    </xdr:from>
    <xdr:to>
      <xdr:col>0</xdr:col>
      <xdr:colOff>3464718</xdr:colOff>
      <xdr:row>5</xdr:row>
      <xdr:rowOff>83343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28BD8531-CC9A-4EC0-B5A4-E24B3C818B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66443" y="107156"/>
          <a:ext cx="3298275" cy="928687"/>
        </a:xfrm>
        <a:prstGeom prst="rect">
          <a:avLst/>
        </a:prstGeom>
      </xdr:spPr>
    </xdr:pic>
    <xdr:clientData/>
  </xdr:twoCellAnchor>
  <xdr:twoCellAnchor editAs="oneCell">
    <xdr:from>
      <xdr:col>0</xdr:col>
      <xdr:colOff>3428999</xdr:colOff>
      <xdr:row>0</xdr:row>
      <xdr:rowOff>142875</xdr:rowOff>
    </xdr:from>
    <xdr:to>
      <xdr:col>2</xdr:col>
      <xdr:colOff>250032</xdr:colOff>
      <xdr:row>4</xdr:row>
      <xdr:rowOff>154781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03FC3BA6-6767-4E42-843F-EE7FEE4E024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63388" r="1826" b="1724"/>
        <a:stretch/>
      </xdr:blipFill>
      <xdr:spPr>
        <a:xfrm>
          <a:off x="3428999" y="142875"/>
          <a:ext cx="2297908" cy="77390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</xdr:row>
      <xdr:rowOff>1</xdr:rowOff>
    </xdr:from>
    <xdr:to>
      <xdr:col>8</xdr:col>
      <xdr:colOff>1250155</xdr:colOff>
      <xdr:row>7</xdr:row>
      <xdr:rowOff>214312</xdr:rowOff>
    </xdr:to>
    <xdr:sp macro="" textlink="">
      <xdr:nvSpPr>
        <xdr:cNvPr id="15" name="Rectángulo 14">
          <a:extLst>
            <a:ext uri="{FF2B5EF4-FFF2-40B4-BE49-F238E27FC236}">
              <a16:creationId xmlns:a16="http://schemas.microsoft.com/office/drawing/2014/main" id="{988647DA-1734-4C68-9015-48FC9A3E64C9}"/>
            </a:ext>
          </a:extLst>
        </xdr:cNvPr>
        <xdr:cNvSpPr/>
      </xdr:nvSpPr>
      <xdr:spPr>
        <a:xfrm>
          <a:off x="0" y="1143001"/>
          <a:ext cx="14213680" cy="404811"/>
        </a:xfrm>
        <a:prstGeom prst="rect">
          <a:avLst/>
        </a:prstGeom>
        <a:solidFill>
          <a:srgbClr val="192952"/>
        </a:solidFill>
        <a:ln>
          <a:solidFill>
            <a:srgbClr val="19295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R" sz="1100"/>
        </a:p>
      </xdr:txBody>
    </xdr:sp>
    <xdr:clientData/>
  </xdr:twoCellAnchor>
  <xdr:twoCellAnchor>
    <xdr:from>
      <xdr:col>0</xdr:col>
      <xdr:colOff>500062</xdr:colOff>
      <xdr:row>6</xdr:row>
      <xdr:rowOff>71438</xdr:rowOff>
    </xdr:from>
    <xdr:to>
      <xdr:col>7</xdr:col>
      <xdr:colOff>1238249</xdr:colOff>
      <xdr:row>7</xdr:row>
      <xdr:rowOff>178593</xdr:rowOff>
    </xdr:to>
    <xdr:sp macro="" textlink="">
      <xdr:nvSpPr>
        <xdr:cNvPr id="16" name="CuadroTexto 15">
          <a:extLst>
            <a:ext uri="{FF2B5EF4-FFF2-40B4-BE49-F238E27FC236}">
              <a16:creationId xmlns:a16="http://schemas.microsoft.com/office/drawing/2014/main" id="{7524D965-080A-4CEB-A21A-5E1CE96279AD}"/>
            </a:ext>
          </a:extLst>
        </xdr:cNvPr>
        <xdr:cNvSpPr txBox="1"/>
      </xdr:nvSpPr>
      <xdr:spPr>
        <a:xfrm>
          <a:off x="500062" y="1214438"/>
          <a:ext cx="12453937" cy="2976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                     Instituto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Mixto de Ayuda Social             Programa  Protección y Promoción Social </a:t>
          </a:r>
          <a:r>
            <a:rPr lang="es-CR" sz="1100" b="1" baseline="0">
              <a:solidFill>
                <a:schemeClr val="dk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        </a:t>
          </a: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Período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:  I Trimestre 2024      Fecha Actualización: 13-05-2024</a:t>
          </a:r>
          <a:endParaRPr lang="es-CR">
            <a:solidFill>
              <a:schemeClr val="bg1"/>
            </a:solidFill>
            <a:effectLst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 sz="1100" b="1" baseline="0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>
            <a:solidFill>
              <a:schemeClr val="bg1"/>
            </a:solidFill>
            <a:effectLst/>
          </a:endParaRPr>
        </a:p>
        <a:p>
          <a:endParaRPr lang="es-CR" sz="1100">
            <a:solidFill>
              <a:schemeClr val="bg1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1250155</xdr:colOff>
      <xdr:row>5</xdr:row>
      <xdr:rowOff>178592</xdr:rowOff>
    </xdr:to>
    <xdr:sp macro="" textlink="">
      <xdr:nvSpPr>
        <xdr:cNvPr id="8" name="Rectángulo 7">
          <a:extLst>
            <a:ext uri="{FF2B5EF4-FFF2-40B4-BE49-F238E27FC236}">
              <a16:creationId xmlns:a16="http://schemas.microsoft.com/office/drawing/2014/main" id="{644D06F0-3BC7-493D-8AFF-7CD3BC8A34AE}"/>
            </a:ext>
          </a:extLst>
        </xdr:cNvPr>
        <xdr:cNvSpPr/>
      </xdr:nvSpPr>
      <xdr:spPr>
        <a:xfrm>
          <a:off x="0" y="0"/>
          <a:ext cx="14213680" cy="1131092"/>
        </a:xfrm>
        <a:prstGeom prst="rect">
          <a:avLst/>
        </a:prstGeom>
        <a:solidFill>
          <a:srgbClr val="0035A0"/>
        </a:solidFill>
        <a:ln>
          <a:solidFill>
            <a:srgbClr val="0035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R" sz="1100"/>
        </a:p>
      </xdr:txBody>
    </xdr:sp>
    <xdr:clientData/>
  </xdr:twoCellAnchor>
  <xdr:twoCellAnchor editAs="oneCell">
    <xdr:from>
      <xdr:col>0</xdr:col>
      <xdr:colOff>166443</xdr:colOff>
      <xdr:row>0</xdr:row>
      <xdr:rowOff>107156</xdr:rowOff>
    </xdr:from>
    <xdr:to>
      <xdr:col>0</xdr:col>
      <xdr:colOff>3464718</xdr:colOff>
      <xdr:row>5</xdr:row>
      <xdr:rowOff>83343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A9EB701B-73AC-4F20-87D8-9281E5B70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66443" y="107156"/>
          <a:ext cx="3298275" cy="928687"/>
        </a:xfrm>
        <a:prstGeom prst="rect">
          <a:avLst/>
        </a:prstGeom>
      </xdr:spPr>
    </xdr:pic>
    <xdr:clientData/>
  </xdr:twoCellAnchor>
  <xdr:twoCellAnchor editAs="oneCell">
    <xdr:from>
      <xdr:col>0</xdr:col>
      <xdr:colOff>3428999</xdr:colOff>
      <xdr:row>0</xdr:row>
      <xdr:rowOff>142875</xdr:rowOff>
    </xdr:from>
    <xdr:to>
      <xdr:col>2</xdr:col>
      <xdr:colOff>250032</xdr:colOff>
      <xdr:row>4</xdr:row>
      <xdr:rowOff>154781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9319BA05-C381-4C56-BD4C-53BABE50D81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63388" r="1826" b="1724"/>
        <a:stretch/>
      </xdr:blipFill>
      <xdr:spPr>
        <a:xfrm>
          <a:off x="3428999" y="142875"/>
          <a:ext cx="2297908" cy="77390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</xdr:row>
      <xdr:rowOff>1</xdr:rowOff>
    </xdr:from>
    <xdr:to>
      <xdr:col>8</xdr:col>
      <xdr:colOff>1250155</xdr:colOff>
      <xdr:row>7</xdr:row>
      <xdr:rowOff>214312</xdr:rowOff>
    </xdr:to>
    <xdr:sp macro="" textlink="">
      <xdr:nvSpPr>
        <xdr:cNvPr id="15" name="Rectángulo 14">
          <a:extLst>
            <a:ext uri="{FF2B5EF4-FFF2-40B4-BE49-F238E27FC236}">
              <a16:creationId xmlns:a16="http://schemas.microsoft.com/office/drawing/2014/main" id="{4DF43357-2881-4A50-AE65-37DFB185E74F}"/>
            </a:ext>
          </a:extLst>
        </xdr:cNvPr>
        <xdr:cNvSpPr/>
      </xdr:nvSpPr>
      <xdr:spPr>
        <a:xfrm>
          <a:off x="0" y="1143001"/>
          <a:ext cx="14213680" cy="404811"/>
        </a:xfrm>
        <a:prstGeom prst="rect">
          <a:avLst/>
        </a:prstGeom>
        <a:solidFill>
          <a:srgbClr val="192952"/>
        </a:solidFill>
        <a:ln>
          <a:solidFill>
            <a:srgbClr val="19295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R" sz="1100"/>
        </a:p>
      </xdr:txBody>
    </xdr:sp>
    <xdr:clientData/>
  </xdr:twoCellAnchor>
  <xdr:twoCellAnchor>
    <xdr:from>
      <xdr:col>0</xdr:col>
      <xdr:colOff>559594</xdr:colOff>
      <xdr:row>6</xdr:row>
      <xdr:rowOff>83344</xdr:rowOff>
    </xdr:from>
    <xdr:to>
      <xdr:col>8</xdr:col>
      <xdr:colOff>47624</xdr:colOff>
      <xdr:row>7</xdr:row>
      <xdr:rowOff>190499</xdr:rowOff>
    </xdr:to>
    <xdr:sp macro="" textlink="">
      <xdr:nvSpPr>
        <xdr:cNvPr id="16" name="CuadroTexto 15">
          <a:extLst>
            <a:ext uri="{FF2B5EF4-FFF2-40B4-BE49-F238E27FC236}">
              <a16:creationId xmlns:a16="http://schemas.microsoft.com/office/drawing/2014/main" id="{1FFE1FCF-CA10-478E-9F42-0B53B57B87BF}"/>
            </a:ext>
          </a:extLst>
        </xdr:cNvPr>
        <xdr:cNvSpPr txBox="1"/>
      </xdr:nvSpPr>
      <xdr:spPr>
        <a:xfrm>
          <a:off x="559594" y="1226344"/>
          <a:ext cx="12465843" cy="2976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                     Instituto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Mixto de Ayuda Social             Programa  Protección y Promoción Social </a:t>
          </a:r>
          <a:r>
            <a:rPr lang="es-CR" sz="1100" b="1" baseline="0">
              <a:solidFill>
                <a:schemeClr val="dk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        </a:t>
          </a: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Período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:  II Trimestre 2024       Fecha Actualización: 28-08-2024</a:t>
          </a:r>
          <a:endParaRPr lang="es-CR">
            <a:solidFill>
              <a:schemeClr val="bg1"/>
            </a:solidFill>
            <a:effectLst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 sz="1100" b="1" baseline="0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>
            <a:solidFill>
              <a:schemeClr val="bg1"/>
            </a:solidFill>
            <a:effectLst/>
          </a:endParaRPr>
        </a:p>
        <a:p>
          <a:endParaRPr lang="es-CR" sz="1100">
            <a:solidFill>
              <a:schemeClr val="bg1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1250155</xdr:colOff>
      <xdr:row>5</xdr:row>
      <xdr:rowOff>178592</xdr:rowOff>
    </xdr:to>
    <xdr:sp macro="" textlink="">
      <xdr:nvSpPr>
        <xdr:cNvPr id="8" name="Rectángulo 7">
          <a:extLst>
            <a:ext uri="{FF2B5EF4-FFF2-40B4-BE49-F238E27FC236}">
              <a16:creationId xmlns:a16="http://schemas.microsoft.com/office/drawing/2014/main" id="{DCDBC39F-6900-432B-8791-AB610CF79E99}"/>
            </a:ext>
          </a:extLst>
        </xdr:cNvPr>
        <xdr:cNvSpPr/>
      </xdr:nvSpPr>
      <xdr:spPr>
        <a:xfrm>
          <a:off x="0" y="0"/>
          <a:ext cx="14204155" cy="1131092"/>
        </a:xfrm>
        <a:prstGeom prst="rect">
          <a:avLst/>
        </a:prstGeom>
        <a:solidFill>
          <a:srgbClr val="0035A0"/>
        </a:solidFill>
        <a:ln>
          <a:solidFill>
            <a:srgbClr val="0035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R" sz="1100"/>
        </a:p>
      </xdr:txBody>
    </xdr:sp>
    <xdr:clientData/>
  </xdr:twoCellAnchor>
  <xdr:twoCellAnchor editAs="oneCell">
    <xdr:from>
      <xdr:col>0</xdr:col>
      <xdr:colOff>166443</xdr:colOff>
      <xdr:row>0</xdr:row>
      <xdr:rowOff>107156</xdr:rowOff>
    </xdr:from>
    <xdr:to>
      <xdr:col>0</xdr:col>
      <xdr:colOff>3464718</xdr:colOff>
      <xdr:row>5</xdr:row>
      <xdr:rowOff>83343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A5EBD648-6647-4254-872F-A583DD4FC4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66443" y="107156"/>
          <a:ext cx="3298275" cy="928687"/>
        </a:xfrm>
        <a:prstGeom prst="rect">
          <a:avLst/>
        </a:prstGeom>
      </xdr:spPr>
    </xdr:pic>
    <xdr:clientData/>
  </xdr:twoCellAnchor>
  <xdr:twoCellAnchor editAs="oneCell">
    <xdr:from>
      <xdr:col>0</xdr:col>
      <xdr:colOff>3428999</xdr:colOff>
      <xdr:row>0</xdr:row>
      <xdr:rowOff>142875</xdr:rowOff>
    </xdr:from>
    <xdr:to>
      <xdr:col>2</xdr:col>
      <xdr:colOff>259557</xdr:colOff>
      <xdr:row>4</xdr:row>
      <xdr:rowOff>154781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EAD5D72E-0314-4A44-A020-A2AFFD86A86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63388" r="1826" b="1724"/>
        <a:stretch/>
      </xdr:blipFill>
      <xdr:spPr>
        <a:xfrm>
          <a:off x="3428999" y="142875"/>
          <a:ext cx="2297908" cy="77390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</xdr:row>
      <xdr:rowOff>1</xdr:rowOff>
    </xdr:from>
    <xdr:to>
      <xdr:col>8</xdr:col>
      <xdr:colOff>1250155</xdr:colOff>
      <xdr:row>7</xdr:row>
      <xdr:rowOff>214312</xdr:rowOff>
    </xdr:to>
    <xdr:sp macro="" textlink="">
      <xdr:nvSpPr>
        <xdr:cNvPr id="15" name="Rectángulo 14">
          <a:extLst>
            <a:ext uri="{FF2B5EF4-FFF2-40B4-BE49-F238E27FC236}">
              <a16:creationId xmlns:a16="http://schemas.microsoft.com/office/drawing/2014/main" id="{5EEF260A-36B1-4012-B35D-CA62A2B6E10B}"/>
            </a:ext>
          </a:extLst>
        </xdr:cNvPr>
        <xdr:cNvSpPr/>
      </xdr:nvSpPr>
      <xdr:spPr>
        <a:xfrm>
          <a:off x="0" y="1143001"/>
          <a:ext cx="14204155" cy="404811"/>
        </a:xfrm>
        <a:prstGeom prst="rect">
          <a:avLst/>
        </a:prstGeom>
        <a:solidFill>
          <a:srgbClr val="192952"/>
        </a:solidFill>
        <a:ln>
          <a:solidFill>
            <a:srgbClr val="19295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R" sz="1100"/>
        </a:p>
      </xdr:txBody>
    </xdr:sp>
    <xdr:clientData/>
  </xdr:twoCellAnchor>
  <xdr:twoCellAnchor>
    <xdr:from>
      <xdr:col>0</xdr:col>
      <xdr:colOff>500062</xdr:colOff>
      <xdr:row>6</xdr:row>
      <xdr:rowOff>71438</xdr:rowOff>
    </xdr:from>
    <xdr:to>
      <xdr:col>7</xdr:col>
      <xdr:colOff>1238249</xdr:colOff>
      <xdr:row>7</xdr:row>
      <xdr:rowOff>178593</xdr:rowOff>
    </xdr:to>
    <xdr:sp macro="" textlink="">
      <xdr:nvSpPr>
        <xdr:cNvPr id="16" name="CuadroTexto 15">
          <a:extLst>
            <a:ext uri="{FF2B5EF4-FFF2-40B4-BE49-F238E27FC236}">
              <a16:creationId xmlns:a16="http://schemas.microsoft.com/office/drawing/2014/main" id="{D6EB2BB6-B120-44E6-9EAD-AF264A4D2892}"/>
            </a:ext>
          </a:extLst>
        </xdr:cNvPr>
        <xdr:cNvSpPr txBox="1"/>
      </xdr:nvSpPr>
      <xdr:spPr>
        <a:xfrm>
          <a:off x="500062" y="1214438"/>
          <a:ext cx="12444412" cy="2976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                     Instituto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Mixto de Ayuda Social             Programa  Protección y Promoción Social </a:t>
          </a:r>
          <a:r>
            <a:rPr lang="es-CR" sz="1100" b="1" baseline="0">
              <a:solidFill>
                <a:schemeClr val="dk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        </a:t>
          </a: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Período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:  I Semestre 2024       Fecha Actualización: 28-08-2024</a:t>
          </a:r>
          <a:endParaRPr lang="es-CR">
            <a:solidFill>
              <a:schemeClr val="bg1"/>
            </a:solidFill>
            <a:effectLst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 sz="1100" b="1" baseline="0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>
            <a:solidFill>
              <a:schemeClr val="bg1"/>
            </a:solidFill>
            <a:effectLst/>
          </a:endParaRPr>
        </a:p>
        <a:p>
          <a:endParaRPr lang="es-CR" sz="1100">
            <a:solidFill>
              <a:schemeClr val="bg1"/>
            </a:solidFill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1250155</xdr:colOff>
      <xdr:row>5</xdr:row>
      <xdr:rowOff>178592</xdr:rowOff>
    </xdr:to>
    <xdr:sp macro="" textlink="">
      <xdr:nvSpPr>
        <xdr:cNvPr id="8" name="Rectángulo 7">
          <a:extLst>
            <a:ext uri="{FF2B5EF4-FFF2-40B4-BE49-F238E27FC236}">
              <a16:creationId xmlns:a16="http://schemas.microsoft.com/office/drawing/2014/main" id="{3E49D17E-6E88-456D-8587-2D03A213923E}"/>
            </a:ext>
          </a:extLst>
        </xdr:cNvPr>
        <xdr:cNvSpPr/>
      </xdr:nvSpPr>
      <xdr:spPr>
        <a:xfrm>
          <a:off x="0" y="0"/>
          <a:ext cx="14213680" cy="1131092"/>
        </a:xfrm>
        <a:prstGeom prst="rect">
          <a:avLst/>
        </a:prstGeom>
        <a:solidFill>
          <a:srgbClr val="0035A0"/>
        </a:solidFill>
        <a:ln>
          <a:solidFill>
            <a:srgbClr val="0035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R" sz="1100"/>
        </a:p>
      </xdr:txBody>
    </xdr:sp>
    <xdr:clientData/>
  </xdr:twoCellAnchor>
  <xdr:twoCellAnchor editAs="oneCell">
    <xdr:from>
      <xdr:col>0</xdr:col>
      <xdr:colOff>166443</xdr:colOff>
      <xdr:row>0</xdr:row>
      <xdr:rowOff>107156</xdr:rowOff>
    </xdr:from>
    <xdr:to>
      <xdr:col>0</xdr:col>
      <xdr:colOff>3464718</xdr:colOff>
      <xdr:row>5</xdr:row>
      <xdr:rowOff>83343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573E8537-2823-440F-943A-AF0A71CBC7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66443" y="107156"/>
          <a:ext cx="3298275" cy="928687"/>
        </a:xfrm>
        <a:prstGeom prst="rect">
          <a:avLst/>
        </a:prstGeom>
      </xdr:spPr>
    </xdr:pic>
    <xdr:clientData/>
  </xdr:twoCellAnchor>
  <xdr:twoCellAnchor editAs="oneCell">
    <xdr:from>
      <xdr:col>0</xdr:col>
      <xdr:colOff>3428999</xdr:colOff>
      <xdr:row>0</xdr:row>
      <xdr:rowOff>142875</xdr:rowOff>
    </xdr:from>
    <xdr:to>
      <xdr:col>2</xdr:col>
      <xdr:colOff>250032</xdr:colOff>
      <xdr:row>4</xdr:row>
      <xdr:rowOff>154781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2A8B57EF-A502-4505-ADD3-A15689CA87E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63388" r="1826" b="1724"/>
        <a:stretch/>
      </xdr:blipFill>
      <xdr:spPr>
        <a:xfrm>
          <a:off x="3428999" y="142875"/>
          <a:ext cx="2297908" cy="77390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</xdr:row>
      <xdr:rowOff>1</xdr:rowOff>
    </xdr:from>
    <xdr:to>
      <xdr:col>8</xdr:col>
      <xdr:colOff>1250155</xdr:colOff>
      <xdr:row>7</xdr:row>
      <xdr:rowOff>214312</xdr:rowOff>
    </xdr:to>
    <xdr:sp macro="" textlink="">
      <xdr:nvSpPr>
        <xdr:cNvPr id="15" name="Rectángulo 14">
          <a:extLst>
            <a:ext uri="{FF2B5EF4-FFF2-40B4-BE49-F238E27FC236}">
              <a16:creationId xmlns:a16="http://schemas.microsoft.com/office/drawing/2014/main" id="{D72BF2AB-3858-412B-AB2C-658914547E1C}"/>
            </a:ext>
          </a:extLst>
        </xdr:cNvPr>
        <xdr:cNvSpPr/>
      </xdr:nvSpPr>
      <xdr:spPr>
        <a:xfrm>
          <a:off x="0" y="1143001"/>
          <a:ext cx="14213680" cy="404811"/>
        </a:xfrm>
        <a:prstGeom prst="rect">
          <a:avLst/>
        </a:prstGeom>
        <a:solidFill>
          <a:srgbClr val="192952"/>
        </a:solidFill>
        <a:ln>
          <a:solidFill>
            <a:srgbClr val="19295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R" sz="1100"/>
        </a:p>
      </xdr:txBody>
    </xdr:sp>
    <xdr:clientData/>
  </xdr:twoCellAnchor>
  <xdr:twoCellAnchor>
    <xdr:from>
      <xdr:col>0</xdr:col>
      <xdr:colOff>285750</xdr:colOff>
      <xdr:row>6</xdr:row>
      <xdr:rowOff>59532</xdr:rowOff>
    </xdr:from>
    <xdr:to>
      <xdr:col>8</xdr:col>
      <xdr:colOff>238124</xdr:colOff>
      <xdr:row>7</xdr:row>
      <xdr:rowOff>166687</xdr:rowOff>
    </xdr:to>
    <xdr:sp macro="" textlink="">
      <xdr:nvSpPr>
        <xdr:cNvPr id="16" name="CuadroTexto 15">
          <a:extLst>
            <a:ext uri="{FF2B5EF4-FFF2-40B4-BE49-F238E27FC236}">
              <a16:creationId xmlns:a16="http://schemas.microsoft.com/office/drawing/2014/main" id="{17792F44-1420-40C2-BDEE-5CE336878C49}"/>
            </a:ext>
          </a:extLst>
        </xdr:cNvPr>
        <xdr:cNvSpPr txBox="1"/>
      </xdr:nvSpPr>
      <xdr:spPr>
        <a:xfrm>
          <a:off x="285750" y="1202532"/>
          <a:ext cx="12930187" cy="2976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                     Instituto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Mixto de Ayuda Social             Programa  Protección y Promoción Social </a:t>
          </a:r>
          <a:r>
            <a:rPr lang="es-CR" sz="1100" b="1" baseline="0">
              <a:solidFill>
                <a:schemeClr val="dk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     </a:t>
          </a: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Período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:  III Trimestre 2024     Fecha Actualización: 25-11-2024</a:t>
          </a:r>
          <a:endParaRPr lang="es-CR" sz="1100" b="1" baseline="0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>
            <a:solidFill>
              <a:schemeClr val="bg1"/>
            </a:solidFill>
            <a:effectLst/>
          </a:endParaRPr>
        </a:p>
        <a:p>
          <a:endParaRPr lang="es-CR" sz="1100">
            <a:solidFill>
              <a:schemeClr val="bg1"/>
            </a:solidFill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1250155</xdr:colOff>
      <xdr:row>5</xdr:row>
      <xdr:rowOff>178592</xdr:rowOff>
    </xdr:to>
    <xdr:sp macro="" textlink="">
      <xdr:nvSpPr>
        <xdr:cNvPr id="8" name="Rectángulo 7">
          <a:extLst>
            <a:ext uri="{FF2B5EF4-FFF2-40B4-BE49-F238E27FC236}">
              <a16:creationId xmlns:a16="http://schemas.microsoft.com/office/drawing/2014/main" id="{EDDE994D-EB2D-4B5B-973A-471C7EC6202B}"/>
            </a:ext>
          </a:extLst>
        </xdr:cNvPr>
        <xdr:cNvSpPr/>
      </xdr:nvSpPr>
      <xdr:spPr>
        <a:xfrm>
          <a:off x="0" y="0"/>
          <a:ext cx="14213680" cy="1131092"/>
        </a:xfrm>
        <a:prstGeom prst="rect">
          <a:avLst/>
        </a:prstGeom>
        <a:solidFill>
          <a:srgbClr val="0035A0"/>
        </a:solidFill>
        <a:ln>
          <a:solidFill>
            <a:srgbClr val="0035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R" sz="1100"/>
        </a:p>
      </xdr:txBody>
    </xdr:sp>
    <xdr:clientData/>
  </xdr:twoCellAnchor>
  <xdr:twoCellAnchor editAs="oneCell">
    <xdr:from>
      <xdr:col>0</xdr:col>
      <xdr:colOff>166443</xdr:colOff>
      <xdr:row>0</xdr:row>
      <xdr:rowOff>107156</xdr:rowOff>
    </xdr:from>
    <xdr:to>
      <xdr:col>0</xdr:col>
      <xdr:colOff>3464718</xdr:colOff>
      <xdr:row>5</xdr:row>
      <xdr:rowOff>83343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CAF0B465-0E89-4FCF-A1C8-BF72C094BB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66443" y="107156"/>
          <a:ext cx="3298275" cy="928687"/>
        </a:xfrm>
        <a:prstGeom prst="rect">
          <a:avLst/>
        </a:prstGeom>
      </xdr:spPr>
    </xdr:pic>
    <xdr:clientData/>
  </xdr:twoCellAnchor>
  <xdr:twoCellAnchor editAs="oneCell">
    <xdr:from>
      <xdr:col>0</xdr:col>
      <xdr:colOff>3428999</xdr:colOff>
      <xdr:row>0</xdr:row>
      <xdr:rowOff>142875</xdr:rowOff>
    </xdr:from>
    <xdr:to>
      <xdr:col>2</xdr:col>
      <xdr:colOff>250032</xdr:colOff>
      <xdr:row>4</xdr:row>
      <xdr:rowOff>154781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F9412CB9-F2BF-4877-8D70-2B393C9FFDE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63388" r="1826" b="1724"/>
        <a:stretch/>
      </xdr:blipFill>
      <xdr:spPr>
        <a:xfrm>
          <a:off x="3428999" y="142875"/>
          <a:ext cx="2297908" cy="77390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</xdr:row>
      <xdr:rowOff>1</xdr:rowOff>
    </xdr:from>
    <xdr:to>
      <xdr:col>8</xdr:col>
      <xdr:colOff>1250155</xdr:colOff>
      <xdr:row>7</xdr:row>
      <xdr:rowOff>214312</xdr:rowOff>
    </xdr:to>
    <xdr:sp macro="" textlink="">
      <xdr:nvSpPr>
        <xdr:cNvPr id="15" name="Rectángulo 14">
          <a:extLst>
            <a:ext uri="{FF2B5EF4-FFF2-40B4-BE49-F238E27FC236}">
              <a16:creationId xmlns:a16="http://schemas.microsoft.com/office/drawing/2014/main" id="{585FCA3A-BEE3-420C-8702-7BB2D524AE88}"/>
            </a:ext>
          </a:extLst>
        </xdr:cNvPr>
        <xdr:cNvSpPr/>
      </xdr:nvSpPr>
      <xdr:spPr>
        <a:xfrm>
          <a:off x="0" y="1143001"/>
          <a:ext cx="14213680" cy="404811"/>
        </a:xfrm>
        <a:prstGeom prst="rect">
          <a:avLst/>
        </a:prstGeom>
        <a:solidFill>
          <a:srgbClr val="192952"/>
        </a:solidFill>
        <a:ln>
          <a:solidFill>
            <a:srgbClr val="19295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R" sz="1100"/>
        </a:p>
      </xdr:txBody>
    </xdr:sp>
    <xdr:clientData/>
  </xdr:twoCellAnchor>
  <xdr:twoCellAnchor>
    <xdr:from>
      <xdr:col>0</xdr:col>
      <xdr:colOff>666752</xdr:colOff>
      <xdr:row>6</xdr:row>
      <xdr:rowOff>71438</xdr:rowOff>
    </xdr:from>
    <xdr:to>
      <xdr:col>8</xdr:col>
      <xdr:colOff>619126</xdr:colOff>
      <xdr:row>7</xdr:row>
      <xdr:rowOff>178593</xdr:rowOff>
    </xdr:to>
    <xdr:sp macro="" textlink="">
      <xdr:nvSpPr>
        <xdr:cNvPr id="16" name="CuadroTexto 15">
          <a:extLst>
            <a:ext uri="{FF2B5EF4-FFF2-40B4-BE49-F238E27FC236}">
              <a16:creationId xmlns:a16="http://schemas.microsoft.com/office/drawing/2014/main" id="{54F7CC9F-C327-45CA-B7DB-B992B8DCF0EA}"/>
            </a:ext>
          </a:extLst>
        </xdr:cNvPr>
        <xdr:cNvSpPr txBox="1"/>
      </xdr:nvSpPr>
      <xdr:spPr>
        <a:xfrm>
          <a:off x="666752" y="1214438"/>
          <a:ext cx="12930187" cy="2976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                     Instituto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Mixto de Ayuda Social             Programa  Protección y Promoción Social </a:t>
          </a:r>
          <a:r>
            <a:rPr lang="es-CR" sz="1100" b="1" baseline="0">
              <a:solidFill>
                <a:schemeClr val="dk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     </a:t>
          </a: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Período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:  III Trimestre Acumulado 2024     Fecha Actualización: 25-11-2024</a:t>
          </a:r>
          <a:endParaRPr lang="es-CR" sz="1100" b="1" baseline="0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>
            <a:solidFill>
              <a:schemeClr val="bg1"/>
            </a:solidFill>
            <a:effectLst/>
          </a:endParaRPr>
        </a:p>
        <a:p>
          <a:endParaRPr lang="es-CR" sz="1100">
            <a:solidFill>
              <a:schemeClr val="bg1"/>
            </a:solidFill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1250155</xdr:colOff>
      <xdr:row>5</xdr:row>
      <xdr:rowOff>178592</xdr:rowOff>
    </xdr:to>
    <xdr:sp macro="" textlink="">
      <xdr:nvSpPr>
        <xdr:cNvPr id="10" name="Rectángulo 9">
          <a:extLst>
            <a:ext uri="{FF2B5EF4-FFF2-40B4-BE49-F238E27FC236}">
              <a16:creationId xmlns:a16="http://schemas.microsoft.com/office/drawing/2014/main" id="{0A89220F-E267-46E4-AC80-37254AECE95A}"/>
            </a:ext>
          </a:extLst>
        </xdr:cNvPr>
        <xdr:cNvSpPr/>
      </xdr:nvSpPr>
      <xdr:spPr>
        <a:xfrm>
          <a:off x="0" y="0"/>
          <a:ext cx="14213680" cy="1131092"/>
        </a:xfrm>
        <a:prstGeom prst="rect">
          <a:avLst/>
        </a:prstGeom>
        <a:solidFill>
          <a:srgbClr val="0035A0"/>
        </a:solidFill>
        <a:ln>
          <a:solidFill>
            <a:srgbClr val="0035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R" sz="1100"/>
        </a:p>
      </xdr:txBody>
    </xdr:sp>
    <xdr:clientData/>
  </xdr:twoCellAnchor>
  <xdr:twoCellAnchor editAs="oneCell">
    <xdr:from>
      <xdr:col>0</xdr:col>
      <xdr:colOff>166443</xdr:colOff>
      <xdr:row>0</xdr:row>
      <xdr:rowOff>107156</xdr:rowOff>
    </xdr:from>
    <xdr:to>
      <xdr:col>0</xdr:col>
      <xdr:colOff>3464718</xdr:colOff>
      <xdr:row>5</xdr:row>
      <xdr:rowOff>83343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3B083641-22E5-4D20-A659-4C974CA8C5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66443" y="107156"/>
          <a:ext cx="3298275" cy="928687"/>
        </a:xfrm>
        <a:prstGeom prst="rect">
          <a:avLst/>
        </a:prstGeom>
      </xdr:spPr>
    </xdr:pic>
    <xdr:clientData/>
  </xdr:twoCellAnchor>
  <xdr:twoCellAnchor editAs="oneCell">
    <xdr:from>
      <xdr:col>0</xdr:col>
      <xdr:colOff>3428999</xdr:colOff>
      <xdr:row>0</xdr:row>
      <xdr:rowOff>142875</xdr:rowOff>
    </xdr:from>
    <xdr:to>
      <xdr:col>2</xdr:col>
      <xdr:colOff>250032</xdr:colOff>
      <xdr:row>4</xdr:row>
      <xdr:rowOff>154781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AB8E2122-067C-426E-B1EC-D179F805769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63388" r="1826" b="1724"/>
        <a:stretch/>
      </xdr:blipFill>
      <xdr:spPr>
        <a:xfrm>
          <a:off x="3428999" y="142875"/>
          <a:ext cx="2297908" cy="77390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</xdr:row>
      <xdr:rowOff>1</xdr:rowOff>
    </xdr:from>
    <xdr:to>
      <xdr:col>8</xdr:col>
      <xdr:colOff>1250155</xdr:colOff>
      <xdr:row>7</xdr:row>
      <xdr:rowOff>214312</xdr:rowOff>
    </xdr:to>
    <xdr:sp macro="" textlink="">
      <xdr:nvSpPr>
        <xdr:cNvPr id="13" name="Rectángulo 12">
          <a:extLst>
            <a:ext uri="{FF2B5EF4-FFF2-40B4-BE49-F238E27FC236}">
              <a16:creationId xmlns:a16="http://schemas.microsoft.com/office/drawing/2014/main" id="{18D0E934-6515-4ACA-85C4-6FC35106E13B}"/>
            </a:ext>
          </a:extLst>
        </xdr:cNvPr>
        <xdr:cNvSpPr/>
      </xdr:nvSpPr>
      <xdr:spPr>
        <a:xfrm>
          <a:off x="0" y="1143001"/>
          <a:ext cx="14213680" cy="404811"/>
        </a:xfrm>
        <a:prstGeom prst="rect">
          <a:avLst/>
        </a:prstGeom>
        <a:solidFill>
          <a:srgbClr val="192952"/>
        </a:solidFill>
        <a:ln>
          <a:solidFill>
            <a:srgbClr val="19295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R" sz="1100"/>
        </a:p>
      </xdr:txBody>
    </xdr:sp>
    <xdr:clientData/>
  </xdr:twoCellAnchor>
  <xdr:twoCellAnchor>
    <xdr:from>
      <xdr:col>0</xdr:col>
      <xdr:colOff>261939</xdr:colOff>
      <xdr:row>6</xdr:row>
      <xdr:rowOff>71437</xdr:rowOff>
    </xdr:from>
    <xdr:to>
      <xdr:col>8</xdr:col>
      <xdr:colOff>214313</xdr:colOff>
      <xdr:row>7</xdr:row>
      <xdr:rowOff>178592</xdr:rowOff>
    </xdr:to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D81BC73A-79B8-4E05-B4AA-596D5F1B538D}"/>
            </a:ext>
          </a:extLst>
        </xdr:cNvPr>
        <xdr:cNvSpPr txBox="1"/>
      </xdr:nvSpPr>
      <xdr:spPr>
        <a:xfrm>
          <a:off x="261939" y="1214437"/>
          <a:ext cx="12930187" cy="2976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                     Instituto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Mixto de Ayuda Social             Programa  Protección y Promoción Social </a:t>
          </a:r>
          <a:r>
            <a:rPr lang="es-CR" sz="1100" b="1" baseline="0">
              <a:solidFill>
                <a:schemeClr val="dk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     </a:t>
          </a: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Período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: IV Trimestre 2024     Fecha Actualización: 24-02-2025</a:t>
          </a:r>
          <a:endParaRPr lang="es-CR" sz="1100" b="1" baseline="0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>
            <a:solidFill>
              <a:schemeClr val="bg1"/>
            </a:solidFill>
            <a:effectLst/>
          </a:endParaRPr>
        </a:p>
        <a:p>
          <a:endParaRPr lang="es-CR" sz="1100">
            <a:solidFill>
              <a:schemeClr val="bg1"/>
            </a:solidFill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20312</xdr:colOff>
      <xdr:row>14</xdr:row>
      <xdr:rowOff>178594</xdr:rowOff>
    </xdr:from>
    <xdr:to>
      <xdr:col>22</xdr:col>
      <xdr:colOff>635000</xdr:colOff>
      <xdr:row>34</xdr:row>
      <xdr:rowOff>95250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13772</xdr:colOff>
      <xdr:row>34</xdr:row>
      <xdr:rowOff>182977</xdr:rowOff>
    </xdr:from>
    <xdr:to>
      <xdr:col>22</xdr:col>
      <xdr:colOff>635000</xdr:colOff>
      <xdr:row>54</xdr:row>
      <xdr:rowOff>111124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31516</xdr:colOff>
      <xdr:row>55</xdr:row>
      <xdr:rowOff>63918</xdr:rowOff>
    </xdr:from>
    <xdr:to>
      <xdr:col>22</xdr:col>
      <xdr:colOff>635000</xdr:colOff>
      <xdr:row>74</xdr:row>
      <xdr:rowOff>190500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23</xdr:col>
      <xdr:colOff>180694</xdr:colOff>
      <xdr:row>14</xdr:row>
      <xdr:rowOff>166687</xdr:rowOff>
    </xdr:from>
    <xdr:to>
      <xdr:col>39</xdr:col>
      <xdr:colOff>95250</xdr:colOff>
      <xdr:row>34</xdr:row>
      <xdr:rowOff>95249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23</xdr:col>
      <xdr:colOff>155248</xdr:colOff>
      <xdr:row>34</xdr:row>
      <xdr:rowOff>171778</xdr:rowOff>
    </xdr:from>
    <xdr:to>
      <xdr:col>39</xdr:col>
      <xdr:colOff>158750</xdr:colOff>
      <xdr:row>57</xdr:row>
      <xdr:rowOff>111125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00000000-0008-0000-0600-00000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23</xdr:col>
      <xdr:colOff>436799</xdr:colOff>
      <xdr:row>58</xdr:row>
      <xdr:rowOff>126719</xdr:rowOff>
    </xdr:from>
    <xdr:to>
      <xdr:col>36</xdr:col>
      <xdr:colOff>396875</xdr:colOff>
      <xdr:row>77</xdr:row>
      <xdr:rowOff>127000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00000000-0008-0000-0600-00000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11</xdr:col>
      <xdr:colOff>543723</xdr:colOff>
      <xdr:row>76</xdr:row>
      <xdr:rowOff>23060</xdr:rowOff>
    </xdr:from>
    <xdr:to>
      <xdr:col>22</xdr:col>
      <xdr:colOff>174625</xdr:colOff>
      <xdr:row>95</xdr:row>
      <xdr:rowOff>111125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00000000-0008-0000-06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8</xdr:col>
      <xdr:colOff>1250155</xdr:colOff>
      <xdr:row>5</xdr:row>
      <xdr:rowOff>178592</xdr:rowOff>
    </xdr:to>
    <xdr:sp macro="" textlink="">
      <xdr:nvSpPr>
        <xdr:cNvPr id="14" name="Rectángulo 13">
          <a:extLst>
            <a:ext uri="{FF2B5EF4-FFF2-40B4-BE49-F238E27FC236}">
              <a16:creationId xmlns:a16="http://schemas.microsoft.com/office/drawing/2014/main" id="{13418AD7-CA22-4B27-8694-4877678E8845}"/>
            </a:ext>
          </a:extLst>
        </xdr:cNvPr>
        <xdr:cNvSpPr/>
      </xdr:nvSpPr>
      <xdr:spPr>
        <a:xfrm>
          <a:off x="0" y="0"/>
          <a:ext cx="14213680" cy="1131092"/>
        </a:xfrm>
        <a:prstGeom prst="rect">
          <a:avLst/>
        </a:prstGeom>
        <a:solidFill>
          <a:srgbClr val="0035A0"/>
        </a:solidFill>
        <a:ln>
          <a:solidFill>
            <a:srgbClr val="0035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R" sz="1100"/>
        </a:p>
      </xdr:txBody>
    </xdr:sp>
    <xdr:clientData/>
  </xdr:twoCellAnchor>
  <xdr:twoCellAnchor editAs="oneCell">
    <xdr:from>
      <xdr:col>0</xdr:col>
      <xdr:colOff>166443</xdr:colOff>
      <xdr:row>0</xdr:row>
      <xdr:rowOff>107156</xdr:rowOff>
    </xdr:from>
    <xdr:to>
      <xdr:col>0</xdr:col>
      <xdr:colOff>3464718</xdr:colOff>
      <xdr:row>5</xdr:row>
      <xdr:rowOff>83343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BF9F17F2-EB3E-45AE-9208-A365E14642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66443" y="107156"/>
          <a:ext cx="3298275" cy="928687"/>
        </a:xfrm>
        <a:prstGeom prst="rect">
          <a:avLst/>
        </a:prstGeom>
      </xdr:spPr>
    </xdr:pic>
    <xdr:clientData/>
  </xdr:twoCellAnchor>
  <xdr:twoCellAnchor editAs="oneCell">
    <xdr:from>
      <xdr:col>0</xdr:col>
      <xdr:colOff>3428999</xdr:colOff>
      <xdr:row>0</xdr:row>
      <xdr:rowOff>142875</xdr:rowOff>
    </xdr:from>
    <xdr:to>
      <xdr:col>2</xdr:col>
      <xdr:colOff>250032</xdr:colOff>
      <xdr:row>4</xdr:row>
      <xdr:rowOff>154781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05E27101-E026-4E48-BBA6-2280F3A3F3A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/>
        <a:srcRect l="63388" r="1826" b="1724"/>
        <a:stretch/>
      </xdr:blipFill>
      <xdr:spPr>
        <a:xfrm>
          <a:off x="3428999" y="142875"/>
          <a:ext cx="2297908" cy="77390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</xdr:row>
      <xdr:rowOff>1</xdr:rowOff>
    </xdr:from>
    <xdr:to>
      <xdr:col>8</xdr:col>
      <xdr:colOff>1250155</xdr:colOff>
      <xdr:row>7</xdr:row>
      <xdr:rowOff>214312</xdr:rowOff>
    </xdr:to>
    <xdr:sp macro="" textlink="">
      <xdr:nvSpPr>
        <xdr:cNvPr id="21" name="Rectángulo 20">
          <a:extLst>
            <a:ext uri="{FF2B5EF4-FFF2-40B4-BE49-F238E27FC236}">
              <a16:creationId xmlns:a16="http://schemas.microsoft.com/office/drawing/2014/main" id="{FFF7B01D-DF21-4060-8EBB-D88C66BA4A8A}"/>
            </a:ext>
          </a:extLst>
        </xdr:cNvPr>
        <xdr:cNvSpPr/>
      </xdr:nvSpPr>
      <xdr:spPr>
        <a:xfrm>
          <a:off x="0" y="1143001"/>
          <a:ext cx="14213680" cy="404811"/>
        </a:xfrm>
        <a:prstGeom prst="rect">
          <a:avLst/>
        </a:prstGeom>
        <a:solidFill>
          <a:srgbClr val="192952"/>
        </a:solidFill>
        <a:ln>
          <a:solidFill>
            <a:srgbClr val="19295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R" sz="1100"/>
        </a:p>
      </xdr:txBody>
    </xdr:sp>
    <xdr:clientData/>
  </xdr:twoCellAnchor>
  <xdr:twoCellAnchor>
    <xdr:from>
      <xdr:col>0</xdr:col>
      <xdr:colOff>71438</xdr:colOff>
      <xdr:row>6</xdr:row>
      <xdr:rowOff>59531</xdr:rowOff>
    </xdr:from>
    <xdr:to>
      <xdr:col>8</xdr:col>
      <xdr:colOff>23812</xdr:colOff>
      <xdr:row>7</xdr:row>
      <xdr:rowOff>166686</xdr:rowOff>
    </xdr:to>
    <xdr:sp macro="" textlink="">
      <xdr:nvSpPr>
        <xdr:cNvPr id="18" name="CuadroTexto 17">
          <a:extLst>
            <a:ext uri="{FF2B5EF4-FFF2-40B4-BE49-F238E27FC236}">
              <a16:creationId xmlns:a16="http://schemas.microsoft.com/office/drawing/2014/main" id="{1F413BEE-9D1E-4592-AF53-E91FAA9B7403}"/>
            </a:ext>
          </a:extLst>
        </xdr:cNvPr>
        <xdr:cNvSpPr txBox="1"/>
      </xdr:nvSpPr>
      <xdr:spPr>
        <a:xfrm>
          <a:off x="71438" y="1202531"/>
          <a:ext cx="12930187" cy="2976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                     Instituto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Mixto de Ayuda Social             Programa  Protección y Promoción Social </a:t>
          </a:r>
          <a:r>
            <a:rPr lang="es-CR" sz="1100" b="1" baseline="0">
              <a:solidFill>
                <a:schemeClr val="dk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     </a:t>
          </a: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Período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: Anual 2024     Fecha Actualización: 16-09-2025</a:t>
          </a:r>
          <a:endParaRPr lang="es-CR" sz="1100" b="1" baseline="0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>
            <a:solidFill>
              <a:schemeClr val="bg1"/>
            </a:solidFill>
            <a:effectLst/>
          </a:endParaRPr>
        </a:p>
        <a:p>
          <a:endParaRPr lang="es-CR" sz="1100">
            <a:solidFill>
              <a:schemeClr val="bg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8:I160"/>
  <sheetViews>
    <sheetView showGridLines="0" tabSelected="1" zoomScale="80" zoomScaleNormal="80" zoomScalePageLayoutView="90" workbookViewId="0">
      <pane ySplit="10" topLeftCell="A11" activePane="bottomLeft" state="frozen"/>
      <selection pane="bottomLeft" activeCell="A9" sqref="A9:A10"/>
    </sheetView>
  </sheetViews>
  <sheetFormatPr baseColWidth="10" defaultColWidth="11.44140625" defaultRowHeight="14.4" x14ac:dyDescent="0.3"/>
  <cols>
    <col min="1" max="1" width="63.44140625" style="1" customWidth="1"/>
    <col min="2" max="9" width="18.6640625" style="1" customWidth="1"/>
    <col min="10" max="16384" width="11.44140625" style="1"/>
  </cols>
  <sheetData>
    <row r="8" spans="1:9" ht="18" customHeight="1" x14ac:dyDescent="0.3"/>
    <row r="9" spans="1:9" ht="17.25" customHeight="1" x14ac:dyDescent="0.3">
      <c r="A9" s="56" t="s">
        <v>0</v>
      </c>
      <c r="B9" s="58" t="s">
        <v>54</v>
      </c>
      <c r="C9" s="63" t="s">
        <v>55</v>
      </c>
      <c r="D9" s="63"/>
      <c r="E9" s="63"/>
      <c r="F9" s="63"/>
      <c r="G9" s="63"/>
      <c r="H9" s="63"/>
      <c r="I9" s="63"/>
    </row>
    <row r="10" spans="1:9" ht="51.75" customHeight="1" thickBot="1" x14ac:dyDescent="0.35">
      <c r="A10" s="57"/>
      <c r="B10" s="59"/>
      <c r="C10" s="57" t="s">
        <v>1</v>
      </c>
      <c r="D10" s="57"/>
      <c r="E10" s="39" t="s">
        <v>44</v>
      </c>
      <c r="F10" s="39" t="s">
        <v>45</v>
      </c>
      <c r="G10" s="39" t="s">
        <v>50</v>
      </c>
      <c r="H10" s="39" t="s">
        <v>56</v>
      </c>
      <c r="I10" s="39" t="s">
        <v>88</v>
      </c>
    </row>
    <row r="11" spans="1:9" ht="16.2" thickTop="1" x14ac:dyDescent="0.35">
      <c r="A11" s="3"/>
      <c r="B11" s="3"/>
      <c r="C11" s="3"/>
      <c r="D11" s="3"/>
      <c r="E11" s="3"/>
      <c r="F11" s="3"/>
      <c r="G11" s="3"/>
      <c r="H11" s="3"/>
      <c r="I11" s="3"/>
    </row>
    <row r="12" spans="1:9" ht="15.6" x14ac:dyDescent="0.35">
      <c r="A12" s="4" t="s">
        <v>2</v>
      </c>
      <c r="B12" s="3"/>
      <c r="C12" s="3"/>
      <c r="D12" s="3"/>
      <c r="E12" s="3"/>
      <c r="F12" s="3"/>
      <c r="G12" s="3"/>
      <c r="H12" s="3"/>
      <c r="I12" s="3"/>
    </row>
    <row r="13" spans="1:9" ht="15.6" x14ac:dyDescent="0.35">
      <c r="A13" s="3"/>
      <c r="B13" s="3"/>
      <c r="C13" s="3"/>
      <c r="D13" s="3"/>
      <c r="E13" s="3"/>
      <c r="F13" s="3"/>
      <c r="G13" s="3"/>
      <c r="H13" s="3"/>
      <c r="I13" s="3"/>
    </row>
    <row r="14" spans="1:9" s="25" customFormat="1" ht="31.2" x14ac:dyDescent="0.3">
      <c r="A14" s="24" t="s">
        <v>41</v>
      </c>
      <c r="B14" s="33" t="s">
        <v>53</v>
      </c>
      <c r="C14" s="33" t="s">
        <v>42</v>
      </c>
      <c r="D14" s="33" t="s">
        <v>43</v>
      </c>
      <c r="E14" s="5" t="s">
        <v>42</v>
      </c>
      <c r="F14" s="5" t="s">
        <v>42</v>
      </c>
      <c r="G14" s="23" t="s">
        <v>57</v>
      </c>
      <c r="H14" s="5" t="s">
        <v>49</v>
      </c>
      <c r="I14" s="5" t="s">
        <v>42</v>
      </c>
    </row>
    <row r="15" spans="1:9" ht="15.6" x14ac:dyDescent="0.35">
      <c r="A15" s="6" t="s">
        <v>60</v>
      </c>
      <c r="B15" s="40">
        <v>187073</v>
      </c>
      <c r="C15" s="40">
        <v>160318</v>
      </c>
      <c r="D15" s="40">
        <v>267271</v>
      </c>
      <c r="E15" s="40">
        <v>1338</v>
      </c>
      <c r="F15" s="40">
        <v>6989</v>
      </c>
      <c r="G15" s="40">
        <v>35277</v>
      </c>
      <c r="H15" s="40">
        <v>23732</v>
      </c>
      <c r="I15" s="40" t="s">
        <v>47</v>
      </c>
    </row>
    <row r="16" spans="1:9" ht="15.6" x14ac:dyDescent="0.35">
      <c r="A16" s="6" t="s">
        <v>89</v>
      </c>
      <c r="B16" s="40" t="s">
        <v>48</v>
      </c>
      <c r="C16" s="40" t="s">
        <v>48</v>
      </c>
      <c r="D16" s="40">
        <v>172633</v>
      </c>
      <c r="E16" s="40">
        <v>1374</v>
      </c>
      <c r="F16" s="40">
        <v>6589</v>
      </c>
      <c r="G16" s="40">
        <v>76215</v>
      </c>
      <c r="H16" s="40">
        <v>16909</v>
      </c>
      <c r="I16" s="40">
        <v>164</v>
      </c>
    </row>
    <row r="17" spans="1:9" ht="15.6" x14ac:dyDescent="0.35">
      <c r="A17" s="6" t="s">
        <v>51</v>
      </c>
      <c r="B17" s="40">
        <f>+D17+E17+F17+G17+H17</f>
        <v>821158</v>
      </c>
      <c r="C17" s="40" t="s">
        <v>48</v>
      </c>
      <c r="D17" s="40">
        <v>517899</v>
      </c>
      <c r="E17" s="40">
        <v>4120</v>
      </c>
      <c r="F17" s="40">
        <v>19767</v>
      </c>
      <c r="G17" s="40">
        <v>228645</v>
      </c>
      <c r="H17" s="40">
        <v>50727</v>
      </c>
      <c r="I17" s="40">
        <v>492</v>
      </c>
    </row>
    <row r="18" spans="1:9" ht="15.6" x14ac:dyDescent="0.35">
      <c r="A18" s="6" t="s">
        <v>90</v>
      </c>
      <c r="B18" s="40">
        <v>189539</v>
      </c>
      <c r="C18" s="40">
        <v>137297</v>
      </c>
      <c r="D18" s="40">
        <v>217200</v>
      </c>
      <c r="E18" s="40">
        <v>1377</v>
      </c>
      <c r="F18" s="40">
        <v>6177</v>
      </c>
      <c r="G18" s="40">
        <v>69279</v>
      </c>
      <c r="H18" s="40">
        <v>24857</v>
      </c>
      <c r="I18" s="40">
        <v>122</v>
      </c>
    </row>
    <row r="19" spans="1:9" ht="15.6" x14ac:dyDescent="0.35">
      <c r="A19" s="6" t="s">
        <v>51</v>
      </c>
      <c r="B19" s="40">
        <f>+D19+E19+F19+G19+H19</f>
        <v>696920</v>
      </c>
      <c r="C19" s="40" t="s">
        <v>48</v>
      </c>
      <c r="D19" s="40">
        <v>492599</v>
      </c>
      <c r="E19" s="40">
        <v>4086</v>
      </c>
      <c r="F19" s="40">
        <v>14863</v>
      </c>
      <c r="G19" s="40">
        <v>119886</v>
      </c>
      <c r="H19" s="40">
        <v>65486</v>
      </c>
      <c r="I19" s="40">
        <v>210</v>
      </c>
    </row>
    <row r="20" spans="1:9" ht="15.6" x14ac:dyDescent="0.35">
      <c r="A20" s="6" t="s">
        <v>91</v>
      </c>
      <c r="B20" s="40" t="s">
        <v>48</v>
      </c>
      <c r="C20" s="40" t="s">
        <v>48</v>
      </c>
      <c r="D20" s="40">
        <v>172634</v>
      </c>
      <c r="E20" s="40">
        <v>1374</v>
      </c>
      <c r="F20" s="40">
        <v>6590</v>
      </c>
      <c r="G20" s="40">
        <v>76217</v>
      </c>
      <c r="H20" s="40">
        <v>16909</v>
      </c>
      <c r="I20" s="40">
        <v>165</v>
      </c>
    </row>
    <row r="21" spans="1:9" ht="15.6" x14ac:dyDescent="0.35">
      <c r="A21" s="3"/>
      <c r="B21" s="40"/>
      <c r="C21" s="40" t="s">
        <v>46</v>
      </c>
      <c r="D21" s="40"/>
      <c r="E21" s="40"/>
      <c r="F21" s="40"/>
      <c r="G21" s="40"/>
      <c r="H21" s="40"/>
    </row>
    <row r="22" spans="1:9" ht="15.6" x14ac:dyDescent="0.35">
      <c r="A22" s="7" t="s">
        <v>3</v>
      </c>
      <c r="B22" s="40"/>
      <c r="C22" s="40"/>
      <c r="D22" s="40"/>
      <c r="E22" s="40"/>
      <c r="F22" s="40"/>
      <c r="G22" s="40"/>
      <c r="H22" s="40"/>
    </row>
    <row r="23" spans="1:9" ht="15.6" x14ac:dyDescent="0.35">
      <c r="A23" s="6" t="s">
        <v>60</v>
      </c>
      <c r="B23" s="40">
        <f>+C23+E23+F23+G23+H23</f>
        <v>31750205002</v>
      </c>
      <c r="C23" s="60">
        <v>14071594000</v>
      </c>
      <c r="D23" s="60"/>
      <c r="E23" s="40">
        <v>387100000</v>
      </c>
      <c r="F23" s="40">
        <v>1653720000</v>
      </c>
      <c r="G23" s="40">
        <v>9339206726</v>
      </c>
      <c r="H23" s="40">
        <v>6298584276</v>
      </c>
      <c r="I23" s="40" t="s">
        <v>47</v>
      </c>
    </row>
    <row r="24" spans="1:9" ht="15.6" x14ac:dyDescent="0.35">
      <c r="A24" s="6" t="s">
        <v>89</v>
      </c>
      <c r="B24" s="40">
        <f>+C24+E24+F24+G24+H24+I24</f>
        <v>43925251000</v>
      </c>
      <c r="C24" s="60">
        <v>18126465000</v>
      </c>
      <c r="D24" s="60"/>
      <c r="E24" s="40">
        <v>412000000</v>
      </c>
      <c r="F24" s="40">
        <v>1482525000</v>
      </c>
      <c r="G24" s="40">
        <v>17148375000</v>
      </c>
      <c r="H24" s="40">
        <v>6594510000</v>
      </c>
      <c r="I24" s="40">
        <v>161376000</v>
      </c>
    </row>
    <row r="25" spans="1:9" ht="15.6" x14ac:dyDescent="0.35">
      <c r="A25" s="6" t="s">
        <v>90</v>
      </c>
      <c r="B25" s="40">
        <f>+C25+E25+F25+G25+H25+I25</f>
        <v>36611837847.770004</v>
      </c>
      <c r="C25" s="60">
        <v>16319959000</v>
      </c>
      <c r="D25" s="60"/>
      <c r="E25" s="40">
        <v>404718000</v>
      </c>
      <c r="F25" s="40">
        <v>1228567000</v>
      </c>
      <c r="G25" s="40">
        <v>12192912229.77</v>
      </c>
      <c r="H25" s="40">
        <v>6411476618</v>
      </c>
      <c r="I25" s="40">
        <v>54205000</v>
      </c>
    </row>
    <row r="26" spans="1:9" ht="15.6" x14ac:dyDescent="0.35">
      <c r="A26" s="6" t="s">
        <v>91</v>
      </c>
      <c r="B26" s="40">
        <f>+C26+E26+F26+G26+H26+I26</f>
        <v>175706296000</v>
      </c>
      <c r="C26" s="60">
        <v>72506175000</v>
      </c>
      <c r="D26" s="60"/>
      <c r="E26" s="46">
        <v>1648600000</v>
      </c>
      <c r="F26" s="46">
        <v>5930325000</v>
      </c>
      <c r="G26" s="40">
        <v>68594700000</v>
      </c>
      <c r="H26" s="40">
        <v>26378040000</v>
      </c>
      <c r="I26" s="40">
        <v>648456000</v>
      </c>
    </row>
    <row r="27" spans="1:9" ht="15.6" x14ac:dyDescent="0.35">
      <c r="A27" s="6" t="s">
        <v>92</v>
      </c>
      <c r="B27" s="40">
        <f>+C27+E27+F27+G27+H27+I27</f>
        <v>36611837847.770004</v>
      </c>
      <c r="C27" s="60">
        <f>C25</f>
        <v>16319959000</v>
      </c>
      <c r="D27" s="60"/>
      <c r="E27" s="40">
        <f>E25</f>
        <v>404718000</v>
      </c>
      <c r="F27" s="40">
        <f t="shared" ref="F27:G27" si="0">F25</f>
        <v>1228567000</v>
      </c>
      <c r="G27" s="40">
        <f t="shared" si="0"/>
        <v>12192912229.77</v>
      </c>
      <c r="H27" s="40">
        <f>H25</f>
        <v>6411476618</v>
      </c>
      <c r="I27" s="40">
        <f>I25</f>
        <v>54205000</v>
      </c>
    </row>
    <row r="28" spans="1:9" ht="15.6" x14ac:dyDescent="0.35">
      <c r="A28" s="3"/>
      <c r="B28" s="40"/>
      <c r="C28" s="40"/>
      <c r="D28" s="40"/>
      <c r="E28" s="40"/>
      <c r="F28" s="40"/>
      <c r="G28" s="40"/>
      <c r="H28" s="40"/>
    </row>
    <row r="29" spans="1:9" ht="15.6" x14ac:dyDescent="0.35">
      <c r="A29" s="7" t="s">
        <v>4</v>
      </c>
      <c r="B29" s="40"/>
      <c r="C29" s="40"/>
      <c r="D29" s="40"/>
      <c r="E29" s="40"/>
      <c r="F29" s="40"/>
      <c r="G29" s="40"/>
      <c r="H29" s="40"/>
    </row>
    <row r="30" spans="1:9" ht="15.6" x14ac:dyDescent="0.35">
      <c r="A30" s="6" t="s">
        <v>89</v>
      </c>
      <c r="B30" s="40">
        <f>B24</f>
        <v>43925251000</v>
      </c>
      <c r="C30" s="40"/>
      <c r="D30" s="40"/>
      <c r="E30" s="40"/>
      <c r="F30" s="40"/>
      <c r="G30" s="40"/>
      <c r="H30" s="40"/>
    </row>
    <row r="31" spans="1:9" ht="15.6" x14ac:dyDescent="0.35">
      <c r="A31" s="6" t="s">
        <v>90</v>
      </c>
      <c r="B31" s="40">
        <v>44426687333.5</v>
      </c>
      <c r="C31" s="40"/>
      <c r="D31" s="40"/>
      <c r="E31" s="40"/>
      <c r="F31" s="40"/>
      <c r="G31" s="40"/>
      <c r="H31" s="40"/>
    </row>
    <row r="32" spans="1:9" ht="15.6" x14ac:dyDescent="0.35">
      <c r="A32" s="3"/>
      <c r="B32" s="19"/>
      <c r="C32" s="19"/>
      <c r="D32" s="19"/>
      <c r="E32" s="19"/>
      <c r="F32" s="19"/>
      <c r="G32" s="19"/>
      <c r="H32" s="19"/>
    </row>
    <row r="33" spans="1:9" ht="15.6" x14ac:dyDescent="0.35">
      <c r="A33" s="4" t="s">
        <v>5</v>
      </c>
      <c r="B33" s="19"/>
      <c r="C33" s="19"/>
      <c r="D33" s="19"/>
      <c r="E33" s="19"/>
      <c r="F33" s="19"/>
      <c r="G33" s="19"/>
      <c r="H33" s="19"/>
    </row>
    <row r="34" spans="1:9" ht="15.6" x14ac:dyDescent="0.35">
      <c r="A34" s="6" t="s">
        <v>61</v>
      </c>
      <c r="B34" s="21">
        <v>1.1041000000000001</v>
      </c>
      <c r="C34" s="21">
        <v>1.1041000000000001</v>
      </c>
      <c r="D34" s="21">
        <v>1.1041000000000001</v>
      </c>
      <c r="E34" s="21">
        <v>1.1041000000000001</v>
      </c>
      <c r="F34" s="21">
        <v>1.1041000000000001</v>
      </c>
      <c r="G34" s="21">
        <v>1.1041000000000001</v>
      </c>
      <c r="H34" s="21">
        <v>1.1041000000000001</v>
      </c>
      <c r="I34" s="21">
        <v>1.1041000000000001</v>
      </c>
    </row>
    <row r="35" spans="1:9" ht="15.6" x14ac:dyDescent="0.35">
      <c r="A35" s="6" t="s">
        <v>93</v>
      </c>
      <c r="B35" s="21">
        <v>1.091</v>
      </c>
      <c r="C35" s="21">
        <v>1.091</v>
      </c>
      <c r="D35" s="21">
        <v>1.091</v>
      </c>
      <c r="E35" s="21">
        <v>1.091</v>
      </c>
      <c r="F35" s="21">
        <v>1.091</v>
      </c>
      <c r="G35" s="21">
        <v>1.091</v>
      </c>
      <c r="H35" s="21">
        <v>1.091</v>
      </c>
      <c r="I35" s="21">
        <v>1.091</v>
      </c>
    </row>
    <row r="36" spans="1:9" ht="15.6" x14ac:dyDescent="0.35">
      <c r="A36" s="6" t="s">
        <v>6</v>
      </c>
      <c r="B36" s="41">
        <v>429884</v>
      </c>
      <c r="C36" s="61">
        <v>164022</v>
      </c>
      <c r="D36" s="61"/>
      <c r="E36" s="41">
        <v>131709</v>
      </c>
      <c r="F36" s="41">
        <v>87579</v>
      </c>
      <c r="G36" s="41" t="s">
        <v>52</v>
      </c>
      <c r="H36" s="41" t="s">
        <v>52</v>
      </c>
      <c r="I36" s="41" t="s">
        <v>52</v>
      </c>
    </row>
    <row r="37" spans="1:9" ht="15.6" x14ac:dyDescent="0.35">
      <c r="A37" s="3"/>
      <c r="B37" s="40"/>
      <c r="C37" s="40"/>
      <c r="D37" s="40"/>
      <c r="E37" s="40"/>
      <c r="F37" s="40"/>
      <c r="G37" s="40"/>
      <c r="H37" s="40"/>
    </row>
    <row r="38" spans="1:9" ht="15.6" x14ac:dyDescent="0.35">
      <c r="A38" s="4" t="s">
        <v>7</v>
      </c>
      <c r="B38" s="40"/>
      <c r="C38" s="40"/>
      <c r="D38" s="40"/>
      <c r="E38" s="40"/>
      <c r="F38" s="40"/>
      <c r="G38" s="40"/>
      <c r="H38" s="40"/>
    </row>
    <row r="39" spans="1:9" ht="15.6" x14ac:dyDescent="0.35">
      <c r="A39" s="3" t="s">
        <v>58</v>
      </c>
      <c r="B39" s="42">
        <f>B23/B34</f>
        <v>28756638893.21619</v>
      </c>
      <c r="C39" s="62">
        <f>C23/C34</f>
        <v>12744854632.732542</v>
      </c>
      <c r="D39" s="62"/>
      <c r="E39" s="42">
        <f>E23/E34</f>
        <v>350602300.51625758</v>
      </c>
      <c r="F39" s="42">
        <f t="shared" ref="F39:H39" si="1">F23/F34</f>
        <v>1497799112.3992391</v>
      </c>
      <c r="G39" s="42">
        <f t="shared" si="1"/>
        <v>8458660199.2573128</v>
      </c>
      <c r="H39" s="42">
        <f t="shared" si="1"/>
        <v>5704722648.3108406</v>
      </c>
      <c r="I39" s="42" t="s">
        <v>47</v>
      </c>
    </row>
    <row r="40" spans="1:9" ht="15.6" x14ac:dyDescent="0.35">
      <c r="A40" s="3" t="s">
        <v>62</v>
      </c>
      <c r="B40" s="42">
        <f>B25/B35</f>
        <v>33558054855.884514</v>
      </c>
      <c r="C40" s="62">
        <f>C25/C35</f>
        <v>14958715857.011915</v>
      </c>
      <c r="D40" s="62"/>
      <c r="E40" s="42">
        <f>E25/E35</f>
        <v>370960586.61778188</v>
      </c>
      <c r="F40" s="42">
        <f t="shared" ref="F40:H40" si="2">F25/F35</f>
        <v>1126092575.6186984</v>
      </c>
      <c r="G40" s="42">
        <f t="shared" si="2"/>
        <v>11175904885.215399</v>
      </c>
      <c r="H40" s="42">
        <f t="shared" si="2"/>
        <v>5876697175.0687447</v>
      </c>
      <c r="I40" s="42">
        <f t="shared" ref="I40" si="3">I25/I35</f>
        <v>49683776.351970673</v>
      </c>
    </row>
    <row r="41" spans="1:9" ht="15.6" x14ac:dyDescent="0.35">
      <c r="A41" s="3" t="s">
        <v>59</v>
      </c>
      <c r="B41" s="42">
        <f>B39/B15</f>
        <v>153718.80973318539</v>
      </c>
      <c r="C41" s="62">
        <f>C39/D15</f>
        <v>47685.138427785067</v>
      </c>
      <c r="D41" s="62"/>
      <c r="E41" s="42">
        <f>E39/E15</f>
        <v>262034.60427224034</v>
      </c>
      <c r="F41" s="42">
        <f t="shared" ref="F41:H41" si="4">F39/F15</f>
        <v>214308.07159811692</v>
      </c>
      <c r="G41" s="42">
        <f t="shared" si="4"/>
        <v>239778.33146972</v>
      </c>
      <c r="H41" s="42">
        <f t="shared" si="4"/>
        <v>240381.0318688202</v>
      </c>
      <c r="I41" s="42" t="s">
        <v>47</v>
      </c>
    </row>
    <row r="42" spans="1:9" ht="15.6" x14ac:dyDescent="0.35">
      <c r="A42" s="3" t="s">
        <v>63</v>
      </c>
      <c r="B42" s="42">
        <f>B40/B18</f>
        <v>177050.9227962821</v>
      </c>
      <c r="C42" s="62">
        <f>C40/D18</f>
        <v>68870.699157513416</v>
      </c>
      <c r="D42" s="62"/>
      <c r="E42" s="42">
        <f>E40/E18</f>
        <v>269397.66638909362</v>
      </c>
      <c r="F42" s="42">
        <f t="shared" ref="F42:H42" si="5">F40/F18</f>
        <v>182304.12427047084</v>
      </c>
      <c r="G42" s="42">
        <f t="shared" si="5"/>
        <v>161317.35280843257</v>
      </c>
      <c r="H42" s="42">
        <f t="shared" si="5"/>
        <v>236420.21060742426</v>
      </c>
      <c r="I42" s="42">
        <f t="shared" ref="I42" si="6">I40/I18</f>
        <v>407244.06845877599</v>
      </c>
    </row>
    <row r="43" spans="1:9" ht="15.6" x14ac:dyDescent="0.35">
      <c r="A43" s="3"/>
      <c r="B43" s="8"/>
      <c r="C43" s="8"/>
      <c r="D43" s="8"/>
      <c r="E43" s="8"/>
      <c r="F43" s="8"/>
      <c r="G43" s="8"/>
      <c r="H43" s="8"/>
    </row>
    <row r="44" spans="1:9" ht="15.6" x14ac:dyDescent="0.35">
      <c r="A44" s="4" t="s">
        <v>8</v>
      </c>
      <c r="B44" s="8"/>
      <c r="C44" s="8"/>
      <c r="D44" s="8"/>
      <c r="E44" s="8"/>
      <c r="F44" s="8"/>
      <c r="G44" s="8"/>
      <c r="H44" s="8"/>
    </row>
    <row r="45" spans="1:9" ht="15.6" x14ac:dyDescent="0.35">
      <c r="A45" s="3"/>
      <c r="B45" s="8"/>
      <c r="C45" s="8"/>
      <c r="D45" s="8"/>
      <c r="E45" s="8"/>
      <c r="F45" s="8"/>
      <c r="G45" s="8"/>
      <c r="H45" s="8"/>
    </row>
    <row r="46" spans="1:9" ht="15.6" x14ac:dyDescent="0.35">
      <c r="A46" s="4" t="s">
        <v>9</v>
      </c>
      <c r="B46" s="8"/>
      <c r="C46" s="8"/>
      <c r="D46" s="8"/>
      <c r="E46" s="8"/>
      <c r="F46" s="8"/>
      <c r="G46" s="8"/>
      <c r="H46" s="8"/>
    </row>
    <row r="47" spans="1:9" ht="15.6" x14ac:dyDescent="0.35">
      <c r="A47" s="3" t="s">
        <v>10</v>
      </c>
      <c r="B47" s="49" t="s">
        <v>52</v>
      </c>
      <c r="C47" s="54">
        <f>(D16/C36)*100</f>
        <v>105.24990550048163</v>
      </c>
      <c r="D47" s="54"/>
      <c r="E47" s="38">
        <f>(E16/E36)*100</f>
        <v>1.0432088923308203</v>
      </c>
      <c r="F47" s="38">
        <f t="shared" ref="F47" si="7">(F16/F36)*100</f>
        <v>7.5234930748238726</v>
      </c>
      <c r="G47" s="38" t="s">
        <v>47</v>
      </c>
      <c r="H47" s="38" t="s">
        <v>47</v>
      </c>
      <c r="I47" s="38" t="s">
        <v>47</v>
      </c>
    </row>
    <row r="48" spans="1:9" ht="15.6" x14ac:dyDescent="0.35">
      <c r="A48" s="3" t="s">
        <v>11</v>
      </c>
      <c r="B48" s="38">
        <f>(B18/B36)*100</f>
        <v>44.090731453136193</v>
      </c>
      <c r="C48" s="54">
        <f>(D18/C36)*100</f>
        <v>132.42126056260744</v>
      </c>
      <c r="D48" s="54"/>
      <c r="E48" s="38">
        <f>(E18/E36)*100</f>
        <v>1.0454866410040315</v>
      </c>
      <c r="F48" s="38">
        <f t="shared" ref="F48" si="8">(F18/F36)*100</f>
        <v>7.0530606652279655</v>
      </c>
      <c r="G48" s="38" t="s">
        <v>47</v>
      </c>
      <c r="H48" s="38" t="s">
        <v>47</v>
      </c>
      <c r="I48" s="38" t="s">
        <v>47</v>
      </c>
    </row>
    <row r="49" spans="1:9" ht="15.6" x14ac:dyDescent="0.35">
      <c r="A49" s="3"/>
      <c r="B49" s="38"/>
      <c r="C49" s="38"/>
      <c r="D49" s="38"/>
      <c r="E49" s="38"/>
      <c r="F49" s="38"/>
      <c r="G49" s="38"/>
      <c r="H49" s="38"/>
    </row>
    <row r="50" spans="1:9" ht="15.6" x14ac:dyDescent="0.35">
      <c r="A50" s="4" t="s">
        <v>12</v>
      </c>
      <c r="B50" s="38"/>
      <c r="C50" s="38"/>
      <c r="D50" s="38"/>
      <c r="E50" s="38"/>
      <c r="F50" s="38"/>
      <c r="G50" s="38"/>
      <c r="H50" s="38"/>
    </row>
    <row r="51" spans="1:9" ht="15.6" x14ac:dyDescent="0.35">
      <c r="A51" s="3" t="s">
        <v>13</v>
      </c>
      <c r="B51" s="49" t="s">
        <v>52</v>
      </c>
      <c r="C51" s="49" t="s">
        <v>52</v>
      </c>
      <c r="D51" s="38">
        <f>D18/D16*100</f>
        <v>125.81603748993531</v>
      </c>
      <c r="E51" s="38">
        <f>E18/E16*100</f>
        <v>100.21834061135371</v>
      </c>
      <c r="F51" s="38">
        <f>F18/F16*100</f>
        <v>93.747154348156016</v>
      </c>
      <c r="G51" s="38">
        <f t="shared" ref="G51:H51" si="9">G18/G16*100</f>
        <v>90.899429246211369</v>
      </c>
      <c r="H51" s="38">
        <f t="shared" si="9"/>
        <v>147.00455378792358</v>
      </c>
      <c r="I51" s="38">
        <f t="shared" ref="I51" si="10">I18/I16*100</f>
        <v>74.390243902439025</v>
      </c>
    </row>
    <row r="52" spans="1:9" ht="15.6" x14ac:dyDescent="0.35">
      <c r="A52" s="3" t="s">
        <v>14</v>
      </c>
      <c r="B52" s="38">
        <f>B25/B24*100</f>
        <v>83.350321316934554</v>
      </c>
      <c r="C52" s="54">
        <f>C25/C24*100</f>
        <v>90.033875882583843</v>
      </c>
      <c r="D52" s="54"/>
      <c r="E52" s="38">
        <f>E25/E24*100</f>
        <v>98.232524271844653</v>
      </c>
      <c r="F52" s="38">
        <f>F25/F24*100</f>
        <v>82.869901013473637</v>
      </c>
      <c r="G52" s="38">
        <f t="shared" ref="G52:H52" si="11">G25/G24*100</f>
        <v>71.10243524398085</v>
      </c>
      <c r="H52" s="38">
        <f t="shared" si="11"/>
        <v>97.224458193254691</v>
      </c>
      <c r="I52" s="38">
        <f t="shared" ref="I52" si="12">I25/I24*100</f>
        <v>33.589257386476298</v>
      </c>
    </row>
    <row r="53" spans="1:9" ht="15.6" x14ac:dyDescent="0.35">
      <c r="A53" s="3" t="s">
        <v>15</v>
      </c>
      <c r="B53" s="49" t="s">
        <v>52</v>
      </c>
      <c r="C53" s="49" t="s">
        <v>52</v>
      </c>
      <c r="D53" s="38">
        <f>AVERAGE(D51,C52)</f>
        <v>107.92495668625958</v>
      </c>
      <c r="E53" s="38">
        <f>AVERAGE(E51:E52)</f>
        <v>99.225432441599182</v>
      </c>
      <c r="F53" s="38">
        <f>AVERAGE(F51:F52)</f>
        <v>88.308527680814819</v>
      </c>
      <c r="G53" s="38">
        <f t="shared" ref="G53:H53" si="13">AVERAGE(G51:G52)</f>
        <v>81.000932245096109</v>
      </c>
      <c r="H53" s="38">
        <f t="shared" si="13"/>
        <v>122.11450599058914</v>
      </c>
      <c r="I53" s="38">
        <f t="shared" ref="I53" si="14">AVERAGE(I51:I52)</f>
        <v>53.989750644457658</v>
      </c>
    </row>
    <row r="54" spans="1:9" ht="15.6" x14ac:dyDescent="0.35">
      <c r="A54" s="3"/>
      <c r="B54" s="38"/>
      <c r="C54" s="38"/>
      <c r="D54" s="38"/>
      <c r="E54" s="38"/>
      <c r="F54" s="38"/>
      <c r="G54" s="38"/>
      <c r="H54" s="38"/>
    </row>
    <row r="55" spans="1:9" ht="15.6" x14ac:dyDescent="0.35">
      <c r="A55" s="4" t="s">
        <v>16</v>
      </c>
      <c r="B55" s="38"/>
      <c r="C55" s="38"/>
      <c r="D55" s="38"/>
      <c r="E55" s="38"/>
      <c r="F55" s="38"/>
      <c r="G55" s="38"/>
      <c r="H55" s="38"/>
    </row>
    <row r="56" spans="1:9" ht="15.6" x14ac:dyDescent="0.35">
      <c r="A56" s="3" t="s">
        <v>17</v>
      </c>
      <c r="B56" s="49" t="s">
        <v>52</v>
      </c>
      <c r="C56" s="54">
        <f>D18/D20*100</f>
        <v>125.81530868774402</v>
      </c>
      <c r="D56" s="54"/>
      <c r="E56" s="38">
        <f>E18/E20*100</f>
        <v>100.21834061135371</v>
      </c>
      <c r="F56" s="38">
        <f>F18/F20*100</f>
        <v>93.732928679817903</v>
      </c>
      <c r="G56" s="38">
        <f t="shared" ref="G56:H56" si="15">G18/G20*100</f>
        <v>90.897043966569129</v>
      </c>
      <c r="H56" s="38">
        <f t="shared" si="15"/>
        <v>147.00455378792358</v>
      </c>
      <c r="I56" s="38">
        <f t="shared" ref="I56" si="16">I18/I20*100</f>
        <v>73.939393939393938</v>
      </c>
    </row>
    <row r="57" spans="1:9" ht="15.6" x14ac:dyDescent="0.35">
      <c r="A57" s="3" t="s">
        <v>18</v>
      </c>
      <c r="B57" s="38">
        <f>B25/B26*100</f>
        <v>20.836952733765447</v>
      </c>
      <c r="C57" s="54">
        <f>C25/C26*100</f>
        <v>22.508371183557816</v>
      </c>
      <c r="D57" s="54"/>
      <c r="E57" s="38">
        <f>E25/E26*100</f>
        <v>24.54919325488293</v>
      </c>
      <c r="F57" s="38">
        <f>F25/F26*100</f>
        <v>20.716689220236663</v>
      </c>
      <c r="G57" s="38">
        <f t="shared" ref="G57:H57" si="17">G25/G26*100</f>
        <v>17.775297843375657</v>
      </c>
      <c r="H57" s="38">
        <f t="shared" si="17"/>
        <v>24.306114548313673</v>
      </c>
      <c r="I57" s="38">
        <f t="shared" ref="I57" si="18">I25/I26*100</f>
        <v>8.3590868154508549</v>
      </c>
    </row>
    <row r="58" spans="1:9" ht="15.6" x14ac:dyDescent="0.35">
      <c r="A58" s="3" t="s">
        <v>19</v>
      </c>
      <c r="B58" s="49" t="s">
        <v>52</v>
      </c>
      <c r="C58" s="54">
        <f>(C56+C57)/2</f>
        <v>74.161839935650917</v>
      </c>
      <c r="D58" s="54"/>
      <c r="E58" s="38">
        <f>(E56+E57)/2</f>
        <v>62.383766933118324</v>
      </c>
      <c r="F58" s="38">
        <f>(F56+F57)/2</f>
        <v>57.224808950027281</v>
      </c>
      <c r="G58" s="38">
        <f t="shared" ref="G58:H58" si="19">(G56+G57)/2</f>
        <v>54.336170904972391</v>
      </c>
      <c r="H58" s="38">
        <f t="shared" si="19"/>
        <v>85.655334168118628</v>
      </c>
      <c r="I58" s="38">
        <f t="shared" ref="I58" si="20">(I56+I57)/2</f>
        <v>41.149240377422394</v>
      </c>
    </row>
    <row r="59" spans="1:9" ht="15.6" x14ac:dyDescent="0.35">
      <c r="A59" s="3"/>
      <c r="B59" s="38"/>
      <c r="C59" s="38"/>
      <c r="D59" s="38"/>
      <c r="E59" s="38"/>
      <c r="F59" s="38"/>
      <c r="G59" s="38"/>
      <c r="H59" s="38"/>
      <c r="I59" s="38"/>
    </row>
    <row r="60" spans="1:9" ht="15.6" x14ac:dyDescent="0.35">
      <c r="A60" s="4" t="s">
        <v>30</v>
      </c>
      <c r="B60" s="38"/>
      <c r="C60" s="38"/>
      <c r="D60" s="38"/>
      <c r="E60" s="38"/>
      <c r="F60" s="38"/>
      <c r="G60" s="38"/>
      <c r="H60" s="38"/>
    </row>
    <row r="61" spans="1:9" ht="15.6" x14ac:dyDescent="0.35">
      <c r="A61" s="3" t="s">
        <v>20</v>
      </c>
      <c r="B61" s="38">
        <f>B27/B25*100</f>
        <v>100</v>
      </c>
      <c r="C61" s="54">
        <f>C27/C25*100</f>
        <v>100</v>
      </c>
      <c r="D61" s="54"/>
      <c r="E61" s="38">
        <f>E27/E25*100</f>
        <v>100</v>
      </c>
      <c r="F61" s="38">
        <f t="shared" ref="F61:I61" si="21">F27/F25*100</f>
        <v>100</v>
      </c>
      <c r="G61" s="38">
        <f t="shared" si="21"/>
        <v>100</v>
      </c>
      <c r="H61" s="38">
        <f t="shared" si="21"/>
        <v>100</v>
      </c>
      <c r="I61" s="38">
        <f t="shared" si="21"/>
        <v>100</v>
      </c>
    </row>
    <row r="62" spans="1:9" ht="15.6" x14ac:dyDescent="0.35">
      <c r="A62" s="3"/>
      <c r="B62" s="38"/>
      <c r="C62" s="38"/>
      <c r="D62" s="38"/>
      <c r="E62" s="38"/>
      <c r="F62" s="38"/>
      <c r="G62" s="38"/>
      <c r="H62" s="38"/>
    </row>
    <row r="63" spans="1:9" ht="15.6" x14ac:dyDescent="0.35">
      <c r="A63" s="4" t="s">
        <v>21</v>
      </c>
      <c r="B63" s="38"/>
      <c r="C63" s="38"/>
      <c r="D63" s="38"/>
      <c r="E63" s="38"/>
      <c r="F63" s="38"/>
      <c r="G63" s="38"/>
      <c r="H63" s="38"/>
    </row>
    <row r="64" spans="1:9" ht="15.6" x14ac:dyDescent="0.35">
      <c r="A64" s="3" t="s">
        <v>22</v>
      </c>
      <c r="B64" s="43">
        <f>((B18/B15)-1)*100</f>
        <v>1.3182019853212434</v>
      </c>
      <c r="C64" s="55">
        <f>((D18/D15)-1)*100</f>
        <v>-18.73416869020582</v>
      </c>
      <c r="D64" s="55"/>
      <c r="E64" s="43">
        <f>((E18/E15)-1)*100</f>
        <v>2.9147982062780242</v>
      </c>
      <c r="F64" s="43">
        <f t="shared" ref="F64:H64" si="22">((F18/F15)-1)*100</f>
        <v>-11.618257261410792</v>
      </c>
      <c r="G64" s="43">
        <f t="shared" si="22"/>
        <v>96.385747087337364</v>
      </c>
      <c r="H64" s="43">
        <f t="shared" si="22"/>
        <v>4.7404348558907738</v>
      </c>
      <c r="I64" s="43" t="s">
        <v>47</v>
      </c>
    </row>
    <row r="65" spans="1:9" ht="15.6" x14ac:dyDescent="0.35">
      <c r="A65" s="3" t="s">
        <v>23</v>
      </c>
      <c r="B65" s="43">
        <f>((B40/B39)-1)*100</f>
        <v>16.696721687460482</v>
      </c>
      <c r="C65" s="55">
        <f>((C40/C39)-1)*100</f>
        <v>17.37062750479339</v>
      </c>
      <c r="D65" s="55"/>
      <c r="E65" s="43">
        <f>((E40/E39)-1)*100</f>
        <v>5.8066607297062811</v>
      </c>
      <c r="F65" s="43">
        <f t="shared" ref="F65:H65" si="23">((F40/F39)-1)*100</f>
        <v>-24.816848514826873</v>
      </c>
      <c r="G65" s="43">
        <f t="shared" si="23"/>
        <v>32.123818925799455</v>
      </c>
      <c r="H65" s="43">
        <f t="shared" si="23"/>
        <v>3.0145992602957694</v>
      </c>
      <c r="I65" s="43" t="s">
        <v>47</v>
      </c>
    </row>
    <row r="66" spans="1:9" ht="15.6" x14ac:dyDescent="0.35">
      <c r="A66" s="3" t="s">
        <v>24</v>
      </c>
      <c r="B66" s="43">
        <f>((B42/B41)-1)*100</f>
        <v>15.178437241086495</v>
      </c>
      <c r="C66" s="55">
        <f>((C42/C41)-1)*100</f>
        <v>44.428015579344525</v>
      </c>
      <c r="D66" s="55"/>
      <c r="E66" s="43">
        <f>((E42/E41)-1)*100</f>
        <v>2.8099579203682001</v>
      </c>
      <c r="F66" s="43">
        <f t="shared" ref="F66:H66" si="24">((F42/F41)-1)*100</f>
        <v>-14.933617333677363</v>
      </c>
      <c r="G66" s="43">
        <f t="shared" si="24"/>
        <v>-32.722297373729013</v>
      </c>
      <c r="H66" s="43">
        <f t="shared" si="24"/>
        <v>-1.6477262080967447</v>
      </c>
      <c r="I66" s="43" t="s">
        <v>47</v>
      </c>
    </row>
    <row r="67" spans="1:9" ht="15.6" x14ac:dyDescent="0.35">
      <c r="A67" s="3"/>
      <c r="B67" s="38"/>
      <c r="C67" s="38"/>
      <c r="D67" s="38"/>
      <c r="E67" s="38"/>
      <c r="F67" s="38"/>
      <c r="G67" s="38"/>
      <c r="H67" s="38"/>
    </row>
    <row r="68" spans="1:9" ht="15.6" x14ac:dyDescent="0.35">
      <c r="A68" s="4" t="s">
        <v>25</v>
      </c>
      <c r="B68" s="38"/>
      <c r="C68" s="38"/>
      <c r="D68" s="38"/>
      <c r="E68" s="38"/>
      <c r="F68" s="38"/>
      <c r="G68" s="38"/>
      <c r="H68" s="38"/>
    </row>
    <row r="69" spans="1:9" ht="15.6" x14ac:dyDescent="0.35">
      <c r="A69" s="3" t="s">
        <v>31</v>
      </c>
      <c r="B69" s="38">
        <f>(B24/B17)*3</f>
        <v>160475.51506531023</v>
      </c>
      <c r="C69" s="55">
        <f>(C24/D17)*3</f>
        <v>105000</v>
      </c>
      <c r="D69" s="55"/>
      <c r="E69" s="38">
        <f>(E24/E17)*3</f>
        <v>300000</v>
      </c>
      <c r="F69" s="38">
        <f t="shared" ref="F69:H69" si="25">(F24/F17)*3</f>
        <v>225000</v>
      </c>
      <c r="G69" s="38">
        <f t="shared" si="25"/>
        <v>225000</v>
      </c>
      <c r="H69" s="38">
        <f t="shared" si="25"/>
        <v>390000</v>
      </c>
      <c r="I69" s="38">
        <f t="shared" ref="I69" si="26">(I24/I17)*3</f>
        <v>984000</v>
      </c>
    </row>
    <row r="70" spans="1:9" ht="15.6" x14ac:dyDescent="0.35">
      <c r="A70" s="3" t="s">
        <v>32</v>
      </c>
      <c r="B70" s="38">
        <f>(B25/B19)*3</f>
        <v>157601.32230860071</v>
      </c>
      <c r="C70" s="55">
        <f>(C25/D19)*3</f>
        <v>99390.938674256351</v>
      </c>
      <c r="D70" s="55"/>
      <c r="E70" s="38">
        <f>(E25/E19)*3</f>
        <v>297149.77973568282</v>
      </c>
      <c r="F70" s="38">
        <f t="shared" ref="F70:H70" si="27">(F25/F19)*3</f>
        <v>247978.26818273566</v>
      </c>
      <c r="G70" s="38">
        <f t="shared" si="27"/>
        <v>305112.66277388518</v>
      </c>
      <c r="H70" s="38">
        <f t="shared" si="27"/>
        <v>293718.19708029198</v>
      </c>
      <c r="I70" s="38">
        <f t="shared" ref="I70" si="28">(I25/I19)*3</f>
        <v>774357.14285714296</v>
      </c>
    </row>
    <row r="71" spans="1:9" ht="15.6" x14ac:dyDescent="0.35">
      <c r="A71" s="3" t="s">
        <v>26</v>
      </c>
      <c r="B71" s="49" t="s">
        <v>52</v>
      </c>
      <c r="C71" s="54">
        <f>(C70/C69)*D53</f>
        <v>102.15964525167426</v>
      </c>
      <c r="D71" s="54"/>
      <c r="E71" s="38">
        <f>(E70/E69)*E53</f>
        <v>98.282717980663577</v>
      </c>
      <c r="F71" s="38">
        <f t="shared" ref="F71:H71" si="29">(F70/F69)*F53</f>
        <v>97.327092266913922</v>
      </c>
      <c r="G71" s="38">
        <f t="shared" si="29"/>
        <v>109.8418227754148</v>
      </c>
      <c r="H71" s="38">
        <f t="shared" si="29"/>
        <v>91.96731419719579</v>
      </c>
      <c r="I71" s="38">
        <f t="shared" ref="I71" si="30">(I70/I69)*I53</f>
        <v>42.487143346150226</v>
      </c>
    </row>
    <row r="72" spans="1:9" ht="15.6" x14ac:dyDescent="0.35">
      <c r="A72" s="3" t="s">
        <v>33</v>
      </c>
      <c r="B72" s="38">
        <f>B24/B17</f>
        <v>53491.838355103406</v>
      </c>
      <c r="C72" s="54">
        <f>C24/D17</f>
        <v>35000</v>
      </c>
      <c r="D72" s="54"/>
      <c r="E72" s="38">
        <f>E24/E17</f>
        <v>100000</v>
      </c>
      <c r="F72" s="38">
        <f t="shared" ref="F72:H72" si="31">F24/F17</f>
        <v>75000</v>
      </c>
      <c r="G72" s="38">
        <f t="shared" si="31"/>
        <v>75000</v>
      </c>
      <c r="H72" s="38">
        <f t="shared" si="31"/>
        <v>130000</v>
      </c>
      <c r="I72" s="38">
        <f t="shared" ref="I72" si="32">I24/I17</f>
        <v>328000</v>
      </c>
    </row>
    <row r="73" spans="1:9" ht="15.6" x14ac:dyDescent="0.35">
      <c r="A73" s="3" t="s">
        <v>34</v>
      </c>
      <c r="B73" s="38">
        <f>B25/B19</f>
        <v>52533.774102866904</v>
      </c>
      <c r="C73" s="54">
        <f>C25/D19</f>
        <v>33130.312891418784</v>
      </c>
      <c r="D73" s="54"/>
      <c r="E73" s="38">
        <f>E25/E19</f>
        <v>99049.926578560946</v>
      </c>
      <c r="F73" s="38">
        <f t="shared" ref="F73:H73" si="33">F25/F19</f>
        <v>82659.422727578552</v>
      </c>
      <c r="G73" s="38">
        <f t="shared" si="33"/>
        <v>101704.2209246284</v>
      </c>
      <c r="H73" s="38">
        <f t="shared" si="33"/>
        <v>97906.065693430661</v>
      </c>
      <c r="I73" s="38">
        <f t="shared" ref="I73" si="34">I25/I19</f>
        <v>258119.04761904763</v>
      </c>
    </row>
    <row r="74" spans="1:9" ht="15.6" x14ac:dyDescent="0.35">
      <c r="A74" s="3"/>
      <c r="B74" s="38"/>
      <c r="C74" s="38"/>
      <c r="D74" s="38"/>
      <c r="E74" s="38"/>
      <c r="F74" s="38"/>
      <c r="G74" s="38"/>
      <c r="H74" s="38"/>
    </row>
    <row r="75" spans="1:9" ht="15.6" x14ac:dyDescent="0.35">
      <c r="A75" s="4" t="s">
        <v>27</v>
      </c>
      <c r="B75" s="38"/>
      <c r="C75" s="38"/>
      <c r="D75" s="38"/>
      <c r="E75" s="38"/>
      <c r="F75" s="38"/>
      <c r="G75" s="38"/>
      <c r="H75" s="38"/>
    </row>
    <row r="76" spans="1:9" ht="15.6" x14ac:dyDescent="0.35">
      <c r="A76" s="3" t="s">
        <v>28</v>
      </c>
      <c r="B76" s="38">
        <f>(B31/B30)*100</f>
        <v>101.1415673720339</v>
      </c>
      <c r="C76" s="38"/>
      <c r="D76" s="38"/>
      <c r="E76" s="38"/>
      <c r="F76" s="38"/>
      <c r="G76" s="38"/>
      <c r="H76" s="38"/>
    </row>
    <row r="77" spans="1:9" ht="15.6" x14ac:dyDescent="0.35">
      <c r="A77" s="3" t="s">
        <v>29</v>
      </c>
      <c r="B77" s="38">
        <f>(B25/B31)*100</f>
        <v>82.40956066099217</v>
      </c>
      <c r="C77" s="38"/>
      <c r="D77" s="38"/>
      <c r="E77" s="38"/>
      <c r="F77" s="38"/>
      <c r="G77" s="38"/>
      <c r="H77" s="38"/>
    </row>
    <row r="78" spans="1:9" ht="16.2" thickBot="1" x14ac:dyDescent="0.4">
      <c r="A78" s="9"/>
      <c r="B78" s="10"/>
      <c r="C78" s="10"/>
      <c r="D78" s="10"/>
      <c r="E78" s="10"/>
      <c r="F78" s="10"/>
      <c r="G78" s="10"/>
      <c r="H78" s="10"/>
    </row>
    <row r="79" spans="1:9" ht="17.25" customHeight="1" thickTop="1" x14ac:dyDescent="0.3">
      <c r="A79" s="52" t="s">
        <v>94</v>
      </c>
      <c r="B79" s="52"/>
      <c r="C79" s="52"/>
      <c r="D79" s="52"/>
      <c r="E79" s="52"/>
      <c r="F79" s="52"/>
      <c r="G79" s="52"/>
      <c r="H79" s="52"/>
      <c r="I79" s="52"/>
    </row>
    <row r="80" spans="1:9" ht="15.6" x14ac:dyDescent="0.35">
      <c r="A80" s="26"/>
      <c r="B80" s="3"/>
      <c r="C80" s="3"/>
      <c r="D80" s="3"/>
      <c r="E80" s="3"/>
      <c r="F80" s="3"/>
      <c r="G80" s="3"/>
      <c r="H80" s="3"/>
      <c r="I80" s="3"/>
    </row>
    <row r="81" spans="1:9" ht="144" customHeight="1" x14ac:dyDescent="0.3">
      <c r="A81" s="53" t="s">
        <v>95</v>
      </c>
      <c r="B81" s="53"/>
      <c r="C81" s="53"/>
      <c r="D81" s="53"/>
      <c r="E81" s="53"/>
      <c r="F81" s="53"/>
      <c r="G81" s="53"/>
      <c r="H81" s="53"/>
      <c r="I81" s="53"/>
    </row>
    <row r="82" spans="1:9" ht="15.6" x14ac:dyDescent="0.35">
      <c r="A82" s="3"/>
      <c r="B82" s="3"/>
      <c r="C82" s="3"/>
      <c r="D82" s="3"/>
      <c r="E82" s="3"/>
      <c r="F82" s="3"/>
      <c r="G82" s="3"/>
      <c r="H82" s="3"/>
      <c r="I82" s="3"/>
    </row>
    <row r="83" spans="1:9" ht="15.6" x14ac:dyDescent="0.35">
      <c r="A83" s="27"/>
      <c r="B83" s="3"/>
      <c r="C83" s="3"/>
      <c r="D83" s="3"/>
      <c r="E83" s="3"/>
      <c r="F83" s="3"/>
      <c r="G83" s="3"/>
      <c r="H83" s="3"/>
      <c r="I83" s="3"/>
    </row>
    <row r="84" spans="1:9" ht="15.6" x14ac:dyDescent="0.35">
      <c r="A84" s="3"/>
      <c r="B84" s="3"/>
      <c r="C84" s="3"/>
      <c r="D84" s="3"/>
      <c r="E84" s="3"/>
      <c r="F84" s="3"/>
      <c r="G84" s="3"/>
      <c r="H84" s="3"/>
      <c r="I84" s="3"/>
    </row>
    <row r="85" spans="1:9" ht="15.6" x14ac:dyDescent="0.35">
      <c r="A85" s="3"/>
      <c r="B85" s="3"/>
      <c r="C85" s="3"/>
      <c r="D85" s="3"/>
      <c r="E85" s="3"/>
      <c r="F85" s="3"/>
      <c r="G85" s="3"/>
      <c r="H85" s="3"/>
      <c r="I85" s="3"/>
    </row>
    <row r="86" spans="1:9" ht="15.6" x14ac:dyDescent="0.35">
      <c r="A86" s="3"/>
      <c r="B86" s="3"/>
      <c r="C86" s="3"/>
      <c r="D86" s="3"/>
      <c r="E86" s="3"/>
      <c r="F86" s="3"/>
      <c r="G86" s="3"/>
      <c r="H86" s="3"/>
      <c r="I86" s="3"/>
    </row>
    <row r="87" spans="1:9" ht="15.6" x14ac:dyDescent="0.35">
      <c r="A87" s="3"/>
      <c r="B87" s="3"/>
      <c r="C87" s="3"/>
      <c r="D87" s="3"/>
      <c r="E87" s="3"/>
      <c r="F87" s="3"/>
      <c r="G87" s="3"/>
      <c r="H87" s="3"/>
      <c r="I87" s="3"/>
    </row>
    <row r="88" spans="1:9" ht="15.6" x14ac:dyDescent="0.35">
      <c r="A88" s="3"/>
      <c r="B88" s="3"/>
      <c r="C88" s="3"/>
      <c r="D88" s="3"/>
      <c r="E88" s="3"/>
      <c r="F88" s="3"/>
      <c r="G88" s="3"/>
      <c r="H88" s="3"/>
      <c r="I88" s="3"/>
    </row>
    <row r="89" spans="1:9" ht="15.6" x14ac:dyDescent="0.35">
      <c r="A89" s="3"/>
      <c r="B89" s="3"/>
      <c r="C89" s="3"/>
      <c r="D89" s="3"/>
      <c r="E89" s="3"/>
      <c r="F89" s="3"/>
      <c r="G89" s="3"/>
      <c r="H89" s="3"/>
      <c r="I89" s="3"/>
    </row>
    <row r="90" spans="1:9" ht="15.6" x14ac:dyDescent="0.35">
      <c r="A90" s="3"/>
      <c r="B90" s="3"/>
      <c r="C90" s="3"/>
      <c r="D90" s="3"/>
      <c r="E90" s="3"/>
      <c r="F90" s="3"/>
      <c r="G90" s="3"/>
      <c r="H90" s="3"/>
      <c r="I90" s="3"/>
    </row>
    <row r="91" spans="1:9" ht="15.6" x14ac:dyDescent="0.35">
      <c r="A91" s="3"/>
      <c r="B91" s="3"/>
      <c r="C91" s="3"/>
      <c r="D91" s="3"/>
      <c r="E91" s="3"/>
      <c r="F91" s="3"/>
      <c r="G91" s="3"/>
      <c r="H91" s="3"/>
      <c r="I91" s="3"/>
    </row>
    <row r="92" spans="1:9" ht="15.6" x14ac:dyDescent="0.35">
      <c r="A92" s="3"/>
      <c r="B92" s="3"/>
      <c r="C92" s="3"/>
      <c r="D92" s="3"/>
      <c r="E92" s="3"/>
      <c r="F92" s="3"/>
      <c r="G92" s="3"/>
      <c r="H92" s="3"/>
    </row>
    <row r="93" spans="1:9" ht="15.6" x14ac:dyDescent="0.35">
      <c r="A93" s="3"/>
      <c r="B93" s="3"/>
      <c r="C93" s="3"/>
      <c r="D93" s="3"/>
      <c r="E93" s="3"/>
      <c r="F93" s="3"/>
      <c r="G93" s="3"/>
      <c r="H93" s="3"/>
    </row>
    <row r="98" spans="1:8" ht="15.6" x14ac:dyDescent="0.35">
      <c r="A98" s="3"/>
      <c r="B98" s="3"/>
      <c r="C98" s="3"/>
      <c r="D98" s="3"/>
      <c r="E98" s="3"/>
      <c r="F98" s="3"/>
      <c r="G98" s="3"/>
      <c r="H98" s="3"/>
    </row>
    <row r="99" spans="1:8" ht="15.6" x14ac:dyDescent="0.35">
      <c r="A99" s="3"/>
      <c r="B99" s="3"/>
      <c r="C99" s="3"/>
      <c r="D99" s="3"/>
      <c r="E99" s="3"/>
      <c r="F99" s="3"/>
      <c r="G99" s="3"/>
      <c r="H99" s="3"/>
    </row>
    <row r="100" spans="1:8" ht="15.6" x14ac:dyDescent="0.35">
      <c r="A100" s="3"/>
      <c r="B100" s="3"/>
      <c r="C100" s="3"/>
      <c r="D100" s="3"/>
      <c r="E100" s="3"/>
      <c r="F100" s="3"/>
      <c r="G100" s="3"/>
      <c r="H100" s="3"/>
    </row>
    <row r="159" spans="3:3" x14ac:dyDescent="0.3">
      <c r="C159" s="2"/>
    </row>
    <row r="160" spans="3:3" x14ac:dyDescent="0.3">
      <c r="C160" s="2"/>
    </row>
  </sheetData>
  <mergeCells count="31">
    <mergeCell ref="C40:D40"/>
    <mergeCell ref="C58:D58"/>
    <mergeCell ref="C64:D64"/>
    <mergeCell ref="C65:D65"/>
    <mergeCell ref="C73:D73"/>
    <mergeCell ref="C72:D72"/>
    <mergeCell ref="C69:D69"/>
    <mergeCell ref="C41:D41"/>
    <mergeCell ref="C42:D42"/>
    <mergeCell ref="C47:D47"/>
    <mergeCell ref="C56:D56"/>
    <mergeCell ref="C71:D71"/>
    <mergeCell ref="A9:A10"/>
    <mergeCell ref="B9:B10"/>
    <mergeCell ref="C27:D27"/>
    <mergeCell ref="C36:D36"/>
    <mergeCell ref="C39:D39"/>
    <mergeCell ref="C10:D10"/>
    <mergeCell ref="C24:D24"/>
    <mergeCell ref="C25:D25"/>
    <mergeCell ref="C26:D26"/>
    <mergeCell ref="C23:D23"/>
    <mergeCell ref="C9:I9"/>
    <mergeCell ref="A79:I79"/>
    <mergeCell ref="A81:I81"/>
    <mergeCell ref="C48:D48"/>
    <mergeCell ref="C61:D61"/>
    <mergeCell ref="C52:D52"/>
    <mergeCell ref="C57:D57"/>
    <mergeCell ref="C70:D70"/>
    <mergeCell ref="C66:D66"/>
  </mergeCells>
  <pageMargins left="0.7" right="0.7" top="0.75" bottom="0.75" header="0.3" footer="0.3"/>
  <pageSetup orientation="portrait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94"/>
  <sheetViews>
    <sheetView showGridLines="0" zoomScale="80" zoomScaleNormal="80" zoomScalePageLayoutView="90" workbookViewId="0">
      <pane ySplit="10" topLeftCell="A11" activePane="bottomLeft" state="frozen"/>
      <selection pane="bottomLeft" activeCell="A9" sqref="A9:A10"/>
    </sheetView>
  </sheetViews>
  <sheetFormatPr baseColWidth="10" defaultColWidth="11.44140625" defaultRowHeight="14.4" x14ac:dyDescent="0.3"/>
  <cols>
    <col min="1" max="1" width="63.44140625" style="34" customWidth="1"/>
    <col min="2" max="9" width="18.6640625" style="34" customWidth="1"/>
    <col min="10" max="16384" width="11.44140625" style="34"/>
  </cols>
  <sheetData>
    <row r="1" spans="1:9" s="1" customFormat="1" x14ac:dyDescent="0.3"/>
    <row r="2" spans="1:9" s="1" customFormat="1" x14ac:dyDescent="0.3"/>
    <row r="3" spans="1:9" s="1" customFormat="1" x14ac:dyDescent="0.3"/>
    <row r="4" spans="1:9" s="1" customFormat="1" x14ac:dyDescent="0.3"/>
    <row r="5" spans="1:9" s="1" customFormat="1" x14ac:dyDescent="0.3"/>
    <row r="6" spans="1:9" s="1" customFormat="1" x14ac:dyDescent="0.3"/>
    <row r="7" spans="1:9" s="1" customFormat="1" x14ac:dyDescent="0.3"/>
    <row r="8" spans="1:9" s="1" customFormat="1" ht="18" customHeight="1" x14ac:dyDescent="0.3"/>
    <row r="9" spans="1:9" s="1" customFormat="1" ht="17.25" customHeight="1" x14ac:dyDescent="0.3">
      <c r="A9" s="56" t="s">
        <v>0</v>
      </c>
      <c r="B9" s="58" t="s">
        <v>54</v>
      </c>
      <c r="C9" s="63" t="s">
        <v>55</v>
      </c>
      <c r="D9" s="63"/>
      <c r="E9" s="63"/>
      <c r="F9" s="63"/>
      <c r="G9" s="63"/>
      <c r="H9" s="63"/>
      <c r="I9" s="63"/>
    </row>
    <row r="10" spans="1:9" s="1" customFormat="1" ht="51.75" customHeight="1" thickBot="1" x14ac:dyDescent="0.35">
      <c r="A10" s="57"/>
      <c r="B10" s="59"/>
      <c r="C10" s="57" t="s">
        <v>1</v>
      </c>
      <c r="D10" s="57"/>
      <c r="E10" s="39" t="s">
        <v>44</v>
      </c>
      <c r="F10" s="39" t="s">
        <v>45</v>
      </c>
      <c r="G10" s="39" t="s">
        <v>50</v>
      </c>
      <c r="H10" s="39" t="s">
        <v>56</v>
      </c>
      <c r="I10" s="39" t="s">
        <v>88</v>
      </c>
    </row>
    <row r="11" spans="1:9" s="1" customFormat="1" ht="16.2" thickTop="1" x14ac:dyDescent="0.35">
      <c r="A11" s="3"/>
      <c r="B11" s="3"/>
      <c r="C11" s="3"/>
      <c r="D11" s="3"/>
      <c r="E11" s="3"/>
      <c r="F11" s="3"/>
      <c r="G11" s="3"/>
      <c r="H11" s="3"/>
      <c r="I11" s="3"/>
    </row>
    <row r="12" spans="1:9" s="1" customFormat="1" ht="15.6" x14ac:dyDescent="0.35">
      <c r="A12" s="4" t="s">
        <v>2</v>
      </c>
      <c r="B12" s="3"/>
      <c r="C12" s="3"/>
      <c r="D12" s="3"/>
      <c r="E12" s="3"/>
      <c r="F12" s="3"/>
      <c r="G12" s="3"/>
      <c r="H12" s="3"/>
      <c r="I12" s="3"/>
    </row>
    <row r="13" spans="1:9" s="1" customFormat="1" ht="15.6" x14ac:dyDescent="0.35">
      <c r="A13" s="3"/>
      <c r="B13" s="3"/>
      <c r="C13" s="3"/>
      <c r="D13" s="3"/>
      <c r="E13" s="3"/>
      <c r="F13" s="3"/>
      <c r="G13" s="3"/>
      <c r="H13" s="3"/>
      <c r="I13" s="3"/>
    </row>
    <row r="14" spans="1:9" s="25" customFormat="1" ht="31.2" x14ac:dyDescent="0.3">
      <c r="A14" s="24" t="s">
        <v>41</v>
      </c>
      <c r="B14" s="33" t="s">
        <v>53</v>
      </c>
      <c r="C14" s="33" t="s">
        <v>42</v>
      </c>
      <c r="D14" s="33" t="s">
        <v>43</v>
      </c>
      <c r="E14" s="5" t="s">
        <v>42</v>
      </c>
      <c r="F14" s="5" t="s">
        <v>42</v>
      </c>
      <c r="G14" s="23" t="s">
        <v>57</v>
      </c>
      <c r="H14" s="5" t="s">
        <v>49</v>
      </c>
      <c r="I14" s="5" t="s">
        <v>42</v>
      </c>
    </row>
    <row r="15" spans="1:9" ht="15.6" x14ac:dyDescent="0.35">
      <c r="A15" s="6" t="s">
        <v>64</v>
      </c>
      <c r="B15" s="45">
        <v>218625</v>
      </c>
      <c r="C15" s="45">
        <v>163088</v>
      </c>
      <c r="D15" s="45">
        <v>273844</v>
      </c>
      <c r="E15" s="45">
        <v>1372</v>
      </c>
      <c r="F15" s="45">
        <v>7003</v>
      </c>
      <c r="G15" s="45">
        <v>52290</v>
      </c>
      <c r="H15" s="45">
        <v>23238</v>
      </c>
      <c r="I15" s="45" t="s">
        <v>47</v>
      </c>
    </row>
    <row r="16" spans="1:9" ht="15.6" x14ac:dyDescent="0.35">
      <c r="A16" s="6" t="s">
        <v>96</v>
      </c>
      <c r="B16" s="44" t="s">
        <v>48</v>
      </c>
      <c r="C16" s="44" t="s">
        <v>48</v>
      </c>
      <c r="D16" s="44">
        <v>179775</v>
      </c>
      <c r="E16" s="44">
        <v>1374</v>
      </c>
      <c r="F16" s="44">
        <v>6589</v>
      </c>
      <c r="G16" s="44">
        <v>76217</v>
      </c>
      <c r="H16" s="44">
        <v>16909</v>
      </c>
      <c r="I16" s="44">
        <v>165</v>
      </c>
    </row>
    <row r="17" spans="1:9" ht="15.6" x14ac:dyDescent="0.35">
      <c r="A17" s="6" t="s">
        <v>51</v>
      </c>
      <c r="B17" s="44">
        <f>+D17+E17+F17+G17+H17+I17</f>
        <v>835943</v>
      </c>
      <c r="C17" s="44" t="s">
        <v>48</v>
      </c>
      <c r="D17" s="44">
        <v>532183</v>
      </c>
      <c r="E17" s="44">
        <v>4122</v>
      </c>
      <c r="F17" s="44">
        <v>19767</v>
      </c>
      <c r="G17" s="44">
        <v>228649</v>
      </c>
      <c r="H17" s="44">
        <v>50727</v>
      </c>
      <c r="I17" s="44">
        <v>495</v>
      </c>
    </row>
    <row r="18" spans="1:9" ht="15.6" x14ac:dyDescent="0.35">
      <c r="A18" s="6" t="s">
        <v>97</v>
      </c>
      <c r="B18" s="45">
        <v>164694</v>
      </c>
      <c r="C18" s="45">
        <v>154089</v>
      </c>
      <c r="D18" s="45">
        <v>241584</v>
      </c>
      <c r="E18" s="45">
        <v>1351</v>
      </c>
      <c r="F18" s="45">
        <v>6258</v>
      </c>
      <c r="G18" s="45">
        <v>75306</v>
      </c>
      <c r="H18" s="45">
        <v>23642</v>
      </c>
      <c r="I18" s="45">
        <v>199</v>
      </c>
    </row>
    <row r="19" spans="1:9" ht="15.6" x14ac:dyDescent="0.35">
      <c r="A19" s="6" t="s">
        <v>51</v>
      </c>
      <c r="B19" s="45">
        <f>+D19+E19+F19+G19+H19+I19</f>
        <v>994462</v>
      </c>
      <c r="C19" s="45" t="s">
        <v>48</v>
      </c>
      <c r="D19" s="45">
        <v>696573</v>
      </c>
      <c r="E19" s="45">
        <v>4021</v>
      </c>
      <c r="F19" s="45">
        <v>18281</v>
      </c>
      <c r="G19" s="45">
        <v>205396</v>
      </c>
      <c r="H19" s="45">
        <v>69624</v>
      </c>
      <c r="I19" s="45">
        <v>567</v>
      </c>
    </row>
    <row r="20" spans="1:9" ht="15.6" x14ac:dyDescent="0.35">
      <c r="A20" s="6" t="s">
        <v>91</v>
      </c>
      <c r="B20" s="44" t="s">
        <v>48</v>
      </c>
      <c r="C20" s="44" t="s">
        <v>48</v>
      </c>
      <c r="D20" s="44">
        <v>227397</v>
      </c>
      <c r="E20" s="44">
        <v>1374</v>
      </c>
      <c r="F20" s="44">
        <v>6590</v>
      </c>
      <c r="G20" s="44">
        <v>76217</v>
      </c>
      <c r="H20" s="44">
        <v>16909</v>
      </c>
      <c r="I20" s="44">
        <v>165</v>
      </c>
    </row>
    <row r="21" spans="1:9" ht="15.6" x14ac:dyDescent="0.35">
      <c r="A21" s="3"/>
      <c r="B21" s="45"/>
      <c r="C21" s="45"/>
      <c r="D21" s="45"/>
      <c r="E21" s="45"/>
      <c r="F21" s="45"/>
      <c r="G21" s="45"/>
      <c r="H21" s="45"/>
      <c r="I21" s="45"/>
    </row>
    <row r="22" spans="1:9" ht="15.6" x14ac:dyDescent="0.35">
      <c r="A22" s="7" t="s">
        <v>3</v>
      </c>
      <c r="B22" s="45"/>
      <c r="C22" s="45"/>
      <c r="D22" s="45"/>
      <c r="E22" s="45"/>
      <c r="F22" s="45"/>
      <c r="G22" s="45"/>
      <c r="H22" s="45"/>
      <c r="I22" s="45"/>
    </row>
    <row r="23" spans="1:9" ht="15.6" x14ac:dyDescent="0.35">
      <c r="A23" s="6" t="s">
        <v>64</v>
      </c>
      <c r="B23" s="45">
        <f>+C23+E23+F23+G23+H23</f>
        <v>37210944294</v>
      </c>
      <c r="C23" s="65">
        <v>14845564000</v>
      </c>
      <c r="D23" s="65"/>
      <c r="E23" s="45">
        <v>413721000</v>
      </c>
      <c r="F23" s="45">
        <v>1661649750</v>
      </c>
      <c r="G23" s="45">
        <v>13891948594</v>
      </c>
      <c r="H23" s="45">
        <v>6398060950.000001</v>
      </c>
      <c r="I23" s="45" t="s">
        <v>47</v>
      </c>
    </row>
    <row r="24" spans="1:9" ht="15.6" x14ac:dyDescent="0.35">
      <c r="A24" s="6" t="s">
        <v>96</v>
      </c>
      <c r="B24" s="45">
        <f t="shared" ref="B24:B27" si="0">+C24+E24+F24+G24+H24+I24</f>
        <v>44426675000</v>
      </c>
      <c r="C24" s="65">
        <v>18626405000</v>
      </c>
      <c r="D24" s="65"/>
      <c r="E24" s="45">
        <v>412200000</v>
      </c>
      <c r="F24" s="45">
        <v>1482525000</v>
      </c>
      <c r="G24" s="45">
        <v>17148675000</v>
      </c>
      <c r="H24" s="45">
        <v>6594510000</v>
      </c>
      <c r="I24" s="45">
        <v>162360000</v>
      </c>
    </row>
    <row r="25" spans="1:9" ht="15.6" x14ac:dyDescent="0.35">
      <c r="A25" s="6" t="s">
        <v>97</v>
      </c>
      <c r="B25" s="45">
        <f t="shared" si="0"/>
        <v>45522751839.43</v>
      </c>
      <c r="C25" s="65">
        <v>17634261000</v>
      </c>
      <c r="D25" s="65"/>
      <c r="E25" s="45">
        <v>402551000</v>
      </c>
      <c r="F25" s="45">
        <v>1245124000</v>
      </c>
      <c r="G25" s="45">
        <v>19863042525.43</v>
      </c>
      <c r="H25" s="45">
        <v>6264931313.9999981</v>
      </c>
      <c r="I25" s="45">
        <v>112842000</v>
      </c>
    </row>
    <row r="26" spans="1:9" ht="15.6" x14ac:dyDescent="0.35">
      <c r="A26" s="6" t="s">
        <v>91</v>
      </c>
      <c r="B26" s="45">
        <f t="shared" si="0"/>
        <v>182706226000</v>
      </c>
      <c r="C26" s="64">
        <v>79506105000</v>
      </c>
      <c r="D26" s="64"/>
      <c r="E26" s="45">
        <v>1648600000</v>
      </c>
      <c r="F26" s="45">
        <v>5930325000</v>
      </c>
      <c r="G26" s="45">
        <v>68594700000</v>
      </c>
      <c r="H26" s="45">
        <v>26378040000</v>
      </c>
      <c r="I26" s="45">
        <v>648456000</v>
      </c>
    </row>
    <row r="27" spans="1:9" ht="15.6" x14ac:dyDescent="0.35">
      <c r="A27" s="6" t="s">
        <v>98</v>
      </c>
      <c r="B27" s="45">
        <f t="shared" si="0"/>
        <v>45522751839.43</v>
      </c>
      <c r="C27" s="65">
        <f>C25</f>
        <v>17634261000</v>
      </c>
      <c r="D27" s="65"/>
      <c r="E27" s="45">
        <f>E25</f>
        <v>402551000</v>
      </c>
      <c r="F27" s="45">
        <f t="shared" ref="F27:I27" si="1">F25</f>
        <v>1245124000</v>
      </c>
      <c r="G27" s="45">
        <f t="shared" si="1"/>
        <v>19863042525.43</v>
      </c>
      <c r="H27" s="45">
        <f t="shared" si="1"/>
        <v>6264931313.9999981</v>
      </c>
      <c r="I27" s="45">
        <f t="shared" si="1"/>
        <v>112842000</v>
      </c>
    </row>
    <row r="28" spans="1:9" ht="15.6" x14ac:dyDescent="0.35">
      <c r="A28" s="3"/>
      <c r="B28" s="45"/>
      <c r="C28" s="45"/>
      <c r="D28" s="45"/>
      <c r="E28" s="45"/>
      <c r="F28" s="45"/>
      <c r="G28" s="45"/>
      <c r="H28" s="45"/>
      <c r="I28" s="45"/>
    </row>
    <row r="29" spans="1:9" ht="15.6" x14ac:dyDescent="0.35">
      <c r="A29" s="7" t="s">
        <v>4</v>
      </c>
      <c r="B29" s="45"/>
      <c r="C29" s="45"/>
      <c r="D29" s="45"/>
      <c r="E29" s="45"/>
      <c r="F29" s="45"/>
      <c r="G29" s="45"/>
      <c r="H29" s="45"/>
      <c r="I29" s="45"/>
    </row>
    <row r="30" spans="1:9" ht="15.6" x14ac:dyDescent="0.35">
      <c r="A30" s="6" t="s">
        <v>96</v>
      </c>
      <c r="B30" s="45">
        <f>B24</f>
        <v>44426675000</v>
      </c>
      <c r="C30" s="45"/>
      <c r="D30" s="45"/>
      <c r="E30" s="45"/>
      <c r="F30" s="45"/>
      <c r="G30" s="45"/>
      <c r="H30" s="45"/>
      <c r="I30" s="45"/>
    </row>
    <row r="31" spans="1:9" ht="15.6" x14ac:dyDescent="0.35">
      <c r="A31" s="6" t="s">
        <v>97</v>
      </c>
      <c r="B31" s="45">
        <v>44426687332.500008</v>
      </c>
      <c r="C31" s="45"/>
      <c r="D31" s="45"/>
      <c r="E31" s="45"/>
      <c r="F31" s="45"/>
      <c r="G31" s="45"/>
      <c r="H31" s="45"/>
      <c r="I31" s="45"/>
    </row>
    <row r="32" spans="1:9" ht="15.6" x14ac:dyDescent="0.35">
      <c r="A32" s="3"/>
      <c r="B32" s="11"/>
      <c r="C32" s="11"/>
      <c r="D32" s="11"/>
      <c r="E32" s="11"/>
      <c r="F32" s="11"/>
      <c r="G32" s="11"/>
      <c r="H32" s="11"/>
      <c r="I32" s="11"/>
    </row>
    <row r="33" spans="1:9" ht="15.6" x14ac:dyDescent="0.35">
      <c r="A33" s="4" t="s">
        <v>5</v>
      </c>
      <c r="B33" s="11"/>
      <c r="C33" s="11"/>
      <c r="D33" s="11"/>
      <c r="E33" s="11"/>
      <c r="F33" s="11"/>
      <c r="G33" s="11"/>
      <c r="H33" s="11"/>
      <c r="I33" s="11"/>
    </row>
    <row r="34" spans="1:9" ht="15.6" x14ac:dyDescent="0.35">
      <c r="A34" s="6" t="s">
        <v>65</v>
      </c>
      <c r="B34" s="50">
        <v>1.0973999999999999</v>
      </c>
      <c r="C34" s="50">
        <v>1.0973999999999999</v>
      </c>
      <c r="D34" s="50">
        <v>1.0973999999999999</v>
      </c>
      <c r="E34" s="50">
        <v>1.0973999999999999</v>
      </c>
      <c r="F34" s="50">
        <v>1.0973999999999999</v>
      </c>
      <c r="G34" s="50">
        <v>1.0973999999999999</v>
      </c>
      <c r="H34" s="50">
        <v>1.0973999999999999</v>
      </c>
      <c r="I34" s="50">
        <v>1.0973999999999999</v>
      </c>
    </row>
    <row r="35" spans="1:9" ht="15.6" x14ac:dyDescent="0.35">
      <c r="A35" s="6" t="s">
        <v>99</v>
      </c>
      <c r="B35" s="50">
        <v>1.0971</v>
      </c>
      <c r="C35" s="50">
        <v>1.0971</v>
      </c>
      <c r="D35" s="50">
        <v>1.0971</v>
      </c>
      <c r="E35" s="50">
        <v>1.0971</v>
      </c>
      <c r="F35" s="50">
        <v>1.0971</v>
      </c>
      <c r="G35" s="50">
        <v>1.0971</v>
      </c>
      <c r="H35" s="50">
        <v>1.0971</v>
      </c>
      <c r="I35" s="50">
        <v>1.0971</v>
      </c>
    </row>
    <row r="36" spans="1:9" s="1" customFormat="1" ht="15.6" x14ac:dyDescent="0.35">
      <c r="A36" s="6" t="s">
        <v>6</v>
      </c>
      <c r="B36" s="41">
        <v>429884</v>
      </c>
      <c r="C36" s="61">
        <v>164022</v>
      </c>
      <c r="D36" s="61"/>
      <c r="E36" s="41">
        <v>131709</v>
      </c>
      <c r="F36" s="41">
        <v>87579</v>
      </c>
      <c r="G36" s="41" t="s">
        <v>52</v>
      </c>
      <c r="H36" s="41" t="s">
        <v>52</v>
      </c>
      <c r="I36" s="41" t="s">
        <v>52</v>
      </c>
    </row>
    <row r="37" spans="1:9" ht="15.6" x14ac:dyDescent="0.35">
      <c r="A37" s="3"/>
      <c r="B37" s="48"/>
      <c r="C37" s="48"/>
      <c r="D37" s="48"/>
      <c r="E37" s="48"/>
      <c r="F37" s="48"/>
      <c r="G37" s="48"/>
      <c r="H37" s="48"/>
      <c r="I37" s="48"/>
    </row>
    <row r="38" spans="1:9" ht="15.6" x14ac:dyDescent="0.35">
      <c r="A38" s="4" t="s">
        <v>7</v>
      </c>
      <c r="B38" s="48"/>
      <c r="C38" s="48"/>
      <c r="D38" s="48"/>
      <c r="E38" s="48"/>
      <c r="F38" s="48"/>
      <c r="G38" s="48"/>
      <c r="H38" s="48"/>
      <c r="I38" s="48"/>
    </row>
    <row r="39" spans="1:9" ht="15.6" x14ac:dyDescent="0.35">
      <c r="A39" s="3" t="s">
        <v>66</v>
      </c>
      <c r="B39" s="42">
        <f>B23/B34</f>
        <v>33908278015.308914</v>
      </c>
      <c r="C39" s="62">
        <f>C23/C34</f>
        <v>13527942409.331148</v>
      </c>
      <c r="D39" s="62"/>
      <c r="E39" s="42">
        <f>E23/E34</f>
        <v>377001093.49371243</v>
      </c>
      <c r="F39" s="42">
        <f t="shared" ref="F39:H39" si="2">F23/F34</f>
        <v>1514169628.2121379</v>
      </c>
      <c r="G39" s="42">
        <f t="shared" si="2"/>
        <v>12658965367.23164</v>
      </c>
      <c r="H39" s="42">
        <f t="shared" si="2"/>
        <v>5830199517.0402784</v>
      </c>
      <c r="I39" s="42" t="s">
        <v>47</v>
      </c>
    </row>
    <row r="40" spans="1:9" ht="15.6" x14ac:dyDescent="0.35">
      <c r="A40" s="3" t="s">
        <v>100</v>
      </c>
      <c r="B40" s="42">
        <f>B25/B35</f>
        <v>41493712368.453194</v>
      </c>
      <c r="C40" s="62">
        <f>C25/C35</f>
        <v>16073522012.578617</v>
      </c>
      <c r="D40" s="62"/>
      <c r="E40" s="42">
        <f>E25/E35</f>
        <v>366922796.46340352</v>
      </c>
      <c r="F40" s="42">
        <f t="shared" ref="F40:H40" si="3">F25/F35</f>
        <v>1134922978.7621913</v>
      </c>
      <c r="G40" s="42">
        <f t="shared" si="3"/>
        <v>18105042863.394405</v>
      </c>
      <c r="H40" s="42">
        <f t="shared" si="3"/>
        <v>5710446918.2389917</v>
      </c>
      <c r="I40" s="42">
        <f t="shared" ref="I40" si="4">I25/I35</f>
        <v>102854799.01558656</v>
      </c>
    </row>
    <row r="41" spans="1:9" ht="15.6" x14ac:dyDescent="0.35">
      <c r="A41" s="3" t="s">
        <v>67</v>
      </c>
      <c r="B41" s="42">
        <f>B39/B15</f>
        <v>155097.89829758223</v>
      </c>
      <c r="C41" s="62">
        <f>C39/D15</f>
        <v>49400.178237723478</v>
      </c>
      <c r="D41" s="62"/>
      <c r="E41" s="42">
        <f>E39/E15</f>
        <v>274782.13811495074</v>
      </c>
      <c r="F41" s="42">
        <f t="shared" ref="F41:H41" si="5">F39/F15</f>
        <v>216217.2823378749</v>
      </c>
      <c r="G41" s="42">
        <f t="shared" si="5"/>
        <v>242091.51591569401</v>
      </c>
      <c r="H41" s="42">
        <f t="shared" si="5"/>
        <v>250890.76155608392</v>
      </c>
      <c r="I41" s="42" t="s">
        <v>47</v>
      </c>
    </row>
    <row r="42" spans="1:9" ht="15.6" x14ac:dyDescent="0.35">
      <c r="A42" s="3" t="s">
        <v>101</v>
      </c>
      <c r="B42" s="42">
        <f>B40/B18</f>
        <v>251944.28678915559</v>
      </c>
      <c r="C42" s="62">
        <f>C40/D18</f>
        <v>66533.884746417883</v>
      </c>
      <c r="D42" s="62"/>
      <c r="E42" s="42">
        <f>E40/E18</f>
        <v>271593.48368867766</v>
      </c>
      <c r="F42" s="42">
        <f t="shared" ref="F42:H42" si="6">F40/F18</f>
        <v>181355.54150881933</v>
      </c>
      <c r="G42" s="42">
        <f t="shared" si="6"/>
        <v>240419.65930197336</v>
      </c>
      <c r="H42" s="42">
        <f t="shared" si="6"/>
        <v>241538.23357748886</v>
      </c>
      <c r="I42" s="42">
        <f t="shared" ref="I42" si="7">I40/I18</f>
        <v>516858.28651048522</v>
      </c>
    </row>
    <row r="43" spans="1:9" ht="15.6" x14ac:dyDescent="0.35">
      <c r="A43" s="3"/>
      <c r="B43" s="8"/>
      <c r="C43" s="8"/>
      <c r="D43" s="8"/>
      <c r="E43" s="8"/>
      <c r="F43" s="8"/>
      <c r="G43" s="8"/>
      <c r="H43" s="8"/>
      <c r="I43" s="8"/>
    </row>
    <row r="44" spans="1:9" ht="15.6" x14ac:dyDescent="0.35">
      <c r="A44" s="4" t="s">
        <v>8</v>
      </c>
      <c r="B44" s="8"/>
      <c r="C44" s="8"/>
      <c r="D44" s="8"/>
      <c r="E44" s="8"/>
      <c r="F44" s="8"/>
      <c r="G44" s="8"/>
      <c r="H44" s="8"/>
      <c r="I44" s="8"/>
    </row>
    <row r="45" spans="1:9" ht="15.6" x14ac:dyDescent="0.35">
      <c r="A45" s="3"/>
      <c r="B45" s="8"/>
      <c r="C45" s="8"/>
      <c r="D45" s="8"/>
      <c r="E45" s="8"/>
      <c r="F45" s="8"/>
      <c r="G45" s="8"/>
      <c r="H45" s="8"/>
      <c r="I45" s="8"/>
    </row>
    <row r="46" spans="1:9" ht="15.6" x14ac:dyDescent="0.35">
      <c r="A46" s="4" t="s">
        <v>9</v>
      </c>
      <c r="B46" s="8"/>
      <c r="C46" s="8"/>
      <c r="D46" s="8"/>
      <c r="E46" s="8"/>
      <c r="F46" s="8"/>
      <c r="G46" s="8"/>
      <c r="H46" s="8"/>
      <c r="I46" s="8"/>
    </row>
    <row r="47" spans="1:9" ht="15.6" x14ac:dyDescent="0.35">
      <c r="A47" s="3" t="s">
        <v>10</v>
      </c>
      <c r="B47" s="49" t="s">
        <v>52</v>
      </c>
      <c r="C47" s="54">
        <f>(D16/C36)*100</f>
        <v>109.60419943666093</v>
      </c>
      <c r="D47" s="54"/>
      <c r="E47" s="38">
        <f>(E16/E36)*100</f>
        <v>1.0432088923308203</v>
      </c>
      <c r="F47" s="38">
        <f t="shared" ref="F47" si="8">(F16/F36)*100</f>
        <v>7.5234930748238726</v>
      </c>
      <c r="G47" s="38" t="s">
        <v>47</v>
      </c>
      <c r="H47" s="49" t="s">
        <v>47</v>
      </c>
      <c r="I47" s="49" t="s">
        <v>47</v>
      </c>
    </row>
    <row r="48" spans="1:9" ht="15.6" x14ac:dyDescent="0.35">
      <c r="A48" s="3" t="s">
        <v>11</v>
      </c>
      <c r="B48" s="38">
        <f>(B18/B36)*100</f>
        <v>38.311265364609987</v>
      </c>
      <c r="C48" s="54">
        <f>(D18/C36)*100</f>
        <v>147.28755898598968</v>
      </c>
      <c r="D48" s="54"/>
      <c r="E48" s="38">
        <f>(E18/E36)*100</f>
        <v>1.0257461525028662</v>
      </c>
      <c r="F48" s="38">
        <f t="shared" ref="F48" si="9">(F18/F36)*100</f>
        <v>7.1455485904155109</v>
      </c>
      <c r="G48" s="38" t="s">
        <v>47</v>
      </c>
      <c r="H48" s="49" t="s">
        <v>47</v>
      </c>
      <c r="I48" s="49" t="s">
        <v>47</v>
      </c>
    </row>
    <row r="49" spans="1:9" ht="15.6" x14ac:dyDescent="0.35">
      <c r="A49" s="3"/>
      <c r="B49" s="38"/>
      <c r="C49" s="38"/>
      <c r="D49" s="38"/>
      <c r="E49" s="38"/>
      <c r="F49" s="38"/>
      <c r="G49" s="38"/>
      <c r="H49" s="38"/>
      <c r="I49" s="38"/>
    </row>
    <row r="50" spans="1:9" ht="15.6" x14ac:dyDescent="0.35">
      <c r="A50" s="4" t="s">
        <v>12</v>
      </c>
      <c r="B50" s="38"/>
      <c r="C50" s="38"/>
      <c r="D50" s="38"/>
      <c r="E50" s="38"/>
      <c r="F50" s="38"/>
      <c r="G50" s="38"/>
      <c r="H50" s="38"/>
      <c r="I50" s="38"/>
    </row>
    <row r="51" spans="1:9" ht="15.6" x14ac:dyDescent="0.35">
      <c r="A51" s="3" t="s">
        <v>13</v>
      </c>
      <c r="B51" s="49" t="s">
        <v>52</v>
      </c>
      <c r="C51" s="49" t="s">
        <v>52</v>
      </c>
      <c r="D51" s="38">
        <f>D18/D16*100</f>
        <v>134.38130997079682</v>
      </c>
      <c r="E51" s="38">
        <f>E18/E16*100</f>
        <v>98.326055312954878</v>
      </c>
      <c r="F51" s="38">
        <f t="shared" ref="F51:I51" si="10">F18/F16*100</f>
        <v>94.976475944756416</v>
      </c>
      <c r="G51" s="38">
        <f t="shared" si="10"/>
        <v>98.804728603854784</v>
      </c>
      <c r="H51" s="38">
        <f t="shared" si="10"/>
        <v>139.81903128511445</v>
      </c>
      <c r="I51" s="38">
        <f t="shared" si="10"/>
        <v>120.60606060606061</v>
      </c>
    </row>
    <row r="52" spans="1:9" ht="15.6" x14ac:dyDescent="0.35">
      <c r="A52" s="3" t="s">
        <v>14</v>
      </c>
      <c r="B52" s="38">
        <f>B25/B24*100</f>
        <v>102.46715928984106</v>
      </c>
      <c r="C52" s="54">
        <f>C25/C24*100</f>
        <v>94.673454163591956</v>
      </c>
      <c r="D52" s="54"/>
      <c r="E52" s="38">
        <f>E25/E24*100</f>
        <v>97.659146045608921</v>
      </c>
      <c r="F52" s="38">
        <f t="shared" ref="F52:I52" si="11">F25/F24*100</f>
        <v>83.986711859833733</v>
      </c>
      <c r="G52" s="38">
        <f t="shared" si="11"/>
        <v>115.82843878859445</v>
      </c>
      <c r="H52" s="38">
        <f t="shared" si="11"/>
        <v>95.002226306427602</v>
      </c>
      <c r="I52" s="38">
        <f t="shared" si="11"/>
        <v>69.50110864745011</v>
      </c>
    </row>
    <row r="53" spans="1:9" ht="15.6" x14ac:dyDescent="0.35">
      <c r="A53" s="3" t="s">
        <v>15</v>
      </c>
      <c r="B53" s="49" t="s">
        <v>52</v>
      </c>
      <c r="C53" s="49" t="s">
        <v>52</v>
      </c>
      <c r="D53" s="38">
        <f>AVERAGE(D51,C52)</f>
        <v>114.5273820671944</v>
      </c>
      <c r="E53" s="38">
        <f>AVERAGE(E51:E52)</f>
        <v>97.992600679281907</v>
      </c>
      <c r="F53" s="38">
        <f t="shared" ref="F53:I53" si="12">AVERAGE(F51:F52)</f>
        <v>89.481593902295074</v>
      </c>
      <c r="G53" s="38">
        <f t="shared" si="12"/>
        <v>107.31658369622463</v>
      </c>
      <c r="H53" s="38">
        <f t="shared" si="12"/>
        <v>117.41062879577103</v>
      </c>
      <c r="I53" s="38">
        <f t="shared" si="12"/>
        <v>95.053584626755367</v>
      </c>
    </row>
    <row r="54" spans="1:9" ht="15.6" x14ac:dyDescent="0.35">
      <c r="A54" s="3"/>
      <c r="B54" s="38"/>
      <c r="C54" s="38"/>
      <c r="D54" s="38"/>
      <c r="E54" s="38"/>
      <c r="F54" s="38"/>
      <c r="G54" s="38"/>
      <c r="H54" s="38"/>
      <c r="I54" s="38"/>
    </row>
    <row r="55" spans="1:9" ht="15.6" x14ac:dyDescent="0.35">
      <c r="A55" s="4" t="s">
        <v>16</v>
      </c>
      <c r="B55" s="38"/>
      <c r="C55" s="38"/>
      <c r="D55" s="38"/>
      <c r="E55" s="38"/>
      <c r="F55" s="38"/>
      <c r="G55" s="38"/>
      <c r="H55" s="38"/>
      <c r="I55" s="38"/>
    </row>
    <row r="56" spans="1:9" ht="15.6" x14ac:dyDescent="0.35">
      <c r="A56" s="3" t="s">
        <v>17</v>
      </c>
      <c r="B56" s="49" t="s">
        <v>52</v>
      </c>
      <c r="C56" s="54">
        <f>D18/D20*100</f>
        <v>106.23886858665681</v>
      </c>
      <c r="D56" s="54"/>
      <c r="E56" s="38">
        <f>E18/E20*100</f>
        <v>98.326055312954878</v>
      </c>
      <c r="F56" s="38">
        <f t="shared" ref="F56:I56" si="13">F18/F20*100</f>
        <v>94.962063732928684</v>
      </c>
      <c r="G56" s="38">
        <f t="shared" si="13"/>
        <v>98.804728603854784</v>
      </c>
      <c r="H56" s="38">
        <f t="shared" si="13"/>
        <v>139.81903128511445</v>
      </c>
      <c r="I56" s="38">
        <f t="shared" si="13"/>
        <v>120.60606060606061</v>
      </c>
    </row>
    <row r="57" spans="1:9" ht="15.6" x14ac:dyDescent="0.35">
      <c r="A57" s="3" t="s">
        <v>18</v>
      </c>
      <c r="B57" s="38">
        <f>B25/B26*100</f>
        <v>24.915818599104554</v>
      </c>
      <c r="C57" s="54">
        <f>C25/C26*100</f>
        <v>22.179757139404575</v>
      </c>
      <c r="D57" s="54"/>
      <c r="E57" s="38">
        <f>E25/E26*100</f>
        <v>24.417748392575518</v>
      </c>
      <c r="F57" s="38">
        <f t="shared" ref="F57:I57" si="14">F25/F26*100</f>
        <v>20.995881338712465</v>
      </c>
      <c r="G57" s="38">
        <f t="shared" si="14"/>
        <v>28.957109697148613</v>
      </c>
      <c r="H57" s="38">
        <f t="shared" si="14"/>
        <v>23.7505565766069</v>
      </c>
      <c r="I57" s="38">
        <f t="shared" si="14"/>
        <v>17.401643288056555</v>
      </c>
    </row>
    <row r="58" spans="1:9" ht="15.6" x14ac:dyDescent="0.35">
      <c r="A58" s="3" t="s">
        <v>19</v>
      </c>
      <c r="B58" s="49" t="s">
        <v>52</v>
      </c>
      <c r="C58" s="54">
        <f>(C56+C57)/2</f>
        <v>64.209312863030689</v>
      </c>
      <c r="D58" s="54"/>
      <c r="E58" s="38">
        <f>(E56+E57)/2</f>
        <v>61.371901852765198</v>
      </c>
      <c r="F58" s="38">
        <f t="shared" ref="F58:I58" si="15">(F56+F57)/2</f>
        <v>57.978972535820574</v>
      </c>
      <c r="G58" s="38">
        <f t="shared" si="15"/>
        <v>63.880919150501697</v>
      </c>
      <c r="H58" s="38">
        <f t="shared" si="15"/>
        <v>81.784793930860673</v>
      </c>
      <c r="I58" s="38">
        <f t="shared" si="15"/>
        <v>69.003851947058578</v>
      </c>
    </row>
    <row r="59" spans="1:9" ht="15.6" x14ac:dyDescent="0.35">
      <c r="A59" s="3"/>
      <c r="B59" s="38"/>
      <c r="C59" s="38"/>
      <c r="D59" s="38"/>
      <c r="E59" s="38"/>
      <c r="F59" s="38"/>
      <c r="G59" s="38"/>
      <c r="H59" s="38"/>
      <c r="I59" s="38"/>
    </row>
    <row r="60" spans="1:9" ht="15.6" x14ac:dyDescent="0.35">
      <c r="A60" s="4" t="s">
        <v>30</v>
      </c>
      <c r="B60" s="38"/>
      <c r="C60" s="38"/>
      <c r="D60" s="38"/>
      <c r="E60" s="38"/>
      <c r="F60" s="38"/>
      <c r="G60" s="38"/>
      <c r="H60" s="38"/>
      <c r="I60" s="38"/>
    </row>
    <row r="61" spans="1:9" ht="15.6" x14ac:dyDescent="0.35">
      <c r="A61" s="3" t="s">
        <v>20</v>
      </c>
      <c r="B61" s="38">
        <f>B27/B25*100</f>
        <v>100</v>
      </c>
      <c r="C61" s="54">
        <f>C27/C25*100</f>
        <v>100</v>
      </c>
      <c r="D61" s="54"/>
      <c r="E61" s="38">
        <f>E27/E25*100</f>
        <v>100</v>
      </c>
      <c r="F61" s="38">
        <f t="shared" ref="F61:I61" si="16">F27/F25*100</f>
        <v>100</v>
      </c>
      <c r="G61" s="38">
        <f t="shared" si="16"/>
        <v>100</v>
      </c>
      <c r="H61" s="38">
        <f t="shared" si="16"/>
        <v>100</v>
      </c>
      <c r="I61" s="38">
        <f t="shared" si="16"/>
        <v>100</v>
      </c>
    </row>
    <row r="62" spans="1:9" ht="15.6" x14ac:dyDescent="0.35">
      <c r="A62" s="3"/>
      <c r="B62" s="38"/>
      <c r="C62" s="38"/>
      <c r="D62" s="38"/>
      <c r="E62" s="38"/>
      <c r="F62" s="38"/>
      <c r="G62" s="38"/>
      <c r="H62" s="38"/>
      <c r="I62" s="38"/>
    </row>
    <row r="63" spans="1:9" ht="15.6" x14ac:dyDescent="0.35">
      <c r="A63" s="4" t="s">
        <v>21</v>
      </c>
      <c r="B63" s="38"/>
      <c r="C63" s="38"/>
      <c r="D63" s="38"/>
      <c r="E63" s="38"/>
      <c r="F63" s="38"/>
      <c r="G63" s="38"/>
      <c r="H63" s="38"/>
      <c r="I63" s="38"/>
    </row>
    <row r="64" spans="1:9" ht="15.6" x14ac:dyDescent="0.35">
      <c r="A64" s="3" t="s">
        <v>22</v>
      </c>
      <c r="B64" s="43">
        <f>((B18/B15)-1)*100</f>
        <v>-24.668267581475135</v>
      </c>
      <c r="C64" s="55">
        <f>((D18/D15)-1)*100</f>
        <v>-11.780429733717002</v>
      </c>
      <c r="D64" s="55"/>
      <c r="E64" s="43">
        <f>((E18/E15)-1)*100</f>
        <v>-1.5306122448979553</v>
      </c>
      <c r="F64" s="43">
        <f t="shared" ref="F64:G64" si="17">((F18/F15)-1)*100</f>
        <v>-10.638297872340431</v>
      </c>
      <c r="G64" s="43">
        <f t="shared" si="17"/>
        <v>44.016064257028106</v>
      </c>
      <c r="H64" s="43">
        <f t="shared" ref="H64" si="18">((H18/H15)-1)*100</f>
        <v>1.7385317152939228</v>
      </c>
      <c r="I64" s="43" t="s">
        <v>47</v>
      </c>
    </row>
    <row r="65" spans="1:9" ht="15.6" x14ac:dyDescent="0.35">
      <c r="A65" s="3" t="s">
        <v>23</v>
      </c>
      <c r="B65" s="43">
        <f>((B40/B39)-1)*100</f>
        <v>22.370449922935066</v>
      </c>
      <c r="C65" s="55">
        <f>((C40/C39)-1)*100</f>
        <v>18.817197222037318</v>
      </c>
      <c r="D65" s="55"/>
      <c r="E65" s="43">
        <f>((E40/E39)-1)*100</f>
        <v>-2.6732805830646744</v>
      </c>
      <c r="F65" s="43">
        <f t="shared" ref="F65:G65" si="19">((F40/F39)-1)*100</f>
        <v>-25.046510138876819</v>
      </c>
      <c r="G65" s="43">
        <f t="shared" si="19"/>
        <v>43.02150561419662</v>
      </c>
      <c r="H65" s="43">
        <f t="shared" ref="H65" si="20">((H40/H39)-1)*100</f>
        <v>-2.054005157992933</v>
      </c>
      <c r="I65" s="43" t="s">
        <v>47</v>
      </c>
    </row>
    <row r="66" spans="1:9" ht="15.6" x14ac:dyDescent="0.35">
      <c r="A66" s="3" t="s">
        <v>24</v>
      </c>
      <c r="B66" s="43">
        <f>((B42/B41)-1)*100</f>
        <v>62.442102410541224</v>
      </c>
      <c r="C66" s="55">
        <f>((C42/C41)-1)*100</f>
        <v>34.6834912745529</v>
      </c>
      <c r="D66" s="55"/>
      <c r="E66" s="43">
        <f>((E42/E41)-1)*100</f>
        <v>-1.1604300221796593</v>
      </c>
      <c r="F66" s="43">
        <f t="shared" ref="F66:G66" si="21">((F42/F41)-1)*100</f>
        <v>-16.123475631600247</v>
      </c>
      <c r="G66" s="43">
        <f t="shared" si="21"/>
        <v>-0.69058868395158735</v>
      </c>
      <c r="H66" s="43">
        <f t="shared" ref="H66" si="22">((H42/H41)-1)*100</f>
        <v>-3.7277291202706953</v>
      </c>
      <c r="I66" s="43" t="s">
        <v>47</v>
      </c>
    </row>
    <row r="67" spans="1:9" ht="15.6" x14ac:dyDescent="0.35">
      <c r="A67" s="3"/>
      <c r="B67" s="38"/>
      <c r="C67" s="38"/>
      <c r="D67" s="38"/>
      <c r="E67" s="38"/>
      <c r="F67" s="38"/>
      <c r="G67" s="38"/>
      <c r="H67" s="38"/>
      <c r="I67" s="38"/>
    </row>
    <row r="68" spans="1:9" ht="15.6" x14ac:dyDescent="0.35">
      <c r="A68" s="4" t="s">
        <v>25</v>
      </c>
      <c r="B68" s="38"/>
      <c r="C68" s="38"/>
      <c r="D68" s="38"/>
      <c r="E68" s="38"/>
      <c r="F68" s="38"/>
      <c r="G68" s="38"/>
      <c r="H68" s="38"/>
      <c r="I68" s="38"/>
    </row>
    <row r="69" spans="1:9" ht="15.6" x14ac:dyDescent="0.35">
      <c r="A69" s="3" t="s">
        <v>31</v>
      </c>
      <c r="B69" s="38">
        <f>(B24/B17)*3</f>
        <v>159436.73791155618</v>
      </c>
      <c r="C69" s="55">
        <f>(C24/D17)*3</f>
        <v>105000</v>
      </c>
      <c r="D69" s="55"/>
      <c r="E69" s="38">
        <f>(E24/E17)*3</f>
        <v>300000</v>
      </c>
      <c r="F69" s="38">
        <f t="shared" ref="F69:H69" si="23">(F24/F17)*3</f>
        <v>225000</v>
      </c>
      <c r="G69" s="38">
        <f t="shared" si="23"/>
        <v>225000</v>
      </c>
      <c r="H69" s="38">
        <f t="shared" si="23"/>
        <v>390000</v>
      </c>
      <c r="I69" s="38">
        <f>(I24/I17)*2</f>
        <v>656000</v>
      </c>
    </row>
    <row r="70" spans="1:9" ht="15.6" x14ac:dyDescent="0.35">
      <c r="A70" s="3" t="s">
        <v>32</v>
      </c>
      <c r="B70" s="38">
        <f>(B25/B19)*3</f>
        <v>137328.78231474909</v>
      </c>
      <c r="C70" s="55">
        <f>(C25/D19)*3</f>
        <v>75947.220176492629</v>
      </c>
      <c r="D70" s="55"/>
      <c r="E70" s="38">
        <f>(E25/E19)*3</f>
        <v>300336.48346182541</v>
      </c>
      <c r="F70" s="38">
        <f t="shared" ref="F70:H70" si="24">(F25/F19)*3</f>
        <v>204330.83529347408</v>
      </c>
      <c r="G70" s="38">
        <f t="shared" si="24"/>
        <v>290118.24756222125</v>
      </c>
      <c r="H70" s="38">
        <f t="shared" si="24"/>
        <v>269947.05765253352</v>
      </c>
      <c r="I70" s="38">
        <f>(I25/I19)*2</f>
        <v>398031.74603174604</v>
      </c>
    </row>
    <row r="71" spans="1:9" ht="15.6" x14ac:dyDescent="0.35">
      <c r="A71" s="3" t="s">
        <v>26</v>
      </c>
      <c r="B71" s="49" t="s">
        <v>52</v>
      </c>
      <c r="C71" s="54">
        <f>(C70/C69)*D53</f>
        <v>82.838440972328641</v>
      </c>
      <c r="D71" s="54"/>
      <c r="E71" s="38">
        <f>(E70/E69)*E53</f>
        <v>98.102510310981387</v>
      </c>
      <c r="F71" s="38">
        <f t="shared" ref="F71:I71" si="25">(F70/F69)*F53</f>
        <v>81.261550335321729</v>
      </c>
      <c r="G71" s="38">
        <f t="shared" si="25"/>
        <v>138.37555198361392</v>
      </c>
      <c r="H71" s="38">
        <f t="shared" si="25"/>
        <v>81.268343027056957</v>
      </c>
      <c r="I71" s="38">
        <f t="shared" si="25"/>
        <v>57.674305267627702</v>
      </c>
    </row>
    <row r="72" spans="1:9" ht="15.6" x14ac:dyDescent="0.35">
      <c r="A72" s="3" t="s">
        <v>33</v>
      </c>
      <c r="B72" s="38">
        <f>B24/B17</f>
        <v>53145.579303852057</v>
      </c>
      <c r="C72" s="54">
        <f>C24/D17</f>
        <v>35000</v>
      </c>
      <c r="D72" s="54"/>
      <c r="E72" s="38">
        <f>E24/E17</f>
        <v>100000</v>
      </c>
      <c r="F72" s="38">
        <f>F24/F17</f>
        <v>75000</v>
      </c>
      <c r="G72" s="38">
        <f t="shared" ref="G72:I72" si="26">G24/G17</f>
        <v>75000</v>
      </c>
      <c r="H72" s="38">
        <f t="shared" si="26"/>
        <v>130000</v>
      </c>
      <c r="I72" s="38">
        <f t="shared" si="26"/>
        <v>328000</v>
      </c>
    </row>
    <row r="73" spans="1:9" ht="15.6" x14ac:dyDescent="0.35">
      <c r="A73" s="3" t="s">
        <v>34</v>
      </c>
      <c r="B73" s="38">
        <f>B25/B19</f>
        <v>45776.260771583024</v>
      </c>
      <c r="C73" s="54">
        <f>C25/D19</f>
        <v>25315.740058830877</v>
      </c>
      <c r="D73" s="54"/>
      <c r="E73" s="38">
        <f>E25/E19</f>
        <v>100112.16115394181</v>
      </c>
      <c r="F73" s="38">
        <f>F25/F19</f>
        <v>68110.278431158033</v>
      </c>
      <c r="G73" s="38">
        <f t="shared" ref="G73:I73" si="27">G25/G19</f>
        <v>96706.082520740427</v>
      </c>
      <c r="H73" s="38">
        <f t="shared" si="27"/>
        <v>89982.352550844502</v>
      </c>
      <c r="I73" s="38">
        <f t="shared" si="27"/>
        <v>199015.87301587302</v>
      </c>
    </row>
    <row r="74" spans="1:9" ht="15.6" x14ac:dyDescent="0.35">
      <c r="A74" s="3"/>
      <c r="B74" s="38"/>
      <c r="C74" s="38"/>
      <c r="D74" s="38"/>
      <c r="E74" s="38"/>
      <c r="F74" s="38"/>
      <c r="G74" s="38"/>
      <c r="H74" s="38"/>
      <c r="I74" s="38"/>
    </row>
    <row r="75" spans="1:9" ht="15.6" x14ac:dyDescent="0.35">
      <c r="A75" s="4" t="s">
        <v>27</v>
      </c>
      <c r="B75" s="38"/>
      <c r="C75" s="38"/>
      <c r="D75" s="38"/>
      <c r="E75" s="38"/>
      <c r="F75" s="38"/>
      <c r="G75" s="38"/>
      <c r="H75" s="38"/>
      <c r="I75" s="38"/>
    </row>
    <row r="76" spans="1:9" ht="15.6" x14ac:dyDescent="0.35">
      <c r="A76" s="3" t="s">
        <v>28</v>
      </c>
      <c r="B76" s="38">
        <f>(B31/B30)*100</f>
        <v>100.0000277592235</v>
      </c>
      <c r="C76" s="38"/>
      <c r="D76" s="38"/>
      <c r="E76" s="38"/>
      <c r="F76" s="38"/>
      <c r="G76" s="38"/>
      <c r="H76" s="38"/>
      <c r="I76" s="38"/>
    </row>
    <row r="77" spans="1:9" ht="15.6" x14ac:dyDescent="0.35">
      <c r="A77" s="3" t="s">
        <v>29</v>
      </c>
      <c r="B77" s="38">
        <f>(B25/B31)*100</f>
        <v>102.4671308457612</v>
      </c>
      <c r="C77" s="38"/>
      <c r="D77" s="38"/>
      <c r="E77" s="38"/>
      <c r="F77" s="38"/>
      <c r="G77" s="38"/>
      <c r="H77" s="38"/>
      <c r="I77" s="38"/>
    </row>
    <row r="78" spans="1:9" ht="16.2" thickBot="1" x14ac:dyDescent="0.4">
      <c r="A78" s="13"/>
      <c r="B78" s="14"/>
      <c r="C78" s="14"/>
      <c r="D78" s="14"/>
      <c r="E78" s="14"/>
      <c r="F78" s="14"/>
      <c r="G78" s="14"/>
      <c r="H78" s="14"/>
      <c r="I78" s="14"/>
    </row>
    <row r="79" spans="1:9" s="1" customFormat="1" ht="17.25" customHeight="1" thickTop="1" x14ac:dyDescent="0.3">
      <c r="A79" s="52" t="s">
        <v>94</v>
      </c>
      <c r="B79" s="52"/>
      <c r="C79" s="52"/>
      <c r="D79" s="52"/>
      <c r="E79" s="52"/>
      <c r="F79" s="52"/>
      <c r="G79" s="52"/>
      <c r="H79" s="52"/>
      <c r="I79" s="52"/>
    </row>
    <row r="81" spans="1:9" s="1" customFormat="1" ht="195.75" customHeight="1" x14ac:dyDescent="0.3">
      <c r="A81" s="53" t="s">
        <v>133</v>
      </c>
      <c r="B81" s="53"/>
      <c r="C81" s="53"/>
      <c r="D81" s="53"/>
      <c r="E81" s="53"/>
      <c r="F81" s="53"/>
      <c r="G81" s="53"/>
      <c r="H81" s="53"/>
      <c r="I81" s="53"/>
    </row>
    <row r="82" spans="1:9" ht="15" x14ac:dyDescent="0.3">
      <c r="C82" s="36"/>
    </row>
    <row r="83" spans="1:9" x14ac:dyDescent="0.3">
      <c r="A83" s="1"/>
    </row>
    <row r="84" spans="1:9" x14ac:dyDescent="0.3">
      <c r="A84" s="1"/>
    </row>
    <row r="85" spans="1:9" x14ac:dyDescent="0.3">
      <c r="A85" s="1"/>
    </row>
    <row r="86" spans="1:9" x14ac:dyDescent="0.3">
      <c r="A86" s="32"/>
    </row>
    <row r="87" spans="1:9" x14ac:dyDescent="0.3">
      <c r="A87" s="32"/>
    </row>
    <row r="88" spans="1:9" x14ac:dyDescent="0.3">
      <c r="A88" s="1"/>
    </row>
    <row r="89" spans="1:9" x14ac:dyDescent="0.3">
      <c r="A89" s="1"/>
    </row>
    <row r="90" spans="1:9" x14ac:dyDescent="0.3">
      <c r="A90" s="32"/>
    </row>
    <row r="91" spans="1:9" x14ac:dyDescent="0.3">
      <c r="A91" s="1"/>
    </row>
    <row r="92" spans="1:9" x14ac:dyDescent="0.3">
      <c r="A92" s="1"/>
    </row>
    <row r="93" spans="1:9" x14ac:dyDescent="0.3">
      <c r="A93" s="1"/>
    </row>
    <row r="94" spans="1:9" x14ac:dyDescent="0.3">
      <c r="A94" s="31"/>
    </row>
  </sheetData>
  <mergeCells count="31">
    <mergeCell ref="C9:I9"/>
    <mergeCell ref="A81:I81"/>
    <mergeCell ref="C39:D39"/>
    <mergeCell ref="C40:D40"/>
    <mergeCell ref="C41:D41"/>
    <mergeCell ref="C42:D42"/>
    <mergeCell ref="C61:D61"/>
    <mergeCell ref="C58:D58"/>
    <mergeCell ref="A79:I79"/>
    <mergeCell ref="C24:D24"/>
    <mergeCell ref="B9:B10"/>
    <mergeCell ref="C10:D10"/>
    <mergeCell ref="C23:D23"/>
    <mergeCell ref="C25:D25"/>
    <mergeCell ref="A9:A10"/>
    <mergeCell ref="C36:D36"/>
    <mergeCell ref="C26:D26"/>
    <mergeCell ref="C72:D72"/>
    <mergeCell ref="C73:D73"/>
    <mergeCell ref="C47:D47"/>
    <mergeCell ref="C48:D48"/>
    <mergeCell ref="C52:D52"/>
    <mergeCell ref="C65:D65"/>
    <mergeCell ref="C66:D66"/>
    <mergeCell ref="C69:D69"/>
    <mergeCell ref="C70:D70"/>
    <mergeCell ref="C71:D71"/>
    <mergeCell ref="C64:D64"/>
    <mergeCell ref="C56:D56"/>
    <mergeCell ref="C57:D57"/>
    <mergeCell ref="C27:D27"/>
  </mergeCells>
  <pageMargins left="0.7" right="0.7" top="0.75" bottom="0.75" header="0.3" footer="0.3"/>
  <pageSetup paperSize="9" orientation="portrait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95"/>
  <sheetViews>
    <sheetView showGridLines="0" zoomScale="80" zoomScaleNormal="80" zoomScalePageLayoutView="90" workbookViewId="0">
      <pane ySplit="10" topLeftCell="A11" activePane="bottomLeft" state="frozen"/>
      <selection pane="bottomLeft" activeCell="A9" sqref="A9:A10"/>
    </sheetView>
  </sheetViews>
  <sheetFormatPr baseColWidth="10" defaultColWidth="11.44140625" defaultRowHeight="14.4" x14ac:dyDescent="0.3"/>
  <cols>
    <col min="1" max="1" width="63.33203125" style="34" customWidth="1"/>
    <col min="2" max="9" width="18.6640625" style="34" customWidth="1"/>
    <col min="10" max="16384" width="11.44140625" style="34"/>
  </cols>
  <sheetData>
    <row r="1" spans="1:9" s="1" customFormat="1" x14ac:dyDescent="0.3"/>
    <row r="2" spans="1:9" s="1" customFormat="1" x14ac:dyDescent="0.3"/>
    <row r="3" spans="1:9" s="1" customFormat="1" x14ac:dyDescent="0.3"/>
    <row r="4" spans="1:9" s="1" customFormat="1" x14ac:dyDescent="0.3"/>
    <row r="5" spans="1:9" s="1" customFormat="1" x14ac:dyDescent="0.3"/>
    <row r="6" spans="1:9" s="1" customFormat="1" x14ac:dyDescent="0.3"/>
    <row r="7" spans="1:9" s="1" customFormat="1" x14ac:dyDescent="0.3"/>
    <row r="8" spans="1:9" s="1" customFormat="1" ht="18" customHeight="1" x14ac:dyDescent="0.3"/>
    <row r="9" spans="1:9" s="1" customFormat="1" ht="17.25" customHeight="1" x14ac:dyDescent="0.3">
      <c r="A9" s="56" t="s">
        <v>0</v>
      </c>
      <c r="B9" s="58" t="s">
        <v>54</v>
      </c>
      <c r="C9" s="63" t="s">
        <v>55</v>
      </c>
      <c r="D9" s="63"/>
      <c r="E9" s="63"/>
      <c r="F9" s="63"/>
      <c r="G9" s="63"/>
      <c r="H9" s="63"/>
      <c r="I9" s="63"/>
    </row>
    <row r="10" spans="1:9" s="1" customFormat="1" ht="51.75" customHeight="1" thickBot="1" x14ac:dyDescent="0.35">
      <c r="A10" s="57"/>
      <c r="B10" s="59"/>
      <c r="C10" s="57" t="s">
        <v>1</v>
      </c>
      <c r="D10" s="57"/>
      <c r="E10" s="39" t="s">
        <v>44</v>
      </c>
      <c r="F10" s="39" t="s">
        <v>45</v>
      </c>
      <c r="G10" s="39" t="s">
        <v>50</v>
      </c>
      <c r="H10" s="39" t="s">
        <v>56</v>
      </c>
      <c r="I10" s="39" t="s">
        <v>88</v>
      </c>
    </row>
    <row r="11" spans="1:9" s="1" customFormat="1" ht="16.2" thickTop="1" x14ac:dyDescent="0.35">
      <c r="A11" s="3"/>
      <c r="B11" s="3"/>
      <c r="C11" s="3"/>
      <c r="D11" s="3"/>
      <c r="E11" s="3"/>
      <c r="F11" s="3"/>
      <c r="G11" s="3"/>
      <c r="H11" s="3"/>
      <c r="I11" s="3"/>
    </row>
    <row r="12" spans="1:9" s="1" customFormat="1" ht="15.6" x14ac:dyDescent="0.35">
      <c r="A12" s="4" t="s">
        <v>2</v>
      </c>
      <c r="B12" s="3"/>
      <c r="C12" s="3"/>
      <c r="D12" s="3"/>
      <c r="E12" s="3"/>
      <c r="F12" s="3"/>
      <c r="G12" s="3"/>
      <c r="H12" s="3"/>
      <c r="I12" s="3"/>
    </row>
    <row r="13" spans="1:9" s="1" customFormat="1" ht="15.6" x14ac:dyDescent="0.35">
      <c r="A13" s="3"/>
      <c r="B13" s="3"/>
      <c r="C13" s="3"/>
      <c r="D13" s="3"/>
      <c r="E13" s="3"/>
      <c r="F13" s="3"/>
      <c r="G13" s="3"/>
      <c r="H13" s="3"/>
      <c r="I13" s="3"/>
    </row>
    <row r="14" spans="1:9" s="25" customFormat="1" ht="31.2" x14ac:dyDescent="0.3">
      <c r="A14" s="24" t="s">
        <v>41</v>
      </c>
      <c r="B14" s="33" t="s">
        <v>53</v>
      </c>
      <c r="C14" s="33" t="s">
        <v>42</v>
      </c>
      <c r="D14" s="33" t="s">
        <v>43</v>
      </c>
      <c r="E14" s="5" t="s">
        <v>42</v>
      </c>
      <c r="F14" s="5" t="s">
        <v>42</v>
      </c>
      <c r="G14" s="23" t="s">
        <v>57</v>
      </c>
      <c r="H14" s="5" t="s">
        <v>49</v>
      </c>
      <c r="I14" s="5" t="s">
        <v>42</v>
      </c>
    </row>
    <row r="15" spans="1:9" ht="15.6" x14ac:dyDescent="0.35">
      <c r="A15" s="6" t="s">
        <v>68</v>
      </c>
      <c r="B15" s="46">
        <v>218636</v>
      </c>
      <c r="C15" s="46">
        <v>163088</v>
      </c>
      <c r="D15" s="46">
        <v>273844</v>
      </c>
      <c r="E15" s="46">
        <v>1372</v>
      </c>
      <c r="F15" s="46">
        <v>7003</v>
      </c>
      <c r="G15" s="46">
        <v>52320</v>
      </c>
      <c r="H15" s="46">
        <v>23238</v>
      </c>
      <c r="I15" s="46" t="s">
        <v>47</v>
      </c>
    </row>
    <row r="16" spans="1:9" ht="15.6" x14ac:dyDescent="0.35">
      <c r="A16" s="6" t="s">
        <v>102</v>
      </c>
      <c r="B16" s="46" t="str">
        <f>'II Trimestre'!B16</f>
        <v>n.d</v>
      </c>
      <c r="C16" s="46" t="str">
        <f>'II Trimestre'!C16</f>
        <v>n.d</v>
      </c>
      <c r="D16" s="46">
        <f>'II Trimestre'!D16</f>
        <v>179775</v>
      </c>
      <c r="E16" s="46">
        <f>'II Trimestre'!E16</f>
        <v>1374</v>
      </c>
      <c r="F16" s="46">
        <f>'II Trimestre'!F16</f>
        <v>6589</v>
      </c>
      <c r="G16" s="46">
        <f>'II Trimestre'!G16</f>
        <v>76217</v>
      </c>
      <c r="H16" s="46">
        <f>'II Trimestre'!H16</f>
        <v>16909</v>
      </c>
      <c r="I16" s="46">
        <f>'II Trimestre'!I16</f>
        <v>165</v>
      </c>
    </row>
    <row r="17" spans="1:9" ht="15.6" x14ac:dyDescent="0.35">
      <c r="A17" s="6" t="s">
        <v>51</v>
      </c>
      <c r="B17" s="46">
        <f>+'I Trimestre'!B17+'II Trimestre'!B17</f>
        <v>1657101</v>
      </c>
      <c r="C17" s="46" t="s">
        <v>47</v>
      </c>
      <c r="D17" s="46">
        <f>+'I Trimestre'!D17+'II Trimestre'!D17</f>
        <v>1050082</v>
      </c>
      <c r="E17" s="46">
        <f>+'I Trimestre'!E17+'II Trimestre'!E17</f>
        <v>8242</v>
      </c>
      <c r="F17" s="46">
        <f>+'I Trimestre'!F17+'II Trimestre'!F17</f>
        <v>39534</v>
      </c>
      <c r="G17" s="46">
        <f>+'I Trimestre'!G17+'II Trimestre'!G17</f>
        <v>457294</v>
      </c>
      <c r="H17" s="46">
        <f>+'I Trimestre'!H17+'II Trimestre'!H17</f>
        <v>101454</v>
      </c>
      <c r="I17" s="46">
        <f>+'I Trimestre'!I17+'II Trimestre'!I17</f>
        <v>987</v>
      </c>
    </row>
    <row r="18" spans="1:9" ht="15.6" x14ac:dyDescent="0.35">
      <c r="A18" s="6" t="s">
        <v>103</v>
      </c>
      <c r="B18" s="46">
        <v>205670</v>
      </c>
      <c r="C18" s="46">
        <v>155771</v>
      </c>
      <c r="D18" s="46">
        <v>243525</v>
      </c>
      <c r="E18" s="46">
        <v>1404</v>
      </c>
      <c r="F18" s="46">
        <v>6339</v>
      </c>
      <c r="G18" s="46">
        <v>73980</v>
      </c>
      <c r="H18" s="46">
        <v>26708</v>
      </c>
      <c r="I18" s="46">
        <v>200</v>
      </c>
    </row>
    <row r="19" spans="1:9" ht="15.6" x14ac:dyDescent="0.35">
      <c r="A19" s="6" t="s">
        <v>51</v>
      </c>
      <c r="B19" s="46">
        <f>+'I Trimestre'!B19+'II Trimestre'!B19</f>
        <v>1691382</v>
      </c>
      <c r="C19" s="46" t="s">
        <v>47</v>
      </c>
      <c r="D19" s="46">
        <f>+'I Trimestre'!D19+'II Trimestre'!D19</f>
        <v>1189172</v>
      </c>
      <c r="E19" s="46">
        <f>+'I Trimestre'!E19+'II Trimestre'!E19</f>
        <v>8107</v>
      </c>
      <c r="F19" s="46">
        <f>+'I Trimestre'!F19+'II Trimestre'!F19</f>
        <v>33144</v>
      </c>
      <c r="G19" s="46">
        <f>+'I Trimestre'!G19+'II Trimestre'!G19</f>
        <v>325282</v>
      </c>
      <c r="H19" s="46">
        <f>+'I Trimestre'!H19+'II Trimestre'!H19</f>
        <v>135110</v>
      </c>
      <c r="I19" s="46">
        <f>+'I Trimestre'!I19+'II Trimestre'!I19</f>
        <v>777</v>
      </c>
    </row>
    <row r="20" spans="1:9" ht="15.6" x14ac:dyDescent="0.35">
      <c r="A20" s="6" t="s">
        <v>91</v>
      </c>
      <c r="B20" s="46" t="str">
        <f>'II Trimestre'!B20</f>
        <v>n.d</v>
      </c>
      <c r="C20" s="46" t="str">
        <f>'II Trimestre'!C20</f>
        <v>n.d</v>
      </c>
      <c r="D20" s="46">
        <f>'II Trimestre'!D20</f>
        <v>227397</v>
      </c>
      <c r="E20" s="46">
        <f>'II Trimestre'!E20</f>
        <v>1374</v>
      </c>
      <c r="F20" s="46">
        <f>'II Trimestre'!F20</f>
        <v>6590</v>
      </c>
      <c r="G20" s="46">
        <f>'II Trimestre'!G20</f>
        <v>76217</v>
      </c>
      <c r="H20" s="46">
        <f>'II Trimestre'!H20</f>
        <v>16909</v>
      </c>
      <c r="I20" s="46">
        <f>'II Trimestre'!I20</f>
        <v>165</v>
      </c>
    </row>
    <row r="21" spans="1:9" ht="15.6" x14ac:dyDescent="0.35">
      <c r="A21" s="3"/>
      <c r="B21" s="46"/>
      <c r="C21" s="46"/>
      <c r="D21" s="46"/>
      <c r="E21" s="46"/>
      <c r="F21" s="46"/>
      <c r="G21" s="46"/>
      <c r="H21" s="46"/>
      <c r="I21" s="46"/>
    </row>
    <row r="22" spans="1:9" ht="15.6" x14ac:dyDescent="0.35">
      <c r="A22" s="7" t="s">
        <v>3</v>
      </c>
      <c r="B22" s="46"/>
      <c r="C22" s="46"/>
      <c r="D22" s="46"/>
      <c r="E22" s="46"/>
      <c r="F22" s="46"/>
      <c r="G22" s="46"/>
      <c r="H22" s="46"/>
      <c r="I22" s="46"/>
    </row>
    <row r="23" spans="1:9" ht="15.6" x14ac:dyDescent="0.35">
      <c r="A23" s="6" t="s">
        <v>68</v>
      </c>
      <c r="B23" s="46">
        <f>+C23+E23+F23+G23+H23</f>
        <v>68961149296</v>
      </c>
      <c r="C23" s="66">
        <f>'I Trimestre'!C23:D23+'II Trimestre'!C23:D23</f>
        <v>28917158000</v>
      </c>
      <c r="D23" s="66"/>
      <c r="E23" s="46">
        <f>'I Trimestre'!E23+'II Trimestre'!E23</f>
        <v>800821000</v>
      </c>
      <c r="F23" s="46">
        <f>'I Trimestre'!F23+'II Trimestre'!F23</f>
        <v>3315369750</v>
      </c>
      <c r="G23" s="46">
        <f>'I Trimestre'!G23+'II Trimestre'!G23</f>
        <v>23231155320</v>
      </c>
      <c r="H23" s="46">
        <f>'I Trimestre'!H23+'II Trimestre'!H23</f>
        <v>12696645226</v>
      </c>
      <c r="I23" s="46" t="s">
        <v>47</v>
      </c>
    </row>
    <row r="24" spans="1:9" ht="15.6" x14ac:dyDescent="0.35">
      <c r="A24" s="6" t="s">
        <v>102</v>
      </c>
      <c r="B24" s="46">
        <f t="shared" ref="B24:B27" si="0">+C24+E24+F24+G24+H24+I24</f>
        <v>88351926000</v>
      </c>
      <c r="C24" s="66">
        <f>'I Trimestre'!C24:D24+'II Trimestre'!C24:D24</f>
        <v>36752870000</v>
      </c>
      <c r="D24" s="66"/>
      <c r="E24" s="46">
        <f>'I Trimestre'!E24+'II Trimestre'!E24</f>
        <v>824200000</v>
      </c>
      <c r="F24" s="46">
        <f>'I Trimestre'!F24+'II Trimestre'!F24</f>
        <v>2965050000</v>
      </c>
      <c r="G24" s="46">
        <f>'I Trimestre'!G24+'II Trimestre'!G24</f>
        <v>34297050000</v>
      </c>
      <c r="H24" s="46">
        <f>'I Trimestre'!H24+'II Trimestre'!H24</f>
        <v>13189020000</v>
      </c>
      <c r="I24" s="46">
        <f>'I Trimestre'!I24+'II Trimestre'!I24</f>
        <v>323736000</v>
      </c>
    </row>
    <row r="25" spans="1:9" ht="15.6" x14ac:dyDescent="0.35">
      <c r="A25" s="6" t="s">
        <v>103</v>
      </c>
      <c r="B25" s="46">
        <f t="shared" si="0"/>
        <v>82134589687.199997</v>
      </c>
      <c r="C25" s="66">
        <f>'I Trimestre'!C25:D25+'II Trimestre'!C25:D25</f>
        <v>33954220000</v>
      </c>
      <c r="D25" s="66"/>
      <c r="E25" s="46">
        <f>'I Trimestre'!E25+'II Trimestre'!E25</f>
        <v>807269000</v>
      </c>
      <c r="F25" s="46">
        <f>'I Trimestre'!F25+'II Trimestre'!F25</f>
        <v>2473691000</v>
      </c>
      <c r="G25" s="46">
        <f>'I Trimestre'!G25+'II Trimestre'!G25</f>
        <v>32055954755.200001</v>
      </c>
      <c r="H25" s="46">
        <f>'I Trimestre'!H25+'II Trimestre'!H25</f>
        <v>12676407931.999998</v>
      </c>
      <c r="I25" s="46">
        <f>'I Trimestre'!I25+'II Trimestre'!I25</f>
        <v>167047000</v>
      </c>
    </row>
    <row r="26" spans="1:9" ht="15.6" x14ac:dyDescent="0.35">
      <c r="A26" s="6" t="s">
        <v>91</v>
      </c>
      <c r="B26" s="46">
        <f t="shared" si="0"/>
        <v>182706226000</v>
      </c>
      <c r="C26" s="66">
        <f>+'II Trimestre'!C26</f>
        <v>79506105000</v>
      </c>
      <c r="D26" s="66"/>
      <c r="E26" s="46">
        <f>'II Trimestre'!E26</f>
        <v>1648600000</v>
      </c>
      <c r="F26" s="46">
        <f>'II Trimestre'!F26</f>
        <v>5930325000</v>
      </c>
      <c r="G26" s="46">
        <f>'II Trimestre'!G26</f>
        <v>68594700000</v>
      </c>
      <c r="H26" s="46">
        <f>'II Trimestre'!H26</f>
        <v>26378040000</v>
      </c>
      <c r="I26" s="46">
        <f>'II Trimestre'!I26</f>
        <v>648456000</v>
      </c>
    </row>
    <row r="27" spans="1:9" ht="15.6" x14ac:dyDescent="0.35">
      <c r="A27" s="6" t="s">
        <v>104</v>
      </c>
      <c r="B27" s="46">
        <f t="shared" si="0"/>
        <v>82134589687.199997</v>
      </c>
      <c r="C27" s="66">
        <f>C25</f>
        <v>33954220000</v>
      </c>
      <c r="D27" s="66"/>
      <c r="E27" s="46">
        <f>E25</f>
        <v>807269000</v>
      </c>
      <c r="F27" s="46">
        <f t="shared" ref="F27:I27" si="1">F25</f>
        <v>2473691000</v>
      </c>
      <c r="G27" s="46">
        <f t="shared" si="1"/>
        <v>32055954755.200001</v>
      </c>
      <c r="H27" s="46">
        <f t="shared" si="1"/>
        <v>12676407931.999998</v>
      </c>
      <c r="I27" s="46">
        <f t="shared" si="1"/>
        <v>167047000</v>
      </c>
    </row>
    <row r="28" spans="1:9" ht="15.6" x14ac:dyDescent="0.35">
      <c r="A28" s="3"/>
      <c r="B28" s="46"/>
      <c r="C28" s="46"/>
      <c r="D28" s="46"/>
      <c r="E28" s="46"/>
      <c r="F28" s="46"/>
      <c r="G28" s="46"/>
      <c r="H28" s="46"/>
      <c r="I28" s="46"/>
    </row>
    <row r="29" spans="1:9" ht="15.6" x14ac:dyDescent="0.35">
      <c r="A29" s="7" t="s">
        <v>4</v>
      </c>
      <c r="B29" s="46"/>
      <c r="C29" s="46"/>
      <c r="D29" s="46"/>
      <c r="E29" s="46"/>
      <c r="F29" s="46"/>
      <c r="G29" s="46"/>
      <c r="H29" s="46"/>
      <c r="I29" s="46"/>
    </row>
    <row r="30" spans="1:9" ht="15.6" x14ac:dyDescent="0.35">
      <c r="A30" s="6" t="s">
        <v>102</v>
      </c>
      <c r="B30" s="46">
        <f>'I Trimestre'!B30+'II Trimestre'!B30</f>
        <v>88351926000</v>
      </c>
      <c r="C30" s="46"/>
      <c r="D30" s="46"/>
      <c r="E30" s="46"/>
      <c r="F30" s="46"/>
      <c r="G30" s="46"/>
      <c r="H30" s="46"/>
      <c r="I30" s="46"/>
    </row>
    <row r="31" spans="1:9" ht="15.6" x14ac:dyDescent="0.35">
      <c r="A31" s="6" t="s">
        <v>103</v>
      </c>
      <c r="B31" s="46">
        <v>88853374666</v>
      </c>
      <c r="C31" s="46"/>
      <c r="D31" s="46"/>
      <c r="E31" s="46"/>
      <c r="F31" s="46"/>
      <c r="G31" s="46"/>
      <c r="H31" s="46"/>
      <c r="I31" s="46"/>
    </row>
    <row r="32" spans="1:9" ht="15.6" x14ac:dyDescent="0.35">
      <c r="A32" s="3"/>
      <c r="B32" s="28"/>
      <c r="C32" s="28"/>
      <c r="D32" s="28"/>
      <c r="E32" s="28"/>
      <c r="F32" s="28"/>
      <c r="G32" s="28"/>
      <c r="H32" s="28"/>
      <c r="I32" s="28"/>
    </row>
    <row r="33" spans="1:10" ht="15.6" x14ac:dyDescent="0.35">
      <c r="A33" s="4" t="s">
        <v>5</v>
      </c>
      <c r="B33" s="28"/>
      <c r="C33" s="28"/>
      <c r="D33" s="28"/>
      <c r="E33" s="28"/>
      <c r="F33" s="28"/>
      <c r="G33" s="28"/>
      <c r="H33" s="28"/>
      <c r="I33" s="28"/>
    </row>
    <row r="34" spans="1:10" ht="15.6" x14ac:dyDescent="0.35">
      <c r="A34" s="6" t="s">
        <v>69</v>
      </c>
      <c r="B34" s="50">
        <v>1.0973999999999999</v>
      </c>
      <c r="C34" s="50">
        <v>1.0973999999999999</v>
      </c>
      <c r="D34" s="50">
        <v>1.0973999999999999</v>
      </c>
      <c r="E34" s="50">
        <v>1.0973999999999999</v>
      </c>
      <c r="F34" s="50">
        <v>1.0973999999999999</v>
      </c>
      <c r="G34" s="50">
        <v>1.0973999999999999</v>
      </c>
      <c r="H34" s="50">
        <v>1.0973999999999999</v>
      </c>
      <c r="I34" s="50">
        <v>1.0973999999999999</v>
      </c>
    </row>
    <row r="35" spans="1:10" ht="15.6" x14ac:dyDescent="0.35">
      <c r="A35" s="6" t="s">
        <v>105</v>
      </c>
      <c r="B35" s="50">
        <v>1.0971</v>
      </c>
      <c r="C35" s="50">
        <v>1.0971</v>
      </c>
      <c r="D35" s="50">
        <v>1.0971</v>
      </c>
      <c r="E35" s="50">
        <v>1.0971</v>
      </c>
      <c r="F35" s="50">
        <v>1.0971</v>
      </c>
      <c r="G35" s="50">
        <v>1.0971</v>
      </c>
      <c r="H35" s="50">
        <v>1.0971</v>
      </c>
      <c r="I35" s="50">
        <v>1.0971</v>
      </c>
    </row>
    <row r="36" spans="1:10" s="1" customFormat="1" ht="15.6" x14ac:dyDescent="0.35">
      <c r="A36" s="6" t="s">
        <v>6</v>
      </c>
      <c r="B36" s="41">
        <v>429884</v>
      </c>
      <c r="C36" s="61">
        <v>164022</v>
      </c>
      <c r="D36" s="61"/>
      <c r="E36" s="41">
        <v>131709</v>
      </c>
      <c r="F36" s="41">
        <v>87579</v>
      </c>
      <c r="G36" s="41" t="s">
        <v>52</v>
      </c>
      <c r="H36" s="41" t="s">
        <v>52</v>
      </c>
      <c r="I36" s="41" t="s">
        <v>52</v>
      </c>
    </row>
    <row r="37" spans="1:10" ht="15.6" x14ac:dyDescent="0.35">
      <c r="A37" s="3"/>
      <c r="B37" s="15"/>
      <c r="C37" s="15"/>
      <c r="D37" s="15"/>
      <c r="E37" s="15"/>
      <c r="F37" s="15"/>
      <c r="G37" s="15"/>
      <c r="H37" s="15"/>
      <c r="I37" s="15"/>
    </row>
    <row r="38" spans="1:10" ht="15.6" x14ac:dyDescent="0.35">
      <c r="A38" s="4" t="s">
        <v>7</v>
      </c>
      <c r="B38" s="15"/>
      <c r="C38" s="15"/>
      <c r="D38" s="15"/>
      <c r="E38" s="15"/>
      <c r="F38" s="15"/>
      <c r="G38" s="15"/>
      <c r="H38" s="15"/>
      <c r="I38" s="15"/>
    </row>
    <row r="39" spans="1:10" ht="15.6" x14ac:dyDescent="0.35">
      <c r="A39" s="3" t="s">
        <v>70</v>
      </c>
      <c r="B39" s="42">
        <f>B23/B34</f>
        <v>62840485963.185715</v>
      </c>
      <c r="C39" s="62">
        <f>C23/C34</f>
        <v>26350608711.499912</v>
      </c>
      <c r="D39" s="62"/>
      <c r="E39" s="42">
        <f>E23/E34</f>
        <v>729743940.2223438</v>
      </c>
      <c r="F39" s="42">
        <f t="shared" ref="F39:H39" si="2">F23/F34</f>
        <v>3021113313.2859488</v>
      </c>
      <c r="G39" s="42">
        <f t="shared" si="2"/>
        <v>21169268562.055771</v>
      </c>
      <c r="H39" s="42">
        <f t="shared" si="2"/>
        <v>11569751436.121742</v>
      </c>
      <c r="I39" s="42" t="s">
        <v>47</v>
      </c>
      <c r="J39" s="42"/>
    </row>
    <row r="40" spans="1:10" ht="15.6" x14ac:dyDescent="0.35">
      <c r="A40" s="3" t="s">
        <v>106</v>
      </c>
      <c r="B40" s="42">
        <f>B25/B35</f>
        <v>74865180646.431503</v>
      </c>
      <c r="C40" s="62">
        <f>C25/C35</f>
        <v>30949065718.712971</v>
      </c>
      <c r="D40" s="62"/>
      <c r="E40" s="42">
        <f>E25/E35</f>
        <v>735820800.29167807</v>
      </c>
      <c r="F40" s="42">
        <f t="shared" ref="F40:H40" si="3">F25/F35</f>
        <v>2254754352.3835568</v>
      </c>
      <c r="G40" s="42">
        <f t="shared" si="3"/>
        <v>29218808454.288582</v>
      </c>
      <c r="H40" s="42">
        <f t="shared" si="3"/>
        <v>11554468992.799196</v>
      </c>
      <c r="I40" s="42">
        <f t="shared" ref="I40" si="4">I25/I35</f>
        <v>152262327.95551911</v>
      </c>
      <c r="J40" s="42"/>
    </row>
    <row r="41" spans="1:10" ht="15.6" x14ac:dyDescent="0.35">
      <c r="A41" s="3" t="s">
        <v>71</v>
      </c>
      <c r="B41" s="42">
        <f>B39/B15</f>
        <v>287420.5801569079</v>
      </c>
      <c r="C41" s="62">
        <f>C39/D15</f>
        <v>96224.889760228136</v>
      </c>
      <c r="D41" s="62"/>
      <c r="E41" s="42">
        <f>E39/E15</f>
        <v>531883.33835447801</v>
      </c>
      <c r="F41" s="42">
        <f t="shared" ref="F41:H41" si="5">F39/F15</f>
        <v>431402.72929972137</v>
      </c>
      <c r="G41" s="42">
        <f t="shared" si="5"/>
        <v>404611.40217996505</v>
      </c>
      <c r="H41" s="42">
        <f t="shared" si="5"/>
        <v>497880.68836051907</v>
      </c>
      <c r="I41" s="42" t="s">
        <v>47</v>
      </c>
      <c r="J41" s="42"/>
    </row>
    <row r="42" spans="1:10" ht="15.6" x14ac:dyDescent="0.35">
      <c r="A42" s="3" t="s">
        <v>107</v>
      </c>
      <c r="B42" s="42">
        <f>B40/B18</f>
        <v>364006.32394822536</v>
      </c>
      <c r="C42" s="62">
        <f>C40/D18</f>
        <v>127087.83787583603</v>
      </c>
      <c r="D42" s="62"/>
      <c r="E42" s="42">
        <f>E40/E18</f>
        <v>524088.88909663679</v>
      </c>
      <c r="F42" s="42">
        <f t="shared" ref="F42:H42" si="6">F40/F18</f>
        <v>355695.59116320504</v>
      </c>
      <c r="G42" s="42">
        <f t="shared" si="6"/>
        <v>394955.50762758288</v>
      </c>
      <c r="H42" s="42">
        <f t="shared" si="6"/>
        <v>432622.02309417387</v>
      </c>
      <c r="I42" s="42">
        <f t="shared" ref="I42" si="7">I40/I18</f>
        <v>761311.63977759553</v>
      </c>
      <c r="J42" s="42"/>
    </row>
    <row r="43" spans="1:10" ht="15.6" x14ac:dyDescent="0.35">
      <c r="A43" s="3"/>
      <c r="B43" s="8"/>
      <c r="C43" s="8"/>
      <c r="D43" s="8"/>
      <c r="E43" s="8"/>
      <c r="F43" s="8"/>
      <c r="G43" s="8"/>
      <c r="H43" s="8"/>
      <c r="I43" s="8"/>
    </row>
    <row r="44" spans="1:10" ht="15.6" x14ac:dyDescent="0.35">
      <c r="A44" s="4" t="s">
        <v>8</v>
      </c>
      <c r="B44" s="8"/>
      <c r="C44" s="8"/>
      <c r="D44" s="8"/>
      <c r="E44" s="8"/>
      <c r="F44" s="8"/>
      <c r="G44" s="8"/>
      <c r="H44" s="8"/>
      <c r="I44" s="8"/>
    </row>
    <row r="45" spans="1:10" ht="15.6" x14ac:dyDescent="0.35">
      <c r="A45" s="3"/>
      <c r="B45" s="8"/>
      <c r="C45" s="8"/>
      <c r="D45" s="8"/>
      <c r="E45" s="8"/>
      <c r="F45" s="8"/>
      <c r="G45" s="8"/>
      <c r="H45" s="8"/>
      <c r="I45" s="8"/>
    </row>
    <row r="46" spans="1:10" ht="15.6" x14ac:dyDescent="0.35">
      <c r="A46" s="4" t="s">
        <v>9</v>
      </c>
      <c r="B46" s="8"/>
      <c r="C46" s="8"/>
      <c r="D46" s="8"/>
      <c r="E46" s="8"/>
      <c r="F46" s="8"/>
      <c r="G46" s="8"/>
      <c r="H46" s="8"/>
      <c r="I46" s="8"/>
    </row>
    <row r="47" spans="1:10" ht="15.6" x14ac:dyDescent="0.35">
      <c r="A47" s="3" t="s">
        <v>10</v>
      </c>
      <c r="B47" s="49" t="s">
        <v>52</v>
      </c>
      <c r="C47" s="54">
        <f>(D16/C36)*100</f>
        <v>109.60419943666093</v>
      </c>
      <c r="D47" s="54"/>
      <c r="E47" s="38">
        <f>(E16/E36)*100</f>
        <v>1.0432088923308203</v>
      </c>
      <c r="F47" s="38">
        <f t="shared" ref="F47" si="8">(F16/F36)*100</f>
        <v>7.5234930748238726</v>
      </c>
      <c r="G47" s="49" t="s">
        <v>47</v>
      </c>
      <c r="H47" s="49" t="s">
        <v>47</v>
      </c>
      <c r="I47" s="49" t="s">
        <v>47</v>
      </c>
    </row>
    <row r="48" spans="1:10" ht="15.6" x14ac:dyDescent="0.35">
      <c r="A48" s="3" t="s">
        <v>11</v>
      </c>
      <c r="B48" s="38">
        <f>(B18/B36)*100</f>
        <v>47.843139079379554</v>
      </c>
      <c r="C48" s="54">
        <f>(D18/C36)*100</f>
        <v>148.4709368255478</v>
      </c>
      <c r="D48" s="54"/>
      <c r="E48" s="38">
        <f>(E18/E36)*100</f>
        <v>1.0659863790629343</v>
      </c>
      <c r="F48" s="38">
        <f t="shared" ref="F48" si="9">(F18/F36)*100</f>
        <v>7.2380365156030555</v>
      </c>
      <c r="G48" s="49" t="s">
        <v>47</v>
      </c>
      <c r="H48" s="49" t="s">
        <v>47</v>
      </c>
      <c r="I48" s="49" t="s">
        <v>47</v>
      </c>
    </row>
    <row r="49" spans="1:9" ht="15.6" x14ac:dyDescent="0.35">
      <c r="A49" s="3"/>
      <c r="B49" s="38"/>
      <c r="C49" s="38"/>
      <c r="D49" s="38"/>
      <c r="E49" s="38"/>
      <c r="F49" s="38"/>
      <c r="G49" s="38"/>
      <c r="H49" s="38"/>
      <c r="I49" s="38"/>
    </row>
    <row r="50" spans="1:9" ht="15.6" x14ac:dyDescent="0.35">
      <c r="A50" s="4" t="s">
        <v>12</v>
      </c>
      <c r="B50" s="38"/>
      <c r="C50" s="38"/>
      <c r="D50" s="38"/>
      <c r="E50" s="38"/>
      <c r="F50" s="38"/>
      <c r="G50" s="38"/>
      <c r="H50" s="38"/>
      <c r="I50" s="38"/>
    </row>
    <row r="51" spans="1:9" ht="15.6" x14ac:dyDescent="0.35">
      <c r="A51" s="3" t="s">
        <v>13</v>
      </c>
      <c r="B51" s="49" t="s">
        <v>52</v>
      </c>
      <c r="C51" s="49" t="s">
        <v>52</v>
      </c>
      <c r="D51" s="38">
        <f>D18/D16*100</f>
        <v>135.46099290780143</v>
      </c>
      <c r="E51" s="38">
        <f>E18/E16*100</f>
        <v>102.18340611353712</v>
      </c>
      <c r="F51" s="38">
        <f t="shared" ref="F51:I51" si="10">F18/F16*100</f>
        <v>96.205797541356802</v>
      </c>
      <c r="G51" s="38">
        <f t="shared" si="10"/>
        <v>97.064959261057254</v>
      </c>
      <c r="H51" s="38">
        <f t="shared" si="10"/>
        <v>157.9513868354131</v>
      </c>
      <c r="I51" s="38">
        <f t="shared" si="10"/>
        <v>121.21212121212122</v>
      </c>
    </row>
    <row r="52" spans="1:9" ht="15.6" x14ac:dyDescent="0.35">
      <c r="A52" s="3" t="s">
        <v>14</v>
      </c>
      <c r="B52" s="38">
        <f>B25/B24*100</f>
        <v>92.962987232672205</v>
      </c>
      <c r="C52" s="54">
        <f>C25/C24*100</f>
        <v>92.385220528356015</v>
      </c>
      <c r="D52" s="54"/>
      <c r="E52" s="38">
        <f>E25/E24*100</f>
        <v>97.945765590875993</v>
      </c>
      <c r="F52" s="38">
        <f t="shared" ref="F52:I52" si="11">F25/F24*100</f>
        <v>83.428306436653685</v>
      </c>
      <c r="G52" s="38">
        <f t="shared" si="11"/>
        <v>93.465632627879074</v>
      </c>
      <c r="H52" s="38">
        <f t="shared" si="11"/>
        <v>96.113342249841139</v>
      </c>
      <c r="I52" s="38">
        <f t="shared" si="11"/>
        <v>51.599760298514838</v>
      </c>
    </row>
    <row r="53" spans="1:9" ht="15.6" x14ac:dyDescent="0.35">
      <c r="A53" s="3" t="s">
        <v>15</v>
      </c>
      <c r="B53" s="49" t="s">
        <v>52</v>
      </c>
      <c r="C53" s="49" t="s">
        <v>52</v>
      </c>
      <c r="D53" s="38">
        <f>AVERAGE(D51,C52)</f>
        <v>113.92310671807871</v>
      </c>
      <c r="E53" s="38">
        <f>AVERAGE(E51:E52)</f>
        <v>100.06458585220656</v>
      </c>
      <c r="F53" s="38">
        <f t="shared" ref="F53:I53" si="12">AVERAGE(F51:F52)</f>
        <v>89.81705198900525</v>
      </c>
      <c r="G53" s="38">
        <f t="shared" si="12"/>
        <v>95.265295944468164</v>
      </c>
      <c r="H53" s="38">
        <f t="shared" si="12"/>
        <v>127.03236454262712</v>
      </c>
      <c r="I53" s="38">
        <f t="shared" si="12"/>
        <v>86.405940755318028</v>
      </c>
    </row>
    <row r="54" spans="1:9" ht="15.6" x14ac:dyDescent="0.35">
      <c r="A54" s="3"/>
      <c r="B54" s="38"/>
      <c r="C54" s="38"/>
      <c r="D54" s="38"/>
      <c r="E54" s="38"/>
      <c r="F54" s="38"/>
      <c r="G54" s="38"/>
      <c r="H54" s="38"/>
      <c r="I54" s="38"/>
    </row>
    <row r="55" spans="1:9" ht="15.6" x14ac:dyDescent="0.35">
      <c r="A55" s="4" t="s">
        <v>16</v>
      </c>
      <c r="B55" s="38"/>
      <c r="C55" s="38"/>
      <c r="D55" s="38"/>
      <c r="E55" s="38"/>
      <c r="F55" s="38"/>
      <c r="G55" s="38"/>
      <c r="H55" s="38"/>
      <c r="I55" s="38"/>
    </row>
    <row r="56" spans="1:9" ht="15.6" x14ac:dyDescent="0.35">
      <c r="A56" s="3" t="s">
        <v>17</v>
      </c>
      <c r="B56" s="49" t="s">
        <v>52</v>
      </c>
      <c r="C56" s="54">
        <f>D18/D20*100</f>
        <v>107.09244185279489</v>
      </c>
      <c r="D56" s="54"/>
      <c r="E56" s="38">
        <f>E18/E20*100</f>
        <v>102.18340611353712</v>
      </c>
      <c r="F56" s="38">
        <f t="shared" ref="F56:I56" si="13">F18/F20*100</f>
        <v>96.19119878603945</v>
      </c>
      <c r="G56" s="38">
        <f t="shared" si="13"/>
        <v>97.064959261057254</v>
      </c>
      <c r="H56" s="38">
        <f t="shared" si="13"/>
        <v>157.9513868354131</v>
      </c>
      <c r="I56" s="38">
        <f t="shared" si="13"/>
        <v>121.21212121212122</v>
      </c>
    </row>
    <row r="57" spans="1:9" ht="15.6" x14ac:dyDescent="0.35">
      <c r="A57" s="3" t="s">
        <v>18</v>
      </c>
      <c r="B57" s="38">
        <f>B25/B26*100</f>
        <v>44.954455841696387</v>
      </c>
      <c r="C57" s="54">
        <f>C25/C26*100</f>
        <v>42.706431160223488</v>
      </c>
      <c r="D57" s="54"/>
      <c r="E57" s="38">
        <f>E25/E26*100</f>
        <v>48.966941647458448</v>
      </c>
      <c r="F57" s="38">
        <f t="shared" ref="F57:I57" si="14">F25/F26*100</f>
        <v>41.712570558949132</v>
      </c>
      <c r="G57" s="38">
        <f t="shared" si="14"/>
        <v>46.732407540524271</v>
      </c>
      <c r="H57" s="38">
        <f t="shared" si="14"/>
        <v>48.05667112492057</v>
      </c>
      <c r="I57" s="38">
        <f t="shared" si="14"/>
        <v>25.760730103507406</v>
      </c>
    </row>
    <row r="58" spans="1:9" ht="15.6" x14ac:dyDescent="0.35">
      <c r="A58" s="3" t="s">
        <v>19</v>
      </c>
      <c r="B58" s="49" t="s">
        <v>52</v>
      </c>
      <c r="C58" s="54">
        <f>(C56+C57)/2</f>
        <v>74.89943650650919</v>
      </c>
      <c r="D58" s="54"/>
      <c r="E58" s="38">
        <f>(E56+E57)/2</f>
        <v>75.575173880497786</v>
      </c>
      <c r="F58" s="38">
        <f t="shared" ref="F58:I58" si="15">(F56+F57)/2</f>
        <v>68.951884672494288</v>
      </c>
      <c r="G58" s="38">
        <f t="shared" si="15"/>
        <v>71.898683400790759</v>
      </c>
      <c r="H58" s="38">
        <f t="shared" si="15"/>
        <v>103.00402898016684</v>
      </c>
      <c r="I58" s="38">
        <f t="shared" si="15"/>
        <v>73.486425657814308</v>
      </c>
    </row>
    <row r="59" spans="1:9" ht="15.6" x14ac:dyDescent="0.35">
      <c r="A59" s="3"/>
      <c r="B59" s="38"/>
      <c r="C59" s="38"/>
      <c r="D59" s="38"/>
      <c r="E59" s="38"/>
      <c r="F59" s="38"/>
      <c r="G59" s="38"/>
      <c r="H59" s="38"/>
      <c r="I59" s="38"/>
    </row>
    <row r="60" spans="1:9" ht="15.6" x14ac:dyDescent="0.35">
      <c r="A60" s="4" t="s">
        <v>30</v>
      </c>
      <c r="B60" s="38"/>
      <c r="C60" s="38"/>
      <c r="D60" s="38"/>
      <c r="E60" s="38"/>
      <c r="F60" s="38"/>
      <c r="G60" s="38"/>
      <c r="H60" s="38"/>
      <c r="I60" s="38"/>
    </row>
    <row r="61" spans="1:9" ht="15.6" x14ac:dyDescent="0.35">
      <c r="A61" s="3" t="s">
        <v>20</v>
      </c>
      <c r="B61" s="38">
        <f>B27/B25*100</f>
        <v>100</v>
      </c>
      <c r="C61" s="54">
        <f>C27/C25*100</f>
        <v>100</v>
      </c>
      <c r="D61" s="54"/>
      <c r="E61" s="38">
        <f>E27/E25*100</f>
        <v>100</v>
      </c>
      <c r="F61" s="38">
        <f t="shared" ref="F61:I61" si="16">F27/F25*100</f>
        <v>100</v>
      </c>
      <c r="G61" s="38">
        <f t="shared" si="16"/>
        <v>100</v>
      </c>
      <c r="H61" s="38">
        <f t="shared" si="16"/>
        <v>100</v>
      </c>
      <c r="I61" s="38">
        <f t="shared" si="16"/>
        <v>100</v>
      </c>
    </row>
    <row r="62" spans="1:9" ht="15.6" x14ac:dyDescent="0.35">
      <c r="A62" s="3"/>
      <c r="B62" s="38"/>
      <c r="C62" s="38"/>
      <c r="D62" s="38"/>
      <c r="E62" s="38"/>
      <c r="F62" s="38"/>
      <c r="G62" s="38"/>
      <c r="H62" s="38"/>
      <c r="I62" s="38"/>
    </row>
    <row r="63" spans="1:9" ht="15.6" x14ac:dyDescent="0.35">
      <c r="A63" s="4" t="s">
        <v>21</v>
      </c>
      <c r="B63" s="38"/>
      <c r="C63" s="38"/>
      <c r="D63" s="38"/>
      <c r="E63" s="38"/>
      <c r="F63" s="38"/>
      <c r="G63" s="38"/>
      <c r="H63" s="38"/>
      <c r="I63" s="38"/>
    </row>
    <row r="64" spans="1:9" ht="15.6" x14ac:dyDescent="0.35">
      <c r="A64" s="3" t="s">
        <v>22</v>
      </c>
      <c r="B64" s="43">
        <f>((B18/B15)-1)*100</f>
        <v>-5.9304048738542559</v>
      </c>
      <c r="C64" s="55">
        <f>((D18/D15)-1)*100</f>
        <v>-11.071632024072098</v>
      </c>
      <c r="D64" s="55"/>
      <c r="E64" s="43">
        <f>((E18/E15)-1)*100</f>
        <v>2.3323615160349753</v>
      </c>
      <c r="F64" s="43">
        <f t="shared" ref="F64:H64" si="17">((F18/F15)-1)*100</f>
        <v>-9.4816507211195162</v>
      </c>
      <c r="G64" s="43">
        <f t="shared" si="17"/>
        <v>41.39908256880733</v>
      </c>
      <c r="H64" s="43">
        <f t="shared" si="17"/>
        <v>14.932438247697743</v>
      </c>
      <c r="I64" s="43" t="s">
        <v>47</v>
      </c>
    </row>
    <row r="65" spans="1:9" ht="15.6" x14ac:dyDescent="0.35">
      <c r="A65" s="3" t="s">
        <v>23</v>
      </c>
      <c r="B65" s="43">
        <f>((B40/B39)-1)*100</f>
        <v>19.135266856927725</v>
      </c>
      <c r="C65" s="55">
        <f>((C40/C39)-1)*100</f>
        <v>17.45104660601713</v>
      </c>
      <c r="D65" s="55"/>
      <c r="E65" s="43">
        <f>((E40/E39)-1)*100</f>
        <v>0.83273868193858291</v>
      </c>
      <c r="F65" s="43">
        <f t="shared" ref="F65:H65" si="18">((F40/F39)-1)*100</f>
        <v>-25.366773153862699</v>
      </c>
      <c r="G65" s="43">
        <f t="shared" si="18"/>
        <v>38.024648176370967</v>
      </c>
      <c r="H65" s="43">
        <f t="shared" si="18"/>
        <v>-0.13208964260746914</v>
      </c>
      <c r="I65" s="43" t="s">
        <v>47</v>
      </c>
    </row>
    <row r="66" spans="1:9" ht="15.6" x14ac:dyDescent="0.35">
      <c r="A66" s="3" t="s">
        <v>24</v>
      </c>
      <c r="B66" s="43">
        <f>((B42/B41)-1)*100</f>
        <v>26.645880315705984</v>
      </c>
      <c r="C66" s="55">
        <f>((C42/C41)-1)*100</f>
        <v>32.073768224117252</v>
      </c>
      <c r="D66" s="55"/>
      <c r="E66" s="43">
        <f>((E42/E41)-1)*100</f>
        <v>-1.46544339628224</v>
      </c>
      <c r="F66" s="43">
        <f t="shared" ref="F66:H66" si="19">((F42/F41)-1)*100</f>
        <v>-17.549063321738522</v>
      </c>
      <c r="G66" s="43">
        <f t="shared" si="19"/>
        <v>-2.3864613059241924</v>
      </c>
      <c r="H66" s="43">
        <f t="shared" si="19"/>
        <v>-13.107289917437193</v>
      </c>
      <c r="I66" s="43" t="s">
        <v>47</v>
      </c>
    </row>
    <row r="67" spans="1:9" ht="15.6" x14ac:dyDescent="0.35">
      <c r="A67" s="3"/>
      <c r="B67" s="38"/>
      <c r="C67" s="38"/>
      <c r="D67" s="38"/>
      <c r="E67" s="38"/>
      <c r="F67" s="38"/>
      <c r="G67" s="38"/>
      <c r="H67" s="38"/>
      <c r="I67" s="38"/>
    </row>
    <row r="68" spans="1:9" ht="15.6" x14ac:dyDescent="0.35">
      <c r="A68" s="4" t="s">
        <v>25</v>
      </c>
      <c r="B68" s="38"/>
      <c r="C68" s="38"/>
      <c r="D68" s="38"/>
      <c r="E68" s="38"/>
      <c r="F68" s="38"/>
      <c r="G68" s="38"/>
      <c r="H68" s="38"/>
      <c r="I68" s="38"/>
    </row>
    <row r="69" spans="1:9" ht="15.6" x14ac:dyDescent="0.35">
      <c r="A69" s="3" t="s">
        <v>35</v>
      </c>
      <c r="B69" s="38">
        <f>(B24/B17)*6</f>
        <v>319902.98479090893</v>
      </c>
      <c r="C69" s="55">
        <f>(C24/D17)*6</f>
        <v>210000</v>
      </c>
      <c r="D69" s="55"/>
      <c r="E69" s="38">
        <f>(E24/E17)*6</f>
        <v>600000</v>
      </c>
      <c r="F69" s="38">
        <f>(F24/F17)*6</f>
        <v>450000</v>
      </c>
      <c r="G69" s="38">
        <f>(G24/G17)*6</f>
        <v>450000</v>
      </c>
      <c r="H69" s="38">
        <f>(H24/H17)*6</f>
        <v>780000</v>
      </c>
      <c r="I69" s="38">
        <f>(I24/I17)*2</f>
        <v>656000</v>
      </c>
    </row>
    <row r="70" spans="1:9" ht="15.6" x14ac:dyDescent="0.35">
      <c r="A70" s="3" t="s">
        <v>36</v>
      </c>
      <c r="B70" s="38">
        <f>(B25/B19)*6</f>
        <v>291363.8303607346</v>
      </c>
      <c r="C70" s="55">
        <f>(C25/D19)*6</f>
        <v>171316.94994500373</v>
      </c>
      <c r="D70" s="55"/>
      <c r="E70" s="38">
        <f>(E25/E19)*6</f>
        <v>597460.71296410507</v>
      </c>
      <c r="F70" s="38">
        <f>(F25/F19)*6</f>
        <v>447807.9290369298</v>
      </c>
      <c r="G70" s="38">
        <f>(G25/G19)*6</f>
        <v>591289.18455739948</v>
      </c>
      <c r="H70" s="38">
        <f>(H25/H19)*6</f>
        <v>562937.21850344155</v>
      </c>
      <c r="I70" s="38">
        <f>(I25/I19)*2</f>
        <v>429979.40797940799</v>
      </c>
    </row>
    <row r="71" spans="1:9" ht="15.6" x14ac:dyDescent="0.35">
      <c r="A71" s="3" t="s">
        <v>26</v>
      </c>
      <c r="B71" s="49" t="s">
        <v>52</v>
      </c>
      <c r="C71" s="54">
        <f>(C70/C69)*D53</f>
        <v>92.937900815240042</v>
      </c>
      <c r="D71" s="54"/>
      <c r="E71" s="38">
        <f>(E70/E69)*E53</f>
        <v>99.641098009528733</v>
      </c>
      <c r="F71" s="38">
        <f t="shared" ref="F71:I71" si="20">(F70/F69)*F53</f>
        <v>89.379528985330438</v>
      </c>
      <c r="G71" s="38">
        <f t="shared" si="20"/>
        <v>125.17630923471982</v>
      </c>
      <c r="H71" s="38">
        <f t="shared" si="20"/>
        <v>91.681084558386829</v>
      </c>
      <c r="I71" s="38">
        <f t="shared" si="20"/>
        <v>56.635328127858912</v>
      </c>
    </row>
    <row r="72" spans="1:9" ht="15.6" x14ac:dyDescent="0.35">
      <c r="A72" s="3" t="s">
        <v>33</v>
      </c>
      <c r="B72" s="38">
        <f>B24/B17</f>
        <v>53317.164131818157</v>
      </c>
      <c r="C72" s="54">
        <f>C24/D17</f>
        <v>35000</v>
      </c>
      <c r="D72" s="54"/>
      <c r="E72" s="38">
        <f>E24/E17</f>
        <v>100000</v>
      </c>
      <c r="F72" s="38">
        <f>F24/F17</f>
        <v>75000</v>
      </c>
      <c r="G72" s="38">
        <f t="shared" ref="G72:I72" si="21">G24/G17</f>
        <v>75000</v>
      </c>
      <c r="H72" s="38">
        <f t="shared" si="21"/>
        <v>130000</v>
      </c>
      <c r="I72" s="38">
        <f t="shared" si="21"/>
        <v>328000</v>
      </c>
    </row>
    <row r="73" spans="1:9" ht="15.6" x14ac:dyDescent="0.35">
      <c r="A73" s="3" t="s">
        <v>34</v>
      </c>
      <c r="B73" s="38">
        <f>B25/B19</f>
        <v>48560.638393455767</v>
      </c>
      <c r="C73" s="54">
        <f>C25/D19</f>
        <v>28552.824990833957</v>
      </c>
      <c r="D73" s="54"/>
      <c r="E73" s="38">
        <f>E25/E19</f>
        <v>99576.785494017517</v>
      </c>
      <c r="F73" s="38">
        <f>F25/F19</f>
        <v>74634.654839488299</v>
      </c>
      <c r="G73" s="38">
        <f t="shared" ref="G73:I73" si="22">G25/G19</f>
        <v>98548.197426233237</v>
      </c>
      <c r="H73" s="38">
        <f t="shared" si="22"/>
        <v>93822.869750573591</v>
      </c>
      <c r="I73" s="38">
        <f t="shared" si="22"/>
        <v>214989.70398970399</v>
      </c>
    </row>
    <row r="74" spans="1:9" ht="15.6" x14ac:dyDescent="0.35">
      <c r="A74" s="3"/>
      <c r="B74" s="38"/>
      <c r="C74" s="38"/>
      <c r="D74" s="38"/>
      <c r="E74" s="38"/>
      <c r="F74" s="38"/>
      <c r="G74" s="38"/>
      <c r="H74" s="38"/>
      <c r="I74" s="38"/>
    </row>
    <row r="75" spans="1:9" ht="15.6" x14ac:dyDescent="0.35">
      <c r="A75" s="4" t="s">
        <v>27</v>
      </c>
      <c r="B75" s="38"/>
      <c r="C75" s="38"/>
      <c r="D75" s="38"/>
      <c r="E75" s="38"/>
      <c r="F75" s="38"/>
      <c r="G75" s="38"/>
      <c r="H75" s="38"/>
      <c r="I75" s="38"/>
    </row>
    <row r="76" spans="1:9" ht="15.6" x14ac:dyDescent="0.35">
      <c r="A76" s="3" t="s">
        <v>28</v>
      </c>
      <c r="B76" s="38">
        <f>(B31/B30)*100</f>
        <v>100.56755827371551</v>
      </c>
      <c r="C76" s="38"/>
      <c r="D76" s="38"/>
      <c r="E76" s="38"/>
      <c r="F76" s="38"/>
      <c r="G76" s="38"/>
      <c r="H76" s="38"/>
      <c r="I76" s="38"/>
    </row>
    <row r="77" spans="1:9" ht="15.6" x14ac:dyDescent="0.35">
      <c r="A77" s="3" t="s">
        <v>29</v>
      </c>
      <c r="B77" s="38">
        <f>(B25/B31)*100</f>
        <v>92.438345753263818</v>
      </c>
      <c r="C77" s="38"/>
      <c r="D77" s="38"/>
      <c r="E77" s="38"/>
      <c r="F77" s="38"/>
      <c r="G77" s="38"/>
      <c r="H77" s="38"/>
      <c r="I77" s="38"/>
    </row>
    <row r="78" spans="1:9" ht="16.2" thickBot="1" x14ac:dyDescent="0.4">
      <c r="A78" s="13"/>
      <c r="B78" s="14"/>
      <c r="C78" s="14"/>
      <c r="D78" s="14"/>
      <c r="E78" s="14"/>
      <c r="F78" s="14"/>
      <c r="G78" s="14"/>
      <c r="H78" s="14"/>
      <c r="I78" s="14"/>
    </row>
    <row r="79" spans="1:9" s="1" customFormat="1" ht="17.25" customHeight="1" thickTop="1" x14ac:dyDescent="0.3">
      <c r="A79" s="52" t="s">
        <v>94</v>
      </c>
      <c r="B79" s="52"/>
      <c r="C79" s="52"/>
      <c r="D79" s="52"/>
      <c r="E79" s="52"/>
      <c r="F79" s="52"/>
      <c r="G79" s="52"/>
      <c r="H79" s="52"/>
      <c r="I79" s="52"/>
    </row>
    <row r="80" spans="1:9" x14ac:dyDescent="0.3">
      <c r="A80" s="1"/>
    </row>
    <row r="81" spans="1:1" x14ac:dyDescent="0.3">
      <c r="A81" s="32"/>
    </row>
    <row r="82" spans="1:1" x14ac:dyDescent="0.3">
      <c r="A82" s="32"/>
    </row>
    <row r="83" spans="1:1" x14ac:dyDescent="0.3">
      <c r="A83" s="1"/>
    </row>
    <row r="84" spans="1:1" x14ac:dyDescent="0.3">
      <c r="A84" s="1"/>
    </row>
    <row r="85" spans="1:1" x14ac:dyDescent="0.3">
      <c r="A85" s="1"/>
    </row>
    <row r="87" spans="1:1" x14ac:dyDescent="0.3">
      <c r="A87" s="31"/>
    </row>
    <row r="90" spans="1:1" x14ac:dyDescent="0.3">
      <c r="A90" s="32"/>
    </row>
    <row r="91" spans="1:1" x14ac:dyDescent="0.3">
      <c r="A91" s="1"/>
    </row>
    <row r="92" spans="1:1" x14ac:dyDescent="0.3">
      <c r="A92" s="1"/>
    </row>
    <row r="93" spans="1:1" x14ac:dyDescent="0.3">
      <c r="A93" s="1"/>
    </row>
    <row r="95" spans="1:1" x14ac:dyDescent="0.3">
      <c r="A95" s="31"/>
    </row>
  </sheetData>
  <mergeCells count="30">
    <mergeCell ref="A79:I79"/>
    <mergeCell ref="C72:D72"/>
    <mergeCell ref="C73:D73"/>
    <mergeCell ref="C47:D47"/>
    <mergeCell ref="C48:D48"/>
    <mergeCell ref="C52:D52"/>
    <mergeCell ref="C65:D65"/>
    <mergeCell ref="C66:D66"/>
    <mergeCell ref="C69:D69"/>
    <mergeCell ref="C70:D70"/>
    <mergeCell ref="C71:D71"/>
    <mergeCell ref="C64:D64"/>
    <mergeCell ref="C56:D56"/>
    <mergeCell ref="C57:D57"/>
    <mergeCell ref="C58:D58"/>
    <mergeCell ref="C61:D61"/>
    <mergeCell ref="A9:A10"/>
    <mergeCell ref="C26:D26"/>
    <mergeCell ref="B9:B10"/>
    <mergeCell ref="C23:D23"/>
    <mergeCell ref="C24:D24"/>
    <mergeCell ref="C25:D25"/>
    <mergeCell ref="C10:D10"/>
    <mergeCell ref="C9:I9"/>
    <mergeCell ref="C27:D27"/>
    <mergeCell ref="C42:D42"/>
    <mergeCell ref="C36:D36"/>
    <mergeCell ref="C39:D39"/>
    <mergeCell ref="C40:D40"/>
    <mergeCell ref="C41:D41"/>
  </mergeCells>
  <pageMargins left="0.7" right="0.7" top="0.75" bottom="0.75" header="0.3" footer="0.3"/>
  <pageSetup orientation="portrait" horizontalDpi="4294967292" verticalDpi="4294967292" r:id="rId1"/>
  <ignoredErrors>
    <ignoredError sqref="C25:D25 C23:C24 D24" formulaRange="1"/>
  </ignoredErrors>
  <drawing r:id="rId2"/>
  <legacyDrawing r:id="rId3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107"/>
  <sheetViews>
    <sheetView showGridLines="0" zoomScale="80" zoomScaleNormal="80" zoomScalePageLayoutView="90" workbookViewId="0">
      <pane ySplit="10" topLeftCell="A11" activePane="bottomLeft" state="frozen"/>
      <selection pane="bottomLeft" activeCell="A9" sqref="A9:A10"/>
    </sheetView>
  </sheetViews>
  <sheetFormatPr baseColWidth="10" defaultColWidth="11.44140625" defaultRowHeight="14.4" x14ac:dyDescent="0.3"/>
  <cols>
    <col min="1" max="1" width="63.44140625" style="34" customWidth="1"/>
    <col min="2" max="9" width="18.6640625" style="34" customWidth="1"/>
    <col min="10" max="16384" width="11.44140625" style="34"/>
  </cols>
  <sheetData>
    <row r="1" spans="1:9" s="1" customFormat="1" x14ac:dyDescent="0.3"/>
    <row r="2" spans="1:9" s="1" customFormat="1" x14ac:dyDescent="0.3"/>
    <row r="3" spans="1:9" s="1" customFormat="1" x14ac:dyDescent="0.3"/>
    <row r="4" spans="1:9" s="1" customFormat="1" x14ac:dyDescent="0.3"/>
    <row r="5" spans="1:9" s="1" customFormat="1" x14ac:dyDescent="0.3"/>
    <row r="6" spans="1:9" s="1" customFormat="1" x14ac:dyDescent="0.3"/>
    <row r="7" spans="1:9" s="1" customFormat="1" x14ac:dyDescent="0.3"/>
    <row r="8" spans="1:9" s="1" customFormat="1" ht="18" customHeight="1" x14ac:dyDescent="0.3"/>
    <row r="9" spans="1:9" s="1" customFormat="1" ht="15.6" x14ac:dyDescent="0.3">
      <c r="A9" s="56" t="s">
        <v>0</v>
      </c>
      <c r="B9" s="58" t="s">
        <v>54</v>
      </c>
      <c r="C9" s="63" t="s">
        <v>55</v>
      </c>
      <c r="D9" s="63"/>
      <c r="E9" s="63"/>
      <c r="F9" s="63"/>
      <c r="G9" s="63"/>
      <c r="H9" s="63"/>
      <c r="I9" s="63"/>
    </row>
    <row r="10" spans="1:9" s="1" customFormat="1" ht="51.75" customHeight="1" thickBot="1" x14ac:dyDescent="0.35">
      <c r="A10" s="57"/>
      <c r="B10" s="59"/>
      <c r="C10" s="57" t="s">
        <v>1</v>
      </c>
      <c r="D10" s="57"/>
      <c r="E10" s="39" t="s">
        <v>44</v>
      </c>
      <c r="F10" s="39" t="s">
        <v>45</v>
      </c>
      <c r="G10" s="39" t="s">
        <v>50</v>
      </c>
      <c r="H10" s="39" t="s">
        <v>56</v>
      </c>
      <c r="I10" s="39" t="s">
        <v>88</v>
      </c>
    </row>
    <row r="11" spans="1:9" s="1" customFormat="1" ht="16.2" thickTop="1" x14ac:dyDescent="0.35">
      <c r="A11" s="3"/>
      <c r="B11" s="3"/>
      <c r="C11" s="3"/>
      <c r="D11" s="3"/>
      <c r="E11" s="3"/>
      <c r="F11" s="3"/>
      <c r="G11" s="3"/>
      <c r="H11" s="3"/>
      <c r="I11" s="3"/>
    </row>
    <row r="12" spans="1:9" s="1" customFormat="1" ht="15.6" x14ac:dyDescent="0.35">
      <c r="A12" s="4" t="s">
        <v>2</v>
      </c>
      <c r="B12" s="3"/>
      <c r="C12" s="3"/>
      <c r="D12" s="3"/>
      <c r="E12" s="3"/>
      <c r="F12" s="3"/>
      <c r="G12" s="3"/>
      <c r="H12" s="3"/>
      <c r="I12" s="3"/>
    </row>
    <row r="13" spans="1:9" s="1" customFormat="1" ht="15.6" x14ac:dyDescent="0.35">
      <c r="A13" s="3"/>
      <c r="B13" s="3"/>
      <c r="C13" s="3"/>
      <c r="D13" s="3"/>
      <c r="E13" s="3"/>
      <c r="F13" s="3"/>
      <c r="G13" s="3"/>
      <c r="H13" s="3"/>
      <c r="I13" s="3"/>
    </row>
    <row r="14" spans="1:9" s="25" customFormat="1" ht="31.2" x14ac:dyDescent="0.3">
      <c r="A14" s="24" t="s">
        <v>41</v>
      </c>
      <c r="B14" s="33" t="s">
        <v>53</v>
      </c>
      <c r="C14" s="33" t="s">
        <v>42</v>
      </c>
      <c r="D14" s="33" t="s">
        <v>43</v>
      </c>
      <c r="E14" s="5" t="s">
        <v>42</v>
      </c>
      <c r="F14" s="5" t="s">
        <v>42</v>
      </c>
      <c r="G14" s="23" t="s">
        <v>57</v>
      </c>
      <c r="H14" s="5" t="s">
        <v>49</v>
      </c>
      <c r="I14" s="5" t="s">
        <v>42</v>
      </c>
    </row>
    <row r="15" spans="1:9" ht="15.6" x14ac:dyDescent="0.35">
      <c r="A15" s="6" t="s">
        <v>72</v>
      </c>
      <c r="B15" s="46">
        <v>255293</v>
      </c>
      <c r="C15" s="46">
        <v>224337</v>
      </c>
      <c r="D15" s="46">
        <v>264206</v>
      </c>
      <c r="E15" s="46">
        <v>1394</v>
      </c>
      <c r="F15" s="46">
        <v>7040</v>
      </c>
      <c r="G15" s="46">
        <v>73659</v>
      </c>
      <c r="H15" s="46">
        <v>23804</v>
      </c>
      <c r="I15" s="46" t="s">
        <v>47</v>
      </c>
    </row>
    <row r="16" spans="1:9" ht="15.6" x14ac:dyDescent="0.35">
      <c r="A16" s="6" t="s">
        <v>108</v>
      </c>
      <c r="B16" s="40" t="s">
        <v>48</v>
      </c>
      <c r="C16" s="40" t="s">
        <v>48</v>
      </c>
      <c r="D16" s="46">
        <v>179777</v>
      </c>
      <c r="E16" s="46">
        <v>1374</v>
      </c>
      <c r="F16" s="46">
        <v>6589</v>
      </c>
      <c r="G16" s="46">
        <v>76217</v>
      </c>
      <c r="H16" s="46">
        <v>16909</v>
      </c>
      <c r="I16" s="46">
        <v>165</v>
      </c>
    </row>
    <row r="17" spans="1:9" ht="15.6" x14ac:dyDescent="0.35">
      <c r="A17" s="6" t="s">
        <v>51</v>
      </c>
      <c r="B17" s="40">
        <f>+SUM(D17+E17+F17+G17+H17+I17)</f>
        <v>843092</v>
      </c>
      <c r="C17" s="40" t="s">
        <v>48</v>
      </c>
      <c r="D17" s="46">
        <v>539330</v>
      </c>
      <c r="E17" s="46">
        <v>4122</v>
      </c>
      <c r="F17" s="46">
        <v>19767</v>
      </c>
      <c r="G17" s="46">
        <v>228651</v>
      </c>
      <c r="H17" s="46">
        <v>50727</v>
      </c>
      <c r="I17" s="46">
        <v>495</v>
      </c>
    </row>
    <row r="18" spans="1:9" ht="15.6" x14ac:dyDescent="0.35">
      <c r="A18" s="6" t="s">
        <v>109</v>
      </c>
      <c r="B18" s="46">
        <v>218097</v>
      </c>
      <c r="C18" s="46">
        <v>165543</v>
      </c>
      <c r="D18" s="46">
        <v>271042</v>
      </c>
      <c r="E18" s="46">
        <v>1373</v>
      </c>
      <c r="F18" s="46">
        <v>7246</v>
      </c>
      <c r="G18" s="46">
        <v>77675</v>
      </c>
      <c r="H18" s="46">
        <v>25028</v>
      </c>
      <c r="I18" s="46">
        <v>244</v>
      </c>
    </row>
    <row r="19" spans="1:9" ht="15.6" x14ac:dyDescent="0.35">
      <c r="A19" s="6" t="s">
        <v>51</v>
      </c>
      <c r="B19" s="40">
        <f>+SUM(D19,E19,F19,G19,H19,I19)</f>
        <v>1090804</v>
      </c>
      <c r="C19" s="46" t="s">
        <v>48</v>
      </c>
      <c r="D19" s="46">
        <v>800670</v>
      </c>
      <c r="E19" s="46">
        <v>4057</v>
      </c>
      <c r="F19" s="46">
        <v>19836</v>
      </c>
      <c r="G19" s="46">
        <v>194294</v>
      </c>
      <c r="H19" s="46">
        <v>71280</v>
      </c>
      <c r="I19" s="46">
        <v>667</v>
      </c>
    </row>
    <row r="20" spans="1:9" ht="15.6" x14ac:dyDescent="0.35">
      <c r="A20" s="6" t="s">
        <v>91</v>
      </c>
      <c r="B20" s="46" t="s">
        <v>48</v>
      </c>
      <c r="C20" s="46" t="s">
        <v>48</v>
      </c>
      <c r="D20" s="46">
        <v>227397</v>
      </c>
      <c r="E20" s="46">
        <v>1374</v>
      </c>
      <c r="F20" s="46">
        <v>6590</v>
      </c>
      <c r="G20" s="46">
        <v>76217</v>
      </c>
      <c r="H20" s="46">
        <v>16909</v>
      </c>
      <c r="I20" s="46">
        <v>165</v>
      </c>
    </row>
    <row r="21" spans="1:9" ht="15.6" x14ac:dyDescent="0.35">
      <c r="A21" s="3"/>
      <c r="B21" s="46"/>
      <c r="C21" s="46"/>
      <c r="D21" s="46"/>
      <c r="E21" s="46"/>
      <c r="F21" s="46"/>
      <c r="G21" s="46"/>
      <c r="H21" s="46"/>
      <c r="I21" s="46"/>
    </row>
    <row r="22" spans="1:9" ht="15.6" x14ac:dyDescent="0.35">
      <c r="A22" s="7" t="s">
        <v>3</v>
      </c>
      <c r="B22" s="46"/>
      <c r="C22" s="46"/>
      <c r="D22" s="46"/>
      <c r="E22" s="46"/>
      <c r="F22" s="46"/>
      <c r="G22" s="46"/>
      <c r="H22" s="46"/>
      <c r="I22" s="46"/>
    </row>
    <row r="23" spans="1:9" ht="15.6" x14ac:dyDescent="0.35">
      <c r="A23" s="6" t="s">
        <v>72</v>
      </c>
      <c r="B23" s="46">
        <f>SUM(C23+E23+F23+G23+H23)</f>
        <v>42614565056</v>
      </c>
      <c r="C23" s="66">
        <v>14264150000</v>
      </c>
      <c r="D23" s="66"/>
      <c r="E23" s="46">
        <v>399861000</v>
      </c>
      <c r="F23" s="46">
        <v>1640756250</v>
      </c>
      <c r="G23" s="46">
        <v>19696916004</v>
      </c>
      <c r="H23" s="46">
        <v>6612881802</v>
      </c>
      <c r="I23" s="46" t="s">
        <v>47</v>
      </c>
    </row>
    <row r="24" spans="1:9" ht="15.6" x14ac:dyDescent="0.35">
      <c r="A24" s="6" t="s">
        <v>108</v>
      </c>
      <c r="B24" s="46">
        <f t="shared" ref="B24:B27" si="0">SUM(C24+E24+F24+G24+H24+I24)</f>
        <v>44676970000</v>
      </c>
      <c r="C24" s="66">
        <v>18876550000</v>
      </c>
      <c r="D24" s="66"/>
      <c r="E24" s="46">
        <v>412200000</v>
      </c>
      <c r="F24" s="46">
        <v>1482525000</v>
      </c>
      <c r="G24" s="46">
        <v>17148825000</v>
      </c>
      <c r="H24" s="46">
        <v>6594510000</v>
      </c>
      <c r="I24" s="46">
        <v>162360000</v>
      </c>
    </row>
    <row r="25" spans="1:9" ht="15.6" x14ac:dyDescent="0.35">
      <c r="A25" s="6" t="s">
        <v>109</v>
      </c>
      <c r="B25" s="46">
        <f t="shared" si="0"/>
        <v>46001641039.599998</v>
      </c>
      <c r="C25" s="66">
        <v>18858118000</v>
      </c>
      <c r="D25" s="66"/>
      <c r="E25" s="46">
        <v>407778500</v>
      </c>
      <c r="F25" s="46">
        <v>1613199700</v>
      </c>
      <c r="G25" s="46">
        <v>18547709593.599991</v>
      </c>
      <c r="H25" s="46">
        <v>6438993250.0000057</v>
      </c>
      <c r="I25" s="46">
        <v>135841996</v>
      </c>
    </row>
    <row r="26" spans="1:9" ht="15.6" x14ac:dyDescent="0.35">
      <c r="A26" s="6" t="s">
        <v>91</v>
      </c>
      <c r="B26" s="46">
        <f t="shared" si="0"/>
        <v>182706226000</v>
      </c>
      <c r="C26" s="60">
        <v>79506105000</v>
      </c>
      <c r="D26" s="60"/>
      <c r="E26" s="46">
        <v>1648600000</v>
      </c>
      <c r="F26" s="46">
        <v>5930325000</v>
      </c>
      <c r="G26" s="46">
        <v>68594700000</v>
      </c>
      <c r="H26" s="46">
        <v>26378040000</v>
      </c>
      <c r="I26" s="46">
        <v>648456000</v>
      </c>
    </row>
    <row r="27" spans="1:9" ht="15.6" x14ac:dyDescent="0.35">
      <c r="A27" s="6" t="s">
        <v>110</v>
      </c>
      <c r="B27" s="46">
        <f t="shared" si="0"/>
        <v>46001641039.599998</v>
      </c>
      <c r="C27" s="66">
        <f>C25</f>
        <v>18858118000</v>
      </c>
      <c r="D27" s="66"/>
      <c r="E27" s="46">
        <f>E25</f>
        <v>407778500</v>
      </c>
      <c r="F27" s="46">
        <f t="shared" ref="F27:I27" si="1">F25</f>
        <v>1613199700</v>
      </c>
      <c r="G27" s="46">
        <f t="shared" si="1"/>
        <v>18547709593.599991</v>
      </c>
      <c r="H27" s="46">
        <f t="shared" si="1"/>
        <v>6438993250.0000057</v>
      </c>
      <c r="I27" s="46">
        <f t="shared" si="1"/>
        <v>135841996</v>
      </c>
    </row>
    <row r="28" spans="1:9" ht="15.6" x14ac:dyDescent="0.35">
      <c r="A28" s="3"/>
      <c r="B28" s="46"/>
      <c r="C28" s="46"/>
      <c r="D28" s="46"/>
      <c r="E28" s="46"/>
      <c r="F28" s="46"/>
      <c r="G28" s="40"/>
      <c r="H28" s="46"/>
      <c r="I28" s="46"/>
    </row>
    <row r="29" spans="1:9" ht="15.6" x14ac:dyDescent="0.35">
      <c r="A29" s="7" t="s">
        <v>4</v>
      </c>
      <c r="B29" s="46"/>
      <c r="C29" s="46"/>
      <c r="D29" s="46"/>
      <c r="E29" s="46"/>
      <c r="F29" s="46"/>
      <c r="G29" s="46"/>
      <c r="H29" s="46"/>
      <c r="I29" s="46"/>
    </row>
    <row r="30" spans="1:9" ht="15.6" x14ac:dyDescent="0.35">
      <c r="A30" s="6" t="s">
        <v>108</v>
      </c>
      <c r="B30" s="45">
        <f>B24</f>
        <v>44676970000</v>
      </c>
      <c r="C30" s="46"/>
      <c r="D30" s="46"/>
      <c r="E30" s="46"/>
      <c r="F30" s="46"/>
      <c r="G30" s="46"/>
      <c r="H30" s="46"/>
      <c r="I30" s="46"/>
    </row>
    <row r="31" spans="1:9" ht="15.6" x14ac:dyDescent="0.35">
      <c r="A31" s="6" t="s">
        <v>109</v>
      </c>
      <c r="B31" s="45">
        <v>44426687331.499977</v>
      </c>
      <c r="C31" s="40"/>
      <c r="D31" s="46"/>
      <c r="E31" s="46"/>
      <c r="F31" s="46"/>
      <c r="G31" s="46"/>
      <c r="H31" s="46"/>
      <c r="I31" s="46"/>
    </row>
    <row r="32" spans="1:9" ht="15.6" x14ac:dyDescent="0.35">
      <c r="A32" s="3"/>
      <c r="B32" s="28"/>
      <c r="C32" s="28"/>
      <c r="D32" s="28"/>
      <c r="E32" s="28"/>
      <c r="F32" s="28"/>
      <c r="G32" s="28"/>
      <c r="H32" s="28"/>
      <c r="I32" s="28"/>
    </row>
    <row r="33" spans="1:9" ht="15.6" x14ac:dyDescent="0.35">
      <c r="A33" s="4" t="s">
        <v>5</v>
      </c>
      <c r="B33" s="28"/>
      <c r="C33" s="28"/>
      <c r="D33" s="28"/>
      <c r="E33" s="28"/>
      <c r="F33" s="28"/>
      <c r="G33" s="28"/>
      <c r="H33" s="28"/>
      <c r="I33" s="28"/>
    </row>
    <row r="34" spans="1:9" ht="15.6" x14ac:dyDescent="0.35">
      <c r="A34" s="6" t="s">
        <v>73</v>
      </c>
      <c r="B34" s="43">
        <v>1.0948</v>
      </c>
      <c r="C34" s="43">
        <v>1.0948</v>
      </c>
      <c r="D34" s="43">
        <v>1.0948</v>
      </c>
      <c r="E34" s="43">
        <v>1.0948</v>
      </c>
      <c r="F34" s="43">
        <v>1.0948</v>
      </c>
      <c r="G34" s="43">
        <v>1.0948</v>
      </c>
      <c r="H34" s="43">
        <v>1.0948</v>
      </c>
      <c r="I34" s="43">
        <v>1.0948</v>
      </c>
    </row>
    <row r="35" spans="1:9" ht="15.6" x14ac:dyDescent="0.35">
      <c r="A35" s="6" t="s">
        <v>111</v>
      </c>
      <c r="B35" s="43">
        <v>1.0932999999999999</v>
      </c>
      <c r="C35" s="43">
        <v>1.0932999999999999</v>
      </c>
      <c r="D35" s="43">
        <v>1.0932999999999999</v>
      </c>
      <c r="E35" s="43">
        <v>1.0932999999999999</v>
      </c>
      <c r="F35" s="43">
        <v>1.0932999999999999</v>
      </c>
      <c r="G35" s="43">
        <v>1.0932999999999999</v>
      </c>
      <c r="H35" s="43">
        <v>1.0932999999999999</v>
      </c>
      <c r="I35" s="43">
        <v>1.0932999999999999</v>
      </c>
    </row>
    <row r="36" spans="1:9" s="1" customFormat="1" ht="15.6" x14ac:dyDescent="0.35">
      <c r="A36" s="6" t="s">
        <v>6</v>
      </c>
      <c r="B36" s="41">
        <v>429884</v>
      </c>
      <c r="C36" s="61">
        <v>164022</v>
      </c>
      <c r="D36" s="61"/>
      <c r="E36" s="41">
        <v>131709</v>
      </c>
      <c r="F36" s="41">
        <v>87579</v>
      </c>
      <c r="G36" s="41" t="s">
        <v>52</v>
      </c>
      <c r="H36" s="41" t="s">
        <v>52</v>
      </c>
      <c r="I36" s="41" t="s">
        <v>52</v>
      </c>
    </row>
    <row r="37" spans="1:9" ht="15.6" x14ac:dyDescent="0.35">
      <c r="A37" s="3"/>
      <c r="B37" s="12"/>
      <c r="C37" s="12"/>
      <c r="D37" s="12"/>
      <c r="E37" s="12"/>
      <c r="F37" s="12"/>
      <c r="G37" s="12"/>
      <c r="H37" s="12"/>
      <c r="I37" s="12"/>
    </row>
    <row r="38" spans="1:9" ht="15.6" x14ac:dyDescent="0.35">
      <c r="A38" s="4" t="s">
        <v>7</v>
      </c>
      <c r="B38" s="12"/>
      <c r="C38" s="12"/>
      <c r="D38" s="12"/>
      <c r="E38" s="12"/>
      <c r="F38" s="12"/>
      <c r="G38" s="12"/>
      <c r="H38" s="12"/>
      <c r="I38" s="12"/>
    </row>
    <row r="39" spans="1:9" ht="15.6" x14ac:dyDescent="0.35">
      <c r="A39" s="3" t="s">
        <v>74</v>
      </c>
      <c r="B39" s="48">
        <f>B23/B34</f>
        <v>38924520511.508949</v>
      </c>
      <c r="C39" s="68">
        <f>C23/C34</f>
        <v>13029000730.727074</v>
      </c>
      <c r="D39" s="68"/>
      <c r="E39" s="48">
        <f>E23/E34</f>
        <v>365236572.89002556</v>
      </c>
      <c r="F39" s="48">
        <f t="shared" ref="F39:H39" si="2">F23/F34</f>
        <v>1498681265.9846547</v>
      </c>
      <c r="G39" s="48">
        <f t="shared" si="2"/>
        <v>17991337234.198029</v>
      </c>
      <c r="H39" s="48">
        <f t="shared" si="2"/>
        <v>6040264707.7091703</v>
      </c>
      <c r="I39" s="41" t="s">
        <v>52</v>
      </c>
    </row>
    <row r="40" spans="1:9" ht="15.6" x14ac:dyDescent="0.35">
      <c r="A40" s="3" t="s">
        <v>112</v>
      </c>
      <c r="B40" s="48">
        <f>B25/B35</f>
        <v>42075954486.051407</v>
      </c>
      <c r="C40" s="68">
        <f>C25/C35</f>
        <v>17248804536.723682</v>
      </c>
      <c r="D40" s="68"/>
      <c r="E40" s="48">
        <f>E25/E35</f>
        <v>372979511.57047474</v>
      </c>
      <c r="F40" s="48">
        <f t="shared" ref="F40:H40" si="3">F25/F35</f>
        <v>1475532516.2352512</v>
      </c>
      <c r="G40" s="48">
        <f t="shared" si="3"/>
        <v>16964885752.858311</v>
      </c>
      <c r="H40" s="48">
        <f t="shared" si="3"/>
        <v>5889502652.5198994</v>
      </c>
      <c r="I40" s="48">
        <f t="shared" ref="I40" si="4">I25/I35</f>
        <v>124249516.14378488</v>
      </c>
    </row>
    <row r="41" spans="1:9" ht="15.6" x14ac:dyDescent="0.35">
      <c r="A41" s="3" t="s">
        <v>75</v>
      </c>
      <c r="B41" s="48">
        <f>B39/B15</f>
        <v>152469.98747129357</v>
      </c>
      <c r="C41" s="68">
        <f>C39/D15</f>
        <v>49313.795790886936</v>
      </c>
      <c r="D41" s="68"/>
      <c r="E41" s="48">
        <f>E39/E15</f>
        <v>262006.14984937271</v>
      </c>
      <c r="F41" s="48">
        <f t="shared" ref="F41:H41" si="5">F39/F15</f>
        <v>212880.86164554753</v>
      </c>
      <c r="G41" s="48">
        <f t="shared" si="5"/>
        <v>244251.71715877258</v>
      </c>
      <c r="H41" s="48">
        <f t="shared" si="5"/>
        <v>253749.98772093642</v>
      </c>
      <c r="I41" s="41" t="s">
        <v>52</v>
      </c>
    </row>
    <row r="42" spans="1:9" ht="15.6" x14ac:dyDescent="0.35">
      <c r="A42" s="3" t="s">
        <v>113</v>
      </c>
      <c r="B42" s="48">
        <f>B40/B18</f>
        <v>192923.123592032</v>
      </c>
      <c r="C42" s="68">
        <f>C40/D18</f>
        <v>63638.862378242789</v>
      </c>
      <c r="D42" s="68"/>
      <c r="E42" s="48">
        <f>E40/E18</f>
        <v>271652.95817223215</v>
      </c>
      <c r="F42" s="48">
        <f t="shared" ref="F42:H42" si="6">F40/F18</f>
        <v>203634.07621242772</v>
      </c>
      <c r="G42" s="48">
        <f t="shared" si="6"/>
        <v>218408.5710055785</v>
      </c>
      <c r="H42" s="48">
        <f t="shared" si="6"/>
        <v>235316.55156304536</v>
      </c>
      <c r="I42" s="48">
        <f t="shared" ref="I42" si="7">I40/I18</f>
        <v>509219.32845813478</v>
      </c>
    </row>
    <row r="43" spans="1:9" ht="15.6" x14ac:dyDescent="0.35">
      <c r="A43" s="3"/>
      <c r="B43" s="16"/>
      <c r="C43" s="16"/>
      <c r="D43" s="16"/>
      <c r="E43" s="16"/>
      <c r="F43" s="16"/>
      <c r="G43" s="16"/>
      <c r="H43" s="16"/>
      <c r="I43" s="16"/>
    </row>
    <row r="44" spans="1:9" ht="15.6" x14ac:dyDescent="0.35">
      <c r="A44" s="4" t="s">
        <v>8</v>
      </c>
      <c r="B44" s="16"/>
      <c r="C44" s="16"/>
      <c r="D44" s="16"/>
      <c r="E44" s="16"/>
      <c r="F44" s="16"/>
      <c r="G44" s="16"/>
      <c r="H44" s="16"/>
      <c r="I44" s="16"/>
    </row>
    <row r="45" spans="1:9" ht="15.6" x14ac:dyDescent="0.35">
      <c r="A45" s="3"/>
      <c r="B45" s="16"/>
      <c r="C45" s="16"/>
      <c r="D45" s="16"/>
      <c r="E45" s="16"/>
      <c r="F45" s="16"/>
      <c r="G45" s="16"/>
      <c r="H45" s="16"/>
      <c r="I45" s="16"/>
    </row>
    <row r="46" spans="1:9" ht="15.6" x14ac:dyDescent="0.35">
      <c r="A46" s="4" t="s">
        <v>9</v>
      </c>
      <c r="B46" s="16"/>
      <c r="C46" s="16"/>
      <c r="D46" s="16"/>
      <c r="E46" s="16"/>
      <c r="F46" s="16"/>
      <c r="G46" s="16"/>
      <c r="H46" s="16"/>
      <c r="I46" s="16"/>
    </row>
    <row r="47" spans="1:9" ht="15.6" x14ac:dyDescent="0.35">
      <c r="A47" s="3" t="s">
        <v>10</v>
      </c>
      <c r="B47" s="49" t="s">
        <v>52</v>
      </c>
      <c r="C47" s="67">
        <f>(D16/C36)*100</f>
        <v>109.6054187852849</v>
      </c>
      <c r="D47" s="67"/>
      <c r="E47" s="47">
        <f>(E16/E36)*100</f>
        <v>1.0432088923308203</v>
      </c>
      <c r="F47" s="47">
        <f t="shared" ref="F47" si="8">(F16/F36)*100</f>
        <v>7.5234930748238726</v>
      </c>
      <c r="G47" s="47" t="s">
        <v>47</v>
      </c>
      <c r="H47" s="47" t="s">
        <v>47</v>
      </c>
      <c r="I47" s="47" t="s">
        <v>47</v>
      </c>
    </row>
    <row r="48" spans="1:9" ht="15.6" x14ac:dyDescent="0.35">
      <c r="A48" s="3" t="s">
        <v>11</v>
      </c>
      <c r="B48" s="49">
        <f>(B18/B36)*100</f>
        <v>50.733918917661512</v>
      </c>
      <c r="C48" s="67">
        <f>(D18/C36)*100</f>
        <v>165.24734486837133</v>
      </c>
      <c r="D48" s="67"/>
      <c r="E48" s="47">
        <f>(E18/E36)*100</f>
        <v>1.0424496427730829</v>
      </c>
      <c r="F48" s="47">
        <f t="shared" ref="F48" si="9">(F18/F36)*100</f>
        <v>8.273672912456183</v>
      </c>
      <c r="G48" s="47" t="s">
        <v>47</v>
      </c>
      <c r="H48" s="47" t="s">
        <v>47</v>
      </c>
      <c r="I48" s="47" t="s">
        <v>47</v>
      </c>
    </row>
    <row r="49" spans="1:9" ht="15.6" x14ac:dyDescent="0.35">
      <c r="A49" s="3"/>
      <c r="B49" s="47"/>
      <c r="C49" s="47"/>
      <c r="D49" s="47"/>
      <c r="E49" s="47"/>
      <c r="F49" s="47"/>
      <c r="G49" s="47"/>
      <c r="H49" s="47"/>
      <c r="I49" s="47"/>
    </row>
    <row r="50" spans="1:9" ht="15.6" x14ac:dyDescent="0.35">
      <c r="A50" s="4" t="s">
        <v>12</v>
      </c>
      <c r="B50" s="47"/>
      <c r="C50" s="47"/>
      <c r="D50" s="47"/>
      <c r="E50" s="47"/>
      <c r="F50" s="47"/>
      <c r="G50" s="47"/>
      <c r="H50" s="47"/>
      <c r="I50" s="47"/>
    </row>
    <row r="51" spans="1:9" ht="15.6" x14ac:dyDescent="0.35">
      <c r="A51" s="3" t="s">
        <v>13</v>
      </c>
      <c r="B51" s="49" t="s">
        <v>52</v>
      </c>
      <c r="C51" s="49" t="s">
        <v>52</v>
      </c>
      <c r="D51" s="47">
        <f>D18/D16*100</f>
        <v>150.76567080327294</v>
      </c>
      <c r="E51" s="47">
        <f>E18/E16*100</f>
        <v>99.927219796215425</v>
      </c>
      <c r="F51" s="47">
        <f t="shared" ref="F51:H51" si="10">F18/F16*100</f>
        <v>109.97116406131431</v>
      </c>
      <c r="G51" s="47">
        <f t="shared" si="10"/>
        <v>101.91295905113034</v>
      </c>
      <c r="H51" s="47">
        <f t="shared" si="10"/>
        <v>148.0158495475782</v>
      </c>
      <c r="I51" s="47">
        <f t="shared" ref="I51" si="11">I18/I16*100</f>
        <v>147.87878787878788</v>
      </c>
    </row>
    <row r="52" spans="1:9" ht="15.6" x14ac:dyDescent="0.35">
      <c r="A52" s="3" t="s">
        <v>14</v>
      </c>
      <c r="B52" s="47">
        <f>B25/B24*100</f>
        <v>102.9649974911011</v>
      </c>
      <c r="C52" s="67">
        <f>C25/C24*100</f>
        <v>99.902355038394191</v>
      </c>
      <c r="D52" s="67"/>
      <c r="E52" s="47">
        <f>E25/E24*100</f>
        <v>98.927341096555068</v>
      </c>
      <c r="F52" s="47">
        <f t="shared" ref="F52:H52" si="12">F25/F24*100</f>
        <v>108.81433365373266</v>
      </c>
      <c r="G52" s="47">
        <f t="shared" si="12"/>
        <v>108.15732036218219</v>
      </c>
      <c r="H52" s="47">
        <f t="shared" si="12"/>
        <v>97.641723949163861</v>
      </c>
      <c r="I52" s="47">
        <f t="shared" ref="I52" si="13">I25/I24*100</f>
        <v>83.667156935205711</v>
      </c>
    </row>
    <row r="53" spans="1:9" ht="15.6" x14ac:dyDescent="0.35">
      <c r="A53" s="3" t="s">
        <v>15</v>
      </c>
      <c r="B53" s="49" t="s">
        <v>52</v>
      </c>
      <c r="C53" s="49" t="s">
        <v>52</v>
      </c>
      <c r="D53" s="47">
        <f>AVERAGE(D51,C52)</f>
        <v>125.33401292083357</v>
      </c>
      <c r="E53" s="47">
        <f>AVERAGE(E51:E52)</f>
        <v>99.427280446385254</v>
      </c>
      <c r="F53" s="47">
        <f t="shared" ref="F53:H53" si="14">AVERAGE(F51:F52)</f>
        <v>109.39274885752349</v>
      </c>
      <c r="G53" s="47">
        <f t="shared" si="14"/>
        <v>105.03513970665627</v>
      </c>
      <c r="H53" s="47">
        <f t="shared" si="14"/>
        <v>122.82878674837103</v>
      </c>
      <c r="I53" s="47">
        <f t="shared" ref="I53" si="15">AVERAGE(I51:I52)</f>
        <v>115.77297240699679</v>
      </c>
    </row>
    <row r="54" spans="1:9" ht="15.6" x14ac:dyDescent="0.35">
      <c r="A54" s="3"/>
      <c r="B54" s="47"/>
      <c r="C54" s="47"/>
      <c r="D54" s="47"/>
      <c r="E54" s="47"/>
      <c r="F54" s="47"/>
      <c r="G54" s="47"/>
      <c r="H54" s="47"/>
      <c r="I54" s="47"/>
    </row>
    <row r="55" spans="1:9" ht="15.6" x14ac:dyDescent="0.35">
      <c r="A55" s="4" t="s">
        <v>16</v>
      </c>
      <c r="B55" s="47"/>
      <c r="C55" s="47"/>
      <c r="D55" s="47"/>
      <c r="E55" s="47"/>
      <c r="F55" s="47"/>
      <c r="G55" s="47"/>
      <c r="H55" s="47"/>
      <c r="I55" s="47"/>
    </row>
    <row r="56" spans="1:9" ht="15.6" x14ac:dyDescent="0.35">
      <c r="A56" s="3" t="s">
        <v>17</v>
      </c>
      <c r="B56" s="49" t="s">
        <v>52</v>
      </c>
      <c r="C56" s="67">
        <f>D18/D20*100</f>
        <v>119.19330510077091</v>
      </c>
      <c r="D56" s="67"/>
      <c r="E56" s="47">
        <f>E18/E20*100</f>
        <v>99.927219796215425</v>
      </c>
      <c r="F56" s="47">
        <f t="shared" ref="F56:I56" si="16">F18/F20*100</f>
        <v>109.95447647951441</v>
      </c>
      <c r="G56" s="47">
        <f t="shared" si="16"/>
        <v>101.91295905113034</v>
      </c>
      <c r="H56" s="47">
        <f t="shared" si="16"/>
        <v>148.0158495475782</v>
      </c>
      <c r="I56" s="47">
        <f t="shared" si="16"/>
        <v>147.87878787878788</v>
      </c>
    </row>
    <row r="57" spans="1:9" ht="15.6" x14ac:dyDescent="0.35">
      <c r="A57" s="3" t="s">
        <v>18</v>
      </c>
      <c r="B57" s="47">
        <f>B25/B26*100</f>
        <v>25.177927455849257</v>
      </c>
      <c r="C57" s="67">
        <f>C25/C26*100</f>
        <v>23.719081698191605</v>
      </c>
      <c r="D57" s="67"/>
      <c r="E57" s="47">
        <f>E25/E26*100</f>
        <v>24.734835618100206</v>
      </c>
      <c r="F57" s="47">
        <f t="shared" ref="F57:I57" si="17">F25/F26*100</f>
        <v>27.202551293563172</v>
      </c>
      <c r="G57" s="47">
        <f t="shared" si="17"/>
        <v>27.039566604416947</v>
      </c>
      <c r="H57" s="47">
        <f t="shared" si="17"/>
        <v>24.410430987290965</v>
      </c>
      <c r="I57" s="47">
        <f t="shared" si="17"/>
        <v>20.948529429907349</v>
      </c>
    </row>
    <row r="58" spans="1:9" ht="15.6" x14ac:dyDescent="0.35">
      <c r="A58" s="3" t="s">
        <v>19</v>
      </c>
      <c r="B58" s="49" t="s">
        <v>52</v>
      </c>
      <c r="C58" s="67">
        <f>(C56+C57)/2</f>
        <v>71.456193399481265</v>
      </c>
      <c r="D58" s="67"/>
      <c r="E58" s="47">
        <f>(E56+E57)/2</f>
        <v>62.331027707157816</v>
      </c>
      <c r="F58" s="47">
        <f t="shared" ref="F58:I58" si="18">(F56+F57)/2</f>
        <v>68.578513886538786</v>
      </c>
      <c r="G58" s="47">
        <f t="shared" si="18"/>
        <v>64.476262827773638</v>
      </c>
      <c r="H58" s="47">
        <f t="shared" si="18"/>
        <v>86.213140267434582</v>
      </c>
      <c r="I58" s="47">
        <f t="shared" si="18"/>
        <v>84.413658654347614</v>
      </c>
    </row>
    <row r="59" spans="1:9" ht="15.6" x14ac:dyDescent="0.35">
      <c r="A59" s="3"/>
      <c r="B59" s="47"/>
      <c r="C59" s="47"/>
      <c r="D59" s="47"/>
      <c r="E59" s="47"/>
      <c r="F59" s="47"/>
      <c r="G59" s="47"/>
      <c r="H59" s="47"/>
      <c r="I59" s="47"/>
    </row>
    <row r="60" spans="1:9" ht="15.6" x14ac:dyDescent="0.35">
      <c r="A60" s="4" t="s">
        <v>30</v>
      </c>
      <c r="B60" s="47"/>
      <c r="C60" s="47"/>
      <c r="D60" s="47"/>
      <c r="E60" s="47"/>
      <c r="F60" s="47"/>
      <c r="G60" s="47"/>
      <c r="H60" s="47"/>
      <c r="I60" s="47"/>
    </row>
    <row r="61" spans="1:9" ht="15.6" x14ac:dyDescent="0.35">
      <c r="A61" s="3" t="s">
        <v>20</v>
      </c>
      <c r="B61" s="47">
        <f>B27/B25*100</f>
        <v>100</v>
      </c>
      <c r="C61" s="67">
        <f>C27/C25*100</f>
        <v>100</v>
      </c>
      <c r="D61" s="67"/>
      <c r="E61" s="47">
        <f>E27/E25*100</f>
        <v>100</v>
      </c>
      <c r="F61" s="47">
        <f t="shared" ref="F61:I61" si="19">F27/F25*100</f>
        <v>100</v>
      </c>
      <c r="G61" s="47">
        <f t="shared" si="19"/>
        <v>100</v>
      </c>
      <c r="H61" s="47">
        <f t="shared" si="19"/>
        <v>100</v>
      </c>
      <c r="I61" s="47">
        <f t="shared" si="19"/>
        <v>100</v>
      </c>
    </row>
    <row r="62" spans="1:9" ht="15.6" x14ac:dyDescent="0.35">
      <c r="A62" s="3"/>
      <c r="B62" s="47"/>
      <c r="C62" s="47"/>
      <c r="D62" s="47"/>
      <c r="E62" s="47"/>
      <c r="F62" s="47"/>
      <c r="G62" s="47"/>
      <c r="H62" s="47"/>
      <c r="I62" s="47"/>
    </row>
    <row r="63" spans="1:9" ht="15.6" x14ac:dyDescent="0.35">
      <c r="A63" s="4" t="s">
        <v>21</v>
      </c>
      <c r="B63" s="47"/>
      <c r="C63" s="47"/>
      <c r="D63" s="47"/>
      <c r="E63" s="47"/>
      <c r="F63" s="47"/>
      <c r="G63" s="47"/>
      <c r="H63" s="47"/>
      <c r="I63" s="47"/>
    </row>
    <row r="64" spans="1:9" ht="15.6" x14ac:dyDescent="0.35">
      <c r="A64" s="3" t="s">
        <v>22</v>
      </c>
      <c r="B64" s="47">
        <f>((B18/B15)-1)*100</f>
        <v>-14.569925536540362</v>
      </c>
      <c r="C64" s="67">
        <f>((D18/D15)-1)*100</f>
        <v>2.5873750028386988</v>
      </c>
      <c r="D64" s="67"/>
      <c r="E64" s="47">
        <f>((E18/E15)-1)*100</f>
        <v>-1.506456241032994</v>
      </c>
      <c r="F64" s="47">
        <f t="shared" ref="F64:H64" si="20">((F18/F15)-1)*100</f>
        <v>2.9261363636363669</v>
      </c>
      <c r="G64" s="47">
        <f t="shared" si="20"/>
        <v>5.4521511288505131</v>
      </c>
      <c r="H64" s="47">
        <f t="shared" si="20"/>
        <v>5.1419929423626387</v>
      </c>
      <c r="I64" s="47" t="s">
        <v>47</v>
      </c>
    </row>
    <row r="65" spans="1:9" ht="15.6" x14ac:dyDescent="0.35">
      <c r="A65" s="3" t="s">
        <v>23</v>
      </c>
      <c r="B65" s="47">
        <f>((B40/B39)-1)*100</f>
        <v>8.0962692234337617</v>
      </c>
      <c r="C65" s="67">
        <f>((C40/C39)-1)*100</f>
        <v>32.387777798222018</v>
      </c>
      <c r="D65" s="67"/>
      <c r="E65" s="47">
        <f>((E40/E39)-1)*100</f>
        <v>2.1199790095447701</v>
      </c>
      <c r="F65" s="47">
        <f t="shared" ref="F65:H65" si="21">((F40/F39)-1)*100</f>
        <v>-1.544607934642761</v>
      </c>
      <c r="G65" s="47">
        <f t="shared" si="21"/>
        <v>-5.705253967385115</v>
      </c>
      <c r="H65" s="47">
        <f t="shared" si="21"/>
        <v>-2.4959511293744074</v>
      </c>
      <c r="I65" s="47" t="s">
        <v>47</v>
      </c>
    </row>
    <row r="66" spans="1:9" ht="15.6" x14ac:dyDescent="0.35">
      <c r="A66" s="3" t="s">
        <v>24</v>
      </c>
      <c r="B66" s="47">
        <f>((B42/B41)-1)*100</f>
        <v>26.531868200195639</v>
      </c>
      <c r="C66" s="67">
        <f>((C42/C41)-1)*100</f>
        <v>29.04880137010888</v>
      </c>
      <c r="D66" s="67"/>
      <c r="E66" s="47">
        <f>((E42/E41)-1)*100</f>
        <v>3.6819014852916165</v>
      </c>
      <c r="F66" s="47">
        <f t="shared" ref="F66:H66" si="22">((F42/F41)-1)*100</f>
        <v>-4.3436433701193655</v>
      </c>
      <c r="G66" s="47">
        <f t="shared" si="22"/>
        <v>-10.58053816522202</v>
      </c>
      <c r="H66" s="47">
        <f t="shared" si="22"/>
        <v>-7.264408689612778</v>
      </c>
      <c r="I66" s="47" t="s">
        <v>47</v>
      </c>
    </row>
    <row r="67" spans="1:9" ht="15.6" x14ac:dyDescent="0.35">
      <c r="A67" s="3"/>
      <c r="B67" s="47"/>
      <c r="C67" s="47"/>
      <c r="D67" s="47"/>
      <c r="E67" s="47"/>
      <c r="F67" s="47"/>
      <c r="G67" s="47"/>
      <c r="H67" s="47"/>
      <c r="I67" s="47"/>
    </row>
    <row r="68" spans="1:9" ht="15.6" x14ac:dyDescent="0.35">
      <c r="A68" s="4" t="s">
        <v>25</v>
      </c>
      <c r="B68" s="47"/>
      <c r="C68" s="47"/>
      <c r="D68" s="47"/>
      <c r="E68" s="47"/>
      <c r="F68" s="47"/>
      <c r="G68" s="47"/>
      <c r="H68" s="47"/>
      <c r="I68" s="47"/>
    </row>
    <row r="69" spans="1:9" ht="15.6" x14ac:dyDescent="0.35">
      <c r="A69" s="3" t="s">
        <v>31</v>
      </c>
      <c r="B69" s="47">
        <f>(B24/B17)*3</f>
        <v>158975.42616938602</v>
      </c>
      <c r="C69" s="67">
        <f>(C24/D17)*3</f>
        <v>105000</v>
      </c>
      <c r="D69" s="67"/>
      <c r="E69" s="47">
        <f>(E24/E17)*3</f>
        <v>300000</v>
      </c>
      <c r="F69" s="47">
        <f t="shared" ref="F69:H69" si="23">(F24/F17)*3</f>
        <v>225000</v>
      </c>
      <c r="G69" s="47">
        <f t="shared" si="23"/>
        <v>225000</v>
      </c>
      <c r="H69" s="47">
        <f t="shared" si="23"/>
        <v>390000</v>
      </c>
      <c r="I69" s="47">
        <f>(I24/I17)*3</f>
        <v>984000</v>
      </c>
    </row>
    <row r="70" spans="1:9" ht="15.6" x14ac:dyDescent="0.35">
      <c r="A70" s="3" t="s">
        <v>32</v>
      </c>
      <c r="B70" s="47">
        <f>(B25/B19)*3</f>
        <v>126516.70063439444</v>
      </c>
      <c r="C70" s="67">
        <f>(C25/D19)*3</f>
        <v>70658.765783656185</v>
      </c>
      <c r="D70" s="67"/>
      <c r="E70" s="47">
        <f>(E25/E19)*3</f>
        <v>301536.97313285677</v>
      </c>
      <c r="F70" s="47">
        <f t="shared" ref="F70:H70" si="24">(F25/F19)*3</f>
        <v>243980.5958862674</v>
      </c>
      <c r="G70" s="47">
        <f t="shared" si="24"/>
        <v>286386.24342903006</v>
      </c>
      <c r="H70" s="47">
        <f t="shared" si="24"/>
        <v>271001.39941077464</v>
      </c>
      <c r="I70" s="47">
        <f t="shared" ref="I70" si="25">(I25/I19)*3</f>
        <v>610983.49025487248</v>
      </c>
    </row>
    <row r="71" spans="1:9" ht="15.6" x14ac:dyDescent="0.35">
      <c r="A71" s="3" t="s">
        <v>26</v>
      </c>
      <c r="B71" s="49" t="s">
        <v>52</v>
      </c>
      <c r="C71" s="67">
        <f>(C70/C69)*D53</f>
        <v>84.34234917808493</v>
      </c>
      <c r="D71" s="67"/>
      <c r="E71" s="47">
        <f>(E70/E69)*E53</f>
        <v>99.936670642115615</v>
      </c>
      <c r="F71" s="47">
        <f t="shared" ref="F71:H71" si="26">(F70/F69)*F53</f>
        <v>118.62092467509058</v>
      </c>
      <c r="G71" s="47">
        <f t="shared" si="26"/>
        <v>133.69164039392285</v>
      </c>
      <c r="H71" s="47">
        <f t="shared" si="26"/>
        <v>85.350700248041434</v>
      </c>
      <c r="I71" s="47">
        <f t="shared" ref="I71" si="27">(I70/I69)*I53</f>
        <v>71.8855434536666</v>
      </c>
    </row>
    <row r="72" spans="1:9" ht="15.6" x14ac:dyDescent="0.35">
      <c r="A72" s="3" t="s">
        <v>33</v>
      </c>
      <c r="B72" s="47">
        <f>B24/B17</f>
        <v>52991.808723128677</v>
      </c>
      <c r="C72" s="67">
        <f>C24/D17</f>
        <v>35000</v>
      </c>
      <c r="D72" s="67"/>
      <c r="E72" s="47">
        <f>E24/E17</f>
        <v>100000</v>
      </c>
      <c r="F72" s="47">
        <f>F24/F17</f>
        <v>75000</v>
      </c>
      <c r="G72" s="47">
        <f t="shared" ref="G72:H72" si="28">G24/G17</f>
        <v>75000</v>
      </c>
      <c r="H72" s="47">
        <f t="shared" si="28"/>
        <v>130000</v>
      </c>
      <c r="I72" s="47">
        <f t="shared" ref="I72" si="29">I24/I17</f>
        <v>328000</v>
      </c>
    </row>
    <row r="73" spans="1:9" ht="15.6" x14ac:dyDescent="0.35">
      <c r="A73" s="3" t="s">
        <v>34</v>
      </c>
      <c r="B73" s="47">
        <f>B25/B19</f>
        <v>42172.233544798146</v>
      </c>
      <c r="C73" s="67">
        <f>C25/D19</f>
        <v>23552.921927885396</v>
      </c>
      <c r="D73" s="67"/>
      <c r="E73" s="47">
        <f>E25/E19</f>
        <v>100512.32437761893</v>
      </c>
      <c r="F73" s="47">
        <f>F25/F19</f>
        <v>81326.865295422467</v>
      </c>
      <c r="G73" s="47">
        <f t="shared" ref="G73:H73" si="30">G25/G19</f>
        <v>95462.081143010029</v>
      </c>
      <c r="H73" s="47">
        <f t="shared" si="30"/>
        <v>90333.799803591552</v>
      </c>
      <c r="I73" s="47">
        <f t="shared" ref="I73" si="31">I25/I19</f>
        <v>203661.16341829085</v>
      </c>
    </row>
    <row r="74" spans="1:9" ht="15.6" x14ac:dyDescent="0.35">
      <c r="A74" s="3"/>
      <c r="B74" s="47"/>
      <c r="C74" s="47"/>
      <c r="D74" s="47"/>
      <c r="E74" s="47"/>
      <c r="F74" s="47"/>
      <c r="G74" s="47"/>
      <c r="H74" s="47"/>
      <c r="I74" s="47"/>
    </row>
    <row r="75" spans="1:9" ht="15.6" x14ac:dyDescent="0.35">
      <c r="A75" s="4" t="s">
        <v>27</v>
      </c>
      <c r="B75" s="47"/>
      <c r="C75" s="47"/>
      <c r="D75" s="47"/>
      <c r="E75" s="47"/>
      <c r="F75" s="47"/>
      <c r="G75" s="47"/>
      <c r="H75" s="47"/>
      <c r="I75" s="47"/>
    </row>
    <row r="76" spans="1:9" ht="15.6" x14ac:dyDescent="0.35">
      <c r="A76" s="3" t="s">
        <v>28</v>
      </c>
      <c r="B76" s="47">
        <f>(B31/B30)*100</f>
        <v>99.439794890969495</v>
      </c>
      <c r="C76" s="47"/>
      <c r="D76" s="47"/>
      <c r="E76" s="47"/>
      <c r="F76" s="47"/>
      <c r="G76" s="47"/>
      <c r="H76" s="47"/>
      <c r="I76" s="47"/>
    </row>
    <row r="77" spans="1:9" ht="15.6" x14ac:dyDescent="0.35">
      <c r="A77" s="3" t="s">
        <v>29</v>
      </c>
      <c r="B77" s="47">
        <f>(B25/B31)*100</f>
        <v>103.54506221980529</v>
      </c>
      <c r="C77" s="47"/>
      <c r="D77" s="47"/>
      <c r="E77" s="47"/>
      <c r="F77" s="47"/>
      <c r="G77" s="47"/>
      <c r="H77" s="47"/>
      <c r="I77" s="47"/>
    </row>
    <row r="78" spans="1:9" ht="16.2" thickBot="1" x14ac:dyDescent="0.4">
      <c r="A78" s="13"/>
      <c r="B78" s="29"/>
      <c r="C78" s="29"/>
      <c r="D78" s="29"/>
      <c r="E78" s="29"/>
      <c r="F78" s="29"/>
      <c r="G78" s="29"/>
      <c r="H78" s="29"/>
      <c r="I78" s="29"/>
    </row>
    <row r="79" spans="1:9" s="1" customFormat="1" ht="17.25" customHeight="1" thickTop="1" x14ac:dyDescent="0.3">
      <c r="A79" s="52" t="s">
        <v>94</v>
      </c>
      <c r="B79" s="52"/>
      <c r="C79" s="52"/>
      <c r="D79" s="52"/>
      <c r="E79" s="52"/>
      <c r="F79" s="52"/>
      <c r="G79" s="52"/>
      <c r="H79" s="52"/>
      <c r="I79" s="52"/>
    </row>
    <row r="81" spans="1:9" s="1" customFormat="1" ht="173.25" customHeight="1" x14ac:dyDescent="0.3">
      <c r="A81" s="53" t="s">
        <v>132</v>
      </c>
      <c r="B81" s="53"/>
      <c r="C81" s="53"/>
      <c r="D81" s="53"/>
      <c r="E81" s="53"/>
      <c r="F81" s="53"/>
      <c r="G81" s="53"/>
      <c r="H81" s="53"/>
      <c r="I81" s="53"/>
    </row>
    <row r="97" s="34" customFormat="1" x14ac:dyDescent="0.3"/>
    <row r="98" s="34" customFormat="1" x14ac:dyDescent="0.3"/>
    <row r="99" s="34" customFormat="1" x14ac:dyDescent="0.3"/>
    <row r="100" s="34" customFormat="1" x14ac:dyDescent="0.3"/>
    <row r="101" s="34" customFormat="1" x14ac:dyDescent="0.3"/>
    <row r="102" s="34" customFormat="1" x14ac:dyDescent="0.3"/>
    <row r="103" s="34" customFormat="1" x14ac:dyDescent="0.3"/>
    <row r="104" s="34" customFormat="1" x14ac:dyDescent="0.3"/>
    <row r="105" s="34" customFormat="1" x14ac:dyDescent="0.3"/>
    <row r="106" s="34" customFormat="1" x14ac:dyDescent="0.3"/>
    <row r="107" s="34" customFormat="1" x14ac:dyDescent="0.3"/>
  </sheetData>
  <mergeCells count="31">
    <mergeCell ref="A79:I79"/>
    <mergeCell ref="A81:I81"/>
    <mergeCell ref="C39:D39"/>
    <mergeCell ref="C40:D40"/>
    <mergeCell ref="C41:D41"/>
    <mergeCell ref="C42:D42"/>
    <mergeCell ref="C73:D73"/>
    <mergeCell ref="C58:D58"/>
    <mergeCell ref="C61:D61"/>
    <mergeCell ref="C27:D27"/>
    <mergeCell ref="C36:D36"/>
    <mergeCell ref="C26:D26"/>
    <mergeCell ref="C24:D24"/>
    <mergeCell ref="C72:D72"/>
    <mergeCell ref="C47:D47"/>
    <mergeCell ref="C48:D48"/>
    <mergeCell ref="C52:D52"/>
    <mergeCell ref="C65:D65"/>
    <mergeCell ref="C66:D66"/>
    <mergeCell ref="C69:D69"/>
    <mergeCell ref="C70:D70"/>
    <mergeCell ref="C71:D71"/>
    <mergeCell ref="C64:D64"/>
    <mergeCell ref="C56:D56"/>
    <mergeCell ref="C57:D57"/>
    <mergeCell ref="B9:B10"/>
    <mergeCell ref="C23:D23"/>
    <mergeCell ref="C25:D25"/>
    <mergeCell ref="C10:D10"/>
    <mergeCell ref="A9:A10"/>
    <mergeCell ref="C9:I9"/>
  </mergeCells>
  <pageMargins left="0.7" right="0.7" top="0.75" bottom="0.75" header="0.3" footer="0.3"/>
  <pageSetup paperSize="9" orientation="portrait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105"/>
  <sheetViews>
    <sheetView showGridLines="0" zoomScale="80" zoomScaleNormal="80" zoomScalePageLayoutView="90" workbookViewId="0">
      <pane ySplit="10" topLeftCell="A11" activePane="bottomLeft" state="frozen"/>
      <selection pane="bottomLeft" activeCell="A9" sqref="A9:A10"/>
    </sheetView>
  </sheetViews>
  <sheetFormatPr baseColWidth="10" defaultColWidth="11.44140625" defaultRowHeight="14.4" x14ac:dyDescent="0.3"/>
  <cols>
    <col min="1" max="1" width="63.44140625" style="34" customWidth="1"/>
    <col min="2" max="9" width="18.6640625" style="34" customWidth="1"/>
    <col min="10" max="16384" width="11.44140625" style="34"/>
  </cols>
  <sheetData>
    <row r="1" spans="1:9" s="1" customFormat="1" x14ac:dyDescent="0.3"/>
    <row r="2" spans="1:9" s="1" customFormat="1" x14ac:dyDescent="0.3"/>
    <row r="3" spans="1:9" s="1" customFormat="1" x14ac:dyDescent="0.3"/>
    <row r="4" spans="1:9" s="1" customFormat="1" x14ac:dyDescent="0.3"/>
    <row r="5" spans="1:9" s="1" customFormat="1" x14ac:dyDescent="0.3"/>
    <row r="6" spans="1:9" s="1" customFormat="1" x14ac:dyDescent="0.3"/>
    <row r="7" spans="1:9" s="1" customFormat="1" x14ac:dyDescent="0.3"/>
    <row r="8" spans="1:9" s="1" customFormat="1" ht="18" customHeight="1" x14ac:dyDescent="0.3"/>
    <row r="9" spans="1:9" s="1" customFormat="1" ht="15.6" x14ac:dyDescent="0.3">
      <c r="A9" s="56" t="s">
        <v>0</v>
      </c>
      <c r="B9" s="58" t="s">
        <v>54</v>
      </c>
      <c r="C9" s="63" t="s">
        <v>55</v>
      </c>
      <c r="D9" s="63"/>
      <c r="E9" s="63"/>
      <c r="F9" s="63"/>
      <c r="G9" s="63"/>
      <c r="H9" s="63"/>
      <c r="I9" s="63"/>
    </row>
    <row r="10" spans="1:9" s="1" customFormat="1" ht="51.75" customHeight="1" thickBot="1" x14ac:dyDescent="0.35">
      <c r="A10" s="57"/>
      <c r="B10" s="59"/>
      <c r="C10" s="57" t="s">
        <v>1</v>
      </c>
      <c r="D10" s="57"/>
      <c r="E10" s="39" t="s">
        <v>44</v>
      </c>
      <c r="F10" s="39" t="s">
        <v>45</v>
      </c>
      <c r="G10" s="39" t="s">
        <v>50</v>
      </c>
      <c r="H10" s="39" t="s">
        <v>56</v>
      </c>
      <c r="I10" s="39" t="s">
        <v>88</v>
      </c>
    </row>
    <row r="11" spans="1:9" s="1" customFormat="1" ht="16.2" thickTop="1" x14ac:dyDescent="0.35">
      <c r="A11" s="3"/>
      <c r="B11" s="3"/>
      <c r="C11" s="3"/>
      <c r="D11" s="3"/>
      <c r="E11" s="3"/>
      <c r="F11" s="3"/>
      <c r="G11" s="3"/>
      <c r="H11" s="3"/>
      <c r="I11" s="3"/>
    </row>
    <row r="12" spans="1:9" s="1" customFormat="1" ht="15.6" x14ac:dyDescent="0.35">
      <c r="A12" s="4" t="s">
        <v>2</v>
      </c>
      <c r="B12" s="3"/>
      <c r="C12" s="3"/>
      <c r="D12" s="3"/>
      <c r="E12" s="3"/>
      <c r="F12" s="3"/>
      <c r="G12" s="3"/>
      <c r="H12" s="3"/>
      <c r="I12" s="3"/>
    </row>
    <row r="13" spans="1:9" s="1" customFormat="1" ht="15.6" x14ac:dyDescent="0.35">
      <c r="A13" s="3"/>
      <c r="B13" s="3"/>
      <c r="C13" s="3"/>
      <c r="D13" s="3"/>
      <c r="E13" s="3"/>
      <c r="F13" s="3"/>
      <c r="G13" s="3"/>
      <c r="H13" s="3"/>
      <c r="I13" s="3"/>
    </row>
    <row r="14" spans="1:9" s="25" customFormat="1" ht="31.2" x14ac:dyDescent="0.3">
      <c r="A14" s="24" t="s">
        <v>41</v>
      </c>
      <c r="B14" s="33" t="s">
        <v>53</v>
      </c>
      <c r="C14" s="33" t="s">
        <v>42</v>
      </c>
      <c r="D14" s="33" t="s">
        <v>43</v>
      </c>
      <c r="E14" s="5" t="s">
        <v>42</v>
      </c>
      <c r="F14" s="5" t="s">
        <v>42</v>
      </c>
      <c r="G14" s="23" t="s">
        <v>57</v>
      </c>
      <c r="H14" s="5" t="s">
        <v>49</v>
      </c>
      <c r="I14" s="5" t="s">
        <v>42</v>
      </c>
    </row>
    <row r="15" spans="1:9" ht="15.6" x14ac:dyDescent="0.35">
      <c r="A15" s="6" t="s">
        <v>76</v>
      </c>
      <c r="B15" s="46">
        <v>253419</v>
      </c>
      <c r="C15" s="46">
        <v>167114</v>
      </c>
      <c r="D15" s="46">
        <v>281218</v>
      </c>
      <c r="E15" s="46">
        <v>1434</v>
      </c>
      <c r="F15" s="46">
        <v>7350</v>
      </c>
      <c r="G15" s="46">
        <v>77093</v>
      </c>
      <c r="H15" s="46">
        <v>27716</v>
      </c>
      <c r="I15" s="46" t="s">
        <v>47</v>
      </c>
    </row>
    <row r="16" spans="1:9" ht="15.6" x14ac:dyDescent="0.35">
      <c r="A16" s="6" t="s">
        <v>114</v>
      </c>
      <c r="B16" s="46" t="str">
        <f>+'III Trimestre'!B16</f>
        <v>n.d</v>
      </c>
      <c r="C16" s="46" t="str">
        <f>+'III Trimestre'!C16</f>
        <v>n.d</v>
      </c>
      <c r="D16" s="46">
        <f>+'III Trimestre'!D16</f>
        <v>179777</v>
      </c>
      <c r="E16" s="46">
        <f>+'III Trimestre'!E16</f>
        <v>1374</v>
      </c>
      <c r="F16" s="46">
        <f>+'III Trimestre'!F16</f>
        <v>6589</v>
      </c>
      <c r="G16" s="46">
        <f>+'III Trimestre'!G16</f>
        <v>76217</v>
      </c>
      <c r="H16" s="46">
        <f>+'III Trimestre'!H16</f>
        <v>16909</v>
      </c>
      <c r="I16" s="46">
        <f>+'III Trimestre'!I16</f>
        <v>165</v>
      </c>
    </row>
    <row r="17" spans="1:9" ht="15.6" x14ac:dyDescent="0.35">
      <c r="A17" s="6" t="s">
        <v>51</v>
      </c>
      <c r="B17" s="46">
        <f>+'I Trimestre'!B17+'II Trimestre'!B17+'III Trimestre'!B17</f>
        <v>2500193</v>
      </c>
      <c r="C17" s="46" t="str">
        <f>'III Trimestre'!C17</f>
        <v>n.d</v>
      </c>
      <c r="D17" s="46">
        <f>+'I Trimestre'!D17+'II Trimestre'!D17+'III Trimestre'!D17</f>
        <v>1589412</v>
      </c>
      <c r="E17" s="46">
        <f>+'I Trimestre'!E17+'II Trimestre'!E17+'III Trimestre'!E17</f>
        <v>12364</v>
      </c>
      <c r="F17" s="46">
        <f>+'I Trimestre'!F17+'II Trimestre'!F17+'III Trimestre'!F17</f>
        <v>59301</v>
      </c>
      <c r="G17" s="46">
        <f>+'I Trimestre'!G17+'II Trimestre'!G17+'III Trimestre'!G17</f>
        <v>685945</v>
      </c>
      <c r="H17" s="46">
        <f>+'I Trimestre'!H17+'II Trimestre'!H17+'III Trimestre'!H17</f>
        <v>152181</v>
      </c>
      <c r="I17" s="46">
        <f>+'I Trimestre'!I17+'II Trimestre'!I17+'III Trimestre'!I17</f>
        <v>1482</v>
      </c>
    </row>
    <row r="18" spans="1:9" ht="15.6" x14ac:dyDescent="0.35">
      <c r="A18" s="6" t="s">
        <v>115</v>
      </c>
      <c r="B18" s="46">
        <v>233037</v>
      </c>
      <c r="C18" s="46">
        <v>169397</v>
      </c>
      <c r="D18" s="46">
        <v>279159</v>
      </c>
      <c r="E18" s="46">
        <v>1438</v>
      </c>
      <c r="F18" s="46">
        <v>13183</v>
      </c>
      <c r="G18" s="46">
        <v>107029</v>
      </c>
      <c r="H18" s="46">
        <v>27836</v>
      </c>
      <c r="I18" s="46">
        <v>256</v>
      </c>
    </row>
    <row r="19" spans="1:9" ht="15.6" x14ac:dyDescent="0.35">
      <c r="A19" s="6" t="s">
        <v>51</v>
      </c>
      <c r="B19" s="46">
        <f>+'I Trimestre'!B19+'II Trimestre'!B19+'III Trimestre'!B19</f>
        <v>2782186</v>
      </c>
      <c r="C19" s="46" t="str">
        <f>'III Trimestre'!C19</f>
        <v>n.d</v>
      </c>
      <c r="D19" s="46">
        <f>+'I Trimestre'!D19+'II Trimestre'!D19+'III Trimestre'!D19</f>
        <v>1989842</v>
      </c>
      <c r="E19" s="46">
        <f>+'I Trimestre'!E19+'II Trimestre'!E19+'III Trimestre'!E19</f>
        <v>12164</v>
      </c>
      <c r="F19" s="46">
        <f>+'I Trimestre'!F19+'II Trimestre'!F19+'III Trimestre'!F19</f>
        <v>52980</v>
      </c>
      <c r="G19" s="46">
        <f>+'I Trimestre'!G19+'II Trimestre'!G19+'III Trimestre'!G19</f>
        <v>519576</v>
      </c>
      <c r="H19" s="46">
        <f>+'I Trimestre'!H19+'II Trimestre'!H19+'III Trimestre'!H19</f>
        <v>206390</v>
      </c>
      <c r="I19" s="46">
        <f>+'I Trimestre'!I19+'II Trimestre'!I19+'III Trimestre'!I19</f>
        <v>1444</v>
      </c>
    </row>
    <row r="20" spans="1:9" ht="15.6" x14ac:dyDescent="0.35">
      <c r="A20" s="6" t="s">
        <v>91</v>
      </c>
      <c r="B20" s="46" t="str">
        <f>'III Trimestre'!B20</f>
        <v>n.d</v>
      </c>
      <c r="C20" s="46" t="str">
        <f>'III Trimestre'!C20</f>
        <v>n.d</v>
      </c>
      <c r="D20" s="46">
        <f>'III Trimestre'!D20</f>
        <v>227397</v>
      </c>
      <c r="E20" s="46">
        <f>'III Trimestre'!E20</f>
        <v>1374</v>
      </c>
      <c r="F20" s="46">
        <f>'III Trimestre'!F20</f>
        <v>6590</v>
      </c>
      <c r="G20" s="46">
        <f>'III Trimestre'!G20</f>
        <v>76217</v>
      </c>
      <c r="H20" s="46">
        <f>'III Trimestre'!H20</f>
        <v>16909</v>
      </c>
      <c r="I20" s="46">
        <f>'III Trimestre'!I20</f>
        <v>165</v>
      </c>
    </row>
    <row r="21" spans="1:9" ht="15.6" x14ac:dyDescent="0.35">
      <c r="A21" s="3"/>
      <c r="B21" s="46"/>
      <c r="C21" s="46"/>
      <c r="D21" s="46"/>
      <c r="E21" s="46"/>
      <c r="F21" s="46"/>
      <c r="G21" s="46"/>
      <c r="H21" s="46"/>
      <c r="I21" s="46"/>
    </row>
    <row r="22" spans="1:9" ht="15.6" x14ac:dyDescent="0.35">
      <c r="A22" s="7" t="s">
        <v>3</v>
      </c>
      <c r="B22" s="46"/>
      <c r="C22" s="46"/>
      <c r="D22" s="46"/>
      <c r="E22" s="46"/>
      <c r="F22" s="46"/>
      <c r="G22" s="46"/>
      <c r="H22" s="46"/>
      <c r="I22" s="46"/>
    </row>
    <row r="23" spans="1:9" ht="15.6" x14ac:dyDescent="0.35">
      <c r="A23" s="6" t="s">
        <v>76</v>
      </c>
      <c r="B23" s="46">
        <f>+C23+E23+F23+G23+H23</f>
        <v>111575714352</v>
      </c>
      <c r="C23" s="66">
        <f>'I Trimestre'!C23:D23+'II Trimestre'!C23:D23+'III Trimestre'!C23:D23</f>
        <v>43181308000</v>
      </c>
      <c r="D23" s="66"/>
      <c r="E23" s="46">
        <f>'I Trimestre'!E23+'II Trimestre'!E23+'III Trimestre'!E23</f>
        <v>1200682000</v>
      </c>
      <c r="F23" s="46">
        <f>'I Trimestre'!F23+'II Trimestre'!F23+'III Trimestre'!F23</f>
        <v>4956126000</v>
      </c>
      <c r="G23" s="46">
        <f>'I Trimestre'!G23+'II Trimestre'!G23+'III Trimestre'!G23</f>
        <v>42928071324</v>
      </c>
      <c r="H23" s="46">
        <f>'I Trimestre'!H23+'II Trimestre'!H23+'III Trimestre'!H23</f>
        <v>19309527028</v>
      </c>
      <c r="I23" s="46" t="s">
        <v>47</v>
      </c>
    </row>
    <row r="24" spans="1:9" ht="15.6" x14ac:dyDescent="0.35">
      <c r="A24" s="6" t="s">
        <v>114</v>
      </c>
      <c r="B24" s="46">
        <f t="shared" ref="B24:B27" si="0">+C24+E24+F24+G24+H24+I24</f>
        <v>133028896000</v>
      </c>
      <c r="C24" s="66">
        <f>'I Trimestre'!C24:D24+'II Trimestre'!C24:D24+'III Trimestre'!C24:D24</f>
        <v>55629420000</v>
      </c>
      <c r="D24" s="66"/>
      <c r="E24" s="46">
        <f>'I Trimestre'!E24+'II Trimestre'!E24+'III Trimestre'!E24</f>
        <v>1236400000</v>
      </c>
      <c r="F24" s="46">
        <f>'I Trimestre'!F24+'II Trimestre'!F24+'III Trimestre'!F24</f>
        <v>4447575000</v>
      </c>
      <c r="G24" s="46">
        <f>'I Trimestre'!G24+'II Trimestre'!G24+'III Trimestre'!G24</f>
        <v>51445875000</v>
      </c>
      <c r="H24" s="46">
        <f>'I Trimestre'!H24+'II Trimestre'!H24+'III Trimestre'!H24</f>
        <v>19783530000</v>
      </c>
      <c r="I24" s="46">
        <f>'I Trimestre'!I24+'II Trimestre'!I24+'III Trimestre'!I24</f>
        <v>486096000</v>
      </c>
    </row>
    <row r="25" spans="1:9" ht="15.6" x14ac:dyDescent="0.35">
      <c r="A25" s="6" t="s">
        <v>115</v>
      </c>
      <c r="B25" s="46">
        <f t="shared" si="0"/>
        <v>128136230726.79999</v>
      </c>
      <c r="C25" s="66">
        <f>'I Trimestre'!C25:D25+'II Trimestre'!C25:D25+'III Trimestre'!C25:D25</f>
        <v>52812338000</v>
      </c>
      <c r="D25" s="66"/>
      <c r="E25" s="46">
        <f>'I Trimestre'!E25+'II Trimestre'!E25+'III Trimestre'!E25</f>
        <v>1215047500</v>
      </c>
      <c r="F25" s="46">
        <f>'I Trimestre'!F25+'II Trimestre'!F25+'III Trimestre'!F25</f>
        <v>4086890700</v>
      </c>
      <c r="G25" s="46">
        <f>'I Trimestre'!G25+'II Trimestre'!G25+'III Trimestre'!G25</f>
        <v>50603664348.799988</v>
      </c>
      <c r="H25" s="46">
        <f>'I Trimestre'!H25+'II Trimestre'!H25+'III Trimestre'!H25</f>
        <v>19115401182.000004</v>
      </c>
      <c r="I25" s="46">
        <f>'I Trimestre'!I25+'II Trimestre'!I25+'III Trimestre'!I25</f>
        <v>302888996</v>
      </c>
    </row>
    <row r="26" spans="1:9" ht="15.6" x14ac:dyDescent="0.35">
      <c r="A26" s="6" t="s">
        <v>91</v>
      </c>
      <c r="B26" s="46">
        <f t="shared" si="0"/>
        <v>182706226000</v>
      </c>
      <c r="C26" s="66">
        <f>'III Trimestre'!C26</f>
        <v>79506105000</v>
      </c>
      <c r="D26" s="66"/>
      <c r="E26" s="46">
        <f>'III Trimestre'!E26</f>
        <v>1648600000</v>
      </c>
      <c r="F26" s="46">
        <f>'III Trimestre'!F26</f>
        <v>5930325000</v>
      </c>
      <c r="G26" s="46">
        <f>'III Trimestre'!G26</f>
        <v>68594700000</v>
      </c>
      <c r="H26" s="46">
        <f>'III Trimestre'!H26</f>
        <v>26378040000</v>
      </c>
      <c r="I26" s="46">
        <f>'III Trimestre'!I26</f>
        <v>648456000</v>
      </c>
    </row>
    <row r="27" spans="1:9" ht="15.6" x14ac:dyDescent="0.35">
      <c r="A27" s="6" t="s">
        <v>116</v>
      </c>
      <c r="B27" s="46">
        <f t="shared" si="0"/>
        <v>128136230726.79999</v>
      </c>
      <c r="C27" s="66">
        <f>C25</f>
        <v>52812338000</v>
      </c>
      <c r="D27" s="66"/>
      <c r="E27" s="46">
        <f t="shared" ref="E27" si="1">E25</f>
        <v>1215047500</v>
      </c>
      <c r="F27" s="46">
        <f t="shared" ref="F27:I27" si="2">F25</f>
        <v>4086890700</v>
      </c>
      <c r="G27" s="46">
        <f t="shared" si="2"/>
        <v>50603664348.799988</v>
      </c>
      <c r="H27" s="46">
        <f t="shared" si="2"/>
        <v>19115401182.000004</v>
      </c>
      <c r="I27" s="46">
        <f t="shared" si="2"/>
        <v>302888996</v>
      </c>
    </row>
    <row r="28" spans="1:9" ht="15.6" x14ac:dyDescent="0.35">
      <c r="A28" s="3"/>
      <c r="B28" s="46"/>
      <c r="C28" s="46"/>
      <c r="D28" s="46"/>
      <c r="E28" s="46"/>
      <c r="F28" s="46"/>
      <c r="G28" s="46"/>
      <c r="H28" s="46"/>
      <c r="I28" s="46"/>
    </row>
    <row r="29" spans="1:9" ht="15.6" x14ac:dyDescent="0.35">
      <c r="A29" s="7" t="s">
        <v>4</v>
      </c>
      <c r="B29" s="46"/>
      <c r="C29" s="46"/>
      <c r="D29" s="46"/>
      <c r="E29" s="46"/>
      <c r="F29" s="46"/>
      <c r="G29" s="46"/>
      <c r="H29" s="46"/>
      <c r="I29" s="46"/>
    </row>
    <row r="30" spans="1:9" ht="15.6" x14ac:dyDescent="0.35">
      <c r="A30" s="6" t="s">
        <v>114</v>
      </c>
      <c r="B30" s="46">
        <f>'I Trimestre'!B30+'II Trimestre'!B30+'III Trimestre'!B30</f>
        <v>133028896000</v>
      </c>
      <c r="C30" s="46"/>
      <c r="D30" s="46"/>
      <c r="E30" s="46"/>
      <c r="F30" s="46"/>
      <c r="G30" s="46"/>
      <c r="H30" s="46"/>
      <c r="I30" s="46"/>
    </row>
    <row r="31" spans="1:9" ht="15.6" x14ac:dyDescent="0.35">
      <c r="A31" s="6" t="s">
        <v>115</v>
      </c>
      <c r="B31" s="46">
        <f>'I Trimestre'!B31+'II Trimestre'!B31+'III Trimestre'!B31</f>
        <v>133280061997.49997</v>
      </c>
      <c r="C31" s="46"/>
      <c r="D31" s="46"/>
      <c r="E31" s="46"/>
      <c r="F31" s="46"/>
      <c r="G31" s="46"/>
      <c r="H31" s="46"/>
      <c r="I31" s="46"/>
    </row>
    <row r="32" spans="1:9" ht="15.6" x14ac:dyDescent="0.35">
      <c r="A32" s="3"/>
      <c r="B32" s="28"/>
      <c r="C32" s="28"/>
      <c r="D32" s="28"/>
      <c r="E32" s="28"/>
      <c r="F32" s="28"/>
      <c r="G32" s="28"/>
      <c r="H32" s="28"/>
      <c r="I32" s="28"/>
    </row>
    <row r="33" spans="1:9" ht="15.6" x14ac:dyDescent="0.35">
      <c r="A33" s="4" t="s">
        <v>5</v>
      </c>
      <c r="B33" s="28"/>
      <c r="C33" s="28"/>
      <c r="D33" s="28"/>
      <c r="E33" s="28"/>
      <c r="F33" s="28"/>
      <c r="G33" s="28"/>
      <c r="H33" s="28"/>
      <c r="I33" s="28"/>
    </row>
    <row r="34" spans="1:9" ht="15.6" x14ac:dyDescent="0.35">
      <c r="A34" s="6" t="s">
        <v>77</v>
      </c>
      <c r="B34" s="43">
        <v>1.0948</v>
      </c>
      <c r="C34" s="43">
        <v>1.0948</v>
      </c>
      <c r="D34" s="43">
        <v>1.0948</v>
      </c>
      <c r="E34" s="43">
        <v>1.0948</v>
      </c>
      <c r="F34" s="43">
        <v>1.0948</v>
      </c>
      <c r="G34" s="43">
        <v>1.0948</v>
      </c>
      <c r="H34" s="43">
        <v>1.0948</v>
      </c>
      <c r="I34" s="43">
        <v>1.0948</v>
      </c>
    </row>
    <row r="35" spans="1:9" ht="15.6" x14ac:dyDescent="0.35">
      <c r="A35" s="6" t="s">
        <v>117</v>
      </c>
      <c r="B35" s="43">
        <v>1.0932999999999999</v>
      </c>
      <c r="C35" s="43">
        <v>1.0932999999999999</v>
      </c>
      <c r="D35" s="43">
        <v>1.0932999999999999</v>
      </c>
      <c r="E35" s="43">
        <v>1.0932999999999999</v>
      </c>
      <c r="F35" s="43">
        <v>1.0932999999999999</v>
      </c>
      <c r="G35" s="43">
        <v>1.0932999999999999</v>
      </c>
      <c r="H35" s="43">
        <v>1.0932999999999999</v>
      </c>
      <c r="I35" s="43">
        <v>1.0932999999999999</v>
      </c>
    </row>
    <row r="36" spans="1:9" s="1" customFormat="1" ht="15.6" x14ac:dyDescent="0.35">
      <c r="A36" s="6" t="s">
        <v>6</v>
      </c>
      <c r="B36" s="41">
        <v>429884</v>
      </c>
      <c r="C36" s="61">
        <v>164022</v>
      </c>
      <c r="D36" s="61"/>
      <c r="E36" s="41">
        <v>131709</v>
      </c>
      <c r="F36" s="41">
        <v>87579</v>
      </c>
      <c r="G36" s="41" t="s">
        <v>52</v>
      </c>
      <c r="H36" s="41" t="s">
        <v>52</v>
      </c>
      <c r="I36" s="41" t="s">
        <v>52</v>
      </c>
    </row>
    <row r="37" spans="1:9" ht="15.6" x14ac:dyDescent="0.35">
      <c r="A37" s="3"/>
      <c r="B37" s="12"/>
      <c r="C37" s="12"/>
      <c r="D37" s="12"/>
      <c r="E37" s="12"/>
      <c r="F37" s="12"/>
      <c r="G37" s="12"/>
      <c r="H37" s="12"/>
      <c r="I37" s="12"/>
    </row>
    <row r="38" spans="1:9" ht="15.6" x14ac:dyDescent="0.35">
      <c r="A38" s="4" t="s">
        <v>7</v>
      </c>
      <c r="B38" s="12"/>
      <c r="C38" s="12"/>
      <c r="D38" s="12"/>
      <c r="E38" s="12"/>
      <c r="F38" s="12"/>
      <c r="G38" s="12"/>
      <c r="H38" s="12"/>
      <c r="I38" s="12"/>
    </row>
    <row r="39" spans="1:9" ht="15.6" x14ac:dyDescent="0.35">
      <c r="A39" s="3" t="s">
        <v>78</v>
      </c>
      <c r="B39" s="48">
        <f>B23/B34</f>
        <v>101914244018.9989</v>
      </c>
      <c r="C39" s="68">
        <f>C23/C34</f>
        <v>39442188527.584946</v>
      </c>
      <c r="D39" s="68"/>
      <c r="E39" s="48">
        <f>E23/E34</f>
        <v>1096713554.9872122</v>
      </c>
      <c r="F39" s="48">
        <f t="shared" ref="F39:H39" si="3">F23/F34</f>
        <v>4526969309.4629154</v>
      </c>
      <c r="G39" s="48">
        <f t="shared" si="3"/>
        <v>39210879908.659119</v>
      </c>
      <c r="H39" s="48">
        <f t="shared" si="3"/>
        <v>17637492718.304714</v>
      </c>
      <c r="I39" s="48" t="s">
        <v>47</v>
      </c>
    </row>
    <row r="40" spans="1:9" ht="15.6" x14ac:dyDescent="0.35">
      <c r="A40" s="3" t="s">
        <v>118</v>
      </c>
      <c r="B40" s="48">
        <f>B25/B35</f>
        <v>117201345217.96396</v>
      </c>
      <c r="C40" s="68">
        <f>C25/C35</f>
        <v>48305440409.768593</v>
      </c>
      <c r="D40" s="68"/>
      <c r="E40" s="48">
        <f>E25/E35</f>
        <v>1111357815.7870667</v>
      </c>
      <c r="F40" s="48">
        <f t="shared" ref="F40:H40" si="4">F25/F35</f>
        <v>3738123753.7729812</v>
      </c>
      <c r="G40" s="48">
        <f t="shared" si="4"/>
        <v>46285250479.09996</v>
      </c>
      <c r="H40" s="48">
        <f t="shared" si="4"/>
        <v>17484131694.868752</v>
      </c>
      <c r="I40" s="48">
        <f t="shared" ref="I40" si="5">I25/I35</f>
        <v>277041064.66660571</v>
      </c>
    </row>
    <row r="41" spans="1:9" ht="15.6" x14ac:dyDescent="0.35">
      <c r="A41" s="3" t="s">
        <v>79</v>
      </c>
      <c r="B41" s="48">
        <f>B39/B15</f>
        <v>402157.07590590644</v>
      </c>
      <c r="C41" s="68">
        <f>C39/D15</f>
        <v>140254.85042772847</v>
      </c>
      <c r="D41" s="68"/>
      <c r="E41" s="48">
        <f>E39/E15</f>
        <v>764793.27404965984</v>
      </c>
      <c r="F41" s="48">
        <f t="shared" ref="F41:H41" si="6">F39/F15</f>
        <v>615914.19176366192</v>
      </c>
      <c r="G41" s="48">
        <f t="shared" si="6"/>
        <v>508617.90186734358</v>
      </c>
      <c r="H41" s="48">
        <f t="shared" si="6"/>
        <v>636365.01364932582</v>
      </c>
      <c r="I41" s="48" t="s">
        <v>47</v>
      </c>
    </row>
    <row r="42" spans="1:9" ht="15.6" x14ac:dyDescent="0.35">
      <c r="A42" s="3" t="s">
        <v>119</v>
      </c>
      <c r="B42" s="48">
        <f>B40/B18</f>
        <v>502930.20086065284</v>
      </c>
      <c r="C42" s="68">
        <f>C40/D18</f>
        <v>173039.16552849306</v>
      </c>
      <c r="D42" s="68"/>
      <c r="E42" s="48">
        <f>E40/E18</f>
        <v>772849.66327334265</v>
      </c>
      <c r="F42" s="48">
        <f t="shared" ref="F42:H42" si="7">F40/F18</f>
        <v>283556.37971425179</v>
      </c>
      <c r="G42" s="48">
        <f t="shared" si="7"/>
        <v>432455.22689271095</v>
      </c>
      <c r="H42" s="48">
        <f t="shared" si="7"/>
        <v>628112.21780675207</v>
      </c>
      <c r="I42" s="48">
        <f t="shared" ref="I42" si="8">I40/I18</f>
        <v>1082191.6588539286</v>
      </c>
    </row>
    <row r="43" spans="1:9" ht="15.6" x14ac:dyDescent="0.35">
      <c r="A43" s="3"/>
      <c r="B43" s="16"/>
      <c r="C43" s="16"/>
      <c r="D43" s="16"/>
      <c r="E43" s="16"/>
      <c r="F43" s="16"/>
      <c r="G43" s="16"/>
      <c r="H43" s="16"/>
      <c r="I43" s="16"/>
    </row>
    <row r="44" spans="1:9" ht="15.6" x14ac:dyDescent="0.35">
      <c r="A44" s="4" t="s">
        <v>8</v>
      </c>
      <c r="B44" s="16"/>
      <c r="C44" s="16"/>
      <c r="D44" s="16"/>
      <c r="E44" s="16"/>
      <c r="F44" s="16"/>
      <c r="G44" s="16"/>
      <c r="H44" s="16"/>
      <c r="I44" s="16"/>
    </row>
    <row r="45" spans="1:9" ht="15.6" x14ac:dyDescent="0.35">
      <c r="A45" s="3"/>
      <c r="B45" s="16"/>
      <c r="C45" s="16"/>
      <c r="D45" s="16"/>
      <c r="E45" s="16"/>
      <c r="F45" s="16"/>
      <c r="G45" s="16"/>
      <c r="H45" s="16"/>
      <c r="I45" s="16"/>
    </row>
    <row r="46" spans="1:9" ht="15.6" x14ac:dyDescent="0.35">
      <c r="A46" s="4" t="s">
        <v>9</v>
      </c>
      <c r="B46" s="16"/>
      <c r="C46" s="16"/>
      <c r="D46" s="16"/>
      <c r="E46" s="16"/>
      <c r="F46" s="16"/>
      <c r="G46" s="16"/>
      <c r="H46" s="16"/>
      <c r="I46" s="16"/>
    </row>
    <row r="47" spans="1:9" ht="15.6" x14ac:dyDescent="0.35">
      <c r="A47" s="3" t="s">
        <v>10</v>
      </c>
      <c r="B47" s="49" t="s">
        <v>52</v>
      </c>
      <c r="C47" s="67">
        <f>D16/C36*100</f>
        <v>109.6054187852849</v>
      </c>
      <c r="D47" s="67"/>
      <c r="E47" s="47">
        <f>E16/E36*100</f>
        <v>1.0432088923308203</v>
      </c>
      <c r="F47" s="47">
        <f t="shared" ref="F47" si="9">F16/F36*100</f>
        <v>7.5234930748238726</v>
      </c>
      <c r="G47" s="49" t="s">
        <v>52</v>
      </c>
      <c r="H47" s="49" t="s">
        <v>52</v>
      </c>
      <c r="I47" s="49" t="s">
        <v>52</v>
      </c>
    </row>
    <row r="48" spans="1:9" ht="15.6" x14ac:dyDescent="0.35">
      <c r="A48" s="3" t="s">
        <v>11</v>
      </c>
      <c r="B48" s="49">
        <f>(B18/B36)*100</f>
        <v>54.209275060248807</v>
      </c>
      <c r="C48" s="69">
        <f>(D18/C36)*100</f>
        <v>170.19607125873358</v>
      </c>
      <c r="D48" s="69"/>
      <c r="E48" s="47">
        <f>E18/E36*100</f>
        <v>1.0918008640259966</v>
      </c>
      <c r="F48" s="47">
        <f t="shared" ref="F48" si="10">F18/F36*100</f>
        <v>15.052695280832163</v>
      </c>
      <c r="G48" s="49" t="s">
        <v>52</v>
      </c>
      <c r="H48" s="49" t="s">
        <v>52</v>
      </c>
      <c r="I48" s="49" t="s">
        <v>52</v>
      </c>
    </row>
    <row r="49" spans="1:9" ht="15.6" x14ac:dyDescent="0.35">
      <c r="A49" s="3"/>
      <c r="B49" s="47"/>
      <c r="C49" s="47"/>
      <c r="D49" s="47"/>
      <c r="E49" s="47"/>
      <c r="F49" s="47"/>
      <c r="G49" s="47"/>
      <c r="H49" s="47"/>
      <c r="I49" s="47"/>
    </row>
    <row r="50" spans="1:9" ht="15.6" x14ac:dyDescent="0.35">
      <c r="A50" s="4" t="s">
        <v>12</v>
      </c>
      <c r="B50" s="47"/>
      <c r="C50" s="47"/>
      <c r="D50" s="47"/>
      <c r="E50" s="47"/>
      <c r="F50" s="47"/>
      <c r="G50" s="47"/>
      <c r="H50" s="47"/>
      <c r="I50" s="47"/>
    </row>
    <row r="51" spans="1:9" ht="15.6" x14ac:dyDescent="0.35">
      <c r="A51" s="3" t="s">
        <v>13</v>
      </c>
      <c r="B51" s="49" t="s">
        <v>52</v>
      </c>
      <c r="C51" s="49" t="s">
        <v>52</v>
      </c>
      <c r="D51" s="43">
        <f>D18/D16*100</f>
        <v>155.28070887822136</v>
      </c>
      <c r="E51" s="47">
        <f>E18/E16*100</f>
        <v>104.65793304221252</v>
      </c>
      <c r="F51" s="47">
        <f t="shared" ref="F51:H51" si="11">F18/F16*100</f>
        <v>200.07588404917286</v>
      </c>
      <c r="G51" s="47">
        <f t="shared" si="11"/>
        <v>140.42667646325623</v>
      </c>
      <c r="H51" s="47">
        <f t="shared" si="11"/>
        <v>164.62239044295936</v>
      </c>
      <c r="I51" s="47">
        <f t="shared" ref="I51" si="12">I18/I16*100</f>
        <v>155.15151515151516</v>
      </c>
    </row>
    <row r="52" spans="1:9" ht="15.6" x14ac:dyDescent="0.35">
      <c r="A52" s="3" t="s">
        <v>14</v>
      </c>
      <c r="B52" s="47">
        <f>B25/B24*100</f>
        <v>96.3221033772993</v>
      </c>
      <c r="C52" s="55">
        <f>C25/C24*100</f>
        <v>94.935985311369421</v>
      </c>
      <c r="D52" s="55"/>
      <c r="E52" s="47">
        <f>E25/E24*100</f>
        <v>98.273010352636689</v>
      </c>
      <c r="F52" s="47">
        <f t="shared" ref="F52:H52" si="13">F25/F24*100</f>
        <v>91.890315509013348</v>
      </c>
      <c r="G52" s="47">
        <f t="shared" si="13"/>
        <v>98.36291898777111</v>
      </c>
      <c r="H52" s="47">
        <f t="shared" si="13"/>
        <v>96.622802816282046</v>
      </c>
      <c r="I52" s="47">
        <f t="shared" ref="I52" si="14">I25/I24*100</f>
        <v>62.310530430203094</v>
      </c>
    </row>
    <row r="53" spans="1:9" ht="15.6" x14ac:dyDescent="0.35">
      <c r="A53" s="3" t="s">
        <v>15</v>
      </c>
      <c r="B53" s="49" t="s">
        <v>52</v>
      </c>
      <c r="C53" s="49" t="s">
        <v>52</v>
      </c>
      <c r="D53" s="43">
        <f>AVERAGE(D51,C52)</f>
        <v>125.10834709479539</v>
      </c>
      <c r="E53" s="47">
        <f>AVERAGE(E51:E52)</f>
        <v>101.4654716974246</v>
      </c>
      <c r="F53" s="47">
        <f t="shared" ref="F53:H53" si="15">AVERAGE(F51:F52)</f>
        <v>145.9830997790931</v>
      </c>
      <c r="G53" s="47">
        <f t="shared" si="15"/>
        <v>119.39479772551367</v>
      </c>
      <c r="H53" s="47">
        <f t="shared" si="15"/>
        <v>130.62259662962072</v>
      </c>
      <c r="I53" s="47">
        <f t="shared" ref="I53" si="16">AVERAGE(I51:I52)</f>
        <v>108.73102279085913</v>
      </c>
    </row>
    <row r="54" spans="1:9" ht="15.6" x14ac:dyDescent="0.35">
      <c r="A54" s="3"/>
      <c r="B54" s="47"/>
      <c r="C54" s="47"/>
      <c r="D54" s="47"/>
      <c r="E54" s="47"/>
      <c r="F54" s="47"/>
      <c r="G54" s="47"/>
      <c r="H54" s="47"/>
      <c r="I54" s="47"/>
    </row>
    <row r="55" spans="1:9" ht="15.6" x14ac:dyDescent="0.35">
      <c r="A55" s="4" t="s">
        <v>16</v>
      </c>
      <c r="B55" s="47"/>
      <c r="C55" s="47"/>
      <c r="D55" s="47"/>
      <c r="E55" s="47"/>
      <c r="F55" s="47"/>
      <c r="G55" s="47"/>
      <c r="H55" s="47"/>
      <c r="I55" s="47"/>
    </row>
    <row r="56" spans="1:9" ht="15.6" x14ac:dyDescent="0.35">
      <c r="A56" s="3" t="s">
        <v>17</v>
      </c>
      <c r="B56" s="49" t="s">
        <v>52</v>
      </c>
      <c r="C56" s="67">
        <f>D18/D20*100</f>
        <v>122.76283328276098</v>
      </c>
      <c r="D56" s="67"/>
      <c r="E56" s="47">
        <f>E18/E20*100</f>
        <v>104.65793304221252</v>
      </c>
      <c r="F56" s="47">
        <f t="shared" ref="F56:I56" si="17">F18/F20*100</f>
        <v>200.04552352048557</v>
      </c>
      <c r="G56" s="47">
        <f t="shared" si="17"/>
        <v>140.42667646325623</v>
      </c>
      <c r="H56" s="47">
        <f t="shared" si="17"/>
        <v>164.62239044295936</v>
      </c>
      <c r="I56" s="47">
        <f t="shared" si="17"/>
        <v>155.15151515151516</v>
      </c>
    </row>
    <row r="57" spans="1:9" ht="15.6" x14ac:dyDescent="0.35">
      <c r="A57" s="3" t="s">
        <v>18</v>
      </c>
      <c r="B57" s="47">
        <f>B25/B26*100</f>
        <v>70.132383297545644</v>
      </c>
      <c r="C57" s="67">
        <f>C25/C26*100</f>
        <v>66.425512858415075</v>
      </c>
      <c r="D57" s="67"/>
      <c r="E57" s="47">
        <f>E25/E26*100</f>
        <v>73.701777265558661</v>
      </c>
      <c r="F57" s="47">
        <f t="shared" ref="F57:I57" si="18">F25/F26*100</f>
        <v>68.9151218525123</v>
      </c>
      <c r="G57" s="47">
        <f t="shared" si="18"/>
        <v>73.771974144941211</v>
      </c>
      <c r="H57" s="47">
        <f t="shared" si="18"/>
        <v>72.467102112211535</v>
      </c>
      <c r="I57" s="47">
        <f t="shared" si="18"/>
        <v>46.709259533414759</v>
      </c>
    </row>
    <row r="58" spans="1:9" ht="15.6" x14ac:dyDescent="0.35">
      <c r="A58" s="3" t="s">
        <v>19</v>
      </c>
      <c r="B58" s="49" t="s">
        <v>52</v>
      </c>
      <c r="C58" s="67">
        <f>+(C56+C57)/2</f>
        <v>94.594173070588027</v>
      </c>
      <c r="D58" s="67"/>
      <c r="E58" s="47">
        <f>(E56+E57)/2</f>
        <v>89.179855153885597</v>
      </c>
      <c r="F58" s="47">
        <f t="shared" ref="F58:I58" si="19">(F56+F57)/2</f>
        <v>134.48032268649894</v>
      </c>
      <c r="G58" s="47">
        <f t="shared" si="19"/>
        <v>107.09932530409873</v>
      </c>
      <c r="H58" s="47">
        <f t="shared" si="19"/>
        <v>118.54474627758545</v>
      </c>
      <c r="I58" s="47">
        <f t="shared" si="19"/>
        <v>100.93038734246495</v>
      </c>
    </row>
    <row r="59" spans="1:9" ht="15.6" x14ac:dyDescent="0.35">
      <c r="A59" s="3"/>
      <c r="B59" s="47"/>
      <c r="C59" s="47"/>
      <c r="D59" s="47"/>
      <c r="E59" s="47"/>
      <c r="F59" s="47"/>
      <c r="G59" s="47"/>
      <c r="H59" s="47"/>
      <c r="I59" s="47"/>
    </row>
    <row r="60" spans="1:9" ht="15.6" x14ac:dyDescent="0.35">
      <c r="A60" s="4" t="s">
        <v>30</v>
      </c>
      <c r="B60" s="47"/>
      <c r="C60" s="47"/>
      <c r="D60" s="47"/>
      <c r="E60" s="47"/>
      <c r="F60" s="47"/>
      <c r="G60" s="47"/>
      <c r="H60" s="47"/>
      <c r="I60" s="47"/>
    </row>
    <row r="61" spans="1:9" ht="15.6" x14ac:dyDescent="0.35">
      <c r="A61" s="3" t="s">
        <v>20</v>
      </c>
      <c r="B61" s="47">
        <f>B27/B25*100</f>
        <v>100</v>
      </c>
      <c r="C61" s="67">
        <f>C27/C25*100</f>
        <v>100</v>
      </c>
      <c r="D61" s="67"/>
      <c r="E61" s="47">
        <f>E27/E25*100</f>
        <v>100</v>
      </c>
      <c r="F61" s="47">
        <f t="shared" ref="F61:I61" si="20">F27/F25*100</f>
        <v>100</v>
      </c>
      <c r="G61" s="47">
        <f t="shared" si="20"/>
        <v>100</v>
      </c>
      <c r="H61" s="47">
        <f t="shared" si="20"/>
        <v>100</v>
      </c>
      <c r="I61" s="47">
        <f t="shared" si="20"/>
        <v>100</v>
      </c>
    </row>
    <row r="62" spans="1:9" ht="15.6" x14ac:dyDescent="0.35">
      <c r="A62" s="3"/>
      <c r="B62" s="47"/>
      <c r="C62" s="47"/>
      <c r="D62" s="47"/>
      <c r="E62" s="47"/>
      <c r="F62" s="47"/>
      <c r="G62" s="47"/>
      <c r="H62" s="47"/>
      <c r="I62" s="47"/>
    </row>
    <row r="63" spans="1:9" ht="15.6" x14ac:dyDescent="0.35">
      <c r="A63" s="4" t="s">
        <v>21</v>
      </c>
      <c r="B63" s="47"/>
      <c r="C63" s="47"/>
      <c r="D63" s="47"/>
      <c r="E63" s="47"/>
      <c r="F63" s="47"/>
      <c r="G63" s="47"/>
      <c r="H63" s="47"/>
      <c r="I63" s="47"/>
    </row>
    <row r="64" spans="1:9" ht="15.6" x14ac:dyDescent="0.35">
      <c r="A64" s="3" t="s">
        <v>22</v>
      </c>
      <c r="B64" s="47">
        <f>((B18/B15)-1)*100</f>
        <v>-8.0428065772495394</v>
      </c>
      <c r="C64" s="67">
        <f>((D18/D15)-1)*100</f>
        <v>-0.7321721938140513</v>
      </c>
      <c r="D64" s="67"/>
      <c r="E64" s="47">
        <f>((E18/E15)-1)*100</f>
        <v>0.27894002789399241</v>
      </c>
      <c r="F64" s="47">
        <f t="shared" ref="F64:H64" si="21">((F18/F15)-1)*100</f>
        <v>79.360544217687078</v>
      </c>
      <c r="G64" s="47">
        <f t="shared" si="21"/>
        <v>38.831022271801594</v>
      </c>
      <c r="H64" s="47">
        <f t="shared" si="21"/>
        <v>0.432962909510759</v>
      </c>
      <c r="I64" s="49" t="s">
        <v>52</v>
      </c>
    </row>
    <row r="65" spans="1:9" ht="15.6" x14ac:dyDescent="0.35">
      <c r="A65" s="3" t="s">
        <v>23</v>
      </c>
      <c r="B65" s="47">
        <f>((B40/B39)-1)*100</f>
        <v>14.999965261102499</v>
      </c>
      <c r="C65" s="67">
        <f>((C40/C39)-1)*100</f>
        <v>22.471501235244329</v>
      </c>
      <c r="D65" s="67"/>
      <c r="E65" s="47">
        <f>((E40/E39)-1)*100</f>
        <v>1.3352858395212719</v>
      </c>
      <c r="F65" s="47">
        <f t="shared" ref="F65:H65" si="22">((F40/F39)-1)*100</f>
        <v>-17.425467277654771</v>
      </c>
      <c r="G65" s="47">
        <f t="shared" si="22"/>
        <v>18.04185620654377</v>
      </c>
      <c r="H65" s="47">
        <f t="shared" si="22"/>
        <v>-0.86951714671326119</v>
      </c>
      <c r="I65" s="49" t="s">
        <v>52</v>
      </c>
    </row>
    <row r="66" spans="1:9" ht="15.6" x14ac:dyDescent="0.35">
      <c r="A66" s="3" t="s">
        <v>24</v>
      </c>
      <c r="B66" s="47">
        <f>((B42/B41)-1)*100</f>
        <v>25.05815040746031</v>
      </c>
      <c r="C66" s="67">
        <f>((C42/C41)-1)*100</f>
        <v>23.374817341991271</v>
      </c>
      <c r="D66" s="67"/>
      <c r="E66" s="47">
        <f>((E42/E41)-1)*100</f>
        <v>1.0534074366296942</v>
      </c>
      <c r="F66" s="47">
        <f t="shared" ref="F66:H66" si="23">((F42/F41)-1)*100</f>
        <v>-53.961707084181334</v>
      </c>
      <c r="G66" s="47">
        <f t="shared" si="23"/>
        <v>-14.974438511701694</v>
      </c>
      <c r="H66" s="47">
        <f t="shared" si="23"/>
        <v>-1.2968651113056784</v>
      </c>
      <c r="I66" s="49" t="s">
        <v>52</v>
      </c>
    </row>
    <row r="67" spans="1:9" ht="15.6" x14ac:dyDescent="0.35">
      <c r="A67" s="3"/>
      <c r="B67" s="47"/>
      <c r="C67" s="47"/>
      <c r="D67" s="47"/>
      <c r="E67" s="47"/>
      <c r="F67" s="47"/>
      <c r="G67" s="47"/>
      <c r="H67" s="47"/>
      <c r="I67" s="47"/>
    </row>
    <row r="68" spans="1:9" ht="15.6" x14ac:dyDescent="0.35">
      <c r="A68" s="4" t="s">
        <v>25</v>
      </c>
      <c r="B68" s="47"/>
      <c r="C68" s="47"/>
      <c r="D68" s="47"/>
      <c r="E68" s="47"/>
      <c r="F68" s="47"/>
      <c r="G68" s="47"/>
      <c r="H68" s="47"/>
      <c r="I68" s="47"/>
    </row>
    <row r="69" spans="1:9" ht="15.6" x14ac:dyDescent="0.35">
      <c r="A69" s="3" t="s">
        <v>37</v>
      </c>
      <c r="B69" s="47">
        <f>(B24/B17)*9</f>
        <v>478867.05706319469</v>
      </c>
      <c r="C69" s="67">
        <f>(C24/D17)*9</f>
        <v>315000</v>
      </c>
      <c r="D69" s="67"/>
      <c r="E69" s="47">
        <f>(E24/E17*9)</f>
        <v>900000</v>
      </c>
      <c r="F69" s="47">
        <f t="shared" ref="F69:H69" si="24">(F24/F17*9)</f>
        <v>675000</v>
      </c>
      <c r="G69" s="47">
        <f t="shared" si="24"/>
        <v>675000</v>
      </c>
      <c r="H69" s="47">
        <f t="shared" si="24"/>
        <v>1170000</v>
      </c>
      <c r="I69" s="47">
        <f>(I24/I17*9)</f>
        <v>2952000</v>
      </c>
    </row>
    <row r="70" spans="1:9" ht="15.6" x14ac:dyDescent="0.35">
      <c r="A70" s="3" t="s">
        <v>38</v>
      </c>
      <c r="B70" s="47">
        <f>(B25/B19)*9</f>
        <v>414503.5869424977</v>
      </c>
      <c r="C70" s="67">
        <f>(C25/D19)*9</f>
        <v>238868.73530662234</v>
      </c>
      <c r="D70" s="67"/>
      <c r="E70" s="47">
        <f>(E25/E19)*9</f>
        <v>898999.301216705</v>
      </c>
      <c r="F70" s="47">
        <f t="shared" ref="F70:H70" si="25">(F25/F19)*9</f>
        <v>694262.29331823322</v>
      </c>
      <c r="G70" s="47">
        <f t="shared" si="25"/>
        <v>876547.37543535477</v>
      </c>
      <c r="H70" s="47">
        <f t="shared" si="25"/>
        <v>833560.78607490682</v>
      </c>
      <c r="I70" s="47">
        <f>(I25/I19)*9</f>
        <v>1887812.3019390584</v>
      </c>
    </row>
    <row r="71" spans="1:9" ht="15.6" x14ac:dyDescent="0.35">
      <c r="A71" s="3" t="s">
        <v>26</v>
      </c>
      <c r="B71" s="49" t="s">
        <v>52</v>
      </c>
      <c r="C71" s="67">
        <f>(C70/C69)*D53</f>
        <v>94.871341735986405</v>
      </c>
      <c r="D71" s="67"/>
      <c r="E71" s="47">
        <f>(E70/E69)*E53</f>
        <v>101.35265350400898</v>
      </c>
      <c r="F71" s="47">
        <f t="shared" ref="F71:I71" si="26">(F70/F69)*F53</f>
        <v>150.14898020494465</v>
      </c>
      <c r="G71" s="47">
        <f t="shared" si="26"/>
        <v>155.04473568434676</v>
      </c>
      <c r="H71" s="47">
        <f t="shared" si="26"/>
        <v>93.061431047634287</v>
      </c>
      <c r="I71" s="47">
        <f t="shared" si="26"/>
        <v>69.533794860094844</v>
      </c>
    </row>
    <row r="72" spans="1:9" ht="15.6" x14ac:dyDescent="0.35">
      <c r="A72" s="3" t="s">
        <v>33</v>
      </c>
      <c r="B72" s="47">
        <f>B24/B17</f>
        <v>53207.45078479941</v>
      </c>
      <c r="C72" s="67">
        <f>C24/D17</f>
        <v>35000</v>
      </c>
      <c r="D72" s="67"/>
      <c r="E72" s="47">
        <f>E24/E17</f>
        <v>100000</v>
      </c>
      <c r="F72" s="47">
        <f t="shared" ref="F72:H72" si="27">F24/F17</f>
        <v>75000</v>
      </c>
      <c r="G72" s="47">
        <f t="shared" si="27"/>
        <v>75000</v>
      </c>
      <c r="H72" s="47">
        <f t="shared" si="27"/>
        <v>130000</v>
      </c>
      <c r="I72" s="47">
        <f>I24/I17</f>
        <v>328000</v>
      </c>
    </row>
    <row r="73" spans="1:9" ht="15.6" x14ac:dyDescent="0.35">
      <c r="A73" s="3" t="s">
        <v>34</v>
      </c>
      <c r="B73" s="47">
        <f>B25/B19</f>
        <v>46055.954104721968</v>
      </c>
      <c r="C73" s="67">
        <f>C25/D19</f>
        <v>26540.970589624703</v>
      </c>
      <c r="D73" s="67"/>
      <c r="E73" s="47">
        <f>E25/E19</f>
        <v>99888.811246300553</v>
      </c>
      <c r="F73" s="47">
        <f t="shared" ref="F73:H73" si="28">F25/F19</f>
        <v>77140.254813137028</v>
      </c>
      <c r="G73" s="47">
        <f t="shared" si="28"/>
        <v>97394.15282615053</v>
      </c>
      <c r="H73" s="47">
        <f t="shared" si="28"/>
        <v>92617.865119434093</v>
      </c>
      <c r="I73" s="47">
        <f>I25/I19</f>
        <v>209756.92243767314</v>
      </c>
    </row>
    <row r="74" spans="1:9" ht="15.6" x14ac:dyDescent="0.35">
      <c r="A74" s="3"/>
      <c r="B74" s="47"/>
      <c r="C74" s="47"/>
      <c r="D74" s="47"/>
      <c r="E74" s="47"/>
      <c r="F74" s="47"/>
      <c r="G74" s="47"/>
      <c r="H74" s="47"/>
      <c r="I74" s="47"/>
    </row>
    <row r="75" spans="1:9" ht="15.6" x14ac:dyDescent="0.35">
      <c r="A75" s="4" t="s">
        <v>27</v>
      </c>
      <c r="B75" s="47"/>
      <c r="C75" s="47"/>
      <c r="D75" s="47"/>
      <c r="E75" s="47"/>
      <c r="F75" s="47"/>
      <c r="G75" s="47"/>
      <c r="H75" s="47"/>
      <c r="I75" s="47"/>
    </row>
    <row r="76" spans="1:9" ht="15.6" x14ac:dyDescent="0.35">
      <c r="A76" s="3" t="s">
        <v>28</v>
      </c>
      <c r="B76" s="47">
        <f>(B31/B30)*100</f>
        <v>100.18880559416201</v>
      </c>
      <c r="C76" s="47"/>
      <c r="D76" s="47"/>
      <c r="E76" s="47"/>
      <c r="F76" s="47"/>
      <c r="G76" s="47"/>
      <c r="H76" s="47"/>
      <c r="I76" s="47"/>
    </row>
    <row r="77" spans="1:9" ht="15.6" x14ac:dyDescent="0.35">
      <c r="A77" s="3" t="s">
        <v>29</v>
      </c>
      <c r="B77" s="47">
        <f>(B25/B31)*100</f>
        <v>96.140584575360961</v>
      </c>
      <c r="C77" s="47"/>
      <c r="D77" s="47"/>
      <c r="E77" s="47"/>
      <c r="F77" s="47"/>
      <c r="G77" s="47"/>
      <c r="H77" s="47"/>
      <c r="I77" s="47"/>
    </row>
    <row r="78" spans="1:9" ht="16.2" thickBot="1" x14ac:dyDescent="0.4">
      <c r="A78" s="13"/>
      <c r="B78" s="30"/>
      <c r="C78" s="30"/>
      <c r="D78" s="30"/>
      <c r="E78" s="30"/>
      <c r="F78" s="30"/>
      <c r="G78" s="30"/>
      <c r="H78" s="30"/>
      <c r="I78" s="30"/>
    </row>
    <row r="79" spans="1:9" s="1" customFormat="1" ht="17.25" customHeight="1" thickTop="1" x14ac:dyDescent="0.3">
      <c r="A79" s="52" t="s">
        <v>94</v>
      </c>
      <c r="B79" s="52"/>
      <c r="C79" s="52"/>
      <c r="D79" s="52"/>
      <c r="E79" s="52"/>
      <c r="F79" s="52"/>
      <c r="G79" s="52"/>
      <c r="H79" s="52"/>
      <c r="I79" s="52"/>
    </row>
    <row r="80" spans="1:9" x14ac:dyDescent="0.3">
      <c r="A80" s="32"/>
    </row>
    <row r="81" spans="1:1" x14ac:dyDescent="0.3">
      <c r="A81" s="32"/>
    </row>
    <row r="82" spans="1:1" x14ac:dyDescent="0.3">
      <c r="A82" s="1"/>
    </row>
    <row r="83" spans="1:1" x14ac:dyDescent="0.3">
      <c r="A83" s="1"/>
    </row>
    <row r="84" spans="1:1" x14ac:dyDescent="0.3">
      <c r="A84" s="1"/>
    </row>
    <row r="85" spans="1:1" x14ac:dyDescent="0.3">
      <c r="A85" s="31"/>
    </row>
    <row r="97" s="34" customFormat="1" x14ac:dyDescent="0.3"/>
    <row r="98" s="34" customFormat="1" x14ac:dyDescent="0.3"/>
    <row r="99" s="34" customFormat="1" x14ac:dyDescent="0.3"/>
    <row r="100" s="34" customFormat="1" x14ac:dyDescent="0.3"/>
    <row r="101" s="34" customFormat="1" x14ac:dyDescent="0.3"/>
    <row r="102" s="34" customFormat="1" x14ac:dyDescent="0.3"/>
    <row r="103" s="34" customFormat="1" x14ac:dyDescent="0.3"/>
    <row r="104" s="34" customFormat="1" x14ac:dyDescent="0.3"/>
    <row r="105" s="34" customFormat="1" x14ac:dyDescent="0.3"/>
  </sheetData>
  <mergeCells count="30">
    <mergeCell ref="A9:A10"/>
    <mergeCell ref="C9:I9"/>
    <mergeCell ref="A79:I79"/>
    <mergeCell ref="C42:D42"/>
    <mergeCell ref="C36:D36"/>
    <mergeCell ref="C25:D25"/>
    <mergeCell ref="C73:D73"/>
    <mergeCell ref="C47:D47"/>
    <mergeCell ref="C48:D48"/>
    <mergeCell ref="C52:D52"/>
    <mergeCell ref="C65:D65"/>
    <mergeCell ref="C66:D66"/>
    <mergeCell ref="C69:D69"/>
    <mergeCell ref="C70:D70"/>
    <mergeCell ref="C71:D71"/>
    <mergeCell ref="C72:D72"/>
    <mergeCell ref="C26:D26"/>
    <mergeCell ref="B9:B10"/>
    <mergeCell ref="C23:D23"/>
    <mergeCell ref="C24:D24"/>
    <mergeCell ref="C64:D64"/>
    <mergeCell ref="C56:D56"/>
    <mergeCell ref="C57:D57"/>
    <mergeCell ref="C58:D58"/>
    <mergeCell ref="C61:D61"/>
    <mergeCell ref="C39:D39"/>
    <mergeCell ref="C40:D40"/>
    <mergeCell ref="C41:D41"/>
    <mergeCell ref="C27:D27"/>
    <mergeCell ref="C10:D10"/>
  </mergeCells>
  <pageMargins left="0.7" right="0.7" top="0.75" bottom="0.75" header="0.3" footer="0.3"/>
  <pageSetup orientation="portrait" horizontalDpi="4294967292" verticalDpi="4294967292"/>
  <ignoredErrors>
    <ignoredError sqref="C23:D25" formulaRange="1"/>
  </ignoredErrors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81"/>
  <sheetViews>
    <sheetView showGridLines="0" zoomScale="80" zoomScaleNormal="80" zoomScalePageLayoutView="90" workbookViewId="0">
      <pane ySplit="10" topLeftCell="A11" activePane="bottomLeft" state="frozen"/>
      <selection pane="bottomLeft" activeCell="A9" sqref="A9:A10"/>
    </sheetView>
  </sheetViews>
  <sheetFormatPr baseColWidth="10" defaultColWidth="11.44140625" defaultRowHeight="14.4" x14ac:dyDescent="0.3"/>
  <cols>
    <col min="1" max="1" width="63.44140625" style="34" customWidth="1"/>
    <col min="2" max="9" width="18.6640625" style="34" customWidth="1"/>
    <col min="10" max="16384" width="11.44140625" style="34"/>
  </cols>
  <sheetData>
    <row r="1" spans="1:9" s="1" customFormat="1" x14ac:dyDescent="0.3"/>
    <row r="2" spans="1:9" s="1" customFormat="1" x14ac:dyDescent="0.3"/>
    <row r="3" spans="1:9" s="1" customFormat="1" x14ac:dyDescent="0.3"/>
    <row r="4" spans="1:9" s="1" customFormat="1" x14ac:dyDescent="0.3"/>
    <row r="5" spans="1:9" s="1" customFormat="1" x14ac:dyDescent="0.3"/>
    <row r="6" spans="1:9" s="1" customFormat="1" x14ac:dyDescent="0.3"/>
    <row r="7" spans="1:9" s="1" customFormat="1" x14ac:dyDescent="0.3"/>
    <row r="8" spans="1:9" s="1" customFormat="1" ht="18" customHeight="1" x14ac:dyDescent="0.3"/>
    <row r="9" spans="1:9" s="1" customFormat="1" ht="15.6" x14ac:dyDescent="0.3">
      <c r="A9" s="56" t="s">
        <v>0</v>
      </c>
      <c r="B9" s="58" t="s">
        <v>54</v>
      </c>
      <c r="C9" s="63" t="s">
        <v>55</v>
      </c>
      <c r="D9" s="63"/>
      <c r="E9" s="63"/>
      <c r="F9" s="63"/>
      <c r="G9" s="63"/>
      <c r="H9" s="63"/>
      <c r="I9" s="63"/>
    </row>
    <row r="10" spans="1:9" s="1" customFormat="1" ht="51.75" customHeight="1" thickBot="1" x14ac:dyDescent="0.35">
      <c r="A10" s="57"/>
      <c r="B10" s="59"/>
      <c r="C10" s="57" t="s">
        <v>1</v>
      </c>
      <c r="D10" s="57"/>
      <c r="E10" s="39" t="s">
        <v>44</v>
      </c>
      <c r="F10" s="39" t="s">
        <v>45</v>
      </c>
      <c r="G10" s="39" t="s">
        <v>50</v>
      </c>
      <c r="H10" s="39" t="s">
        <v>56</v>
      </c>
      <c r="I10" s="39" t="s">
        <v>88</v>
      </c>
    </row>
    <row r="11" spans="1:9" s="1" customFormat="1" ht="16.2" thickTop="1" x14ac:dyDescent="0.35">
      <c r="A11" s="3"/>
      <c r="B11" s="3"/>
      <c r="C11" s="3"/>
      <c r="D11" s="3"/>
      <c r="E11" s="3"/>
      <c r="F11" s="3"/>
      <c r="G11" s="3"/>
      <c r="H11" s="3"/>
      <c r="I11" s="3"/>
    </row>
    <row r="12" spans="1:9" s="1" customFormat="1" ht="15.6" x14ac:dyDescent="0.35">
      <c r="A12" s="4" t="s">
        <v>2</v>
      </c>
      <c r="B12" s="3"/>
      <c r="C12" s="3"/>
      <c r="D12" s="3"/>
      <c r="E12" s="3"/>
      <c r="F12" s="3"/>
      <c r="G12" s="3"/>
      <c r="H12" s="3"/>
      <c r="I12" s="3"/>
    </row>
    <row r="13" spans="1:9" s="1" customFormat="1" ht="15.6" x14ac:dyDescent="0.35">
      <c r="A13" s="3"/>
      <c r="B13" s="3"/>
      <c r="C13" s="3"/>
      <c r="D13" s="3"/>
      <c r="E13" s="3"/>
      <c r="F13" s="3"/>
      <c r="G13" s="3"/>
      <c r="H13" s="3"/>
      <c r="I13" s="3"/>
    </row>
    <row r="14" spans="1:9" s="25" customFormat="1" ht="31.2" x14ac:dyDescent="0.3">
      <c r="A14" s="24" t="s">
        <v>41</v>
      </c>
      <c r="B14" s="33" t="s">
        <v>53</v>
      </c>
      <c r="C14" s="33" t="s">
        <v>42</v>
      </c>
      <c r="D14" s="33" t="s">
        <v>43</v>
      </c>
      <c r="E14" s="5" t="s">
        <v>42</v>
      </c>
      <c r="F14" s="5" t="s">
        <v>42</v>
      </c>
      <c r="G14" s="23" t="s">
        <v>57</v>
      </c>
      <c r="H14" s="5" t="s">
        <v>49</v>
      </c>
      <c r="I14" s="5" t="s">
        <v>42</v>
      </c>
    </row>
    <row r="15" spans="1:9" ht="15.6" x14ac:dyDescent="0.35">
      <c r="A15" s="6" t="s">
        <v>80</v>
      </c>
      <c r="B15" s="46">
        <v>269992</v>
      </c>
      <c r="C15" s="46">
        <v>123953</v>
      </c>
      <c r="D15" s="46">
        <v>173005</v>
      </c>
      <c r="E15" s="46">
        <v>1384</v>
      </c>
      <c r="F15" s="46">
        <v>8184</v>
      </c>
      <c r="G15" s="46">
        <v>119876</v>
      </c>
      <c r="H15" s="46">
        <v>25760</v>
      </c>
      <c r="I15" s="46" t="s">
        <v>47</v>
      </c>
    </row>
    <row r="16" spans="1:9" ht="15.6" x14ac:dyDescent="0.35">
      <c r="A16" s="6" t="s">
        <v>120</v>
      </c>
      <c r="B16" s="46" t="s">
        <v>48</v>
      </c>
      <c r="C16" s="40" t="s">
        <v>48</v>
      </c>
      <c r="D16" s="46">
        <v>227397</v>
      </c>
      <c r="E16" s="46">
        <v>1374</v>
      </c>
      <c r="F16" s="46">
        <v>6590</v>
      </c>
      <c r="G16" s="46">
        <v>157259</v>
      </c>
      <c r="H16" s="46">
        <v>20436</v>
      </c>
      <c r="I16" s="46">
        <v>165</v>
      </c>
    </row>
    <row r="17" spans="1:9" ht="15.6" x14ac:dyDescent="0.35">
      <c r="A17" s="6" t="s">
        <v>51</v>
      </c>
      <c r="B17" s="46">
        <f>+SUM(D17+E17+F17+G17+H17+I17+D1)</f>
        <v>1192996</v>
      </c>
      <c r="C17" s="40" t="s">
        <v>48</v>
      </c>
      <c r="D17" s="46">
        <v>682191</v>
      </c>
      <c r="E17" s="46">
        <v>4122</v>
      </c>
      <c r="F17" s="46">
        <v>19770</v>
      </c>
      <c r="G17" s="46">
        <v>425110</v>
      </c>
      <c r="H17" s="46">
        <v>61308</v>
      </c>
      <c r="I17" s="46">
        <v>495</v>
      </c>
    </row>
    <row r="18" spans="1:9" s="35" customFormat="1" ht="15.6" x14ac:dyDescent="0.35">
      <c r="A18" s="6" t="s">
        <v>121</v>
      </c>
      <c r="B18" s="46">
        <v>369483</v>
      </c>
      <c r="C18" s="46">
        <v>191572</v>
      </c>
      <c r="D18" s="46">
        <v>305943</v>
      </c>
      <c r="E18" s="46">
        <v>1464</v>
      </c>
      <c r="F18" s="46">
        <v>8003</v>
      </c>
      <c r="G18" s="46">
        <v>176577</v>
      </c>
      <c r="H18" s="46">
        <v>26267</v>
      </c>
      <c r="I18" s="46">
        <v>276</v>
      </c>
    </row>
    <row r="19" spans="1:9" s="35" customFormat="1" ht="15.6" x14ac:dyDescent="0.35">
      <c r="A19" s="6" t="s">
        <v>51</v>
      </c>
      <c r="B19" s="46">
        <f>+SUM(D19+E19+F19+G19+H19+I19)</f>
        <v>786513</v>
      </c>
      <c r="C19" s="40" t="s">
        <v>48</v>
      </c>
      <c r="D19" s="46">
        <v>589728</v>
      </c>
      <c r="E19" s="46">
        <v>2709</v>
      </c>
      <c r="F19" s="46">
        <v>14782</v>
      </c>
      <c r="G19" s="46">
        <v>130819</v>
      </c>
      <c r="H19" s="46">
        <v>47988</v>
      </c>
      <c r="I19" s="46">
        <v>487</v>
      </c>
    </row>
    <row r="20" spans="1:9" ht="15.6" x14ac:dyDescent="0.35">
      <c r="A20" s="6" t="s">
        <v>91</v>
      </c>
      <c r="B20" s="46" t="s">
        <v>48</v>
      </c>
      <c r="C20" s="40" t="s">
        <v>48</v>
      </c>
      <c r="D20" s="46">
        <v>227397</v>
      </c>
      <c r="E20" s="46">
        <v>1374</v>
      </c>
      <c r="F20" s="46">
        <v>6590</v>
      </c>
      <c r="G20" s="46">
        <v>157259</v>
      </c>
      <c r="H20" s="46">
        <v>20436</v>
      </c>
      <c r="I20" s="46">
        <v>165</v>
      </c>
    </row>
    <row r="21" spans="1:9" ht="15.6" x14ac:dyDescent="0.35">
      <c r="A21" s="3"/>
      <c r="B21" s="46"/>
      <c r="C21" s="46"/>
      <c r="D21" s="46"/>
      <c r="E21" s="46"/>
      <c r="F21" s="46"/>
      <c r="G21" s="46"/>
      <c r="H21" s="46"/>
      <c r="I21" s="46"/>
    </row>
    <row r="22" spans="1:9" ht="15.6" x14ac:dyDescent="0.35">
      <c r="A22" s="7" t="s">
        <v>3</v>
      </c>
      <c r="B22" s="46"/>
      <c r="C22" s="46"/>
      <c r="D22" s="46"/>
      <c r="E22" s="46"/>
      <c r="F22" s="46"/>
      <c r="G22" s="46"/>
      <c r="H22" s="46"/>
      <c r="I22" s="46"/>
    </row>
    <row r="23" spans="1:9" ht="15.6" x14ac:dyDescent="0.35">
      <c r="A23" s="6" t="s">
        <v>80</v>
      </c>
      <c r="B23" s="46">
        <f>+C23+E23+F23+G23+H23</f>
        <v>51708418622</v>
      </c>
      <c r="C23" s="66">
        <v>18447879000</v>
      </c>
      <c r="D23" s="66"/>
      <c r="E23" s="46">
        <v>423821000</v>
      </c>
      <c r="F23" s="46">
        <v>1832187860</v>
      </c>
      <c r="G23" s="46">
        <v>23938303117</v>
      </c>
      <c r="H23" s="46">
        <v>7066227645</v>
      </c>
      <c r="I23" s="46" t="s">
        <v>47</v>
      </c>
    </row>
    <row r="24" spans="1:9" ht="15.6" x14ac:dyDescent="0.35">
      <c r="A24" s="6" t="s">
        <v>120</v>
      </c>
      <c r="B24" s="46">
        <f>+C24+E24+F24+G24+H24+I24</f>
        <v>65787285000</v>
      </c>
      <c r="C24" s="66">
        <v>23876685000</v>
      </c>
      <c r="D24" s="66"/>
      <c r="E24" s="46">
        <v>412200000</v>
      </c>
      <c r="F24" s="46">
        <v>1482750000</v>
      </c>
      <c r="G24" s="46">
        <v>31883250000</v>
      </c>
      <c r="H24" s="46">
        <v>7970040000</v>
      </c>
      <c r="I24" s="46">
        <v>162360000</v>
      </c>
    </row>
    <row r="25" spans="1:9" ht="15.6" x14ac:dyDescent="0.35">
      <c r="A25" s="6" t="s">
        <v>121</v>
      </c>
      <c r="B25" s="46">
        <f>+C25+E25+F25+G25+H25+I25</f>
        <v>61808813702.620003</v>
      </c>
      <c r="C25" s="66">
        <v>19297729120</v>
      </c>
      <c r="D25" s="66"/>
      <c r="E25" s="46">
        <v>419378500</v>
      </c>
      <c r="F25" s="46">
        <v>1819889276</v>
      </c>
      <c r="G25" s="46">
        <v>31623939162.620007</v>
      </c>
      <c r="H25" s="46">
        <v>8490076648.9999924</v>
      </c>
      <c r="I25" s="46">
        <v>157800995.00000006</v>
      </c>
    </row>
    <row r="26" spans="1:9" ht="15.6" x14ac:dyDescent="0.35">
      <c r="A26" s="6" t="s">
        <v>91</v>
      </c>
      <c r="B26" s="46">
        <f>+C26+E26+F26+G26+H26+I26</f>
        <v>198816181000</v>
      </c>
      <c r="C26" s="60">
        <v>79506105000</v>
      </c>
      <c r="D26" s="60"/>
      <c r="E26" s="46">
        <v>1648600000</v>
      </c>
      <c r="F26" s="46">
        <v>5930325000</v>
      </c>
      <c r="G26" s="46">
        <v>83329125000</v>
      </c>
      <c r="H26" s="46">
        <v>27753570000</v>
      </c>
      <c r="I26" s="46">
        <v>648456000</v>
      </c>
    </row>
    <row r="27" spans="1:9" ht="15.6" x14ac:dyDescent="0.35">
      <c r="A27" s="6" t="s">
        <v>122</v>
      </c>
      <c r="B27" s="46">
        <f t="shared" ref="B27" si="0">+C27+E27+F27+G27+H27+I27</f>
        <v>61808813702.620003</v>
      </c>
      <c r="C27" s="66">
        <f>C25</f>
        <v>19297729120</v>
      </c>
      <c r="D27" s="66"/>
      <c r="E27" s="46">
        <f>E25</f>
        <v>419378500</v>
      </c>
      <c r="F27" s="46">
        <f t="shared" ref="F27:I27" si="1">F25</f>
        <v>1819889276</v>
      </c>
      <c r="G27" s="46">
        <f t="shared" si="1"/>
        <v>31623939162.620007</v>
      </c>
      <c r="H27" s="46">
        <f t="shared" si="1"/>
        <v>8490076648.9999924</v>
      </c>
      <c r="I27" s="46">
        <f t="shared" si="1"/>
        <v>157800995.00000006</v>
      </c>
    </row>
    <row r="28" spans="1:9" ht="15.6" x14ac:dyDescent="0.35">
      <c r="A28" s="3"/>
      <c r="B28" s="46"/>
      <c r="C28" s="46"/>
      <c r="D28" s="46"/>
      <c r="E28" s="46"/>
      <c r="F28" s="46"/>
      <c r="G28" s="46"/>
      <c r="H28" s="46"/>
      <c r="I28" s="46"/>
    </row>
    <row r="29" spans="1:9" ht="15.6" x14ac:dyDescent="0.35">
      <c r="A29" s="7" t="s">
        <v>4</v>
      </c>
      <c r="B29" s="46"/>
      <c r="C29" s="46"/>
      <c r="D29" s="46"/>
      <c r="E29" s="46"/>
      <c r="F29" s="46"/>
      <c r="G29" s="46"/>
      <c r="H29" s="46"/>
      <c r="I29" s="46"/>
    </row>
    <row r="30" spans="1:9" ht="17.25" customHeight="1" x14ac:dyDescent="0.35">
      <c r="A30" s="6" t="s">
        <v>120</v>
      </c>
      <c r="B30" s="46">
        <f>B24</f>
        <v>65787285000</v>
      </c>
      <c r="C30" s="46"/>
      <c r="D30" s="46"/>
      <c r="E30" s="46"/>
      <c r="F30" s="46"/>
      <c r="G30" s="46"/>
      <c r="H30" s="46"/>
      <c r="I30" s="46"/>
    </row>
    <row r="31" spans="1:9" ht="15.75" customHeight="1" x14ac:dyDescent="0.35">
      <c r="A31" s="6" t="s">
        <v>121</v>
      </c>
      <c r="B31" s="46">
        <v>63536749627.000023</v>
      </c>
      <c r="C31" s="40"/>
      <c r="D31" s="46"/>
      <c r="E31" s="46"/>
      <c r="F31" s="46"/>
      <c r="G31" s="46"/>
      <c r="H31" s="46"/>
      <c r="I31" s="46"/>
    </row>
    <row r="32" spans="1:9" ht="15.6" x14ac:dyDescent="0.35">
      <c r="A32" s="3"/>
      <c r="B32" s="28"/>
      <c r="C32" s="28"/>
      <c r="D32" s="28"/>
      <c r="E32" s="28"/>
      <c r="F32" s="28"/>
      <c r="G32" s="28"/>
      <c r="H32" s="28"/>
      <c r="I32" s="28"/>
    </row>
    <row r="33" spans="1:9" ht="15.6" x14ac:dyDescent="0.35">
      <c r="A33" s="4" t="s">
        <v>5</v>
      </c>
      <c r="B33" s="28"/>
      <c r="C33" s="28"/>
      <c r="D33" s="28"/>
      <c r="E33" s="28"/>
      <c r="F33" s="28"/>
      <c r="G33" s="28"/>
      <c r="H33" s="28"/>
      <c r="I33" s="28"/>
    </row>
    <row r="34" spans="1:9" ht="15.6" x14ac:dyDescent="0.35">
      <c r="A34" s="6" t="s">
        <v>81</v>
      </c>
      <c r="B34" s="20">
        <v>1.0947</v>
      </c>
      <c r="C34" s="20">
        <v>1.0947</v>
      </c>
      <c r="D34" s="20">
        <v>1.0947</v>
      </c>
      <c r="E34" s="20">
        <v>1.0947</v>
      </c>
      <c r="F34" s="20">
        <v>1.0947</v>
      </c>
      <c r="G34" s="20">
        <v>1.0947</v>
      </c>
      <c r="H34" s="20">
        <v>1.0947</v>
      </c>
      <c r="I34" s="20">
        <v>1.0947</v>
      </c>
    </row>
    <row r="35" spans="1:9" ht="15.6" x14ac:dyDescent="0.35">
      <c r="A35" s="6" t="s">
        <v>123</v>
      </c>
      <c r="B35" s="20">
        <v>1.1039000000000001</v>
      </c>
      <c r="C35" s="20">
        <v>1.1039000000000001</v>
      </c>
      <c r="D35" s="20">
        <v>1.1039000000000001</v>
      </c>
      <c r="E35" s="20">
        <v>1.1039000000000001</v>
      </c>
      <c r="F35" s="20">
        <v>1.1039000000000001</v>
      </c>
      <c r="G35" s="20">
        <v>1.1039000000000001</v>
      </c>
      <c r="H35" s="20">
        <v>1.1039000000000001</v>
      </c>
      <c r="I35" s="20">
        <v>1.1039000000000001</v>
      </c>
    </row>
    <row r="36" spans="1:9" s="1" customFormat="1" ht="15.6" x14ac:dyDescent="0.35">
      <c r="A36" s="6" t="s">
        <v>6</v>
      </c>
      <c r="B36" s="41">
        <v>429884</v>
      </c>
      <c r="C36" s="61">
        <v>164022</v>
      </c>
      <c r="D36" s="61"/>
      <c r="E36" s="41">
        <v>131709</v>
      </c>
      <c r="F36" s="41">
        <v>87579</v>
      </c>
      <c r="G36" s="41" t="s">
        <v>52</v>
      </c>
      <c r="H36" s="41" t="s">
        <v>52</v>
      </c>
      <c r="I36" s="41" t="s">
        <v>52</v>
      </c>
    </row>
    <row r="37" spans="1:9" ht="15.6" x14ac:dyDescent="0.35">
      <c r="A37" s="3"/>
      <c r="B37" s="12"/>
      <c r="C37" s="12"/>
      <c r="D37" s="12"/>
      <c r="E37" s="12"/>
      <c r="F37" s="12"/>
      <c r="G37" s="12"/>
      <c r="H37" s="12"/>
      <c r="I37" s="12"/>
    </row>
    <row r="38" spans="1:9" ht="15.6" x14ac:dyDescent="0.35">
      <c r="A38" s="4" t="s">
        <v>7</v>
      </c>
      <c r="B38" s="12"/>
      <c r="C38" s="12"/>
      <c r="D38" s="12"/>
      <c r="E38" s="12"/>
      <c r="F38" s="12"/>
      <c r="G38" s="12"/>
      <c r="H38" s="12"/>
      <c r="I38" s="12"/>
    </row>
    <row r="39" spans="1:9" ht="15.6" x14ac:dyDescent="0.35">
      <c r="A39" s="3" t="s">
        <v>82</v>
      </c>
      <c r="B39" s="48">
        <f>B23/B34</f>
        <v>47235241273.408241</v>
      </c>
      <c r="C39" s="68">
        <f>C23/C34</f>
        <v>16851995067.141682</v>
      </c>
      <c r="D39" s="68"/>
      <c r="E39" s="48">
        <f>E23/E34</f>
        <v>387157212.0215584</v>
      </c>
      <c r="F39" s="48">
        <f t="shared" ref="F39:H39" si="2">F23/F34</f>
        <v>1673689467.4340003</v>
      </c>
      <c r="G39" s="48">
        <f t="shared" si="2"/>
        <v>21867455117.383759</v>
      </c>
      <c r="H39" s="48">
        <f t="shared" si="2"/>
        <v>6454944409.4272404</v>
      </c>
      <c r="I39" s="48" t="s">
        <v>47</v>
      </c>
    </row>
    <row r="40" spans="1:9" ht="15.6" x14ac:dyDescent="0.35">
      <c r="A40" s="3" t="s">
        <v>124</v>
      </c>
      <c r="B40" s="48">
        <f>B25/B35</f>
        <v>55991315973.022919</v>
      </c>
      <c r="C40" s="68">
        <f>C25/C35</f>
        <v>17481410562.550953</v>
      </c>
      <c r="D40" s="68"/>
      <c r="E40" s="48">
        <f>E25/E35</f>
        <v>379906241.50738287</v>
      </c>
      <c r="F40" s="48">
        <f t="shared" ref="F40:I40" si="3">F25/F35</f>
        <v>1648599760.8479028</v>
      </c>
      <c r="G40" s="48">
        <f t="shared" si="3"/>
        <v>28647467309.194675</v>
      </c>
      <c r="H40" s="48">
        <f t="shared" si="3"/>
        <v>7690983466.7995214</v>
      </c>
      <c r="I40" s="48">
        <f t="shared" si="3"/>
        <v>142948632.12247491</v>
      </c>
    </row>
    <row r="41" spans="1:9" ht="15.6" x14ac:dyDescent="0.35">
      <c r="A41" s="3" t="s">
        <v>83</v>
      </c>
      <c r="B41" s="48">
        <f>B39/B15</f>
        <v>174950.52176882367</v>
      </c>
      <c r="C41" s="68">
        <f>C39/D15</f>
        <v>97407.560863221763</v>
      </c>
      <c r="D41" s="68"/>
      <c r="E41" s="48">
        <f>E39/E15</f>
        <v>279737.86995777342</v>
      </c>
      <c r="F41" s="48">
        <f t="shared" ref="F41:H41" si="4">F39/F15</f>
        <v>204507.51068352888</v>
      </c>
      <c r="G41" s="48">
        <f t="shared" si="4"/>
        <v>182417.29051172678</v>
      </c>
      <c r="H41" s="48">
        <f t="shared" si="4"/>
        <v>250580.14011751709</v>
      </c>
      <c r="I41" s="48" t="s">
        <v>47</v>
      </c>
    </row>
    <row r="42" spans="1:9" ht="15.6" x14ac:dyDescent="0.35">
      <c r="A42" s="3" t="s">
        <v>125</v>
      </c>
      <c r="B42" s="48">
        <f>B40/B18</f>
        <v>151539.62691929782</v>
      </c>
      <c r="C42" s="68">
        <f>C40/D18</f>
        <v>57139.436308563862</v>
      </c>
      <c r="D42" s="68"/>
      <c r="E42" s="48">
        <f>E40/E18</f>
        <v>259498.79884384075</v>
      </c>
      <c r="F42" s="48">
        <f t="shared" ref="F42:I42" si="5">F40/F18</f>
        <v>205997.7209606276</v>
      </c>
      <c r="G42" s="48">
        <f t="shared" si="5"/>
        <v>162237.81868077198</v>
      </c>
      <c r="H42" s="48">
        <f t="shared" si="5"/>
        <v>292800.2233524773</v>
      </c>
      <c r="I42" s="48">
        <f t="shared" si="5"/>
        <v>517929.8265307062</v>
      </c>
    </row>
    <row r="43" spans="1:9" ht="15.6" x14ac:dyDescent="0.35">
      <c r="A43" s="3"/>
      <c r="B43" s="16"/>
      <c r="C43" s="16"/>
      <c r="D43" s="16"/>
      <c r="E43" s="16"/>
      <c r="F43" s="16"/>
      <c r="G43" s="16"/>
      <c r="H43" s="16"/>
      <c r="I43" s="16"/>
    </row>
    <row r="44" spans="1:9" ht="15.6" x14ac:dyDescent="0.35">
      <c r="A44" s="4" t="s">
        <v>8</v>
      </c>
      <c r="B44" s="16"/>
      <c r="C44" s="16"/>
      <c r="D44" s="16"/>
      <c r="E44" s="16"/>
      <c r="F44" s="16"/>
      <c r="G44" s="16"/>
      <c r="H44" s="16"/>
      <c r="I44" s="16"/>
    </row>
    <row r="45" spans="1:9" ht="15.6" x14ac:dyDescent="0.35">
      <c r="A45" s="3"/>
      <c r="B45" s="16"/>
      <c r="C45" s="16"/>
      <c r="D45" s="16"/>
      <c r="E45" s="16"/>
      <c r="F45" s="16"/>
      <c r="G45" s="16"/>
      <c r="H45" s="16"/>
      <c r="I45" s="16"/>
    </row>
    <row r="46" spans="1:9" ht="15.6" x14ac:dyDescent="0.35">
      <c r="A46" s="4" t="s">
        <v>9</v>
      </c>
      <c r="B46" s="16"/>
      <c r="C46" s="16"/>
      <c r="D46" s="16"/>
      <c r="E46" s="16"/>
      <c r="F46" s="16"/>
      <c r="G46" s="16"/>
      <c r="H46" s="16"/>
      <c r="I46" s="16"/>
    </row>
    <row r="47" spans="1:9" ht="15.6" x14ac:dyDescent="0.35">
      <c r="A47" s="3" t="s">
        <v>10</v>
      </c>
      <c r="B47" s="49" t="s">
        <v>52</v>
      </c>
      <c r="C47" s="67">
        <f>(D16/C36)*100</f>
        <v>138.63810952189343</v>
      </c>
      <c r="D47" s="67"/>
      <c r="E47" s="47">
        <f>(E16/E36)*100</f>
        <v>1.0432088923308203</v>
      </c>
      <c r="F47" s="47">
        <f t="shared" ref="F47" si="6">(F16/F36)*100</f>
        <v>7.5246349010607556</v>
      </c>
      <c r="G47" s="41" t="s">
        <v>52</v>
      </c>
      <c r="H47" s="41" t="s">
        <v>52</v>
      </c>
      <c r="I47" s="41" t="s">
        <v>52</v>
      </c>
    </row>
    <row r="48" spans="1:9" ht="15.6" x14ac:dyDescent="0.35">
      <c r="A48" s="3" t="s">
        <v>11</v>
      </c>
      <c r="B48" s="49">
        <f>(B18/B36)*100</f>
        <v>85.949465437187712</v>
      </c>
      <c r="C48" s="67">
        <f>(D18/C36)*100</f>
        <v>186.52558803087391</v>
      </c>
      <c r="D48" s="67"/>
      <c r="E48" s="47">
        <f>(E18/E36)*100</f>
        <v>1.111541352527162</v>
      </c>
      <c r="F48" s="47">
        <f t="shared" ref="F48" si="7">(F18/F36)*100</f>
        <v>9.1380353737768196</v>
      </c>
      <c r="G48" s="41" t="s">
        <v>52</v>
      </c>
      <c r="H48" s="41" t="s">
        <v>52</v>
      </c>
      <c r="I48" s="41" t="s">
        <v>52</v>
      </c>
    </row>
    <row r="49" spans="1:9" ht="15.6" x14ac:dyDescent="0.35">
      <c r="A49" s="3"/>
      <c r="B49" s="47"/>
      <c r="C49" s="47"/>
      <c r="D49" s="47"/>
      <c r="E49" s="47"/>
      <c r="F49" s="47"/>
      <c r="G49" s="47"/>
      <c r="H49" s="47"/>
      <c r="I49" s="47"/>
    </row>
    <row r="50" spans="1:9" ht="15.6" x14ac:dyDescent="0.35">
      <c r="A50" s="4" t="s">
        <v>12</v>
      </c>
      <c r="B50" s="47"/>
      <c r="C50" s="47"/>
      <c r="D50" s="47"/>
      <c r="E50" s="47"/>
      <c r="F50" s="47"/>
      <c r="G50" s="47"/>
      <c r="H50" s="47"/>
      <c r="I50" s="47"/>
    </row>
    <row r="51" spans="1:9" ht="15.6" x14ac:dyDescent="0.35">
      <c r="A51" s="3" t="s">
        <v>13</v>
      </c>
      <c r="B51" s="49" t="s">
        <v>52</v>
      </c>
      <c r="C51" s="49" t="s">
        <v>52</v>
      </c>
      <c r="D51" s="47">
        <f>D18/D16*100</f>
        <v>134.54135278829534</v>
      </c>
      <c r="E51" s="47">
        <f>E18/E16*100</f>
        <v>106.55021834061135</v>
      </c>
      <c r="F51" s="47">
        <f t="shared" ref="F51:H51" si="8">F18/F16*100</f>
        <v>121.44157814871018</v>
      </c>
      <c r="G51" s="47">
        <f t="shared" si="8"/>
        <v>112.28419359146375</v>
      </c>
      <c r="H51" s="47">
        <f t="shared" si="8"/>
        <v>128.53298101389706</v>
      </c>
      <c r="I51" s="47">
        <f t="shared" ref="I51" si="9">I18/I16*100</f>
        <v>167.27272727272725</v>
      </c>
    </row>
    <row r="52" spans="1:9" ht="15.6" x14ac:dyDescent="0.35">
      <c r="A52" s="3" t="s">
        <v>14</v>
      </c>
      <c r="B52" s="47">
        <f>B25/B24*100</f>
        <v>93.952522440498953</v>
      </c>
      <c r="C52" s="67">
        <f>C25/C24*100</f>
        <v>80.822480675185858</v>
      </c>
      <c r="D52" s="67"/>
      <c r="E52" s="47">
        <f>E25/E24*100</f>
        <v>101.74150897622513</v>
      </c>
      <c r="F52" s="47">
        <f t="shared" ref="F52:H52" si="10">F25/F24*100</f>
        <v>122.73743220367561</v>
      </c>
      <c r="G52" s="47">
        <f t="shared" si="10"/>
        <v>99.186686309018086</v>
      </c>
      <c r="H52" s="47">
        <f t="shared" si="10"/>
        <v>106.52489383993044</v>
      </c>
      <c r="I52" s="47">
        <f t="shared" ref="I52" si="11">I25/I24*100</f>
        <v>97.192039295393002</v>
      </c>
    </row>
    <row r="53" spans="1:9" ht="15.6" x14ac:dyDescent="0.35">
      <c r="A53" s="3" t="s">
        <v>15</v>
      </c>
      <c r="B53" s="49" t="s">
        <v>52</v>
      </c>
      <c r="C53" s="49" t="s">
        <v>52</v>
      </c>
      <c r="D53" s="47">
        <f>AVERAGE(D51,C52)</f>
        <v>107.6819167317406</v>
      </c>
      <c r="E53" s="47">
        <f>AVERAGE(E51:E52)</f>
        <v>104.14586365841825</v>
      </c>
      <c r="F53" s="47">
        <f t="shared" ref="F53:H53" si="12">AVERAGE(F51:F52)</f>
        <v>122.08950517619289</v>
      </c>
      <c r="G53" s="47">
        <f t="shared" si="12"/>
        <v>105.73543995024092</v>
      </c>
      <c r="H53" s="47">
        <f t="shared" si="12"/>
        <v>117.52893742691376</v>
      </c>
      <c r="I53" s="47">
        <f t="shared" ref="I53" si="13">AVERAGE(I51:I52)</f>
        <v>132.23238328406012</v>
      </c>
    </row>
    <row r="54" spans="1:9" ht="15.6" x14ac:dyDescent="0.35">
      <c r="A54" s="3"/>
      <c r="B54" s="47"/>
      <c r="C54" s="47"/>
      <c r="D54" s="47"/>
      <c r="E54" s="47"/>
      <c r="F54" s="47"/>
      <c r="G54" s="47"/>
      <c r="H54" s="47"/>
      <c r="I54" s="47"/>
    </row>
    <row r="55" spans="1:9" ht="15.6" x14ac:dyDescent="0.35">
      <c r="A55" s="4" t="s">
        <v>16</v>
      </c>
      <c r="B55" s="47"/>
      <c r="C55" s="47"/>
      <c r="D55" s="47"/>
      <c r="E55" s="47"/>
      <c r="F55" s="47"/>
      <c r="G55" s="47"/>
      <c r="H55" s="47"/>
      <c r="I55" s="47"/>
    </row>
    <row r="56" spans="1:9" ht="15.6" x14ac:dyDescent="0.35">
      <c r="A56" s="3" t="s">
        <v>17</v>
      </c>
      <c r="B56" s="49" t="s">
        <v>52</v>
      </c>
      <c r="C56" s="67">
        <f>D18/D20*100</f>
        <v>134.54135278829534</v>
      </c>
      <c r="D56" s="67"/>
      <c r="E56" s="47">
        <f>E18/E20*100</f>
        <v>106.55021834061135</v>
      </c>
      <c r="F56" s="47">
        <f t="shared" ref="F56:H56" si="14">F18/F20*100</f>
        <v>121.44157814871018</v>
      </c>
      <c r="G56" s="47">
        <f t="shared" si="14"/>
        <v>112.28419359146375</v>
      </c>
      <c r="H56" s="47">
        <f t="shared" si="14"/>
        <v>128.53298101389706</v>
      </c>
      <c r="I56" s="47">
        <f t="shared" ref="I56" si="15">I18/I20*100</f>
        <v>167.27272727272725</v>
      </c>
    </row>
    <row r="57" spans="1:9" ht="15.6" x14ac:dyDescent="0.35">
      <c r="A57" s="3" t="s">
        <v>18</v>
      </c>
      <c r="B57" s="47">
        <f>B25/B26*100</f>
        <v>31.088422175567292</v>
      </c>
      <c r="C57" s="67">
        <f>C25/C26*100</f>
        <v>24.27200919979667</v>
      </c>
      <c r="D57" s="67"/>
      <c r="E57" s="47">
        <f>E25/E26*100</f>
        <v>25.438462938250638</v>
      </c>
      <c r="F57" s="47">
        <f t="shared" ref="F57:H57" si="16">F25/F26*100</f>
        <v>30.687850598407341</v>
      </c>
      <c r="G57" s="47">
        <f t="shared" si="16"/>
        <v>37.950643502640894</v>
      </c>
      <c r="H57" s="47">
        <f t="shared" si="16"/>
        <v>30.590935324716757</v>
      </c>
      <c r="I57" s="47">
        <f t="shared" ref="I57" si="17">I25/I26*100</f>
        <v>24.334880855447409</v>
      </c>
    </row>
    <row r="58" spans="1:9" ht="15.6" x14ac:dyDescent="0.35">
      <c r="A58" s="3" t="s">
        <v>19</v>
      </c>
      <c r="B58" s="49" t="s">
        <v>52</v>
      </c>
      <c r="C58" s="67">
        <f>(C56+C57)/2</f>
        <v>79.406680994046013</v>
      </c>
      <c r="D58" s="67"/>
      <c r="E58" s="47">
        <f>(E56+E57)/2</f>
        <v>65.994340639430987</v>
      </c>
      <c r="F58" s="47">
        <f t="shared" ref="F58:H58" si="18">(F56+F57)/2</f>
        <v>76.064714373558758</v>
      </c>
      <c r="G58" s="47">
        <f t="shared" si="18"/>
        <v>75.117418547052324</v>
      </c>
      <c r="H58" s="47">
        <f t="shared" si="18"/>
        <v>79.561958169306905</v>
      </c>
      <c r="I58" s="47">
        <f t="shared" ref="I58" si="19">(I56+I57)/2</f>
        <v>95.803804064087331</v>
      </c>
    </row>
    <row r="59" spans="1:9" ht="15.6" x14ac:dyDescent="0.35">
      <c r="A59" s="3"/>
      <c r="B59" s="47"/>
      <c r="C59" s="47"/>
      <c r="D59" s="47"/>
      <c r="E59" s="47"/>
      <c r="F59" s="47"/>
      <c r="G59" s="47"/>
      <c r="H59" s="47"/>
      <c r="I59" s="47"/>
    </row>
    <row r="60" spans="1:9" ht="15.6" x14ac:dyDescent="0.35">
      <c r="A60" s="4" t="s">
        <v>30</v>
      </c>
      <c r="B60" s="47"/>
      <c r="C60" s="47"/>
      <c r="D60" s="47"/>
      <c r="E60" s="47"/>
      <c r="F60" s="47"/>
      <c r="G60" s="47"/>
      <c r="H60" s="47"/>
      <c r="I60" s="47"/>
    </row>
    <row r="61" spans="1:9" ht="15.6" x14ac:dyDescent="0.35">
      <c r="A61" s="3" t="s">
        <v>20</v>
      </c>
      <c r="B61" s="47">
        <f>B27/B25*100</f>
        <v>100</v>
      </c>
      <c r="C61" s="67">
        <f>C27/C25*100</f>
        <v>100</v>
      </c>
      <c r="D61" s="67"/>
      <c r="E61" s="47">
        <f>E27/E25*100</f>
        <v>100</v>
      </c>
      <c r="F61" s="47">
        <f t="shared" ref="F61:I61" si="20">F27/F25*100</f>
        <v>100</v>
      </c>
      <c r="G61" s="47">
        <f t="shared" si="20"/>
        <v>100</v>
      </c>
      <c r="H61" s="47">
        <f t="shared" si="20"/>
        <v>100</v>
      </c>
      <c r="I61" s="47">
        <f t="shared" si="20"/>
        <v>100</v>
      </c>
    </row>
    <row r="62" spans="1:9" ht="15.6" x14ac:dyDescent="0.35">
      <c r="A62" s="3"/>
      <c r="B62" s="47"/>
      <c r="C62" s="47"/>
      <c r="D62" s="47"/>
      <c r="E62" s="47"/>
      <c r="F62" s="47"/>
      <c r="G62" s="47"/>
      <c r="H62" s="47"/>
      <c r="I62" s="47"/>
    </row>
    <row r="63" spans="1:9" ht="15.6" x14ac:dyDescent="0.35">
      <c r="A63" s="4" t="s">
        <v>21</v>
      </c>
      <c r="B63" s="47"/>
      <c r="C63" s="47"/>
      <c r="D63" s="47"/>
      <c r="E63" s="47"/>
      <c r="F63" s="47"/>
      <c r="G63" s="47"/>
      <c r="H63" s="47"/>
      <c r="I63" s="47"/>
    </row>
    <row r="64" spans="1:9" ht="15.6" x14ac:dyDescent="0.35">
      <c r="A64" s="3" t="s">
        <v>22</v>
      </c>
      <c r="B64" s="47">
        <f>((B18/B15)-1)*100</f>
        <v>36.849610358825458</v>
      </c>
      <c r="C64" s="67">
        <f>((D18/D15)-1)*100</f>
        <v>76.840553741221356</v>
      </c>
      <c r="D64" s="67"/>
      <c r="E64" s="47">
        <f>((E18/E15)-1)*100</f>
        <v>5.7803468208092568</v>
      </c>
      <c r="F64" s="47">
        <f t="shared" ref="F64:H64" si="21">((F18/F15)-1)*100</f>
        <v>-2.2116324535679355</v>
      </c>
      <c r="G64" s="47">
        <f t="shared" si="21"/>
        <v>47.29970970002335</v>
      </c>
      <c r="H64" s="47">
        <f t="shared" si="21"/>
        <v>1.9681677018633437</v>
      </c>
      <c r="I64" s="47" t="s">
        <v>47</v>
      </c>
    </row>
    <row r="65" spans="1:9" ht="15.6" x14ac:dyDescent="0.35">
      <c r="A65" s="3" t="s">
        <v>23</v>
      </c>
      <c r="B65" s="47">
        <f>((B40/B39)-1)*100</f>
        <v>18.537165183369208</v>
      </c>
      <c r="C65" s="67">
        <f>((C40/C39)-1)*100</f>
        <v>3.7349613081510746</v>
      </c>
      <c r="D65" s="67"/>
      <c r="E65" s="47">
        <f>((E40/E39)-1)*100</f>
        <v>-1.8728749688826096</v>
      </c>
      <c r="F65" s="47">
        <f t="shared" ref="F65:H65" si="22">((F40/F39)-1)*100</f>
        <v>-1.49906581084982</v>
      </c>
      <c r="G65" s="47">
        <f t="shared" si="22"/>
        <v>31.005035361527167</v>
      </c>
      <c r="H65" s="47">
        <f t="shared" si="22"/>
        <v>19.148717308348708</v>
      </c>
      <c r="I65" s="47" t="s">
        <v>47</v>
      </c>
    </row>
    <row r="66" spans="1:9" ht="15.6" x14ac:dyDescent="0.35">
      <c r="A66" s="3" t="s">
        <v>24</v>
      </c>
      <c r="B66" s="47">
        <f>((B42/B41)-1)*100</f>
        <v>-13.38143757036665</v>
      </c>
      <c r="C66" s="67">
        <f>((C42/C41)-1)*100</f>
        <v>-41.339834606064919</v>
      </c>
      <c r="D66" s="67"/>
      <c r="E66" s="47">
        <f>((E42/E41)-1)*100</f>
        <v>-7.2350129487250943</v>
      </c>
      <c r="F66" s="47">
        <f t="shared" ref="F66:H66" si="23">((F42/F41)-1)*100</f>
        <v>0.72868241959327396</v>
      </c>
      <c r="G66" s="47">
        <f t="shared" si="23"/>
        <v>-11.06225828393036</v>
      </c>
      <c r="H66" s="47">
        <f t="shared" si="23"/>
        <v>16.848934323031273</v>
      </c>
      <c r="I66" s="47" t="s">
        <v>47</v>
      </c>
    </row>
    <row r="67" spans="1:9" ht="15.6" x14ac:dyDescent="0.35">
      <c r="A67" s="3"/>
      <c r="B67" s="47"/>
      <c r="C67" s="47"/>
      <c r="D67" s="47"/>
      <c r="E67" s="47"/>
      <c r="F67" s="47"/>
      <c r="G67" s="47"/>
      <c r="H67" s="47"/>
      <c r="I67" s="47"/>
    </row>
    <row r="68" spans="1:9" ht="15.6" x14ac:dyDescent="0.35">
      <c r="A68" s="4" t="s">
        <v>25</v>
      </c>
      <c r="B68" s="47"/>
      <c r="C68" s="47"/>
      <c r="D68" s="47"/>
      <c r="E68" s="47"/>
      <c r="F68" s="47"/>
      <c r="G68" s="47"/>
      <c r="H68" s="47"/>
      <c r="I68" s="47"/>
    </row>
    <row r="69" spans="1:9" ht="15.6" x14ac:dyDescent="0.35">
      <c r="A69" s="3" t="s">
        <v>31</v>
      </c>
      <c r="B69" s="47">
        <f>(B24/B17)*3</f>
        <v>165433.79441339284</v>
      </c>
      <c r="C69" s="67">
        <f>(C24/D17)*3</f>
        <v>105000</v>
      </c>
      <c r="D69" s="67"/>
      <c r="E69" s="47">
        <f>(E24/E17)*3</f>
        <v>300000</v>
      </c>
      <c r="F69" s="47">
        <f t="shared" ref="F69:H69" si="24">(F24/F17)*3</f>
        <v>225000</v>
      </c>
      <c r="G69" s="47">
        <f t="shared" si="24"/>
        <v>225000</v>
      </c>
      <c r="H69" s="47">
        <f t="shared" si="24"/>
        <v>390000</v>
      </c>
      <c r="I69" s="47">
        <f>(I24/I17)*3</f>
        <v>984000</v>
      </c>
    </row>
    <row r="70" spans="1:9" ht="15.6" x14ac:dyDescent="0.35">
      <c r="A70" s="3" t="s">
        <v>32</v>
      </c>
      <c r="B70" s="47">
        <f>(B25/B19)*3</f>
        <v>235757.63033523923</v>
      </c>
      <c r="C70" s="67">
        <f>(C25/D19)*3</f>
        <v>98169.304085951488</v>
      </c>
      <c r="D70" s="67"/>
      <c r="E70" s="47">
        <f>(E25/E19)*3</f>
        <v>464428.01771871536</v>
      </c>
      <c r="F70" s="47">
        <f t="shared" ref="F70:H70" si="25">(F25/F19)*3</f>
        <v>369345.67906913813</v>
      </c>
      <c r="G70" s="47">
        <f t="shared" si="25"/>
        <v>725214.36097096</v>
      </c>
      <c r="H70" s="47">
        <f t="shared" si="25"/>
        <v>530762.48118279525</v>
      </c>
      <c r="I70" s="47">
        <f>(I25/I19)*3</f>
        <v>972080.05133470264</v>
      </c>
    </row>
    <row r="71" spans="1:9" ht="15.6" x14ac:dyDescent="0.35">
      <c r="A71" s="3" t="s">
        <v>26</v>
      </c>
      <c r="B71" s="49" t="s">
        <v>52</v>
      </c>
      <c r="C71" s="67">
        <f>(C70/C69)*D53</f>
        <v>100.67675074472714</v>
      </c>
      <c r="D71" s="67"/>
      <c r="E71" s="47">
        <f>(E70/E69)*E53</f>
        <v>161.22752337494262</v>
      </c>
      <c r="F71" s="47">
        <f t="shared" ref="F71:H71" si="26">(F70/F69)*F53</f>
        <v>200.41436087340452</v>
      </c>
      <c r="G71" s="47">
        <f t="shared" si="26"/>
        <v>340.8038200688768</v>
      </c>
      <c r="H71" s="47">
        <f t="shared" si="26"/>
        <v>159.94859087047752</v>
      </c>
      <c r="I71" s="47">
        <f t="shared" ref="I71" si="27">(I70/I69)*I53</f>
        <v>130.63055074276346</v>
      </c>
    </row>
    <row r="72" spans="1:9" ht="15.6" x14ac:dyDescent="0.35">
      <c r="A72" s="3" t="s">
        <v>33</v>
      </c>
      <c r="B72" s="47">
        <f>B24/B17</f>
        <v>55144.598137797613</v>
      </c>
      <c r="C72" s="67">
        <f>C24/D17</f>
        <v>35000</v>
      </c>
      <c r="D72" s="67"/>
      <c r="E72" s="47">
        <f>E24/E17</f>
        <v>100000</v>
      </c>
      <c r="F72" s="47">
        <f>F24/F17</f>
        <v>75000</v>
      </c>
      <c r="G72" s="47">
        <f t="shared" ref="G72:H72" si="28">G24/G17</f>
        <v>75000</v>
      </c>
      <c r="H72" s="47">
        <f t="shared" si="28"/>
        <v>130000</v>
      </c>
      <c r="I72" s="47">
        <f t="shared" ref="I72" si="29">I24/I17</f>
        <v>328000</v>
      </c>
    </row>
    <row r="73" spans="1:9" ht="15.6" x14ac:dyDescent="0.35">
      <c r="A73" s="3" t="s">
        <v>34</v>
      </c>
      <c r="B73" s="47">
        <f>B25/B19</f>
        <v>78585.876778413076</v>
      </c>
      <c r="C73" s="67">
        <f>C25/D19</f>
        <v>32723.10136198383</v>
      </c>
      <c r="D73" s="67"/>
      <c r="E73" s="47">
        <f>E25/E19</f>
        <v>154809.3392395718</v>
      </c>
      <c r="F73" s="47">
        <f>F25/F19</f>
        <v>123115.22635637938</v>
      </c>
      <c r="G73" s="47">
        <f t="shared" ref="G73:H73" si="30">G25/G19</f>
        <v>241738.12032365333</v>
      </c>
      <c r="H73" s="47">
        <f t="shared" si="30"/>
        <v>176920.82706093174</v>
      </c>
      <c r="I73" s="47">
        <f t="shared" ref="I73" si="31">I25/I19</f>
        <v>324026.68377823423</v>
      </c>
    </row>
    <row r="74" spans="1:9" ht="15.6" x14ac:dyDescent="0.35">
      <c r="A74" s="3"/>
      <c r="B74" s="47"/>
      <c r="C74" s="47"/>
      <c r="D74" s="47"/>
      <c r="E74" s="47"/>
      <c r="F74" s="47"/>
      <c r="G74" s="47"/>
      <c r="H74" s="47"/>
      <c r="I74" s="47"/>
    </row>
    <row r="75" spans="1:9" ht="15.6" x14ac:dyDescent="0.35">
      <c r="A75" s="4" t="s">
        <v>27</v>
      </c>
      <c r="B75" s="47"/>
      <c r="C75" s="47"/>
      <c r="D75" s="47"/>
      <c r="E75" s="47"/>
      <c r="F75" s="47"/>
      <c r="G75" s="47"/>
      <c r="H75" s="47"/>
      <c r="I75" s="47"/>
    </row>
    <row r="76" spans="1:9" ht="15.6" x14ac:dyDescent="0.35">
      <c r="A76" s="3" t="s">
        <v>28</v>
      </c>
      <c r="B76" s="47">
        <f>(B31/B30)*100</f>
        <v>96.57907242562149</v>
      </c>
      <c r="C76" s="47"/>
      <c r="D76" s="47"/>
      <c r="E76" s="47"/>
      <c r="F76" s="47"/>
      <c r="G76" s="47"/>
      <c r="H76" s="47"/>
      <c r="I76" s="47"/>
    </row>
    <row r="77" spans="1:9" ht="15.6" x14ac:dyDescent="0.35">
      <c r="A77" s="3" t="s">
        <v>29</v>
      </c>
      <c r="B77" s="47">
        <f>(B25/B31)*100</f>
        <v>97.280414981055728</v>
      </c>
      <c r="C77" s="47"/>
      <c r="D77" s="47"/>
      <c r="E77" s="47"/>
      <c r="F77" s="47"/>
      <c r="G77" s="47"/>
      <c r="H77" s="47"/>
      <c r="I77" s="47"/>
    </row>
    <row r="78" spans="1:9" ht="16.2" thickBot="1" x14ac:dyDescent="0.4">
      <c r="A78" s="13"/>
      <c r="B78" s="29"/>
      <c r="C78" s="29"/>
      <c r="D78" s="29"/>
      <c r="E78" s="29"/>
      <c r="F78" s="29"/>
      <c r="G78" s="29"/>
      <c r="H78" s="29"/>
      <c r="I78" s="29"/>
    </row>
    <row r="79" spans="1:9" s="1" customFormat="1" ht="17.25" customHeight="1" thickTop="1" x14ac:dyDescent="0.3">
      <c r="A79" s="52" t="s">
        <v>94</v>
      </c>
      <c r="B79" s="52"/>
      <c r="C79" s="52"/>
      <c r="D79" s="52"/>
      <c r="E79" s="52"/>
      <c r="F79" s="52"/>
      <c r="G79" s="52"/>
      <c r="H79" s="52"/>
      <c r="I79" s="52"/>
    </row>
    <row r="81" spans="1:9" s="1" customFormat="1" ht="131.25" customHeight="1" x14ac:dyDescent="0.3">
      <c r="A81" s="53" t="s">
        <v>134</v>
      </c>
      <c r="B81" s="53"/>
      <c r="C81" s="53"/>
      <c r="D81" s="53"/>
      <c r="E81" s="53"/>
      <c r="F81" s="53"/>
      <c r="G81" s="53"/>
      <c r="H81" s="53"/>
      <c r="I81" s="53"/>
    </row>
  </sheetData>
  <mergeCells count="31">
    <mergeCell ref="C65:D65"/>
    <mergeCell ref="C66:D66"/>
    <mergeCell ref="C56:D56"/>
    <mergeCell ref="C41:D41"/>
    <mergeCell ref="C42:D42"/>
    <mergeCell ref="C61:D61"/>
    <mergeCell ref="C64:D64"/>
    <mergeCell ref="C27:D27"/>
    <mergeCell ref="C36:D36"/>
    <mergeCell ref="C40:D40"/>
    <mergeCell ref="C57:D57"/>
    <mergeCell ref="C58:D58"/>
    <mergeCell ref="C47:D47"/>
    <mergeCell ref="C48:D48"/>
    <mergeCell ref="C39:D39"/>
    <mergeCell ref="C52:D52"/>
    <mergeCell ref="A9:A10"/>
    <mergeCell ref="C26:D26"/>
    <mergeCell ref="C24:D24"/>
    <mergeCell ref="B9:B10"/>
    <mergeCell ref="C23:D23"/>
    <mergeCell ref="C25:D25"/>
    <mergeCell ref="C10:D10"/>
    <mergeCell ref="C9:I9"/>
    <mergeCell ref="A79:I79"/>
    <mergeCell ref="A81:I81"/>
    <mergeCell ref="C73:D73"/>
    <mergeCell ref="C71:D71"/>
    <mergeCell ref="C69:D69"/>
    <mergeCell ref="C70:D70"/>
    <mergeCell ref="C72:D72"/>
  </mergeCells>
  <pageMargins left="0.7" right="0.7" top="0.75" bottom="0.75" header="0.3" footer="0.3"/>
  <pageSetup orientation="portrait" horizontalDpi="300" verticalDpi="300" r:id="rId1"/>
  <ignoredErrors>
    <ignoredError sqref="B49:I50 C47:E47 B48:E48 B54:I55 D53:H53 B52:H52 E51:H51 B59:I63 B57:H57 B67:I68 B66:H66 B65:H65 B64:H64 B74:I77 B70:H70 B73:H73 C71:H71 C58:H58 C56:H56 B69 B72 D72:H72 D69:H69" evalError="1"/>
  </ignoredErrors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8:J82"/>
  <sheetViews>
    <sheetView showGridLines="0" zoomScale="80" zoomScaleNormal="80" zoomScalePageLayoutView="90" workbookViewId="0">
      <pane ySplit="10" topLeftCell="A11" activePane="bottomLeft" state="frozen"/>
      <selection pane="bottomLeft" activeCell="A9" sqref="A9:A10"/>
    </sheetView>
  </sheetViews>
  <sheetFormatPr baseColWidth="10" defaultColWidth="11.44140625" defaultRowHeight="14.4" x14ac:dyDescent="0.3"/>
  <cols>
    <col min="1" max="1" width="63.44140625" style="1" customWidth="1"/>
    <col min="2" max="10" width="18.6640625" style="1" customWidth="1"/>
    <col min="11" max="16384" width="11.44140625" style="1"/>
  </cols>
  <sheetData>
    <row r="8" spans="1:10" ht="18" customHeight="1" x14ac:dyDescent="0.3"/>
    <row r="9" spans="1:10" ht="15.6" x14ac:dyDescent="0.3">
      <c r="A9" s="56" t="s">
        <v>0</v>
      </c>
      <c r="B9" s="58" t="s">
        <v>54</v>
      </c>
      <c r="C9" s="63" t="s">
        <v>55</v>
      </c>
      <c r="D9" s="63"/>
      <c r="E9" s="63"/>
      <c r="F9" s="63"/>
      <c r="G9" s="63"/>
      <c r="H9" s="63"/>
      <c r="I9" s="63"/>
    </row>
    <row r="10" spans="1:10" ht="51.75" customHeight="1" thickBot="1" x14ac:dyDescent="0.35">
      <c r="A10" s="57"/>
      <c r="B10" s="59"/>
      <c r="C10" s="57" t="s">
        <v>1</v>
      </c>
      <c r="D10" s="57"/>
      <c r="E10" s="39" t="s">
        <v>44</v>
      </c>
      <c r="F10" s="39" t="s">
        <v>45</v>
      </c>
      <c r="G10" s="39" t="s">
        <v>50</v>
      </c>
      <c r="H10" s="39" t="s">
        <v>56</v>
      </c>
      <c r="I10" s="39" t="s">
        <v>88</v>
      </c>
    </row>
    <row r="11" spans="1:10" ht="16.2" thickTop="1" x14ac:dyDescent="0.35">
      <c r="A11" s="3"/>
      <c r="B11" s="3"/>
      <c r="C11" s="3"/>
      <c r="D11" s="3"/>
      <c r="E11" s="3"/>
      <c r="F11" s="3"/>
      <c r="G11" s="3"/>
      <c r="H11" s="3"/>
      <c r="I11" s="3"/>
    </row>
    <row r="12" spans="1:10" ht="15.6" x14ac:dyDescent="0.35">
      <c r="A12" s="4" t="s">
        <v>2</v>
      </c>
      <c r="B12" s="3"/>
      <c r="C12" s="3"/>
      <c r="D12" s="3"/>
      <c r="E12" s="3"/>
      <c r="F12" s="3"/>
      <c r="G12" s="3"/>
      <c r="H12" s="3"/>
      <c r="I12" s="3"/>
    </row>
    <row r="13" spans="1:10" ht="15.6" x14ac:dyDescent="0.35">
      <c r="A13" s="3"/>
      <c r="B13" s="3"/>
      <c r="C13" s="3"/>
      <c r="D13" s="3"/>
      <c r="E13" s="3"/>
      <c r="F13" s="3"/>
      <c r="G13" s="3"/>
      <c r="H13" s="3"/>
      <c r="I13" s="3"/>
    </row>
    <row r="14" spans="1:10" s="25" customFormat="1" ht="31.2" x14ac:dyDescent="0.3">
      <c r="A14" s="24" t="s">
        <v>41</v>
      </c>
      <c r="B14" s="33" t="s">
        <v>53</v>
      </c>
      <c r="C14" s="33" t="s">
        <v>42</v>
      </c>
      <c r="D14" s="33" t="s">
        <v>43</v>
      </c>
      <c r="E14" s="5" t="s">
        <v>42</v>
      </c>
      <c r="F14" s="5" t="s">
        <v>42</v>
      </c>
      <c r="G14" s="23" t="s">
        <v>57</v>
      </c>
      <c r="H14" s="5" t="s">
        <v>49</v>
      </c>
      <c r="I14" s="5" t="s">
        <v>42</v>
      </c>
    </row>
    <row r="15" spans="1:10" ht="15.6" x14ac:dyDescent="0.35">
      <c r="A15" s="6" t="s">
        <v>84</v>
      </c>
      <c r="B15" s="46">
        <v>270174</v>
      </c>
      <c r="C15" s="46">
        <v>165959</v>
      </c>
      <c r="D15" s="46">
        <v>276432</v>
      </c>
      <c r="E15" s="46">
        <v>1459</v>
      </c>
      <c r="F15" s="46">
        <v>8617</v>
      </c>
      <c r="G15" s="46">
        <v>137749</v>
      </c>
      <c r="H15" s="46">
        <v>31128</v>
      </c>
      <c r="I15" s="46" t="s">
        <v>47</v>
      </c>
      <c r="J15" s="44"/>
    </row>
    <row r="16" spans="1:10" ht="15.6" x14ac:dyDescent="0.35">
      <c r="A16" s="6" t="s">
        <v>126</v>
      </c>
      <c r="B16" s="46" t="str">
        <f>'IV Trimestre'!B16</f>
        <v>n.d</v>
      </c>
      <c r="C16" s="46" t="str">
        <f>'IV Trimestre'!C16</f>
        <v>n.d</v>
      </c>
      <c r="D16" s="46">
        <f>'IV Trimestre'!D16</f>
        <v>227397</v>
      </c>
      <c r="E16" s="46">
        <f>'IV Trimestre'!E16</f>
        <v>1374</v>
      </c>
      <c r="F16" s="46">
        <f>'IV Trimestre'!F16</f>
        <v>6590</v>
      </c>
      <c r="G16" s="46">
        <f>'IV Trimestre'!G16</f>
        <v>157259</v>
      </c>
      <c r="H16" s="46">
        <f>'IV Trimestre'!H16</f>
        <v>20436</v>
      </c>
      <c r="I16" s="46">
        <f>+'II Trimestre'!I16</f>
        <v>165</v>
      </c>
      <c r="J16" s="44"/>
    </row>
    <row r="17" spans="1:10" ht="15.6" x14ac:dyDescent="0.35">
      <c r="A17" s="6" t="s">
        <v>51</v>
      </c>
      <c r="B17" s="46">
        <f>+D17+E17+F17+G17+H17+I17</f>
        <v>3693681</v>
      </c>
      <c r="C17" s="46" t="str">
        <f>'IV Trimestre'!C17</f>
        <v>n.d</v>
      </c>
      <c r="D17" s="46">
        <f>+'I Trimestre'!D17+'II Trimestre'!D17+'III Trimestre'!D17+'IV Trimestre'!D17</f>
        <v>2271603</v>
      </c>
      <c r="E17" s="46">
        <f>+'I Trimestre'!E17+'II Trimestre'!E17+'III Trimestre'!E17+'IV Trimestre'!E17</f>
        <v>16486</v>
      </c>
      <c r="F17" s="46">
        <f>+'I Trimestre'!F17+'II Trimestre'!F17+'III Trimestre'!F17+'IV Trimestre'!F17</f>
        <v>79071</v>
      </c>
      <c r="G17" s="46">
        <f>+'I Trimestre'!G17+'II Trimestre'!G17+'III Trimestre'!G17+'IV Trimestre'!G17</f>
        <v>1111055</v>
      </c>
      <c r="H17" s="46">
        <f>+'I Trimestre'!H17+'II Trimestre'!H17+'III Trimestre'!H17+'IV Trimestre'!H17</f>
        <v>213489</v>
      </c>
      <c r="I17" s="46">
        <f>+'I Trimestre'!I17+'II Trimestre'!I17+'III Trimestre'!I17+'IV Trimestre'!I17</f>
        <v>1977</v>
      </c>
      <c r="J17" s="44"/>
    </row>
    <row r="18" spans="1:10" ht="15.6" x14ac:dyDescent="0.35">
      <c r="A18" s="6" t="s">
        <v>127</v>
      </c>
      <c r="B18" s="51">
        <v>391906</v>
      </c>
      <c r="C18" s="51">
        <v>192937</v>
      </c>
      <c r="D18" s="51">
        <v>311305</v>
      </c>
      <c r="E18" s="46">
        <v>1571</v>
      </c>
      <c r="F18" s="46">
        <v>14252</v>
      </c>
      <c r="G18" s="46">
        <v>198430</v>
      </c>
      <c r="H18" s="46">
        <v>30813</v>
      </c>
      <c r="I18" s="46">
        <v>297</v>
      </c>
      <c r="J18" s="44"/>
    </row>
    <row r="19" spans="1:10" ht="15.6" x14ac:dyDescent="0.35">
      <c r="A19" s="6" t="s">
        <v>51</v>
      </c>
      <c r="B19" s="46">
        <f>+SUM(D19+E19+F19+G19+H19+I19)</f>
        <v>3568909</v>
      </c>
      <c r="C19" s="46" t="str">
        <f>'IV Trimestre'!C19</f>
        <v>n.d</v>
      </c>
      <c r="D19" s="46">
        <f>+'I Trimestre'!D19+'II Trimestre'!D19+'III Trimestre'!D19+'IV Trimestre'!D19</f>
        <v>2579570</v>
      </c>
      <c r="E19" s="46">
        <f>+'I Trimestre'!E19+'II Trimestre'!E19+'III Trimestre'!E19+'IV Trimestre'!E19</f>
        <v>14873</v>
      </c>
      <c r="F19" s="46">
        <f>+'I Trimestre'!F19+'II Trimestre'!F19+'III Trimestre'!F19+'IV Trimestre'!F19</f>
        <v>67762</v>
      </c>
      <c r="G19" s="46">
        <f>+'I Trimestre'!G19+'II Trimestre'!G19+'III Trimestre'!G19+'IV Trimestre'!G19</f>
        <v>650395</v>
      </c>
      <c r="H19" s="46">
        <f>+'I Trimestre'!H19+'II Trimestre'!H19+'III Trimestre'!H19+'IV Trimestre'!H19</f>
        <v>254378</v>
      </c>
      <c r="I19" s="46">
        <f>+'I Trimestre'!I19+'II Trimestre'!I19+'III Trimestre'!I19+'IV Trimestre'!I19</f>
        <v>1931</v>
      </c>
      <c r="J19" s="44"/>
    </row>
    <row r="20" spans="1:10" ht="15.6" x14ac:dyDescent="0.35">
      <c r="A20" s="6" t="s">
        <v>91</v>
      </c>
      <c r="B20" s="46" t="str">
        <f>'IV Trimestre'!B20</f>
        <v>n.d</v>
      </c>
      <c r="C20" s="46" t="str">
        <f>'IV Trimestre'!C20</f>
        <v>n.d</v>
      </c>
      <c r="D20" s="46">
        <f>'IV Trimestre'!D20</f>
        <v>227397</v>
      </c>
      <c r="E20" s="46">
        <f>'IV Trimestre'!E20</f>
        <v>1374</v>
      </c>
      <c r="F20" s="46">
        <f>'IV Trimestre'!F20</f>
        <v>6590</v>
      </c>
      <c r="G20" s="46">
        <f>'IV Trimestre'!G20</f>
        <v>157259</v>
      </c>
      <c r="H20" s="46">
        <f>'IV Trimestre'!H20</f>
        <v>20436</v>
      </c>
      <c r="I20" s="46">
        <f>'IV Trimestre'!I20</f>
        <v>165</v>
      </c>
      <c r="J20" s="44"/>
    </row>
    <row r="21" spans="1:10" ht="15.6" x14ac:dyDescent="0.35">
      <c r="A21" s="3"/>
      <c r="B21" s="40"/>
      <c r="C21" s="40"/>
      <c r="D21" s="40"/>
      <c r="E21" s="40"/>
      <c r="F21" s="40"/>
      <c r="G21" s="40"/>
      <c r="H21" s="40"/>
      <c r="I21" s="40"/>
      <c r="J21" s="44"/>
    </row>
    <row r="22" spans="1:10" ht="15.6" x14ac:dyDescent="0.35">
      <c r="A22" s="7" t="s">
        <v>3</v>
      </c>
      <c r="B22" s="40"/>
      <c r="C22" s="40"/>
      <c r="D22" s="40"/>
      <c r="E22" s="40"/>
      <c r="F22" s="40"/>
      <c r="G22" s="40"/>
      <c r="H22" s="40"/>
      <c r="I22" s="40"/>
      <c r="J22" s="44"/>
    </row>
    <row r="23" spans="1:10" ht="15.6" x14ac:dyDescent="0.35">
      <c r="A23" s="6" t="s">
        <v>84</v>
      </c>
      <c r="B23" s="46">
        <f>+C23+E23+F23+G23+H23</f>
        <v>163284132974</v>
      </c>
      <c r="C23" s="66">
        <f>'I Trimestre'!C23:D23+'II Trimestre'!C23:D23+'III Trimestre'!C23:D23+'IV Trimestre'!C23:D23</f>
        <v>61629187000</v>
      </c>
      <c r="D23" s="66"/>
      <c r="E23" s="46">
        <f>'I Trimestre'!E23+'II Trimestre'!E23+'III Trimestre'!E23+'IV Trimestre'!E23</f>
        <v>1624503000</v>
      </c>
      <c r="F23" s="46">
        <f>'I Trimestre'!F23+'II Trimestre'!F23+'III Trimestre'!F23+'IV Trimestre'!F23</f>
        <v>6788313860</v>
      </c>
      <c r="G23" s="46">
        <f>'I Trimestre'!G23+'II Trimestre'!G23+'III Trimestre'!G23+'IV Trimestre'!G23</f>
        <v>66866374441</v>
      </c>
      <c r="H23" s="46">
        <f>'I Trimestre'!H23+'II Trimestre'!H23+'III Trimestre'!H23+'IV Trimestre'!H23</f>
        <v>26375754673</v>
      </c>
      <c r="I23" s="46" t="s">
        <v>47</v>
      </c>
      <c r="J23" s="46"/>
    </row>
    <row r="24" spans="1:10" ht="15.6" x14ac:dyDescent="0.35">
      <c r="A24" s="6" t="s">
        <v>126</v>
      </c>
      <c r="B24" s="46">
        <f t="shared" ref="B24:B26" si="0">+C24+E24+F24+G24+H24+I24</f>
        <v>198816181000</v>
      </c>
      <c r="C24" s="66">
        <f>'I Trimestre'!C24:D24+'II Trimestre'!C24:D24+'III Trimestre'!C24:D24+'IV Trimestre'!C24:D24</f>
        <v>79506105000</v>
      </c>
      <c r="D24" s="66"/>
      <c r="E24" s="46">
        <f>+'I Trimestre'!E24+'II Trimestre'!E24+'III Trimestre'!E24+'IV Trimestre'!E24</f>
        <v>1648600000</v>
      </c>
      <c r="F24" s="46">
        <f>+'I Trimestre'!F24+'II Trimestre'!F24+'III Trimestre'!F24+'IV Trimestre'!F24</f>
        <v>5930325000</v>
      </c>
      <c r="G24" s="46">
        <f>+'I Trimestre'!G24+'II Trimestre'!G24+'III Trimestre'!G24+'IV Trimestre'!G24</f>
        <v>83329125000</v>
      </c>
      <c r="H24" s="46">
        <f>+'I Trimestre'!H24+'II Trimestre'!H24+'III Trimestre'!H24+'IV Trimestre'!H24</f>
        <v>27753570000</v>
      </c>
      <c r="I24" s="46">
        <f>+'I Trimestre'!I24+'II Trimestre'!I24+'III Trimestre'!I24+'IV Trimestre'!I24</f>
        <v>648456000</v>
      </c>
      <c r="J24" s="44"/>
    </row>
    <row r="25" spans="1:10" ht="15.6" x14ac:dyDescent="0.35">
      <c r="A25" s="6" t="s">
        <v>127</v>
      </c>
      <c r="B25" s="46">
        <f>+C25+E25+F25+G25+H25+I25</f>
        <v>189945044429.41998</v>
      </c>
      <c r="C25" s="66">
        <f>'I Trimestre'!C25:D25+'II Trimestre'!C25:D25+'III Trimestre'!C25:D25+'IV Trimestre'!C25:D25</f>
        <v>72110067120</v>
      </c>
      <c r="D25" s="66"/>
      <c r="E25" s="46">
        <f>'I Trimestre'!E25+'II Trimestre'!E25+'III Trimestre'!E25+'IV Trimestre'!E25</f>
        <v>1634426000</v>
      </c>
      <c r="F25" s="46">
        <f>'I Trimestre'!F25+'II Trimestre'!F25+'III Trimestre'!F25+'IV Trimestre'!F25</f>
        <v>5906779976</v>
      </c>
      <c r="G25" s="46">
        <f>'I Trimestre'!G25+'II Trimestre'!G25+'III Trimestre'!G25+'IV Trimestre'!G25</f>
        <v>82227603511.419998</v>
      </c>
      <c r="H25" s="46">
        <f>'I Trimestre'!H25+'II Trimestre'!H25+'III Trimestre'!H25+'IV Trimestre'!H25</f>
        <v>27605477830.999996</v>
      </c>
      <c r="I25" s="46">
        <f>'I Trimestre'!I25+'II Trimestre'!I25+'III Trimestre'!I25+'IV Trimestre'!I25</f>
        <v>460689991.00000006</v>
      </c>
      <c r="J25" s="44"/>
    </row>
    <row r="26" spans="1:10" ht="15.6" x14ac:dyDescent="0.35">
      <c r="A26" s="6" t="s">
        <v>91</v>
      </c>
      <c r="B26" s="46">
        <f t="shared" si="0"/>
        <v>198816181000</v>
      </c>
      <c r="C26" s="66">
        <f>'IV Trimestre'!C26</f>
        <v>79506105000</v>
      </c>
      <c r="D26" s="66"/>
      <c r="E26" s="46">
        <f>'IV Trimestre'!E26</f>
        <v>1648600000</v>
      </c>
      <c r="F26" s="46">
        <f>'IV Trimestre'!F26</f>
        <v>5930325000</v>
      </c>
      <c r="G26" s="46">
        <f>'IV Trimestre'!G26</f>
        <v>83329125000</v>
      </c>
      <c r="H26" s="46">
        <f>'IV Trimestre'!H26</f>
        <v>27753570000</v>
      </c>
      <c r="I26" s="46">
        <f>'IV Trimestre'!I26</f>
        <v>648456000</v>
      </c>
      <c r="J26" s="44"/>
    </row>
    <row r="27" spans="1:10" ht="15.6" x14ac:dyDescent="0.35">
      <c r="A27" s="6" t="s">
        <v>128</v>
      </c>
      <c r="B27" s="46">
        <f>+C27+E27+F27+G27+H27+I27</f>
        <v>189945044429.41998</v>
      </c>
      <c r="C27" s="66">
        <f>C25</f>
        <v>72110067120</v>
      </c>
      <c r="D27" s="66"/>
      <c r="E27" s="46">
        <f>E25</f>
        <v>1634426000</v>
      </c>
      <c r="F27" s="46">
        <f t="shared" ref="F27:I27" si="1">F25</f>
        <v>5906779976</v>
      </c>
      <c r="G27" s="46">
        <f t="shared" si="1"/>
        <v>82227603511.419998</v>
      </c>
      <c r="H27" s="46">
        <f t="shared" si="1"/>
        <v>27605477830.999996</v>
      </c>
      <c r="I27" s="46">
        <f t="shared" si="1"/>
        <v>460689991.00000006</v>
      </c>
      <c r="J27" s="44"/>
    </row>
    <row r="28" spans="1:10" ht="15.6" x14ac:dyDescent="0.35">
      <c r="A28" s="3"/>
      <c r="B28" s="40"/>
      <c r="C28" s="60"/>
      <c r="D28" s="60"/>
      <c r="E28" s="40"/>
      <c r="F28" s="40"/>
      <c r="G28" s="40"/>
      <c r="H28" s="40"/>
      <c r="I28" s="40"/>
      <c r="J28" s="44"/>
    </row>
    <row r="29" spans="1:10" ht="15.6" x14ac:dyDescent="0.35">
      <c r="A29" s="7" t="s">
        <v>4</v>
      </c>
      <c r="B29" s="40"/>
      <c r="C29" s="40"/>
      <c r="D29" s="40"/>
      <c r="E29" s="40"/>
      <c r="F29" s="40"/>
      <c r="G29" s="40"/>
      <c r="H29" s="40"/>
      <c r="I29" s="40"/>
      <c r="J29" s="44"/>
    </row>
    <row r="30" spans="1:10" ht="15.6" x14ac:dyDescent="0.35">
      <c r="A30" s="6" t="s">
        <v>126</v>
      </c>
      <c r="B30" s="46">
        <f>B26</f>
        <v>198816181000</v>
      </c>
      <c r="C30" s="40"/>
      <c r="D30" s="40"/>
      <c r="E30" s="40"/>
      <c r="F30" s="40"/>
      <c r="G30" s="40"/>
      <c r="H30" s="40"/>
      <c r="I30" s="40"/>
      <c r="J30" s="44"/>
    </row>
    <row r="31" spans="1:10" ht="15.6" x14ac:dyDescent="0.35">
      <c r="A31" s="6" t="s">
        <v>127</v>
      </c>
      <c r="B31" s="46">
        <f>+'I Trimestre'!B31+'II Trimestre'!B31+'III Trimestre'!B31+'IV Trimestre'!B31</f>
        <v>196816811624.5</v>
      </c>
      <c r="C31" s="40"/>
      <c r="D31" s="40"/>
      <c r="E31" s="40"/>
      <c r="F31" s="40"/>
      <c r="G31" s="40"/>
      <c r="H31" s="40"/>
      <c r="I31" s="40"/>
      <c r="J31" s="44"/>
    </row>
    <row r="32" spans="1:10" ht="15.6" x14ac:dyDescent="0.35">
      <c r="A32" s="3"/>
      <c r="B32" s="19"/>
      <c r="C32" s="19"/>
      <c r="D32" s="19"/>
      <c r="E32" s="19"/>
      <c r="F32" s="19"/>
      <c r="G32" s="19"/>
      <c r="H32" s="19"/>
      <c r="I32" s="19"/>
      <c r="J32" s="3"/>
    </row>
    <row r="33" spans="1:10" ht="15.6" x14ac:dyDescent="0.35">
      <c r="A33" s="4" t="s">
        <v>5</v>
      </c>
      <c r="B33" s="19"/>
      <c r="C33" s="19"/>
      <c r="D33" s="19"/>
      <c r="E33" s="19"/>
      <c r="F33" s="19"/>
      <c r="G33" s="19"/>
      <c r="H33" s="19"/>
      <c r="I33" s="19"/>
      <c r="J33" s="3"/>
    </row>
    <row r="34" spans="1:10" ht="15.6" x14ac:dyDescent="0.35">
      <c r="A34" s="6" t="s">
        <v>85</v>
      </c>
      <c r="B34" s="20">
        <v>1.0947</v>
      </c>
      <c r="C34" s="20">
        <v>1.0947</v>
      </c>
      <c r="D34" s="20">
        <v>1.0947</v>
      </c>
      <c r="E34" s="20">
        <v>1.0947</v>
      </c>
      <c r="F34" s="20">
        <v>1.0947</v>
      </c>
      <c r="G34" s="20">
        <v>1.0947</v>
      </c>
      <c r="H34" s="20">
        <v>1.0947</v>
      </c>
      <c r="I34" s="20">
        <v>1.0947</v>
      </c>
      <c r="J34" s="20"/>
    </row>
    <row r="35" spans="1:10" ht="15.6" x14ac:dyDescent="0.35">
      <c r="A35" s="6" t="s">
        <v>129</v>
      </c>
      <c r="B35" s="20">
        <v>1.1039000000000001</v>
      </c>
      <c r="C35" s="20">
        <v>1.1039000000000001</v>
      </c>
      <c r="D35" s="20">
        <v>1.1039000000000001</v>
      </c>
      <c r="E35" s="20">
        <v>1.1039000000000001</v>
      </c>
      <c r="F35" s="20">
        <v>1.1039000000000001</v>
      </c>
      <c r="G35" s="20">
        <v>1.1039000000000001</v>
      </c>
      <c r="H35" s="20">
        <v>1.1039000000000001</v>
      </c>
      <c r="I35" s="20">
        <v>1.1039000000000001</v>
      </c>
      <c r="J35" s="20"/>
    </row>
    <row r="36" spans="1:10" ht="15.6" x14ac:dyDescent="0.35">
      <c r="A36" s="6" t="s">
        <v>6</v>
      </c>
      <c r="B36" s="41">
        <v>429884</v>
      </c>
      <c r="C36" s="61">
        <v>164022</v>
      </c>
      <c r="D36" s="61"/>
      <c r="E36" s="41">
        <v>131709</v>
      </c>
      <c r="F36" s="41">
        <v>87579</v>
      </c>
      <c r="G36" s="41" t="s">
        <v>52</v>
      </c>
      <c r="H36" s="41" t="s">
        <v>52</v>
      </c>
      <c r="I36" s="41" t="s">
        <v>52</v>
      </c>
    </row>
    <row r="37" spans="1:10" ht="15.6" x14ac:dyDescent="0.35">
      <c r="A37" s="3"/>
      <c r="B37" s="42"/>
      <c r="C37" s="42"/>
      <c r="D37" s="42"/>
      <c r="E37" s="42"/>
      <c r="F37" s="42"/>
      <c r="G37" s="42"/>
      <c r="H37" s="42"/>
      <c r="I37" s="42"/>
      <c r="J37" s="42"/>
    </row>
    <row r="38" spans="1:10" ht="15.6" x14ac:dyDescent="0.35">
      <c r="A38" s="4" t="s">
        <v>7</v>
      </c>
      <c r="B38" s="42"/>
      <c r="C38" s="42"/>
      <c r="D38" s="42"/>
      <c r="E38" s="42"/>
      <c r="F38" s="42"/>
      <c r="G38" s="42"/>
      <c r="H38" s="42"/>
      <c r="I38" s="42"/>
      <c r="J38" s="42"/>
    </row>
    <row r="39" spans="1:10" ht="15.6" x14ac:dyDescent="0.35">
      <c r="A39" s="3" t="s">
        <v>86</v>
      </c>
      <c r="B39" s="41">
        <f>B23/B34</f>
        <v>149158795079.93057</v>
      </c>
      <c r="C39" s="61">
        <f>C23/C34</f>
        <v>56297786608.203163</v>
      </c>
      <c r="D39" s="61"/>
      <c r="E39" s="41">
        <f>E23/E34</f>
        <v>1483970950.9454646</v>
      </c>
      <c r="F39" s="41">
        <f>F23/F34</f>
        <v>6201072312.0489635</v>
      </c>
      <c r="G39" s="41">
        <f>G23/G34</f>
        <v>61081916909.655617</v>
      </c>
      <c r="H39" s="41">
        <f>H23/H34</f>
        <v>24094048299.077374</v>
      </c>
      <c r="I39" s="41" t="s">
        <v>47</v>
      </c>
      <c r="J39" s="42"/>
    </row>
    <row r="40" spans="1:10" ht="15.6" x14ac:dyDescent="0.35">
      <c r="A40" s="3" t="s">
        <v>130</v>
      </c>
      <c r="B40" s="41">
        <f>B25/B35</f>
        <v>172067256481.03992</v>
      </c>
      <c r="C40" s="61">
        <f>C25/C35</f>
        <v>65323006721.623329</v>
      </c>
      <c r="D40" s="61"/>
      <c r="E40" s="41">
        <f>E25/E35</f>
        <v>1480592444.9678411</v>
      </c>
      <c r="F40" s="41">
        <f>F25/F35</f>
        <v>5350828857.6863842</v>
      </c>
      <c r="G40" s="41">
        <f>G25/G35</f>
        <v>74488272045.855591</v>
      </c>
      <c r="H40" s="41">
        <f>H25/H35</f>
        <v>25007226950.810757</v>
      </c>
      <c r="I40" s="41">
        <f t="shared" ref="I40" si="2">I25/I35</f>
        <v>417329460.0960232</v>
      </c>
      <c r="J40" s="42"/>
    </row>
    <row r="41" spans="1:10" ht="15.6" x14ac:dyDescent="0.35">
      <c r="A41" s="3" t="s">
        <v>87</v>
      </c>
      <c r="B41" s="41">
        <f>B39/B15</f>
        <v>552084.19418571203</v>
      </c>
      <c r="C41" s="61">
        <f>C39/D15</f>
        <v>203658.71754428998</v>
      </c>
      <c r="D41" s="61"/>
      <c r="E41" s="41">
        <f>E39/E15</f>
        <v>1017115.1137391807</v>
      </c>
      <c r="F41" s="41">
        <f>F39/F15</f>
        <v>719632.39086096827</v>
      </c>
      <c r="G41" s="41">
        <f>G39/G15</f>
        <v>443429.11316710553</v>
      </c>
      <c r="H41" s="41">
        <f>H39/H15</f>
        <v>774031.36401559284</v>
      </c>
      <c r="I41" s="41" t="s">
        <v>47</v>
      </c>
      <c r="J41" s="38"/>
    </row>
    <row r="42" spans="1:10" ht="15.6" x14ac:dyDescent="0.35">
      <c r="A42" s="3" t="s">
        <v>131</v>
      </c>
      <c r="B42" s="41">
        <f>B40/B18</f>
        <v>439052.36582507007</v>
      </c>
      <c r="C42" s="61">
        <f>C40/D18</f>
        <v>209836.03450514231</v>
      </c>
      <c r="D42" s="61"/>
      <c r="E42" s="41">
        <f>E40/E18</f>
        <v>942452.22467717447</v>
      </c>
      <c r="F42" s="41">
        <f>F40/F18</f>
        <v>375444.06803861802</v>
      </c>
      <c r="G42" s="41">
        <f>G40/G18</f>
        <v>375388.15726379876</v>
      </c>
      <c r="H42" s="41">
        <f>H40/H18</f>
        <v>811580.40277839731</v>
      </c>
      <c r="I42" s="41">
        <f>I40/I18</f>
        <v>1405149.6972930075</v>
      </c>
      <c r="J42" s="38"/>
    </row>
    <row r="43" spans="1:10" ht="15.6" x14ac:dyDescent="0.35">
      <c r="A43" s="3"/>
      <c r="B43" s="17"/>
      <c r="C43" s="17"/>
      <c r="D43" s="17"/>
      <c r="E43" s="17"/>
      <c r="F43" s="17"/>
      <c r="G43" s="17"/>
      <c r="H43" s="17"/>
      <c r="I43" s="17"/>
      <c r="J43" s="3"/>
    </row>
    <row r="44" spans="1:10" ht="15.6" x14ac:dyDescent="0.35">
      <c r="A44" s="4" t="s">
        <v>8</v>
      </c>
      <c r="B44" s="17"/>
      <c r="C44" s="17"/>
      <c r="D44" s="17"/>
      <c r="E44" s="17"/>
      <c r="F44" s="17"/>
      <c r="G44" s="17"/>
      <c r="H44" s="17"/>
      <c r="I44" s="17"/>
      <c r="J44" s="3"/>
    </row>
    <row r="45" spans="1:10" ht="15.6" x14ac:dyDescent="0.35">
      <c r="A45" s="3"/>
      <c r="B45" s="17"/>
      <c r="C45" s="17"/>
      <c r="D45" s="17"/>
      <c r="E45" s="17"/>
      <c r="F45" s="17"/>
      <c r="G45" s="17"/>
      <c r="H45" s="17"/>
      <c r="I45" s="17"/>
      <c r="J45" s="3"/>
    </row>
    <row r="46" spans="1:10" ht="15.6" x14ac:dyDescent="0.35">
      <c r="A46" s="4" t="s">
        <v>9</v>
      </c>
      <c r="B46" s="17"/>
      <c r="C46" s="17"/>
      <c r="D46" s="17"/>
      <c r="E46" s="17"/>
      <c r="F46" s="17"/>
      <c r="G46" s="17"/>
      <c r="H46" s="17"/>
      <c r="I46" s="17"/>
      <c r="J46" s="3"/>
    </row>
    <row r="47" spans="1:10" ht="15.6" x14ac:dyDescent="0.35">
      <c r="A47" s="3" t="s">
        <v>10</v>
      </c>
      <c r="B47" s="49" t="s">
        <v>47</v>
      </c>
      <c r="C47" s="69">
        <f>D16/C36*100</f>
        <v>138.63810952189343</v>
      </c>
      <c r="D47" s="69"/>
      <c r="E47" s="49">
        <f>E16/E36*100</f>
        <v>1.0432088923308203</v>
      </c>
      <c r="F47" s="49">
        <f t="shared" ref="F47" si="3">F16/F36*100</f>
        <v>7.5246349010607556</v>
      </c>
      <c r="G47" s="41" t="s">
        <v>52</v>
      </c>
      <c r="H47" s="41" t="s">
        <v>52</v>
      </c>
      <c r="I47" s="41" t="s">
        <v>52</v>
      </c>
      <c r="J47" s="38"/>
    </row>
    <row r="48" spans="1:10" ht="15.6" x14ac:dyDescent="0.35">
      <c r="A48" s="3" t="s">
        <v>11</v>
      </c>
      <c r="B48" s="49">
        <f>(B18/B36)*100</f>
        <v>91.165523722678671</v>
      </c>
      <c r="C48" s="69">
        <f>D18/C36*100</f>
        <v>189.79466169172429</v>
      </c>
      <c r="D48" s="69"/>
      <c r="E48" s="49">
        <f>E18/E36*100</f>
        <v>1.1927810552050353</v>
      </c>
      <c r="F48" s="49">
        <f t="shared" ref="F48" si="4">F18/F36*100</f>
        <v>16.273307528060379</v>
      </c>
      <c r="G48" s="41" t="s">
        <v>52</v>
      </c>
      <c r="H48" s="41" t="s">
        <v>52</v>
      </c>
      <c r="I48" s="41" t="s">
        <v>52</v>
      </c>
      <c r="J48" s="38"/>
    </row>
    <row r="49" spans="1:10" ht="15.6" x14ac:dyDescent="0.35">
      <c r="A49" s="3"/>
      <c r="B49" s="49"/>
      <c r="C49" s="49"/>
      <c r="D49" s="49"/>
      <c r="E49" s="49"/>
      <c r="F49" s="49"/>
      <c r="G49" s="49"/>
      <c r="H49" s="49"/>
      <c r="I49" s="49"/>
      <c r="J49" s="38"/>
    </row>
    <row r="50" spans="1:10" ht="15.6" x14ac:dyDescent="0.35">
      <c r="A50" s="4" t="s">
        <v>12</v>
      </c>
      <c r="B50" s="49"/>
      <c r="C50" s="49"/>
      <c r="D50" s="49"/>
      <c r="E50" s="49"/>
      <c r="F50" s="49"/>
      <c r="G50" s="49"/>
      <c r="H50" s="49"/>
      <c r="I50" s="49"/>
      <c r="J50" s="38"/>
    </row>
    <row r="51" spans="1:10" ht="15.6" x14ac:dyDescent="0.35">
      <c r="A51" s="3" t="s">
        <v>13</v>
      </c>
      <c r="B51" s="49" t="s">
        <v>47</v>
      </c>
      <c r="C51" s="49"/>
      <c r="D51" s="49">
        <f t="shared" ref="D51:I51" si="5">D18/D16*100</f>
        <v>136.89934343900757</v>
      </c>
      <c r="E51" s="49">
        <f t="shared" si="5"/>
        <v>114.33770014556042</v>
      </c>
      <c r="F51" s="49">
        <f t="shared" si="5"/>
        <v>216.26707132018211</v>
      </c>
      <c r="G51" s="49">
        <f t="shared" si="5"/>
        <v>126.18037759365124</v>
      </c>
      <c r="H51" s="49">
        <f t="shared" si="5"/>
        <v>150.778038755138</v>
      </c>
      <c r="I51" s="49">
        <f t="shared" si="5"/>
        <v>180</v>
      </c>
      <c r="J51" s="38"/>
    </row>
    <row r="52" spans="1:10" ht="15.6" x14ac:dyDescent="0.35">
      <c r="A52" s="3" t="s">
        <v>14</v>
      </c>
      <c r="B52" s="49">
        <f>B25/B24*100</f>
        <v>95.538020836151148</v>
      </c>
      <c r="D52" s="37">
        <f>C25/C24*100</f>
        <v>90.69752205821176</v>
      </c>
      <c r="E52" s="49">
        <f>E25/E24*100</f>
        <v>99.140240203809299</v>
      </c>
      <c r="F52" s="49">
        <f t="shared" ref="F52:I52" si="6">F25/F24*100</f>
        <v>99.602972450919637</v>
      </c>
      <c r="G52" s="49">
        <f t="shared" si="6"/>
        <v>98.67810745813064</v>
      </c>
      <c r="H52" s="49">
        <f t="shared" si="6"/>
        <v>99.466403172636873</v>
      </c>
      <c r="I52" s="49">
        <f t="shared" si="6"/>
        <v>71.044140388862161</v>
      </c>
      <c r="J52" s="38"/>
    </row>
    <row r="53" spans="1:10" ht="15.6" x14ac:dyDescent="0.35">
      <c r="A53" s="3" t="s">
        <v>15</v>
      </c>
      <c r="B53" s="49" t="s">
        <v>47</v>
      </c>
      <c r="C53" s="49"/>
      <c r="D53" s="49">
        <f>AVERAGE(D51,D52)</f>
        <v>113.79843274860966</v>
      </c>
      <c r="E53" s="49">
        <f>AVERAGE(E51:E52)</f>
        <v>106.73897017468485</v>
      </c>
      <c r="F53" s="49">
        <f t="shared" ref="F53:H53" si="7">AVERAGE(F51:F52)</f>
        <v>157.93502188555087</v>
      </c>
      <c r="G53" s="49">
        <f t="shared" si="7"/>
        <v>112.42924252589094</v>
      </c>
      <c r="H53" s="49">
        <f t="shared" si="7"/>
        <v>125.12222096388743</v>
      </c>
      <c r="I53" s="49">
        <f>AVERAGE(I51:I52)</f>
        <v>125.52207019443108</v>
      </c>
      <c r="J53" s="38"/>
    </row>
    <row r="54" spans="1:10" ht="15.6" x14ac:dyDescent="0.35">
      <c r="A54" s="3"/>
      <c r="B54" s="49"/>
      <c r="C54" s="49"/>
      <c r="D54" s="49"/>
      <c r="E54" s="49"/>
      <c r="F54" s="49"/>
      <c r="G54" s="49"/>
      <c r="H54" s="49"/>
      <c r="I54" s="49"/>
      <c r="J54" s="38"/>
    </row>
    <row r="55" spans="1:10" ht="15.6" x14ac:dyDescent="0.35">
      <c r="A55" s="4" t="s">
        <v>16</v>
      </c>
      <c r="B55" s="49"/>
      <c r="C55" s="49"/>
      <c r="D55" s="49"/>
      <c r="E55" s="49"/>
      <c r="F55" s="49"/>
      <c r="G55" s="49"/>
      <c r="H55" s="49"/>
      <c r="I55" s="49"/>
      <c r="J55" s="38"/>
    </row>
    <row r="56" spans="1:10" ht="15.6" x14ac:dyDescent="0.35">
      <c r="A56" s="3" t="s">
        <v>17</v>
      </c>
      <c r="B56" s="49" t="s">
        <v>47</v>
      </c>
      <c r="C56" s="69">
        <f>D18/D20*100</f>
        <v>136.89934343900757</v>
      </c>
      <c r="D56" s="69"/>
      <c r="E56" s="49">
        <f>E18/E20*100</f>
        <v>114.33770014556042</v>
      </c>
      <c r="F56" s="49">
        <f t="shared" ref="F56:I56" si="8">F18/F20*100</f>
        <v>216.26707132018211</v>
      </c>
      <c r="G56" s="49">
        <f t="shared" si="8"/>
        <v>126.18037759365124</v>
      </c>
      <c r="H56" s="49">
        <f t="shared" si="8"/>
        <v>150.778038755138</v>
      </c>
      <c r="I56" s="49">
        <f t="shared" si="8"/>
        <v>180</v>
      </c>
      <c r="J56" s="38"/>
    </row>
    <row r="57" spans="1:10" ht="15.6" x14ac:dyDescent="0.35">
      <c r="A57" s="3" t="s">
        <v>18</v>
      </c>
      <c r="B57" s="49">
        <f>B25/B26*100</f>
        <v>95.538020836151148</v>
      </c>
      <c r="C57" s="69">
        <f>C25/C26*100</f>
        <v>90.69752205821176</v>
      </c>
      <c r="D57" s="69"/>
      <c r="E57" s="49">
        <f>E25/E26*100</f>
        <v>99.140240203809299</v>
      </c>
      <c r="F57" s="49">
        <f t="shared" ref="F57:I57" si="9">F25/F26*100</f>
        <v>99.602972450919637</v>
      </c>
      <c r="G57" s="49">
        <f t="shared" si="9"/>
        <v>98.67810745813064</v>
      </c>
      <c r="H57" s="49">
        <f t="shared" si="9"/>
        <v>99.466403172636873</v>
      </c>
      <c r="I57" s="49">
        <f t="shared" si="9"/>
        <v>71.044140388862161</v>
      </c>
      <c r="J57" s="38"/>
    </row>
    <row r="58" spans="1:10" ht="15.6" x14ac:dyDescent="0.35">
      <c r="A58" s="3" t="s">
        <v>19</v>
      </c>
      <c r="B58" s="49" t="s">
        <v>47</v>
      </c>
      <c r="C58" s="69">
        <f>(C56+C57)/2</f>
        <v>113.79843274860966</v>
      </c>
      <c r="D58" s="69"/>
      <c r="E58" s="49">
        <f>(E56+E57)/2</f>
        <v>106.73897017468485</v>
      </c>
      <c r="F58" s="49">
        <f t="shared" ref="F58:I58" si="10">(F56+F57)/2</f>
        <v>157.93502188555087</v>
      </c>
      <c r="G58" s="49">
        <f t="shared" si="10"/>
        <v>112.42924252589094</v>
      </c>
      <c r="H58" s="49">
        <f t="shared" si="10"/>
        <v>125.12222096388743</v>
      </c>
      <c r="I58" s="49">
        <f t="shared" si="10"/>
        <v>125.52207019443108</v>
      </c>
      <c r="J58" s="38"/>
    </row>
    <row r="59" spans="1:10" ht="15.6" x14ac:dyDescent="0.35">
      <c r="A59" s="3"/>
      <c r="B59" s="49"/>
      <c r="C59" s="49"/>
      <c r="D59" s="49"/>
      <c r="E59" s="49"/>
      <c r="F59" s="49"/>
      <c r="G59" s="49"/>
      <c r="H59" s="49"/>
      <c r="I59" s="49"/>
      <c r="J59" s="38"/>
    </row>
    <row r="60" spans="1:10" ht="15.6" x14ac:dyDescent="0.35">
      <c r="A60" s="4" t="s">
        <v>30</v>
      </c>
      <c r="B60" s="49"/>
      <c r="C60" s="49"/>
      <c r="D60" s="49"/>
      <c r="E60" s="49"/>
      <c r="F60" s="49"/>
      <c r="G60" s="49"/>
      <c r="H60" s="49"/>
      <c r="I60" s="49"/>
      <c r="J60" s="38"/>
    </row>
    <row r="61" spans="1:10" ht="15.6" x14ac:dyDescent="0.35">
      <c r="A61" s="3" t="s">
        <v>20</v>
      </c>
      <c r="B61" s="49">
        <f>B27/B25*100</f>
        <v>100</v>
      </c>
      <c r="C61" s="69">
        <f>C27/C25*100</f>
        <v>100</v>
      </c>
      <c r="D61" s="69"/>
      <c r="E61" s="49">
        <f>E27/E25*100</f>
        <v>100</v>
      </c>
      <c r="F61" s="49">
        <f t="shared" ref="F61:I61" si="11">F27/F25*100</f>
        <v>100</v>
      </c>
      <c r="G61" s="49">
        <f t="shared" si="11"/>
        <v>100</v>
      </c>
      <c r="H61" s="49">
        <f t="shared" si="11"/>
        <v>100</v>
      </c>
      <c r="I61" s="49">
        <f t="shared" si="11"/>
        <v>100</v>
      </c>
      <c r="J61" s="38"/>
    </row>
    <row r="62" spans="1:10" ht="15.6" x14ac:dyDescent="0.35">
      <c r="A62" s="3"/>
      <c r="B62" s="49"/>
      <c r="C62" s="49"/>
      <c r="D62" s="49"/>
      <c r="E62" s="49"/>
      <c r="F62" s="49"/>
      <c r="G62" s="49"/>
      <c r="H62" s="49"/>
      <c r="I62" s="49"/>
      <c r="J62" s="38"/>
    </row>
    <row r="63" spans="1:10" ht="15.6" x14ac:dyDescent="0.35">
      <c r="A63" s="4" t="s">
        <v>21</v>
      </c>
      <c r="B63" s="49"/>
      <c r="C63" s="49"/>
      <c r="D63" s="49"/>
      <c r="E63" s="49"/>
      <c r="F63" s="49"/>
      <c r="G63" s="49"/>
      <c r="H63" s="49"/>
      <c r="I63" s="49"/>
      <c r="J63" s="38"/>
    </row>
    <row r="64" spans="1:10" ht="15.6" x14ac:dyDescent="0.35">
      <c r="A64" s="3" t="s">
        <v>22</v>
      </c>
      <c r="B64" s="47">
        <f>((B18/B15)-1)*100</f>
        <v>45.05688926395581</v>
      </c>
      <c r="C64" s="67">
        <f>((D18/D15)-1)*100</f>
        <v>12.615399085489386</v>
      </c>
      <c r="D64" s="67"/>
      <c r="E64" s="47">
        <f>((E18/E15)-1)*100</f>
        <v>7.6764907470870503</v>
      </c>
      <c r="F64" s="47">
        <f t="shared" ref="F64:H64" si="12">((F18/F15)-1)*100</f>
        <v>65.393988627132416</v>
      </c>
      <c r="G64" s="47">
        <f t="shared" si="12"/>
        <v>44.051862445462397</v>
      </c>
      <c r="H64" s="47">
        <f t="shared" si="12"/>
        <v>-1.0119506553585178</v>
      </c>
      <c r="I64" s="47" t="s">
        <v>47</v>
      </c>
      <c r="J64" s="38"/>
    </row>
    <row r="65" spans="1:10" ht="15.6" x14ac:dyDescent="0.35">
      <c r="A65" s="3" t="s">
        <v>23</v>
      </c>
      <c r="B65" s="47">
        <f>((B40/B39)-1)*100</f>
        <v>15.358438226075277</v>
      </c>
      <c r="C65" s="67">
        <f>((C40/C39)-1)*100</f>
        <v>16.031216602226237</v>
      </c>
      <c r="D65" s="67"/>
      <c r="E65" s="47">
        <f>((E40/E39)-1)*100</f>
        <v>-0.2276665844079373</v>
      </c>
      <c r="F65" s="47">
        <f t="shared" ref="F65:H65" si="13">((F40/F39)-1)*100</f>
        <v>-13.711232696166398</v>
      </c>
      <c r="G65" s="47">
        <f t="shared" si="13"/>
        <v>21.948157187058982</v>
      </c>
      <c r="H65" s="47">
        <f t="shared" si="13"/>
        <v>3.7900590236982001</v>
      </c>
      <c r="I65" s="47" t="s">
        <v>47</v>
      </c>
      <c r="J65" s="38"/>
    </row>
    <row r="66" spans="1:10" ht="15.6" x14ac:dyDescent="0.35">
      <c r="A66" s="3" t="s">
        <v>24</v>
      </c>
      <c r="B66" s="47">
        <f>((B42/B41)-1)*100</f>
        <v>-20.473657741163287</v>
      </c>
      <c r="C66" s="67">
        <f>((C42/C41)-1)*100</f>
        <v>3.0331709024480791</v>
      </c>
      <c r="D66" s="67"/>
      <c r="E66" s="47">
        <f>((E42/E41)-1)*100</f>
        <v>-7.3406527986321972</v>
      </c>
      <c r="F66" s="47">
        <f t="shared" ref="F66:G66" si="14">((F42/F41)-1)*100</f>
        <v>-47.828353363939513</v>
      </c>
      <c r="G66" s="47">
        <f t="shared" si="14"/>
        <v>-15.344268989768761</v>
      </c>
      <c r="H66" s="47">
        <f>((H42/H41)-1)*100</f>
        <v>4.8511004215648246</v>
      </c>
      <c r="I66" s="47" t="s">
        <v>47</v>
      </c>
      <c r="J66" s="38"/>
    </row>
    <row r="67" spans="1:10" ht="15.6" x14ac:dyDescent="0.35">
      <c r="A67" s="3"/>
      <c r="B67" s="49"/>
      <c r="C67" s="49"/>
      <c r="D67" s="49"/>
      <c r="E67" s="49"/>
      <c r="F67" s="49"/>
      <c r="G67" s="49"/>
      <c r="H67" s="49"/>
      <c r="I67" s="49"/>
      <c r="J67" s="38"/>
    </row>
    <row r="68" spans="1:10" ht="15.6" x14ac:dyDescent="0.35">
      <c r="A68" s="4" t="s">
        <v>25</v>
      </c>
      <c r="B68" s="49"/>
      <c r="C68" s="49"/>
      <c r="D68" s="49"/>
      <c r="E68" s="49"/>
      <c r="F68" s="49"/>
      <c r="G68" s="49"/>
      <c r="H68" s="49"/>
      <c r="I68" s="49"/>
      <c r="J68" s="38"/>
    </row>
    <row r="69" spans="1:10" ht="15.6" x14ac:dyDescent="0.35">
      <c r="A69" s="3" t="s">
        <v>39</v>
      </c>
      <c r="B69" s="49">
        <f>(B24/B17)*12</f>
        <v>645912.34922560991</v>
      </c>
      <c r="C69" s="69">
        <f>(C24/D17)*12</f>
        <v>420000</v>
      </c>
      <c r="D69" s="69"/>
      <c r="E69" s="49">
        <f>(E24/E17)*12</f>
        <v>1200000</v>
      </c>
      <c r="F69" s="49">
        <f t="shared" ref="F69:G69" si="15">(F24/F17)*12</f>
        <v>900000</v>
      </c>
      <c r="G69" s="49">
        <f t="shared" si="15"/>
        <v>900000</v>
      </c>
      <c r="H69" s="49">
        <f>(H24/H17)*12</f>
        <v>1560000</v>
      </c>
      <c r="I69" s="49">
        <f>(I24/I17)*5</f>
        <v>1640000</v>
      </c>
      <c r="J69" s="38"/>
    </row>
    <row r="70" spans="1:10" ht="15.6" x14ac:dyDescent="0.35">
      <c r="A70" s="3" t="s">
        <v>40</v>
      </c>
      <c r="B70" s="49">
        <f>(B25/B19)*12</f>
        <v>638665.915312786</v>
      </c>
      <c r="C70" s="69">
        <f>(C25/D19)*12</f>
        <v>335451.56961819215</v>
      </c>
      <c r="D70" s="69"/>
      <c r="E70" s="49">
        <f>(E25/E19)*12</f>
        <v>1318705.8428023937</v>
      </c>
      <c r="F70" s="49">
        <f t="shared" ref="F70:G70" si="16">(F25/F19)*12</f>
        <v>1046034.0561376582</v>
      </c>
      <c r="G70" s="49">
        <f t="shared" si="16"/>
        <v>1517126.1189539279</v>
      </c>
      <c r="H70" s="49">
        <f>(H25/H19)*12</f>
        <v>1302257.7973409649</v>
      </c>
      <c r="I70" s="49">
        <f>(I25/I19)*5</f>
        <v>1192879.3138270327</v>
      </c>
      <c r="J70" s="38"/>
    </row>
    <row r="71" spans="1:10" ht="15.6" x14ac:dyDescent="0.35">
      <c r="A71" s="3" t="s">
        <v>26</v>
      </c>
      <c r="B71" s="49" t="s">
        <v>47</v>
      </c>
      <c r="C71" s="69">
        <f>(C70/C69)*D53</f>
        <v>90.890149727646175</v>
      </c>
      <c r="D71" s="69"/>
      <c r="E71" s="49">
        <f>(E70/E69)*E53</f>
        <v>117.29775302005613</v>
      </c>
      <c r="F71" s="49">
        <f t="shared" ref="F71:H71" si="17">(F70/F69)*F53</f>
        <v>183.56156838792509</v>
      </c>
      <c r="G71" s="49">
        <f t="shared" si="17"/>
        <v>189.52148930026092</v>
      </c>
      <c r="H71" s="49">
        <f t="shared" si="17"/>
        <v>104.44960760951381</v>
      </c>
      <c r="I71" s="49">
        <f>(I70/I69)*I53</f>
        <v>91.300415221757063</v>
      </c>
      <c r="J71" s="38"/>
    </row>
    <row r="72" spans="1:10" ht="15.6" x14ac:dyDescent="0.35">
      <c r="A72" s="3" t="s">
        <v>33</v>
      </c>
      <c r="B72" s="49">
        <f>B24/B17</f>
        <v>53826.029102134162</v>
      </c>
      <c r="C72" s="69">
        <f>C24/D17</f>
        <v>35000</v>
      </c>
      <c r="D72" s="69"/>
      <c r="E72" s="49">
        <f>E24/E17</f>
        <v>100000</v>
      </c>
      <c r="F72" s="49">
        <f t="shared" ref="F72:H72" si="18">F24/F17</f>
        <v>75000</v>
      </c>
      <c r="G72" s="49">
        <f t="shared" si="18"/>
        <v>75000</v>
      </c>
      <c r="H72" s="49">
        <f t="shared" si="18"/>
        <v>130000</v>
      </c>
      <c r="I72" s="49">
        <f>I24/I17</f>
        <v>328000</v>
      </c>
      <c r="J72" s="38"/>
    </row>
    <row r="73" spans="1:10" ht="15.6" x14ac:dyDescent="0.35">
      <c r="A73" s="3" t="s">
        <v>34</v>
      </c>
      <c r="B73" s="49">
        <f>B25/B19</f>
        <v>53222.159609398834</v>
      </c>
      <c r="C73" s="69">
        <f>C25/D19</f>
        <v>27954.297468182682</v>
      </c>
      <c r="D73" s="69"/>
      <c r="E73" s="49">
        <f>E25/E19</f>
        <v>109892.15356686614</v>
      </c>
      <c r="F73" s="49">
        <f t="shared" ref="F73:H73" si="19">F25/F19</f>
        <v>87169.504678138182</v>
      </c>
      <c r="G73" s="49">
        <f t="shared" si="19"/>
        <v>126427.176579494</v>
      </c>
      <c r="H73" s="49">
        <f t="shared" si="19"/>
        <v>108521.48311174707</v>
      </c>
      <c r="I73" s="49">
        <f>I25/I19</f>
        <v>238575.86276540655</v>
      </c>
      <c r="J73" s="38"/>
    </row>
    <row r="74" spans="1:10" ht="15.6" x14ac:dyDescent="0.35">
      <c r="A74" s="3"/>
      <c r="B74" s="49"/>
      <c r="C74" s="49"/>
      <c r="D74" s="49"/>
      <c r="E74" s="49"/>
      <c r="F74" s="49"/>
      <c r="G74" s="49"/>
      <c r="H74" s="49"/>
      <c r="I74" s="49"/>
      <c r="J74" s="38"/>
    </row>
    <row r="75" spans="1:10" ht="15.6" x14ac:dyDescent="0.35">
      <c r="A75" s="4" t="s">
        <v>27</v>
      </c>
      <c r="B75" s="49"/>
      <c r="C75" s="49"/>
      <c r="D75" s="49"/>
      <c r="E75" s="49"/>
      <c r="F75" s="49"/>
      <c r="G75" s="49"/>
      <c r="H75" s="49"/>
      <c r="I75" s="49"/>
      <c r="J75" s="38"/>
    </row>
    <row r="76" spans="1:10" ht="15.6" x14ac:dyDescent="0.35">
      <c r="A76" s="3" t="s">
        <v>28</v>
      </c>
      <c r="B76" s="49">
        <f>(B31/B30)*100</f>
        <v>98.994362850426143</v>
      </c>
      <c r="C76" s="49"/>
      <c r="D76" s="49"/>
      <c r="E76" s="49"/>
      <c r="F76" s="49"/>
      <c r="G76" s="49"/>
      <c r="H76" s="49"/>
      <c r="I76" s="49"/>
      <c r="J76" s="38"/>
    </row>
    <row r="77" spans="1:10" ht="15.6" x14ac:dyDescent="0.35">
      <c r="A77" s="3" t="s">
        <v>29</v>
      </c>
      <c r="B77" s="49">
        <f>(B25/B31)*100</f>
        <v>96.508546633612568</v>
      </c>
      <c r="C77" s="49"/>
      <c r="D77" s="49"/>
      <c r="E77" s="49"/>
      <c r="F77" s="49"/>
      <c r="G77" s="49"/>
      <c r="H77" s="49"/>
      <c r="I77" s="49"/>
      <c r="J77" s="38"/>
    </row>
    <row r="78" spans="1:10" ht="16.2" thickBot="1" x14ac:dyDescent="0.4">
      <c r="A78" s="9"/>
      <c r="B78" s="18"/>
      <c r="C78" s="18"/>
      <c r="D78" s="18"/>
      <c r="E78" s="18"/>
      <c r="F78" s="18"/>
      <c r="G78" s="18"/>
      <c r="H78" s="18"/>
      <c r="I78" s="18"/>
      <c r="J78" s="22"/>
    </row>
    <row r="79" spans="1:10" ht="17.25" customHeight="1" thickTop="1" x14ac:dyDescent="0.3">
      <c r="A79" s="52" t="s">
        <v>94</v>
      </c>
      <c r="B79" s="52"/>
      <c r="C79" s="52"/>
      <c r="D79" s="52"/>
      <c r="E79" s="52"/>
      <c r="F79" s="52"/>
      <c r="G79" s="52"/>
      <c r="H79" s="52"/>
      <c r="I79" s="52"/>
    </row>
    <row r="80" spans="1:10" s="34" customFormat="1" x14ac:dyDescent="0.3"/>
    <row r="81" spans="1:9" ht="96.6" customHeight="1" x14ac:dyDescent="0.3">
      <c r="A81" s="53" t="s">
        <v>135</v>
      </c>
      <c r="B81" s="53"/>
      <c r="C81" s="53"/>
      <c r="D81" s="53"/>
      <c r="E81" s="53"/>
      <c r="F81" s="53"/>
      <c r="G81" s="53"/>
      <c r="H81" s="53"/>
      <c r="I81" s="53"/>
    </row>
    <row r="82" spans="1:9" s="34" customFormat="1" x14ac:dyDescent="0.3"/>
  </sheetData>
  <mergeCells count="31">
    <mergeCell ref="C47:D47"/>
    <mergeCell ref="C48:D48"/>
    <mergeCell ref="C65:D65"/>
    <mergeCell ref="C42:D42"/>
    <mergeCell ref="C27:D27"/>
    <mergeCell ref="C36:D36"/>
    <mergeCell ref="C39:D39"/>
    <mergeCell ref="C40:D40"/>
    <mergeCell ref="C41:D41"/>
    <mergeCell ref="C28:D28"/>
    <mergeCell ref="C66:D66"/>
    <mergeCell ref="C64:D64"/>
    <mergeCell ref="C56:D56"/>
    <mergeCell ref="C57:D57"/>
    <mergeCell ref="C58:D58"/>
    <mergeCell ref="C61:D61"/>
    <mergeCell ref="A9:A10"/>
    <mergeCell ref="C26:D26"/>
    <mergeCell ref="B9:B10"/>
    <mergeCell ref="C23:D23"/>
    <mergeCell ref="C24:D24"/>
    <mergeCell ref="C25:D25"/>
    <mergeCell ref="C10:D10"/>
    <mergeCell ref="C9:I9"/>
    <mergeCell ref="A79:I79"/>
    <mergeCell ref="A81:I81"/>
    <mergeCell ref="C69:D69"/>
    <mergeCell ref="C72:D72"/>
    <mergeCell ref="C73:D73"/>
    <mergeCell ref="C71:D71"/>
    <mergeCell ref="C70:D70"/>
  </mergeCells>
  <pageMargins left="0.7" right="0.7" top="0.75" bottom="0.75" header="0.3" footer="0.3"/>
  <pageSetup orientation="portrait" r:id="rId1"/>
  <ignoredErrors>
    <ignoredError sqref="C23:D24 D27 C25:D26" formulaRange="1"/>
  </ignoredErrors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I Trimestre</vt:lpstr>
      <vt:lpstr>II Trimestre</vt:lpstr>
      <vt:lpstr>I Semestre</vt:lpstr>
      <vt:lpstr>III Trimestre</vt:lpstr>
      <vt:lpstr>III T Acumulado</vt:lpstr>
      <vt:lpstr>IV Trimestre</vt:lpstr>
      <vt:lpstr>Anual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Astorga</dc:creator>
  <cp:lastModifiedBy>Stephanie Tatiana Salas Soto</cp:lastModifiedBy>
  <cp:lastPrinted>2012-11-21T16:57:56Z</cp:lastPrinted>
  <dcterms:created xsi:type="dcterms:W3CDTF">2012-04-24T21:09:42Z</dcterms:created>
  <dcterms:modified xsi:type="dcterms:W3CDTF">2026-01-03T12:46:51Z</dcterms:modified>
</cp:coreProperties>
</file>