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907DF87F-383F-4A22-944B-D18A5D08C46C}" xr6:coauthVersionLast="47" xr6:coauthVersionMax="47" xr10:uidLastSave="{00000000-0000-0000-0000-000000000000}"/>
  <bookViews>
    <workbookView xWindow="-108" yWindow="-108" windowWidth="23256" windowHeight="13896" tabRatio="721" xr2:uid="{00000000-000D-0000-FFFF-FFFF00000000}"/>
  </bookViews>
  <sheets>
    <sheet name="I Trimestre" sheetId="8" r:id="rId1"/>
    <sheet name="II Trimestre" sheetId="2" r:id="rId2"/>
    <sheet name="I Semestre" sheetId="5" r:id="rId3"/>
    <sheet name="III Trimestre" sheetId="3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9" i="7" l="1"/>
  <c r="F68" i="7" l="1"/>
  <c r="F67" i="7"/>
  <c r="F67" i="6"/>
  <c r="F70" i="7"/>
  <c r="F71" i="7"/>
  <c r="D68" i="7"/>
  <c r="D67" i="7"/>
  <c r="C67" i="7"/>
  <c r="F50" i="4"/>
  <c r="F51" i="4"/>
  <c r="D50" i="4"/>
  <c r="B21" i="7" l="1"/>
  <c r="B28" i="4" l="1"/>
  <c r="F62" i="8" l="1"/>
  <c r="E62" i="8"/>
  <c r="F63" i="8"/>
  <c r="F64" i="8"/>
  <c r="E59" i="8"/>
  <c r="E68" i="4" l="1"/>
  <c r="E67" i="4"/>
  <c r="F68" i="4"/>
  <c r="F67" i="4"/>
  <c r="B18" i="4" l="1"/>
  <c r="B18" i="7" s="1"/>
  <c r="B17" i="4"/>
  <c r="B16" i="4"/>
  <c r="B18" i="3"/>
  <c r="B18" i="6" s="1"/>
  <c r="B16" i="3"/>
  <c r="B18" i="5"/>
  <c r="B16" i="2"/>
  <c r="B16" i="5" s="1"/>
  <c r="B17" i="2"/>
  <c r="B18" i="2"/>
  <c r="B16" i="8"/>
  <c r="B17" i="8"/>
  <c r="B18" i="8"/>
  <c r="B16" i="6" l="1"/>
  <c r="B16" i="7"/>
  <c r="C15" i="7"/>
  <c r="C16" i="6" l="1"/>
  <c r="C18" i="6"/>
  <c r="F68" i="8" l="1"/>
  <c r="F67" i="8"/>
  <c r="E68" i="8"/>
  <c r="E67" i="8"/>
  <c r="D68" i="8"/>
  <c r="D67" i="8"/>
  <c r="B29" i="7" l="1"/>
  <c r="F62" i="4" l="1"/>
  <c r="E62" i="4"/>
  <c r="D62" i="4"/>
  <c r="F62" i="3"/>
  <c r="E62" i="3"/>
  <c r="D62" i="3"/>
  <c r="F62" i="2"/>
  <c r="E62" i="2"/>
  <c r="D62" i="2"/>
  <c r="C62" i="2"/>
  <c r="D62" i="8"/>
  <c r="C62" i="4" l="1"/>
  <c r="F22" i="7" l="1"/>
  <c r="D22" i="7"/>
  <c r="E25" i="3" l="1"/>
  <c r="F25" i="3"/>
  <c r="D25" i="3"/>
  <c r="E25" i="2"/>
  <c r="F25" i="2"/>
  <c r="D25" i="2"/>
  <c r="C15" i="5" l="1"/>
  <c r="E22" i="7" l="1"/>
  <c r="B22" i="7" s="1"/>
  <c r="B15" i="4" l="1"/>
  <c r="B15" i="3"/>
  <c r="B15" i="2"/>
  <c r="B15" i="8"/>
  <c r="B15" i="6" l="1"/>
  <c r="B15" i="7"/>
  <c r="B15" i="5"/>
  <c r="D21" i="7"/>
  <c r="E25" i="4"/>
  <c r="E59" i="4" s="1"/>
  <c r="F25" i="4"/>
  <c r="F59" i="4" s="1"/>
  <c r="E59" i="3"/>
  <c r="F59" i="3"/>
  <c r="E59" i="2"/>
  <c r="F59" i="2"/>
  <c r="F25" i="8"/>
  <c r="F59" i="8" s="1"/>
  <c r="E25" i="8"/>
  <c r="B54" i="4"/>
  <c r="B17" i="3"/>
  <c r="B54" i="2"/>
  <c r="F21" i="5"/>
  <c r="F37" i="5" s="1"/>
  <c r="E21" i="5"/>
  <c r="E37" i="5" s="1"/>
  <c r="D21" i="5"/>
  <c r="D37" i="5" s="1"/>
  <c r="F71" i="4"/>
  <c r="E71" i="4"/>
  <c r="D71" i="4"/>
  <c r="F70" i="4"/>
  <c r="E70" i="4"/>
  <c r="D70" i="4"/>
  <c r="D68" i="4"/>
  <c r="D67" i="4"/>
  <c r="F71" i="3"/>
  <c r="E71" i="3"/>
  <c r="D71" i="3"/>
  <c r="F70" i="3"/>
  <c r="E70" i="3"/>
  <c r="D70" i="3"/>
  <c r="F68" i="3"/>
  <c r="E68" i="3"/>
  <c r="D68" i="3"/>
  <c r="F67" i="3"/>
  <c r="E67" i="3"/>
  <c r="D67" i="3"/>
  <c r="F71" i="2"/>
  <c r="E71" i="2"/>
  <c r="D71" i="2"/>
  <c r="F70" i="2"/>
  <c r="E70" i="2"/>
  <c r="D70" i="2"/>
  <c r="F68" i="2"/>
  <c r="E68" i="2"/>
  <c r="D68" i="2"/>
  <c r="F67" i="2"/>
  <c r="E67" i="2"/>
  <c r="D67" i="2"/>
  <c r="F71" i="8"/>
  <c r="E71" i="8"/>
  <c r="F70" i="8"/>
  <c r="E70" i="8"/>
  <c r="D70" i="8"/>
  <c r="F55" i="4"/>
  <c r="F56" i="4" s="1"/>
  <c r="E55" i="4"/>
  <c r="E56" i="4" s="1"/>
  <c r="D55" i="4"/>
  <c r="D56" i="4" s="1"/>
  <c r="C54" i="4"/>
  <c r="C56" i="4" s="1"/>
  <c r="F55" i="3"/>
  <c r="F56" i="3" s="1"/>
  <c r="E55" i="3"/>
  <c r="E56" i="3" s="1"/>
  <c r="D55" i="3"/>
  <c r="D56" i="3" s="1"/>
  <c r="C54" i="3"/>
  <c r="C56" i="3" s="1"/>
  <c r="F55" i="2"/>
  <c r="F56" i="2" s="1"/>
  <c r="E55" i="2"/>
  <c r="E56" i="2" s="1"/>
  <c r="D55" i="2"/>
  <c r="D56" i="2" s="1"/>
  <c r="C54" i="2"/>
  <c r="C56" i="2" s="1"/>
  <c r="F55" i="8"/>
  <c r="F56" i="8" s="1"/>
  <c r="E55" i="8"/>
  <c r="E56" i="8" s="1"/>
  <c r="C54" i="8"/>
  <c r="C56" i="8" s="1"/>
  <c r="B29" i="6"/>
  <c r="E21" i="6"/>
  <c r="E37" i="6" s="1"/>
  <c r="F21" i="6"/>
  <c r="F37" i="6" s="1"/>
  <c r="D21" i="6"/>
  <c r="D37" i="6" s="1"/>
  <c r="D51" i="4"/>
  <c r="C49" i="4"/>
  <c r="C51" i="4" s="1"/>
  <c r="D38" i="4"/>
  <c r="D40" i="4" s="1"/>
  <c r="E38" i="4"/>
  <c r="F38" i="4"/>
  <c r="D37" i="4"/>
  <c r="D39" i="4" s="1"/>
  <c r="E37" i="4"/>
  <c r="F37" i="4"/>
  <c r="C62" i="3"/>
  <c r="C49" i="3"/>
  <c r="C51" i="3" s="1"/>
  <c r="D50" i="3"/>
  <c r="D51" i="3" s="1"/>
  <c r="F50" i="3"/>
  <c r="F51" i="3" s="1"/>
  <c r="D38" i="3"/>
  <c r="D40" i="3" s="1"/>
  <c r="E38" i="3"/>
  <c r="F38" i="3"/>
  <c r="F40" i="3" s="1"/>
  <c r="D37" i="3"/>
  <c r="D39" i="3" s="1"/>
  <c r="E37" i="3"/>
  <c r="E39" i="3" s="1"/>
  <c r="F37" i="3"/>
  <c r="F39" i="3" s="1"/>
  <c r="E23" i="5"/>
  <c r="F23" i="5"/>
  <c r="F25" i="5" s="1"/>
  <c r="F59" i="5" s="1"/>
  <c r="E22" i="5"/>
  <c r="F22" i="5"/>
  <c r="D22" i="5"/>
  <c r="D50" i="2"/>
  <c r="D51" i="2" s="1"/>
  <c r="F50" i="2"/>
  <c r="F51" i="2" s="1"/>
  <c r="F37" i="2"/>
  <c r="F39" i="2" s="1"/>
  <c r="E37" i="2"/>
  <c r="E39" i="2" s="1"/>
  <c r="D37" i="2"/>
  <c r="D39" i="2" s="1"/>
  <c r="E37" i="8"/>
  <c r="E39" i="8" s="1"/>
  <c r="F37" i="8"/>
  <c r="F39" i="8" s="1"/>
  <c r="D37" i="8"/>
  <c r="D39" i="8" s="1"/>
  <c r="F38" i="2"/>
  <c r="E38" i="2"/>
  <c r="E40" i="2" s="1"/>
  <c r="D38" i="2"/>
  <c r="D40" i="2" s="1"/>
  <c r="C18" i="7"/>
  <c r="C16" i="7"/>
  <c r="C17" i="7"/>
  <c r="C15" i="6"/>
  <c r="C17" i="6"/>
  <c r="C18" i="5"/>
  <c r="C16" i="5"/>
  <c r="C17" i="5"/>
  <c r="C49" i="2"/>
  <c r="C51" i="2" s="1"/>
  <c r="C62" i="8"/>
  <c r="C49" i="8"/>
  <c r="C51" i="8" s="1"/>
  <c r="D59" i="3"/>
  <c r="D59" i="2"/>
  <c r="B21" i="8"/>
  <c r="D25" i="4"/>
  <c r="D59" i="4" s="1"/>
  <c r="B22" i="4"/>
  <c r="B67" i="4" s="1"/>
  <c r="B23" i="4"/>
  <c r="B24" i="4"/>
  <c r="E21" i="7"/>
  <c r="E37" i="7" s="1"/>
  <c r="E39" i="7" s="1"/>
  <c r="F21" i="7"/>
  <c r="F37" i="7" s="1"/>
  <c r="B21" i="4"/>
  <c r="B37" i="4" s="1"/>
  <c r="B39" i="4" s="1"/>
  <c r="B21" i="3"/>
  <c r="B37" i="3" s="1"/>
  <c r="B39" i="3" s="1"/>
  <c r="B21" i="2"/>
  <c r="B37" i="2" s="1"/>
  <c r="B39" i="2" s="1"/>
  <c r="E24" i="5"/>
  <c r="F24" i="5"/>
  <c r="D24" i="5"/>
  <c r="E24" i="6"/>
  <c r="F24" i="6"/>
  <c r="D24" i="6"/>
  <c r="E23" i="6"/>
  <c r="E25" i="6" s="1"/>
  <c r="E59" i="6" s="1"/>
  <c r="F23" i="6"/>
  <c r="E22" i="6"/>
  <c r="F22" i="6"/>
  <c r="D22" i="6"/>
  <c r="E24" i="7"/>
  <c r="F24" i="7"/>
  <c r="D24" i="7"/>
  <c r="B24" i="3"/>
  <c r="B23" i="3"/>
  <c r="B75" i="3" s="1"/>
  <c r="B22" i="3"/>
  <c r="C70" i="3" s="1"/>
  <c r="B24" i="2"/>
  <c r="B23" i="2"/>
  <c r="B75" i="2" s="1"/>
  <c r="B22" i="2"/>
  <c r="C70" i="2" s="1"/>
  <c r="B24" i="8"/>
  <c r="B22" i="8"/>
  <c r="B28" i="8" s="1"/>
  <c r="B67" i="7"/>
  <c r="B49" i="4"/>
  <c r="E23" i="7"/>
  <c r="E25" i="7" s="1"/>
  <c r="E59" i="7" s="1"/>
  <c r="F23" i="7"/>
  <c r="B29" i="5"/>
  <c r="F38" i="8"/>
  <c r="E38" i="8"/>
  <c r="E40" i="8" s="1"/>
  <c r="F50" i="8"/>
  <c r="F51" i="8" s="1"/>
  <c r="E50" i="8"/>
  <c r="E51" i="8" s="1"/>
  <c r="D71" i="8"/>
  <c r="D55" i="8"/>
  <c r="D56" i="8" s="1"/>
  <c r="D50" i="8"/>
  <c r="D51" i="8" s="1"/>
  <c r="D23" i="5"/>
  <c r="D25" i="5" s="1"/>
  <c r="D59" i="5" s="1"/>
  <c r="D25" i="8"/>
  <c r="D59" i="8" s="1"/>
  <c r="D38" i="8"/>
  <c r="D23" i="6"/>
  <c r="D25" i="6" s="1"/>
  <c r="D59" i="6" s="1"/>
  <c r="D23" i="7"/>
  <c r="B23" i="8"/>
  <c r="C68" i="8" s="1"/>
  <c r="B49" i="3" l="1"/>
  <c r="B17" i="6"/>
  <c r="E68" i="7"/>
  <c r="E67" i="7"/>
  <c r="E63" i="4"/>
  <c r="F39" i="4"/>
  <c r="F63" i="4"/>
  <c r="B49" i="2"/>
  <c r="D67" i="5"/>
  <c r="D67" i="6"/>
  <c r="D68" i="5"/>
  <c r="D62" i="5"/>
  <c r="F62" i="5"/>
  <c r="E62" i="5"/>
  <c r="D68" i="6"/>
  <c r="D62" i="6"/>
  <c r="F62" i="6"/>
  <c r="E62" i="6"/>
  <c r="C62" i="7"/>
  <c r="D62" i="7"/>
  <c r="F62" i="7"/>
  <c r="E62" i="7"/>
  <c r="F39" i="7"/>
  <c r="B74" i="8"/>
  <c r="B24" i="7"/>
  <c r="B62" i="3"/>
  <c r="C70" i="8"/>
  <c r="B67" i="8"/>
  <c r="C67" i="8"/>
  <c r="C69" i="8" s="1"/>
  <c r="B23" i="7"/>
  <c r="B70" i="8"/>
  <c r="B68" i="8"/>
  <c r="D37" i="7"/>
  <c r="D39" i="7" s="1"/>
  <c r="B37" i="7"/>
  <c r="B39" i="7" s="1"/>
  <c r="F68" i="5"/>
  <c r="E68" i="5"/>
  <c r="E67" i="6"/>
  <c r="F67" i="5"/>
  <c r="E67" i="5"/>
  <c r="F68" i="6"/>
  <c r="E68" i="6"/>
  <c r="B62" i="4"/>
  <c r="E40" i="4"/>
  <c r="B37" i="8"/>
  <c r="B39" i="8" s="1"/>
  <c r="C71" i="8"/>
  <c r="B75" i="8"/>
  <c r="C49" i="7"/>
  <c r="C51" i="7" s="1"/>
  <c r="C68" i="4"/>
  <c r="B75" i="4"/>
  <c r="B54" i="3"/>
  <c r="B68" i="3"/>
  <c r="D63" i="8"/>
  <c r="D55" i="7"/>
  <c r="D56" i="7" s="1"/>
  <c r="D70" i="6"/>
  <c r="F70" i="6"/>
  <c r="D70" i="5"/>
  <c r="E70" i="6"/>
  <c r="C54" i="5"/>
  <c r="C56" i="5" s="1"/>
  <c r="D50" i="5"/>
  <c r="D51" i="5" s="1"/>
  <c r="D55" i="5"/>
  <c r="D56" i="5" s="1"/>
  <c r="B50" i="8"/>
  <c r="D55" i="6"/>
  <c r="D56" i="6" s="1"/>
  <c r="D38" i="5"/>
  <c r="D40" i="5" s="1"/>
  <c r="E63" i="2"/>
  <c r="B28" i="3"/>
  <c r="B74" i="3" s="1"/>
  <c r="C67" i="3"/>
  <c r="C71" i="4"/>
  <c r="D38" i="6"/>
  <c r="D40" i="6" s="1"/>
  <c r="B62" i="2"/>
  <c r="C49" i="5"/>
  <c r="C51" i="5" s="1"/>
  <c r="C62" i="5"/>
  <c r="E50" i="7"/>
  <c r="E51" i="7" s="1"/>
  <c r="B55" i="8"/>
  <c r="B38" i="8"/>
  <c r="B40" i="8" s="1"/>
  <c r="F55" i="5"/>
  <c r="F56" i="5" s="1"/>
  <c r="F71" i="5"/>
  <c r="F38" i="5"/>
  <c r="F63" i="5" s="1"/>
  <c r="F50" i="5"/>
  <c r="F51" i="5" s="1"/>
  <c r="B25" i="8"/>
  <c r="B59" i="8" s="1"/>
  <c r="D40" i="8"/>
  <c r="D64" i="8" s="1"/>
  <c r="B24" i="5"/>
  <c r="F39" i="6"/>
  <c r="D50" i="6"/>
  <c r="D51" i="6" s="1"/>
  <c r="B50" i="3"/>
  <c r="B51" i="3" s="1"/>
  <c r="B55" i="2"/>
  <c r="B56" i="2" s="1"/>
  <c r="E38" i="6"/>
  <c r="E40" i="6" s="1"/>
  <c r="B21" i="6"/>
  <c r="B37" i="6" s="1"/>
  <c r="B39" i="6" s="1"/>
  <c r="B25" i="3"/>
  <c r="B59" i="3" s="1"/>
  <c r="D63" i="2"/>
  <c r="F63" i="2"/>
  <c r="D64" i="4"/>
  <c r="D63" i="4"/>
  <c r="F50" i="7"/>
  <c r="F51" i="7" s="1"/>
  <c r="F55" i="7"/>
  <c r="F56" i="7" s="1"/>
  <c r="E55" i="7"/>
  <c r="E56" i="7" s="1"/>
  <c r="B25" i="4"/>
  <c r="B59" i="4" s="1"/>
  <c r="B38" i="4"/>
  <c r="B55" i="4"/>
  <c r="B56" i="4" s="1"/>
  <c r="C70" i="4"/>
  <c r="B70" i="4"/>
  <c r="E70" i="7"/>
  <c r="B50" i="4"/>
  <c r="B51" i="4" s="1"/>
  <c r="C67" i="4"/>
  <c r="B38" i="3"/>
  <c r="B63" i="3" s="1"/>
  <c r="C71" i="3"/>
  <c r="B24" i="6"/>
  <c r="E55" i="6"/>
  <c r="E56" i="6" s="1"/>
  <c r="E25" i="5"/>
  <c r="E59" i="5" s="1"/>
  <c r="E38" i="5"/>
  <c r="E63" i="5" s="1"/>
  <c r="E39" i="5"/>
  <c r="B49" i="8"/>
  <c r="B71" i="8"/>
  <c r="B71" i="3"/>
  <c r="B71" i="2"/>
  <c r="C71" i="2"/>
  <c r="C68" i="2"/>
  <c r="F64" i="3"/>
  <c r="F25" i="6"/>
  <c r="F59" i="6" s="1"/>
  <c r="D70" i="7"/>
  <c r="B62" i="8"/>
  <c r="F25" i="7"/>
  <c r="F59" i="7" s="1"/>
  <c r="F38" i="7"/>
  <c r="F63" i="7" s="1"/>
  <c r="B67" i="2"/>
  <c r="B71" i="4"/>
  <c r="B68" i="4"/>
  <c r="D39" i="5"/>
  <c r="E40" i="3"/>
  <c r="E64" i="3" s="1"/>
  <c r="E63" i="3"/>
  <c r="D71" i="7"/>
  <c r="C54" i="7"/>
  <c r="C56" i="7" s="1"/>
  <c r="D50" i="7"/>
  <c r="D51" i="7" s="1"/>
  <c r="B28" i="2"/>
  <c r="B74" i="2" s="1"/>
  <c r="F40" i="8"/>
  <c r="B22" i="5"/>
  <c r="B67" i="5" s="1"/>
  <c r="C68" i="3"/>
  <c r="E39" i="4"/>
  <c r="F40" i="4"/>
  <c r="B54" i="8"/>
  <c r="B17" i="5"/>
  <c r="B25" i="2"/>
  <c r="B59" i="2" s="1"/>
  <c r="C49" i="6"/>
  <c r="C51" i="6" s="1"/>
  <c r="B17" i="7"/>
  <c r="D71" i="6"/>
  <c r="D71" i="5"/>
  <c r="B74" i="4"/>
  <c r="B22" i="6"/>
  <c r="B21" i="5"/>
  <c r="B37" i="5" s="1"/>
  <c r="B39" i="5" s="1"/>
  <c r="F38" i="6"/>
  <c r="F40" i="6" s="1"/>
  <c r="F71" i="6"/>
  <c r="F55" i="6"/>
  <c r="F56" i="6" s="1"/>
  <c r="E71" i="6"/>
  <c r="B55" i="3"/>
  <c r="C54" i="6"/>
  <c r="C56" i="6" s="1"/>
  <c r="D63" i="3"/>
  <c r="F63" i="3"/>
  <c r="D64" i="3"/>
  <c r="B70" i="3"/>
  <c r="F50" i="6"/>
  <c r="F51" i="6" s="1"/>
  <c r="B67" i="3"/>
  <c r="E50" i="6"/>
  <c r="E51" i="6" s="1"/>
  <c r="D39" i="6"/>
  <c r="E39" i="6"/>
  <c r="B23" i="6"/>
  <c r="B75" i="6" s="1"/>
  <c r="B23" i="5"/>
  <c r="B75" i="5" s="1"/>
  <c r="B38" i="2"/>
  <c r="B40" i="2" s="1"/>
  <c r="B64" i="2" s="1"/>
  <c r="B50" i="2"/>
  <c r="B51" i="2" s="1"/>
  <c r="B68" i="2"/>
  <c r="E71" i="7"/>
  <c r="E50" i="5"/>
  <c r="E51" i="5" s="1"/>
  <c r="E38" i="7"/>
  <c r="E55" i="5"/>
  <c r="E56" i="5" s="1"/>
  <c r="E71" i="5"/>
  <c r="D38" i="7"/>
  <c r="D25" i="7"/>
  <c r="C62" i="6"/>
  <c r="B70" i="2"/>
  <c r="C67" i="2"/>
  <c r="E70" i="5"/>
  <c r="F70" i="5"/>
  <c r="F40" i="2"/>
  <c r="F64" i="2" s="1"/>
  <c r="D64" i="2"/>
  <c r="E64" i="2"/>
  <c r="F39" i="5"/>
  <c r="E64" i="4" l="1"/>
  <c r="B75" i="7"/>
  <c r="F64" i="4"/>
  <c r="B50" i="7"/>
  <c r="C68" i="7"/>
  <c r="B62" i="7"/>
  <c r="B68" i="7"/>
  <c r="B49" i="7"/>
  <c r="C67" i="5"/>
  <c r="C69" i="4"/>
  <c r="B56" i="3"/>
  <c r="C68" i="5"/>
  <c r="D59" i="7"/>
  <c r="B25" i="7"/>
  <c r="B59" i="7" s="1"/>
  <c r="B70" i="6"/>
  <c r="B67" i="6"/>
  <c r="B68" i="5"/>
  <c r="B68" i="6"/>
  <c r="B64" i="8"/>
  <c r="C68" i="6"/>
  <c r="C67" i="6"/>
  <c r="B69" i="3"/>
  <c r="C69" i="3"/>
  <c r="B40" i="3"/>
  <c r="B64" i="3" s="1"/>
  <c r="B63" i="2"/>
  <c r="C70" i="6"/>
  <c r="D63" i="5"/>
  <c r="D64" i="6"/>
  <c r="B51" i="8"/>
  <c r="B69" i="8" s="1"/>
  <c r="D63" i="6"/>
  <c r="F40" i="5"/>
  <c r="F64" i="5" s="1"/>
  <c r="D64" i="5"/>
  <c r="B63" i="8"/>
  <c r="C69" i="2"/>
  <c r="B56" i="8"/>
  <c r="B25" i="5"/>
  <c r="B59" i="5" s="1"/>
  <c r="F64" i="6"/>
  <c r="E64" i="6"/>
  <c r="B69" i="2"/>
  <c r="E40" i="5"/>
  <c r="E64" i="5" s="1"/>
  <c r="F63" i="6"/>
  <c r="E63" i="6"/>
  <c r="B25" i="6"/>
  <c r="B59" i="6" s="1"/>
  <c r="B40" i="4"/>
  <c r="B64" i="4" s="1"/>
  <c r="B63" i="4"/>
  <c r="C71" i="7"/>
  <c r="B38" i="7"/>
  <c r="B63" i="7" s="1"/>
  <c r="B55" i="7"/>
  <c r="B54" i="7"/>
  <c r="B71" i="7"/>
  <c r="B69" i="4"/>
  <c r="B70" i="5"/>
  <c r="B28" i="5"/>
  <c r="B28" i="6"/>
  <c r="C70" i="5"/>
  <c r="B54" i="5"/>
  <c r="B49" i="5"/>
  <c r="B62" i="5"/>
  <c r="F40" i="7"/>
  <c r="F64" i="7" s="1"/>
  <c r="B70" i="7"/>
  <c r="B28" i="7"/>
  <c r="C70" i="7"/>
  <c r="B49" i="6"/>
  <c r="B54" i="6"/>
  <c r="B62" i="6"/>
  <c r="C71" i="6"/>
  <c r="B50" i="6"/>
  <c r="B55" i="6"/>
  <c r="B71" i="6"/>
  <c r="B38" i="6"/>
  <c r="B55" i="5"/>
  <c r="B50" i="5"/>
  <c r="B71" i="5"/>
  <c r="B38" i="5"/>
  <c r="C71" i="5"/>
  <c r="E40" i="7"/>
  <c r="E64" i="7" s="1"/>
  <c r="E63" i="7"/>
  <c r="D40" i="7"/>
  <c r="D64" i="7" s="1"/>
  <c r="D63" i="7"/>
  <c r="B74" i="7" l="1"/>
  <c r="B74" i="6"/>
  <c r="B74" i="5"/>
  <c r="B40" i="7"/>
  <c r="B64" i="7" s="1"/>
  <c r="C69" i="5"/>
  <c r="B51" i="6"/>
  <c r="B69" i="6" s="1"/>
  <c r="C69" i="6"/>
  <c r="B51" i="7"/>
  <c r="B69" i="7" s="1"/>
  <c r="B51" i="5"/>
  <c r="B69" i="5" s="1"/>
  <c r="B56" i="7"/>
  <c r="B56" i="5"/>
  <c r="B56" i="6"/>
  <c r="B40" i="5"/>
  <c r="B64" i="5" s="1"/>
  <c r="B63" i="5"/>
  <c r="B40" i="6"/>
  <c r="B64" i="6" s="1"/>
  <c r="B63" i="6"/>
</calcChain>
</file>

<file path=xl/sharedStrings.xml><?xml version="1.0" encoding="utf-8"?>
<sst xmlns="http://schemas.openxmlformats.org/spreadsheetml/2006/main" count="533" uniqueCount="125">
  <si>
    <t>Indicador</t>
  </si>
  <si>
    <t>Total programa</t>
  </si>
  <si>
    <t>Equipamiento</t>
  </si>
  <si>
    <t>Construcción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</si>
  <si>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</si>
  <si>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</si>
  <si>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</si>
  <si>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</si>
  <si>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</si>
  <si>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</si>
  <si>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</si>
  <si>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</si>
  <si>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</si>
  <si>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</si>
  <si>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</si>
  <si>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</si>
  <si>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</si>
  <si>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</si>
  <si>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</si>
  <si>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</si>
  <si>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</si>
  <si>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</si>
  <si>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</si>
  <si>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</si>
  <si>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</si>
  <si>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</si>
  <si>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</si>
  <si>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</si>
  <si>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</si>
  <si>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</si>
  <si>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</si>
  <si>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</si>
  <si>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</si>
  <si>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</si>
  <si>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</si>
  <si>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</si>
  <si>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</si>
  <si>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</si>
  <si>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</si>
  <si>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</si>
  <si>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</si>
  <si>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</si>
  <si>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>na</t>
  </si>
  <si>
    <t>n.d.</t>
  </si>
  <si>
    <t>Subsidio para atención directa</t>
  </si>
  <si>
    <t>Productos</t>
  </si>
  <si>
    <t>Promedio 
mensual</t>
  </si>
  <si>
    <t xml:space="preserve">Gasto programado anual por beneficiario (GPB) </t>
  </si>
  <si>
    <t xml:space="preserve">Gasto efectivo anual por beneficiario (GEB) 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</si>
  <si>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</si>
  <si>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</si>
  <si>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</si>
  <si>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</si>
  <si>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</si>
  <si>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</si>
  <si>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</si>
  <si>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</si>
  <si>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</si>
  <si>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</si>
  <si>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</si>
  <si>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</si>
  <si>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</si>
  <si>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</si>
  <si>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</si>
  <si>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</si>
  <si>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 TA 2023</t>
  </si>
  <si>
    <t>IPC (3 TA 2023)</t>
  </si>
  <si>
    <t>Gasto efectivo real 3 TA 2023</t>
  </si>
  <si>
    <t>Gasto efectivo real por beneficiario 3 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</si>
  <si>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</si>
  <si>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</si>
  <si>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</si>
  <si>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</si>
  <si>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</si>
  <si>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</si>
  <si>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</si>
  <si>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</si>
  <si>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</si>
  <si>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</si>
  <si>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</si>
  <si>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</si>
  <si>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</si>
  <si>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</si>
  <si>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</si>
  <si>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Ciudad de los Niños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</si>
  <si>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>Notas:</t>
    </r>
    <r>
      <rPr>
        <sz val="11"/>
        <color theme="1"/>
        <rFont val="Palatino Linotype"/>
        <family val="1"/>
      </rPr>
      <t xml:space="preserve">  </t>
    </r>
  </si>
  <si>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La UE del programa procedió a reintegrar el superávit del peíodo 2023 el día 19-03-2024 según lo indicado mediante oficio MTSS-DMT-234-2024. </t>
    </r>
  </si>
  <si>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 En la fecha 06-08-2024 se procedió a realizar un ajuste en la información que la UE remitió para el I T, esto debido a que al remitir el Reporte del II Trimestre modificó la información que ya había sido remitida. Se solicitó a la UE del programa una justificación respecto al tema. 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</si>
  <si>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</si>
  <si>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</si>
  <si>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</si>
  <si>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</si>
  <si>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</si>
  <si>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</si>
  <si>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r>
      <rPr>
        <b/>
        <sz val="11"/>
        <rFont val="Palatino Linotype"/>
        <family val="1"/>
      </rPr>
      <t xml:space="preserve">Fuentes: </t>
    </r>
    <r>
      <rPr>
        <sz val="11"/>
        <rFont val="Palatino Linotype"/>
        <family val="1"/>
      </rPr>
      <t>Informes Trimestrales Ciudad de los Niños 2023 y 2024 - Cronogramas de Metas e Inversión - Modificaciones 2024 - IPC, INEC 2023 y 2024</t>
    </r>
  </si>
  <si>
    <t>Efectivos 1S 2024</t>
  </si>
  <si>
    <t>Programados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</si>
  <si>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</si>
  <si>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</si>
  <si>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</si>
  <si>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</si>
  <si>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</si>
  <si>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</si>
  <si>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</si>
  <si>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</si>
  <si>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</si>
  <si>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</si>
  <si>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 TA 2024</t>
  </si>
  <si>
    <t>Efectivos 3 TA 2024</t>
  </si>
  <si>
    <t>En transferencias 3 TA 2024</t>
  </si>
  <si>
    <t>IPC (3 TA 2024)</t>
  </si>
  <si>
    <t>Gasto efectivo real 3 TA 2024</t>
  </si>
  <si>
    <t>Gasto efectivo real por beneficiario 3 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</si>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</sst>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b/>
      <sz val="11"/>
      <color rgb="FF4071B9"/>
      <name val="Palatino Linotype"/>
      <family val="1"/>
    </font>
    <font>
      <sz val="11"/>
      <name val="Calibri"/>
      <family val="2"/>
      <scheme val="minor"/>
    </font>
    <font>
      <b/>
      <sz val="11"/>
      <name val="Palatino Linotype"/>
      <family val="1"/>
    </font>
    <font>
      <b/>
      <sz val="11"/>
      <name val="Calibri"/>
      <family val="2"/>
      <scheme val="minor"/>
    </font>
    <font>
      <sz val="1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66" fontId="0" fillId="0" borderId="0" xfId="1" applyNumberFormat="1" applyFont="1" applyFill="1"/>
    <xf numFmtId="164" fontId="0" fillId="0" borderId="0" xfId="1" applyFont="1" applyFill="1"/>
    <xf numFmtId="167" fontId="0" fillId="0" borderId="0" xfId="1" applyNumberFormat="1" applyFont="1" applyFill="1"/>
    <xf numFmtId="0" fontId="0" fillId="0" borderId="0" xfId="0" applyFont="1" applyFill="1"/>
    <xf numFmtId="4" fontId="0" fillId="0" borderId="0" xfId="0" applyNumberFormat="1" applyFont="1" applyFill="1"/>
    <xf numFmtId="0" fontId="3" fillId="0" borderId="0" xfId="0" applyFont="1" applyFill="1"/>
    <xf numFmtId="10" fontId="0" fillId="0" borderId="0" xfId="2" applyNumberFormat="1" applyFont="1" applyFill="1"/>
    <xf numFmtId="0" fontId="5" fillId="0" borderId="0" xfId="0" applyFont="1" applyFill="1"/>
    <xf numFmtId="0" fontId="4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3" fontId="5" fillId="0" borderId="0" xfId="1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/>
    <xf numFmtId="0" fontId="5" fillId="0" borderId="3" xfId="0" applyFont="1" applyFill="1" applyBorder="1"/>
    <xf numFmtId="4" fontId="5" fillId="0" borderId="0" xfId="1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65" fontId="5" fillId="0" borderId="0" xfId="0" applyNumberFormat="1" applyFont="1"/>
    <xf numFmtId="0" fontId="5" fillId="0" borderId="0" xfId="0" applyFont="1" applyAlignment="1">
      <alignment vertical="top" wrapText="1"/>
    </xf>
    <xf numFmtId="0" fontId="3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1" applyFont="1" applyFill="1" applyAlignment="1">
      <alignment horizontal="right" vertical="center"/>
    </xf>
    <xf numFmtId="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2" fillId="0" borderId="0" xfId="0" applyFont="1"/>
    <xf numFmtId="0" fontId="4" fillId="0" borderId="4" xfId="0" applyFont="1" applyBorder="1" applyAlignment="1">
      <alignment horizontal="center" vertical="center" wrapText="1"/>
    </xf>
    <xf numFmtId="4" fontId="5" fillId="0" borderId="0" xfId="0" applyNumberFormat="1" applyFont="1"/>
    <xf numFmtId="4" fontId="0" fillId="0" borderId="0" xfId="0" applyNumberFormat="1"/>
    <xf numFmtId="0" fontId="2" fillId="0" borderId="0" xfId="0" applyFont="1" applyAlignment="1">
      <alignment wrapText="1"/>
    </xf>
    <xf numFmtId="2" fontId="5" fillId="0" borderId="0" xfId="0" applyNumberFormat="1" applyFont="1" applyFill="1" applyAlignment="1">
      <alignment horizontal="right"/>
    </xf>
    <xf numFmtId="0" fontId="8" fillId="0" borderId="0" xfId="0" applyFont="1" applyFill="1"/>
    <xf numFmtId="0" fontId="4" fillId="0" borderId="3" xfId="0" applyFont="1" applyBorder="1" applyAlignment="1">
      <alignment horizontal="center" vertical="center" wrapText="1"/>
    </xf>
    <xf numFmtId="3" fontId="9" fillId="0" borderId="0" xfId="1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/>
    <xf numFmtId="4" fontId="13" fillId="0" borderId="0" xfId="0" applyNumberFormat="1" applyFont="1"/>
    <xf numFmtId="4" fontId="10" fillId="0" borderId="0" xfId="0" applyNumberFormat="1" applyFont="1"/>
    <xf numFmtId="0" fontId="13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165" fontId="13" fillId="0" borderId="0" xfId="0" applyNumberFormat="1" applyFont="1"/>
    <xf numFmtId="166" fontId="10" fillId="0" borderId="0" xfId="1" applyNumberFormat="1" applyFont="1" applyFill="1"/>
    <xf numFmtId="0" fontId="2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right"/>
    </xf>
    <xf numFmtId="4" fontId="5" fillId="2" borderId="0" xfId="1" applyNumberFormat="1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3" fillId="0" borderId="5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35A0"/>
      <color rgb="FF192952"/>
      <color rgb="FFC1C5C8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resultado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Anual!$B$49</c:f>
              <c:numCache>
                <c:formatCode>#,##0.00</c:formatCode>
                <c:ptCount val="1"/>
                <c:pt idx="0">
                  <c:v>91.368421052631575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E-4048-9B5B-BE454D51A82E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(Anual!$B$50,Anual!$D$50,Anual!$E$50,Anual!$F$50)</c:f>
              <c:numCache>
                <c:formatCode>#,##0.00</c:formatCode>
                <c:ptCount val="4"/>
                <c:pt idx="0">
                  <c:v>99.841519167983236</c:v>
                </c:pt>
                <c:pt idx="1">
                  <c:v>103.22842856655987</c:v>
                </c:pt>
                <c:pt idx="2">
                  <c:v>84.083949321558066</c:v>
                </c:pt>
                <c:pt idx="3">
                  <c:v>99.866757476000018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E-4048-9B5B-BE454D51A82E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(Anual!$B$51,Anual!$D$51,Anual!$E$51,Anual!$F$51)</c:f>
              <c:numCache>
                <c:formatCode>#,##0.00</c:formatCode>
                <c:ptCount val="4"/>
                <c:pt idx="0">
                  <c:v>95.604970110307406</c:v>
                </c:pt>
                <c:pt idx="1">
                  <c:v>103.22842856655987</c:v>
                </c:pt>
                <c:pt idx="2">
                  <c:v>84.083949321558066</c:v>
                </c:pt>
                <c:pt idx="3">
                  <c:v>99.866757476000018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E-4048-9B5B-BE454D51A8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avance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Anual!$B$54</c:f>
              <c:numCache>
                <c:formatCode>#,##0.00</c:formatCode>
                <c:ptCount val="1"/>
                <c:pt idx="0">
                  <c:v>91.368421052631575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C-4C5E-B1D6-B165B6C775A5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(Anual!$B$55,Anual!$D$55,Anual!$E$55,Anual!$F$55)</c:f>
              <c:numCache>
                <c:formatCode>#,##0.00</c:formatCode>
                <c:ptCount val="4"/>
                <c:pt idx="0">
                  <c:v>99.841519167983236</c:v>
                </c:pt>
                <c:pt idx="1">
                  <c:v>103.22842856655987</c:v>
                </c:pt>
                <c:pt idx="2">
                  <c:v>84.083949321558066</c:v>
                </c:pt>
                <c:pt idx="3">
                  <c:v>99.866757476000018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C-4C5E-B1D6-B165B6C775A5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(Anual!$B$56,Anual!$D$56,Anual!$E$56,Anual!$F$56)</c:f>
              <c:numCache>
                <c:formatCode>#,##0.00</c:formatCode>
                <c:ptCount val="4"/>
                <c:pt idx="0">
                  <c:v>95.604970110307406</c:v>
                </c:pt>
                <c:pt idx="1">
                  <c:v>103.22842856655987</c:v>
                </c:pt>
                <c:pt idx="2">
                  <c:v>84.083949321558066</c:v>
                </c:pt>
                <c:pt idx="3">
                  <c:v>99.866757476000018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C5E-B1D6-B165B6C775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11594608"/>
        <c:axId val="511596176"/>
        <c:axId val="0"/>
      </c:bar3DChart>
      <c:catAx>
        <c:axId val="5115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176"/>
        <c:crosses val="autoZero"/>
        <c:auto val="1"/>
        <c:lblAlgn val="ctr"/>
        <c:lblOffset val="100"/>
        <c:noMultiLvlLbl val="0"/>
      </c:catAx>
      <c:valAx>
        <c:axId val="511596176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460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expansión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550923810947952E-2"/>
          <c:y val="0.18747293603348539"/>
          <c:w val="0.9263222965591611"/>
          <c:h val="0.535124042616473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(Anual!$B$62,Anual!$D$62,Anual!$E$62,Anual!$F$62)</c:f>
              <c:numCache>
                <c:formatCode>#,##0.00</c:formatCode>
                <c:ptCount val="4"/>
                <c:pt idx="0">
                  <c:v>-3.9823008849557473</c:v>
                </c:pt>
                <c:pt idx="1">
                  <c:v>-3.9823008849557473</c:v>
                </c:pt>
                <c:pt idx="2">
                  <c:v>-3.9823008849557473</c:v>
                </c:pt>
                <c:pt idx="3">
                  <c:v>-3.9823008849557473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D44-800E-92B3E1E54A12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(Anual!$B$63,Anual!$D$63,Anual!$E$63,Anual!$F$63)</c:f>
              <c:numCache>
                <c:formatCode>#,##0.00</c:formatCode>
                <c:ptCount val="4"/>
                <c:pt idx="0">
                  <c:v>-29.729204321003689</c:v>
                </c:pt>
                <c:pt idx="1">
                  <c:v>21.133797557410382</c:v>
                </c:pt>
                <c:pt idx="2">
                  <c:v>91.069904943188007</c:v>
                </c:pt>
                <c:pt idx="3">
                  <c:v>-46.873156628680071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0-4D44-800E-92B3E1E54A12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(Anual!$B$64,Anual!$D$64,Anual!$E$64,Anual!$F$64)</c:f>
              <c:numCache>
                <c:formatCode>#,##0.00</c:formatCode>
                <c:ptCount val="4"/>
                <c:pt idx="0">
                  <c:v>-26.81474735735868</c:v>
                </c:pt>
                <c:pt idx="1">
                  <c:v>26.157779944584082</c:v>
                </c:pt>
                <c:pt idx="2">
                  <c:v>98.994463212721158</c:v>
                </c:pt>
                <c:pt idx="3">
                  <c:v>-44.669739161666811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40-4D44-800E-92B3E1E54A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9184"/>
        <c:axId val="509156832"/>
        <c:axId val="0"/>
      </c:bar3DChart>
      <c:catAx>
        <c:axId val="50915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6832"/>
        <c:crosses val="autoZero"/>
        <c:auto val="1"/>
        <c:lblAlgn val="ctr"/>
        <c:lblOffset val="100"/>
        <c:noMultiLvlLbl val="0"/>
      </c:catAx>
      <c:valAx>
        <c:axId val="509156832"/>
        <c:scaling>
          <c:orientation val="minMax"/>
          <c:max val="1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1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54156951574911"/>
          <c:w val="0.99885673365178151"/>
          <c:h val="0.14145835313014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gasto medio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(Anual!$B$70,Anual!$D$70,Anual!$E$70,Anual!$F$70)</c:f>
              <c:numCache>
                <c:formatCode>#,##0.00</c:formatCode>
                <c:ptCount val="4"/>
                <c:pt idx="0">
                  <c:v>1804817.0610526316</c:v>
                </c:pt>
                <c:pt idx="1">
                  <c:v>617726.31578947371</c:v>
                </c:pt>
                <c:pt idx="2">
                  <c:v>134459.16631578948</c:v>
                </c:pt>
                <c:pt idx="3">
                  <c:v>1052631.5789473683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3-476A-BC3F-5E65C5049A86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cat>
            <c:strRef>
              <c:f>(Anual!$B$9,Anual!$D$10,Anual!$E$10,Anual!$F$10)</c:f>
              <c:strCache>
                <c:ptCount val="4"/>
                <c:pt idx="0">
                  <c:v>Total programa</c:v>
                </c:pt>
                <c:pt idx="1">
                  <c:v>Subsidio para atención directa</c:v>
                </c:pt>
                <c:pt idx="2">
                  <c:v>Equipamiento</c:v>
                </c:pt>
                <c:pt idx="3">
                  <c:v>Construcción</c:v>
                </c:pt>
              </c:strCache>
            </c:strRef>
          </c:cat>
          <c:val>
            <c:numRef>
              <c:f>(Anual!$B$71,Anual!$D$71,Anual!$E$71,Anual!$F$71)</c:f>
              <c:numCache>
                <c:formatCode>#,##0.00</c:formatCode>
                <c:ptCount val="4"/>
                <c:pt idx="0">
                  <c:v>1972187.7112442397</c:v>
                </c:pt>
                <c:pt idx="1">
                  <c:v>697909.80437788006</c:v>
                </c:pt>
                <c:pt idx="2">
                  <c:v>123739.22626728112</c:v>
                </c:pt>
                <c:pt idx="3">
                  <c:v>1150538.6805990785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3-476A-BC3F-5E65C504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953504"/>
        <c:axId val="509955072"/>
        <c:axId val="0"/>
      </c:bar3DChart>
      <c:catAx>
        <c:axId val="5099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5072"/>
        <c:crosses val="autoZero"/>
        <c:auto val="1"/>
        <c:lblAlgn val="ctr"/>
        <c:lblOffset val="100"/>
        <c:noMultiLvlLbl val="0"/>
      </c:catAx>
      <c:valAx>
        <c:axId val="509955072"/>
        <c:scaling>
          <c:orientation val="minMax"/>
          <c:max val="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3504"/>
        <c:crosses val="autoZero"/>
        <c:crossBetween val="between"/>
        <c:majorUnit val="1000000"/>
        <c:minorUnit val="4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600"/>
              <a:t>Ciudad de los niños: Indicadores de giro de recursos 2024</a:t>
            </a:r>
          </a:p>
        </c:rich>
      </c:tx>
      <c:layout>
        <c:manualLayout>
          <c:xMode val="edge"/>
          <c:yMode val="edge"/>
          <c:x val="0.13055806467595868"/>
          <c:y val="1.6698134542260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5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882085860376024E-2"/>
          <c:y val="0.13079865731220516"/>
          <c:w val="0.92610213907732242"/>
          <c:h val="0.6506434698460615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Anual!$B$74</c:f>
              <c:numCache>
                <c:formatCode>#,##0.00</c:formatCode>
                <c:ptCount val="1"/>
                <c:pt idx="0">
                  <c:v>99.999994535092725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255-B291-80D0E663F8D3}"/>
            </c:ext>
          </c:extLst>
        </c:ser>
        <c:ser>
          <c:idx val="2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99.841524624229976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6-4255-B291-80D0E663F8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Ciudad de los niños: Índice de eficiencia (IE) 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5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935522225856065E-2"/>
          <c:y val="0.20217434099642689"/>
          <c:w val="0.92333721947612757"/>
          <c:h val="0.705373154452909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104.47094680911964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8-4131-BCF1-65B16D7AFE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8792"/>
        <c:axId val="509159576"/>
        <c:axId val="0"/>
      </c:bar3DChart>
      <c:catAx>
        <c:axId val="50915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576"/>
        <c:crosses val="autoZero"/>
        <c:auto val="1"/>
        <c:lblAlgn val="ctr"/>
        <c:lblOffset val="100"/>
        <c:noMultiLvlLbl val="0"/>
      </c:catAx>
      <c:valAx>
        <c:axId val="50915957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879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FD8F9CD-5C50-44E2-B472-309F0C067C8D}"/>
            </a:ext>
          </a:extLst>
        </xdr:cNvPr>
        <xdr:cNvSpPr/>
      </xdr:nvSpPr>
      <xdr:spPr>
        <a:xfrm>
          <a:off x="0" y="0"/>
          <a:ext cx="107061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C16CE5B-8BFF-4CEC-B91D-3082EA197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59531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3467081-2DCB-412F-BB3F-E6E5278AF5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D0AEC1D-188E-4471-AFA2-A77192D8221E}"/>
            </a:ext>
          </a:extLst>
        </xdr:cNvPr>
        <xdr:cNvSpPr/>
      </xdr:nvSpPr>
      <xdr:spPr>
        <a:xfrm>
          <a:off x="0" y="1143001"/>
          <a:ext cx="10706100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345283</xdr:colOff>
      <xdr:row>6</xdr:row>
      <xdr:rowOff>47625</xdr:rowOff>
    </xdr:from>
    <xdr:to>
      <xdr:col>5</xdr:col>
      <xdr:colOff>1202533</xdr:colOff>
      <xdr:row>7</xdr:row>
      <xdr:rowOff>134937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62E56E5-F976-4250-BBA9-42652DB92C1E}"/>
            </a:ext>
          </a:extLst>
        </xdr:cNvPr>
        <xdr:cNvSpPr txBox="1"/>
      </xdr:nvSpPr>
      <xdr:spPr>
        <a:xfrm>
          <a:off x="345283" y="1190625"/>
          <a:ext cx="10258425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07-05-2024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99EE5AE-8395-437B-9DF9-72D78E1437A5}"/>
            </a:ext>
          </a:extLst>
        </xdr:cNvPr>
        <xdr:cNvSpPr/>
      </xdr:nvSpPr>
      <xdr:spPr>
        <a:xfrm>
          <a:off x="0" y="0"/>
          <a:ext cx="106965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16A751B-B055-4E53-AB62-E8848DA5C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19AC23D-B139-4262-8797-12DA006F9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8893B9AF-8110-4D7F-8EDE-FED0DE39A07C}"/>
            </a:ext>
          </a:extLst>
        </xdr:cNvPr>
        <xdr:cNvSpPr/>
      </xdr:nvSpPr>
      <xdr:spPr>
        <a:xfrm>
          <a:off x="0" y="1143001"/>
          <a:ext cx="106965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345283</xdr:colOff>
      <xdr:row>6</xdr:row>
      <xdr:rowOff>47625</xdr:rowOff>
    </xdr:from>
    <xdr:to>
      <xdr:col>5</xdr:col>
      <xdr:colOff>1202533</xdr:colOff>
      <xdr:row>7</xdr:row>
      <xdr:rowOff>134937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5CB316E-9DC4-488A-B060-DDB933F5CE49}"/>
            </a:ext>
          </a:extLst>
        </xdr:cNvPr>
        <xdr:cNvSpPr txBox="1"/>
      </xdr:nvSpPr>
      <xdr:spPr>
        <a:xfrm>
          <a:off x="345283" y="1190625"/>
          <a:ext cx="10248900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06-08-2024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8EBF707-A871-4B95-B4AB-6A98476CA789}"/>
            </a:ext>
          </a:extLst>
        </xdr:cNvPr>
        <xdr:cNvSpPr/>
      </xdr:nvSpPr>
      <xdr:spPr>
        <a:xfrm>
          <a:off x="0" y="0"/>
          <a:ext cx="106965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6DE527-03AE-4043-A71B-DB7E0F447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604845-28AA-4015-80CA-3C954681EE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33E693AE-FCAB-44FB-B625-438B38B2A8DF}"/>
            </a:ext>
          </a:extLst>
        </xdr:cNvPr>
        <xdr:cNvSpPr/>
      </xdr:nvSpPr>
      <xdr:spPr>
        <a:xfrm>
          <a:off x="0" y="1143001"/>
          <a:ext cx="106965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345283</xdr:colOff>
      <xdr:row>6</xdr:row>
      <xdr:rowOff>47625</xdr:rowOff>
    </xdr:from>
    <xdr:to>
      <xdr:col>5</xdr:col>
      <xdr:colOff>1202533</xdr:colOff>
      <xdr:row>7</xdr:row>
      <xdr:rowOff>134937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CB403171-C0AE-4D9A-B7F3-CCCD8BB1B6BE}"/>
            </a:ext>
          </a:extLst>
        </xdr:cNvPr>
        <xdr:cNvSpPr txBox="1"/>
      </xdr:nvSpPr>
      <xdr:spPr>
        <a:xfrm>
          <a:off x="345283" y="1190625"/>
          <a:ext cx="10248900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06-08-2024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B4FB8DD-7189-4072-862E-2E6F21A251C5}"/>
            </a:ext>
          </a:extLst>
        </xdr:cNvPr>
        <xdr:cNvSpPr/>
      </xdr:nvSpPr>
      <xdr:spPr>
        <a:xfrm>
          <a:off x="0" y="0"/>
          <a:ext cx="107727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E66E055-2061-4142-A92A-21ABC7277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59531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616C383-C9F4-4E99-B6F0-082E1BBBC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B35C108C-2E5B-4480-A143-E0E9AE470E84}"/>
            </a:ext>
          </a:extLst>
        </xdr:cNvPr>
        <xdr:cNvSpPr/>
      </xdr:nvSpPr>
      <xdr:spPr>
        <a:xfrm>
          <a:off x="0" y="1143001"/>
          <a:ext cx="107727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523877</xdr:colOff>
      <xdr:row>6</xdr:row>
      <xdr:rowOff>35718</xdr:rowOff>
    </xdr:from>
    <xdr:to>
      <xdr:col>6</xdr:col>
      <xdr:colOff>35721</xdr:colOff>
      <xdr:row>7</xdr:row>
      <xdr:rowOff>123030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58E81E4-F96D-462F-B5AF-B0112A7A0A26}"/>
            </a:ext>
          </a:extLst>
        </xdr:cNvPr>
        <xdr:cNvSpPr txBox="1"/>
      </xdr:nvSpPr>
      <xdr:spPr>
        <a:xfrm>
          <a:off x="523877" y="1178718"/>
          <a:ext cx="10263188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05-11-2024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1AF2F70-C253-4985-85CC-40EC269D80B5}"/>
            </a:ext>
          </a:extLst>
        </xdr:cNvPr>
        <xdr:cNvSpPr/>
      </xdr:nvSpPr>
      <xdr:spPr>
        <a:xfrm>
          <a:off x="0" y="0"/>
          <a:ext cx="107346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5BF675-D464-422B-96FD-4B91D63A0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59531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E82282F-9641-4605-9022-3ADDEC9D5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CBE2295-9D82-406B-B684-67A572F6DC60}"/>
            </a:ext>
          </a:extLst>
        </xdr:cNvPr>
        <xdr:cNvSpPr/>
      </xdr:nvSpPr>
      <xdr:spPr>
        <a:xfrm>
          <a:off x="0" y="1143001"/>
          <a:ext cx="107346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130971</xdr:colOff>
      <xdr:row>6</xdr:row>
      <xdr:rowOff>35719</xdr:rowOff>
    </xdr:from>
    <xdr:to>
      <xdr:col>5</xdr:col>
      <xdr:colOff>988221</xdr:colOff>
      <xdr:row>7</xdr:row>
      <xdr:rowOff>123031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21D8A31-FAD5-451D-B671-40EF52FD099F}"/>
            </a:ext>
          </a:extLst>
        </xdr:cNvPr>
        <xdr:cNvSpPr txBox="1"/>
      </xdr:nvSpPr>
      <xdr:spPr>
        <a:xfrm>
          <a:off x="130971" y="1178719"/>
          <a:ext cx="10263188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05-11-2024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BAE897B0-F14F-44BB-A80D-AE958F71EC48}"/>
            </a:ext>
          </a:extLst>
        </xdr:cNvPr>
        <xdr:cNvSpPr/>
      </xdr:nvSpPr>
      <xdr:spPr>
        <a:xfrm>
          <a:off x="0" y="0"/>
          <a:ext cx="107346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95D3501-79F3-4BE0-BFB9-FEAE5AAF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BC057A8-555B-4449-88F9-4ACD629699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DB754D9-8566-427D-9D99-698381F29782}"/>
            </a:ext>
          </a:extLst>
        </xdr:cNvPr>
        <xdr:cNvSpPr/>
      </xdr:nvSpPr>
      <xdr:spPr>
        <a:xfrm>
          <a:off x="0" y="1143001"/>
          <a:ext cx="107346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750094</xdr:colOff>
      <xdr:row>6</xdr:row>
      <xdr:rowOff>35717</xdr:rowOff>
    </xdr:from>
    <xdr:to>
      <xdr:col>6</xdr:col>
      <xdr:colOff>166687</xdr:colOff>
      <xdr:row>7</xdr:row>
      <xdr:rowOff>142872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2B56C06-3C8E-463B-9CCD-56A1E403317D}"/>
            </a:ext>
          </a:extLst>
        </xdr:cNvPr>
        <xdr:cNvSpPr txBox="1"/>
      </xdr:nvSpPr>
      <xdr:spPr>
        <a:xfrm>
          <a:off x="750094" y="1178717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27-02-2025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</xdr:colOff>
      <xdr:row>12</xdr:row>
      <xdr:rowOff>188117</xdr:rowOff>
    </xdr:from>
    <xdr:to>
      <xdr:col>16</xdr:col>
      <xdr:colOff>11906</xdr:colOff>
      <xdr:row>28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236803</xdr:colOff>
      <xdr:row>12</xdr:row>
      <xdr:rowOff>174890</xdr:rowOff>
    </xdr:from>
    <xdr:to>
      <xdr:col>25</xdr:col>
      <xdr:colOff>440531</xdr:colOff>
      <xdr:row>28</xdr:row>
      <xdr:rowOff>83343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231513</xdr:colOff>
      <xdr:row>28</xdr:row>
      <xdr:rowOff>166690</xdr:rowOff>
    </xdr:from>
    <xdr:to>
      <xdr:col>27</xdr:col>
      <xdr:colOff>612320</xdr:colOff>
      <xdr:row>46</xdr:row>
      <xdr:rowOff>158750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898071</xdr:colOff>
      <xdr:row>47</xdr:row>
      <xdr:rowOff>90030</xdr:rowOff>
    </xdr:from>
    <xdr:to>
      <xdr:col>17</xdr:col>
      <xdr:colOff>40820</xdr:colOff>
      <xdr:row>65</xdr:row>
      <xdr:rowOff>81831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13231</xdr:colOff>
      <xdr:row>29</xdr:row>
      <xdr:rowOff>10845</xdr:rowOff>
    </xdr:from>
    <xdr:to>
      <xdr:col>16</xdr:col>
      <xdr:colOff>11906</xdr:colOff>
      <xdr:row>46</xdr:row>
      <xdr:rowOff>169333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574335</xdr:colOff>
      <xdr:row>47</xdr:row>
      <xdr:rowOff>25399</xdr:rowOff>
    </xdr:from>
    <xdr:to>
      <xdr:col>27</xdr:col>
      <xdr:colOff>35907</xdr:colOff>
      <xdr:row>65</xdr:row>
      <xdr:rowOff>5292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0C18D95-1F1F-43A3-889D-7B1495DE514D}"/>
            </a:ext>
          </a:extLst>
        </xdr:cNvPr>
        <xdr:cNvSpPr/>
      </xdr:nvSpPr>
      <xdr:spPr>
        <a:xfrm>
          <a:off x="0" y="0"/>
          <a:ext cx="107061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2E76BBD-4AAE-47A2-81C1-081AB10A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50610FA-8910-4D9A-B708-626C181ABE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2F7F75F-699B-4D71-AA22-E01CFE112305}"/>
            </a:ext>
          </a:extLst>
        </xdr:cNvPr>
        <xdr:cNvSpPr/>
      </xdr:nvSpPr>
      <xdr:spPr>
        <a:xfrm>
          <a:off x="0" y="1143001"/>
          <a:ext cx="10706100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797718</xdr:colOff>
      <xdr:row>6</xdr:row>
      <xdr:rowOff>47623</xdr:rowOff>
    </xdr:from>
    <xdr:to>
      <xdr:col>6</xdr:col>
      <xdr:colOff>190499</xdr:colOff>
      <xdr:row>7</xdr:row>
      <xdr:rowOff>154778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695C70D-2F82-4B43-AF96-13B6D26D7E88}"/>
            </a:ext>
          </a:extLst>
        </xdr:cNvPr>
        <xdr:cNvSpPr txBox="1"/>
      </xdr:nvSpPr>
      <xdr:spPr>
        <a:xfrm>
          <a:off x="797718" y="1190623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27-02-2025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"/>
  <sheetViews>
    <sheetView showGridLines="0" tabSelected="1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19.554687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3" customFormat="1" ht="15.6" x14ac:dyDescent="0.35">
      <c r="A9" s="65" t="s">
        <v>0</v>
      </c>
      <c r="B9" s="67" t="s">
        <v>1</v>
      </c>
      <c r="C9" s="67" t="s">
        <v>46</v>
      </c>
      <c r="D9" s="69" t="s">
        <v>45</v>
      </c>
      <c r="E9" s="69"/>
      <c r="F9" s="69"/>
    </row>
    <row r="10" spans="1:7" s="33" customFormat="1" ht="31.8" thickBot="1" x14ac:dyDescent="0.35">
      <c r="A10" s="66"/>
      <c r="B10" s="68"/>
      <c r="C10" s="68"/>
      <c r="D10" s="40" t="s">
        <v>44</v>
      </c>
      <c r="E10" s="34" t="s">
        <v>2</v>
      </c>
      <c r="F10" s="34" t="s">
        <v>3</v>
      </c>
    </row>
    <row r="11" spans="1:7" customFormat="1" ht="16.2" thickTop="1" x14ac:dyDescent="0.35">
      <c r="A11" s="23"/>
      <c r="B11" s="23"/>
      <c r="C11" s="23"/>
      <c r="D11" s="23"/>
      <c r="E11" s="23"/>
      <c r="F11" s="23"/>
    </row>
    <row r="12" spans="1:7" customFormat="1" ht="15.6" x14ac:dyDescent="0.35">
      <c r="A12" s="22" t="s">
        <v>4</v>
      </c>
      <c r="B12" s="23"/>
      <c r="C12" s="23"/>
      <c r="D12" s="23"/>
      <c r="E12" s="23"/>
      <c r="F12" s="23"/>
    </row>
    <row r="13" spans="1:7" customFormat="1" ht="15.6" x14ac:dyDescent="0.35">
      <c r="A13" s="23"/>
      <c r="B13" s="35"/>
      <c r="C13" s="35"/>
      <c r="D13" s="35"/>
      <c r="E13" s="35"/>
      <c r="F13" s="35"/>
      <c r="G13" s="36"/>
    </row>
    <row r="14" spans="1:7" customFormat="1" ht="15.6" x14ac:dyDescent="0.35">
      <c r="A14" s="22" t="s">
        <v>5</v>
      </c>
      <c r="B14" s="35"/>
      <c r="C14" s="35"/>
      <c r="D14" s="35"/>
      <c r="E14" s="35"/>
      <c r="F14" s="35"/>
      <c r="G14" s="36"/>
    </row>
    <row r="15" spans="1:7" ht="15.6" x14ac:dyDescent="0.35">
      <c r="A15" s="24" t="s">
        <v>49</v>
      </c>
      <c r="B15" s="12">
        <f>C15</f>
        <v>483</v>
      </c>
      <c r="C15" s="29">
        <v>483</v>
      </c>
      <c r="D15" s="12"/>
      <c r="E15" s="12"/>
      <c r="F15" s="12"/>
      <c r="G15" s="5"/>
    </row>
    <row r="16" spans="1:7" ht="15.6" x14ac:dyDescent="0.35">
      <c r="A16" s="24" t="s">
        <v>77</v>
      </c>
      <c r="B16" s="12">
        <f t="shared" ref="B16:B18" si="0">C16</f>
        <v>490</v>
      </c>
      <c r="C16" s="29">
        <v>490</v>
      </c>
      <c r="D16" s="12"/>
      <c r="E16" s="12"/>
      <c r="F16" s="12"/>
      <c r="G16" s="5"/>
    </row>
    <row r="17" spans="1:7" ht="15.6" x14ac:dyDescent="0.35">
      <c r="A17" s="24" t="s">
        <v>78</v>
      </c>
      <c r="B17" s="12">
        <f t="shared" si="0"/>
        <v>470</v>
      </c>
      <c r="C17" s="29">
        <v>470</v>
      </c>
      <c r="D17" s="12"/>
      <c r="E17" s="12"/>
      <c r="F17" s="12"/>
    </row>
    <row r="18" spans="1:7" ht="15.6" x14ac:dyDescent="0.35">
      <c r="A18" s="24" t="s">
        <v>79</v>
      </c>
      <c r="B18" s="12">
        <f t="shared" si="0"/>
        <v>475</v>
      </c>
      <c r="C18" s="29">
        <v>475</v>
      </c>
      <c r="D18" s="12"/>
      <c r="E18" s="12"/>
      <c r="F18" s="12"/>
      <c r="G18" s="5"/>
    </row>
    <row r="19" spans="1:7" ht="15.6" x14ac:dyDescent="0.35">
      <c r="A19" s="23"/>
      <c r="B19" s="12"/>
      <c r="C19" s="12"/>
      <c r="D19" s="12"/>
      <c r="E19" s="12"/>
      <c r="F19" s="12"/>
      <c r="G19" s="5"/>
    </row>
    <row r="20" spans="1:7" ht="15.6" x14ac:dyDescent="0.35">
      <c r="A20" s="25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24" t="s">
        <v>49</v>
      </c>
      <c r="B21" s="14">
        <f>SUM(D21:F21)</f>
        <v>86251970.920000002</v>
      </c>
      <c r="C21" s="14"/>
      <c r="D21" s="14">
        <v>47264955.359999999</v>
      </c>
      <c r="E21" s="29">
        <v>0</v>
      </c>
      <c r="F21" s="14">
        <v>38987015.560000002</v>
      </c>
      <c r="G21" s="5"/>
    </row>
    <row r="22" spans="1:7" ht="15.6" x14ac:dyDescent="0.35">
      <c r="A22" s="24" t="s">
        <v>77</v>
      </c>
      <c r="B22" s="14">
        <f>SUM(D22:F22)</f>
        <v>214322026</v>
      </c>
      <c r="C22" s="14"/>
      <c r="D22" s="14">
        <v>74060000</v>
      </c>
      <c r="E22" s="14">
        <v>30930983</v>
      </c>
      <c r="F22" s="14">
        <v>109331043</v>
      </c>
      <c r="G22" s="5"/>
    </row>
    <row r="23" spans="1:7" ht="15.6" x14ac:dyDescent="0.35">
      <c r="A23" s="24" t="s">
        <v>78</v>
      </c>
      <c r="B23" s="14">
        <f>SUM(D23:F23)</f>
        <v>107041067.28999999</v>
      </c>
      <c r="C23" s="14"/>
      <c r="D23" s="41">
        <v>54793461.789999999</v>
      </c>
      <c r="E23" s="42">
        <v>1355094.7</v>
      </c>
      <c r="F23" s="14">
        <v>50892510.799999997</v>
      </c>
      <c r="G23" s="5"/>
    </row>
    <row r="24" spans="1:7" ht="15.6" x14ac:dyDescent="0.35">
      <c r="A24" s="24" t="s">
        <v>79</v>
      </c>
      <c r="B24" s="14">
        <f>SUM(D24:F24)</f>
        <v>857288104</v>
      </c>
      <c r="C24" s="14"/>
      <c r="D24" s="14">
        <v>293420000</v>
      </c>
      <c r="E24" s="14">
        <v>63868104</v>
      </c>
      <c r="F24" s="14">
        <v>500000000</v>
      </c>
      <c r="G24" s="5"/>
    </row>
    <row r="25" spans="1:7" ht="15.6" x14ac:dyDescent="0.35">
      <c r="A25" s="24" t="s">
        <v>80</v>
      </c>
      <c r="B25" s="12">
        <f>D25+E25+F25</f>
        <v>107041067.28999999</v>
      </c>
      <c r="C25" s="12"/>
      <c r="D25" s="12">
        <f>D23</f>
        <v>54793461.789999999</v>
      </c>
      <c r="E25" s="12">
        <f>E23</f>
        <v>1355094.7</v>
      </c>
      <c r="F25" s="12">
        <f>F23</f>
        <v>50892510.799999997</v>
      </c>
      <c r="G25" s="5"/>
    </row>
    <row r="26" spans="1:7" ht="15.6" x14ac:dyDescent="0.35">
      <c r="A26" s="23"/>
      <c r="B26" s="12"/>
      <c r="C26" s="12"/>
      <c r="D26" s="12"/>
      <c r="E26" s="12"/>
      <c r="F26" s="12"/>
      <c r="G26" s="5"/>
    </row>
    <row r="27" spans="1:7" ht="15.6" x14ac:dyDescent="0.35">
      <c r="A27" s="25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4" t="s">
        <v>77</v>
      </c>
      <c r="B28" s="12">
        <f>B22</f>
        <v>214322026</v>
      </c>
      <c r="C28" s="12"/>
      <c r="D28" s="20"/>
      <c r="E28" s="12"/>
      <c r="F28" s="12"/>
      <c r="G28" s="5"/>
    </row>
    <row r="29" spans="1:7" ht="15.6" x14ac:dyDescent="0.35">
      <c r="A29" s="24" t="s">
        <v>78</v>
      </c>
      <c r="B29" s="29">
        <v>214322014</v>
      </c>
      <c r="C29" s="12"/>
      <c r="D29" s="20"/>
      <c r="E29" s="12"/>
      <c r="F29" s="12"/>
      <c r="G29" s="5"/>
    </row>
    <row r="30" spans="1:7" ht="15.6" x14ac:dyDescent="0.35">
      <c r="A30" s="23"/>
      <c r="B30" s="16"/>
      <c r="C30" s="16"/>
      <c r="D30" s="16"/>
      <c r="E30" s="16"/>
      <c r="F30" s="16"/>
      <c r="G30" s="5"/>
    </row>
    <row r="31" spans="1:7" ht="15.6" x14ac:dyDescent="0.35">
      <c r="A31" s="22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24" t="s">
        <v>50</v>
      </c>
      <c r="B32" s="30">
        <v>1.1041000000000001</v>
      </c>
      <c r="C32" s="30">
        <v>1.1041000000000001</v>
      </c>
      <c r="D32" s="30">
        <v>1.1041000000000001</v>
      </c>
      <c r="E32" s="30">
        <v>1.1041000000000001</v>
      </c>
      <c r="F32" s="30">
        <v>1.1041000000000001</v>
      </c>
      <c r="G32" s="5"/>
    </row>
    <row r="33" spans="1:7" ht="15.6" x14ac:dyDescent="0.35">
      <c r="A33" s="24" t="s">
        <v>81</v>
      </c>
      <c r="B33" s="30">
        <v>1.091</v>
      </c>
      <c r="C33" s="30">
        <v>1.091</v>
      </c>
      <c r="D33" s="30">
        <v>1.091</v>
      </c>
      <c r="E33" s="30">
        <v>1.091</v>
      </c>
      <c r="F33" s="30">
        <v>1.091</v>
      </c>
      <c r="G33" s="5"/>
    </row>
    <row r="34" spans="1:7" ht="15.6" x14ac:dyDescent="0.35">
      <c r="A34" s="24" t="s">
        <v>9</v>
      </c>
      <c r="B34" s="29" t="s">
        <v>43</v>
      </c>
      <c r="C34" s="29" t="s">
        <v>43</v>
      </c>
      <c r="D34" s="29" t="s">
        <v>43</v>
      </c>
      <c r="E34" s="29" t="s">
        <v>43</v>
      </c>
      <c r="F34" s="29" t="s">
        <v>43</v>
      </c>
      <c r="G34" s="5"/>
    </row>
    <row r="35" spans="1:7" ht="15.6" x14ac:dyDescent="0.35">
      <c r="A35" s="23"/>
      <c r="B35" s="16"/>
      <c r="C35" s="16"/>
      <c r="D35" s="16"/>
      <c r="E35" s="16"/>
      <c r="F35" s="16"/>
      <c r="G35" s="5"/>
    </row>
    <row r="36" spans="1:7" ht="15.6" x14ac:dyDescent="0.35">
      <c r="A36" s="22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24" t="s">
        <v>51</v>
      </c>
      <c r="B37" s="14">
        <f>B21/B32</f>
        <v>78119709.193007872</v>
      </c>
      <c r="C37" s="12"/>
      <c r="D37" s="14">
        <f>D21/D32</f>
        <v>42808581.976270258</v>
      </c>
      <c r="E37" s="14">
        <f t="shared" ref="E37:F37" si="1">E21/E32</f>
        <v>0</v>
      </c>
      <c r="F37" s="14">
        <f t="shared" si="1"/>
        <v>35311127.216737613</v>
      </c>
      <c r="G37" s="5"/>
    </row>
    <row r="38" spans="1:7" ht="15.6" x14ac:dyDescent="0.35">
      <c r="A38" s="24" t="s">
        <v>82</v>
      </c>
      <c r="B38" s="14">
        <f>B23/B33</f>
        <v>98112802.2823098</v>
      </c>
      <c r="C38" s="12"/>
      <c r="D38" s="14">
        <f>D23/D33</f>
        <v>50223154.711274058</v>
      </c>
      <c r="E38" s="12">
        <f>E23/E33</f>
        <v>1242066.6361136572</v>
      </c>
      <c r="F38" s="14">
        <f t="shared" ref="F38" si="2">F23/F33</f>
        <v>46647580.934922092</v>
      </c>
      <c r="G38" s="5"/>
    </row>
    <row r="39" spans="1:7" ht="15.6" x14ac:dyDescent="0.35">
      <c r="A39" s="24" t="s">
        <v>52</v>
      </c>
      <c r="B39" s="14">
        <f>B37/$B$15</f>
        <v>161738.52834991278</v>
      </c>
      <c r="C39" s="12"/>
      <c r="D39" s="14">
        <f>D37/$C$15</f>
        <v>88630.604505735522</v>
      </c>
      <c r="E39" s="14">
        <f t="shared" ref="E39:F39" si="3">E37/$C$15</f>
        <v>0</v>
      </c>
      <c r="F39" s="14">
        <f t="shared" si="3"/>
        <v>73107.923844177247</v>
      </c>
      <c r="G39" s="5"/>
    </row>
    <row r="40" spans="1:7" ht="15.6" x14ac:dyDescent="0.35">
      <c r="A40" s="24" t="s">
        <v>83</v>
      </c>
      <c r="B40" s="14">
        <f>B38/$B$17</f>
        <v>208750.64315385063</v>
      </c>
      <c r="C40" s="12"/>
      <c r="D40" s="14">
        <f>D38/$C$17</f>
        <v>106857.77598143417</v>
      </c>
      <c r="E40" s="12">
        <f t="shared" ref="E40:F40" si="4">E38/$C$17</f>
        <v>2642.6949704545896</v>
      </c>
      <c r="F40" s="14">
        <f t="shared" si="4"/>
        <v>99250.17220196189</v>
      </c>
    </row>
    <row r="41" spans="1:7" ht="15.6" x14ac:dyDescent="0.35">
      <c r="A41" s="23"/>
      <c r="B41" s="16"/>
      <c r="C41" s="16"/>
      <c r="D41" s="16"/>
      <c r="E41" s="16"/>
      <c r="F41" s="16"/>
      <c r="G41" s="5"/>
    </row>
    <row r="42" spans="1:7" ht="15.6" x14ac:dyDescent="0.35">
      <c r="A42" s="22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3"/>
      <c r="B43" s="16"/>
      <c r="C43" s="16"/>
      <c r="D43" s="16"/>
      <c r="E43" s="16"/>
      <c r="F43" s="16"/>
      <c r="G43" s="5"/>
    </row>
    <row r="44" spans="1:7" ht="15.6" x14ac:dyDescent="0.35">
      <c r="A44" s="22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3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3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3"/>
      <c r="B47" s="16"/>
      <c r="C47" s="16"/>
      <c r="D47" s="16"/>
      <c r="E47" s="16"/>
      <c r="F47" s="16"/>
      <c r="G47" s="5"/>
    </row>
    <row r="48" spans="1:7" ht="15.6" x14ac:dyDescent="0.35">
      <c r="A48" s="22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3" t="s">
        <v>16</v>
      </c>
      <c r="B49" s="16">
        <f>B17/B16*100</f>
        <v>95.918367346938766</v>
      </c>
      <c r="C49" s="16">
        <f>C17/C16*100</f>
        <v>95.918367346938766</v>
      </c>
      <c r="D49" s="16"/>
      <c r="E49" s="16"/>
      <c r="F49" s="16"/>
      <c r="G49" s="5"/>
    </row>
    <row r="50" spans="1:7" ht="15.6" x14ac:dyDescent="0.35">
      <c r="A50" s="23" t="s">
        <v>17</v>
      </c>
      <c r="B50" s="16">
        <f>B23/B22*100</f>
        <v>49.944034818894437</v>
      </c>
      <c r="C50" s="16"/>
      <c r="D50" s="16">
        <f>D23/D22*100</f>
        <v>73.985230610315952</v>
      </c>
      <c r="E50" s="16">
        <f t="shared" ref="E50" si="5">E23/E22*100</f>
        <v>4.3810269463469682</v>
      </c>
      <c r="F50" s="16">
        <f>F23/F22*100</f>
        <v>46.549003287199959</v>
      </c>
      <c r="G50" s="5"/>
    </row>
    <row r="51" spans="1:7" ht="15.6" x14ac:dyDescent="0.35">
      <c r="A51" s="23" t="s">
        <v>18</v>
      </c>
      <c r="B51" s="16">
        <f>AVERAGE(B49:B50)</f>
        <v>72.931201082916601</v>
      </c>
      <c r="C51" s="16">
        <f>AVERAGE(C49:C50)</f>
        <v>95.918367346938766</v>
      </c>
      <c r="D51" s="16">
        <f t="shared" ref="D51:F51" si="6">AVERAGE(D49:D50)</f>
        <v>73.985230610315952</v>
      </c>
      <c r="E51" s="16">
        <f t="shared" si="6"/>
        <v>4.3810269463469682</v>
      </c>
      <c r="F51" s="16">
        <f t="shared" si="6"/>
        <v>46.549003287199959</v>
      </c>
      <c r="G51" s="5"/>
    </row>
    <row r="52" spans="1:7" ht="15.6" x14ac:dyDescent="0.35">
      <c r="A52" s="23"/>
      <c r="B52" s="16"/>
      <c r="C52" s="16"/>
      <c r="D52" s="16"/>
      <c r="E52" s="16"/>
      <c r="F52" s="16"/>
      <c r="G52" s="5"/>
    </row>
    <row r="53" spans="1:7" ht="15.6" x14ac:dyDescent="0.35">
      <c r="A53" s="22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3" t="s">
        <v>20</v>
      </c>
      <c r="B54" s="16">
        <f>(B17/B18)*100</f>
        <v>98.94736842105263</v>
      </c>
      <c r="C54" s="16">
        <f t="shared" ref="C54" si="7">(C17/C18)*100</f>
        <v>98.94736842105263</v>
      </c>
      <c r="D54" s="16"/>
      <c r="E54" s="16"/>
      <c r="F54" s="16"/>
      <c r="G54" s="5"/>
    </row>
    <row r="55" spans="1:7" ht="15.6" x14ac:dyDescent="0.35">
      <c r="A55" s="23" t="s">
        <v>21</v>
      </c>
      <c r="B55" s="16">
        <f>B23/B24*100</f>
        <v>12.486008704723609</v>
      </c>
      <c r="C55" s="16"/>
      <c r="D55" s="16">
        <f t="shared" ref="D55:F55" si="8">D23/D24*100</f>
        <v>18.674071907163793</v>
      </c>
      <c r="E55" s="16">
        <f t="shared" si="8"/>
        <v>2.1217080438147971</v>
      </c>
      <c r="F55" s="16">
        <f t="shared" si="8"/>
        <v>10.178502159999999</v>
      </c>
      <c r="G55" s="5"/>
    </row>
    <row r="56" spans="1:7" ht="15.6" x14ac:dyDescent="0.35">
      <c r="A56" s="23" t="s">
        <v>22</v>
      </c>
      <c r="B56" s="16">
        <f>AVERAGE(B54:B55)</f>
        <v>55.716688562888123</v>
      </c>
      <c r="C56" s="16">
        <f t="shared" ref="C56:F56" si="9">AVERAGE(C54:C55)</f>
        <v>98.94736842105263</v>
      </c>
      <c r="D56" s="16">
        <f t="shared" si="9"/>
        <v>18.674071907163793</v>
      </c>
      <c r="E56" s="16">
        <f t="shared" si="9"/>
        <v>2.1217080438147971</v>
      </c>
      <c r="F56" s="16">
        <f t="shared" si="9"/>
        <v>10.178502159999999</v>
      </c>
      <c r="G56" s="5"/>
    </row>
    <row r="57" spans="1:7" ht="15.6" x14ac:dyDescent="0.35">
      <c r="A57" s="23"/>
      <c r="B57" s="16"/>
      <c r="C57" s="16"/>
      <c r="D57" s="16"/>
      <c r="E57" s="16"/>
      <c r="F57" s="16"/>
      <c r="G57" s="5"/>
    </row>
    <row r="58" spans="1:7" ht="15.6" x14ac:dyDescent="0.35">
      <c r="A58" s="22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3" t="s">
        <v>23</v>
      </c>
      <c r="B59" s="16">
        <f>B25/B23*100</f>
        <v>100</v>
      </c>
      <c r="C59" s="16"/>
      <c r="D59" s="16">
        <f t="shared" ref="D59:F59" si="10">D25/D23*100</f>
        <v>100</v>
      </c>
      <c r="E59" s="16">
        <f t="shared" si="10"/>
        <v>100</v>
      </c>
      <c r="F59" s="16">
        <f t="shared" si="10"/>
        <v>100</v>
      </c>
      <c r="G59" s="5"/>
    </row>
    <row r="60" spans="1:7" ht="15.6" x14ac:dyDescent="0.35">
      <c r="A60" s="23"/>
      <c r="B60" s="16"/>
      <c r="C60" s="16"/>
      <c r="D60" s="16"/>
      <c r="E60" s="16"/>
      <c r="F60" s="16"/>
      <c r="G60" s="5"/>
    </row>
    <row r="61" spans="1:7" ht="15.6" x14ac:dyDescent="0.35">
      <c r="A61" s="22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3" t="s">
        <v>25</v>
      </c>
      <c r="B62" s="16">
        <f>((B17/B15)-1)*100</f>
        <v>-2.6915113871635588</v>
      </c>
      <c r="C62" s="16">
        <f>((C17/C15)-1)*100</f>
        <v>-2.6915113871635588</v>
      </c>
      <c r="D62" s="16">
        <f>((C17/C15)-1)*100</f>
        <v>-2.6915113871635588</v>
      </c>
      <c r="E62" s="16">
        <f>((C17/C15)-1)*100</f>
        <v>-2.6915113871635588</v>
      </c>
      <c r="F62" s="16">
        <f>((C17/C15)-1)*100</f>
        <v>-2.6915113871635588</v>
      </c>
      <c r="G62" s="5"/>
    </row>
    <row r="63" spans="1:7" ht="15.6" x14ac:dyDescent="0.35">
      <c r="A63" s="23" t="s">
        <v>26</v>
      </c>
      <c r="B63" s="16">
        <f>((B38/B37)-1)*100</f>
        <v>25.592892364596032</v>
      </c>
      <c r="C63" s="16"/>
      <c r="D63" s="16">
        <f t="shared" ref="D63:F63" si="11">((D38/D37)-1)*100</f>
        <v>17.32029512006228</v>
      </c>
      <c r="E63" s="16" t="s">
        <v>43</v>
      </c>
      <c r="F63" s="16">
        <f t="shared" si="11"/>
        <v>32.104479838896104</v>
      </c>
      <c r="G63" s="5"/>
    </row>
    <row r="64" spans="1:7" ht="15.6" x14ac:dyDescent="0.35">
      <c r="A64" s="23" t="s">
        <v>27</v>
      </c>
      <c r="B64" s="16">
        <f>((B40/B39)-1)*100</f>
        <v>29.066738323616747</v>
      </c>
      <c r="C64" s="16"/>
      <c r="D64" s="16">
        <f t="shared" ref="D64:F64" si="12">((D40/D39)-1)*100</f>
        <v>20.565324559553378</v>
      </c>
      <c r="E64" s="16" t="s">
        <v>43</v>
      </c>
      <c r="F64" s="16">
        <f t="shared" si="12"/>
        <v>35.758433536567694</v>
      </c>
      <c r="G64" s="5"/>
    </row>
    <row r="65" spans="1:7" ht="15.6" x14ac:dyDescent="0.35">
      <c r="A65" s="23"/>
      <c r="B65" s="16"/>
      <c r="C65" s="16"/>
      <c r="D65" s="16"/>
      <c r="E65" s="16"/>
      <c r="F65" s="16"/>
      <c r="G65" s="5"/>
    </row>
    <row r="66" spans="1:7" ht="15.6" x14ac:dyDescent="0.35">
      <c r="A66" s="22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3" t="s">
        <v>34</v>
      </c>
      <c r="B67" s="16">
        <f>B22/($B$16*3)</f>
        <v>145797.29659863946</v>
      </c>
      <c r="C67" s="16">
        <f>B22/(C16*3)</f>
        <v>145797.29659863946</v>
      </c>
      <c r="D67" s="16">
        <f>D22/($C$16*3)</f>
        <v>50380.952380952382</v>
      </c>
      <c r="E67" s="16">
        <f>E22/($C$16*3)</f>
        <v>21041.485034013607</v>
      </c>
      <c r="F67" s="16">
        <f>F22/($C$16*3)</f>
        <v>74374.85918367347</v>
      </c>
      <c r="G67" s="5"/>
    </row>
    <row r="68" spans="1:7" ht="15.6" x14ac:dyDescent="0.35">
      <c r="A68" s="23" t="s">
        <v>35</v>
      </c>
      <c r="B68" s="16">
        <f>B23/($B$17*3)</f>
        <v>75915.650560283684</v>
      </c>
      <c r="C68" s="16">
        <f>B23/(C17*3)</f>
        <v>75915.650560283684</v>
      </c>
      <c r="D68" s="16">
        <f>D23/($C$17*3)</f>
        <v>38860.611198581559</v>
      </c>
      <c r="E68" s="16">
        <f>E23/($C$17*3)</f>
        <v>961.06007092198581</v>
      </c>
      <c r="F68" s="16">
        <f>F23/($C$17*3)</f>
        <v>36093.979290780138</v>
      </c>
    </row>
    <row r="69" spans="1:7" ht="15.6" x14ac:dyDescent="0.35">
      <c r="A69" s="23" t="s">
        <v>29</v>
      </c>
      <c r="B69" s="16">
        <f>(B68/B67)*B51</f>
        <v>37.974775290889355</v>
      </c>
      <c r="C69" s="16">
        <f>(C68/C67)*C51</f>
        <v>49.944034818894437</v>
      </c>
      <c r="D69" s="16"/>
      <c r="E69" s="16"/>
      <c r="F69" s="16"/>
      <c r="G69" s="5"/>
    </row>
    <row r="70" spans="1:7" ht="15.6" x14ac:dyDescent="0.35">
      <c r="A70" s="26" t="s">
        <v>36</v>
      </c>
      <c r="B70" s="16">
        <f>B22/($B$16)</f>
        <v>437391.88979591837</v>
      </c>
      <c r="C70" s="16">
        <f>B22/(C16)</f>
        <v>437391.88979591837</v>
      </c>
      <c r="D70" s="16">
        <f>D22/($C$16)</f>
        <v>151142.85714285713</v>
      </c>
      <c r="E70" s="16">
        <f t="shared" ref="E70:F70" si="13">E22/($C$16)</f>
        <v>63124.455102040818</v>
      </c>
      <c r="F70" s="16">
        <f t="shared" si="13"/>
        <v>223124.5775510204</v>
      </c>
      <c r="G70" s="5"/>
    </row>
    <row r="71" spans="1:7" ht="15.6" x14ac:dyDescent="0.35">
      <c r="A71" s="26" t="s">
        <v>37</v>
      </c>
      <c r="B71" s="16">
        <f>B23/($B$17)</f>
        <v>227746.95168085105</v>
      </c>
      <c r="C71" s="16">
        <f>B23/(C17)</f>
        <v>227746.95168085105</v>
      </c>
      <c r="D71" s="16">
        <f>D23/($C$17)</f>
        <v>116581.83359574468</v>
      </c>
      <c r="E71" s="16">
        <f t="shared" ref="E71:F71" si="14">E23/($C$17)</f>
        <v>2883.1802127659575</v>
      </c>
      <c r="F71" s="16">
        <f t="shared" si="14"/>
        <v>108281.93787234042</v>
      </c>
      <c r="G71" s="5"/>
    </row>
    <row r="72" spans="1:7" ht="15.6" x14ac:dyDescent="0.35">
      <c r="A72" s="23"/>
      <c r="B72" s="16"/>
      <c r="C72" s="16"/>
      <c r="D72" s="16"/>
      <c r="E72" s="16"/>
      <c r="F72" s="16"/>
      <c r="G72" s="5"/>
    </row>
    <row r="73" spans="1:7" ht="15.6" x14ac:dyDescent="0.35">
      <c r="A73" s="22" t="s">
        <v>30</v>
      </c>
      <c r="B73" s="16"/>
      <c r="C73" s="16"/>
      <c r="D73" s="21"/>
      <c r="E73" s="16"/>
      <c r="F73" s="16"/>
      <c r="G73" s="5"/>
    </row>
    <row r="74" spans="1:7" ht="15.6" x14ac:dyDescent="0.35">
      <c r="A74" s="23" t="s">
        <v>31</v>
      </c>
      <c r="B74" s="16">
        <f>(B29/B28)*100</f>
        <v>99.999994400948793</v>
      </c>
      <c r="C74" s="16"/>
      <c r="D74" s="16"/>
      <c r="E74" s="16"/>
      <c r="F74" s="16"/>
      <c r="G74" s="5"/>
    </row>
    <row r="75" spans="1:7" ht="15.6" x14ac:dyDescent="0.35">
      <c r="A75" s="23" t="s">
        <v>32</v>
      </c>
      <c r="B75" s="16">
        <f>(B23/B29)*100</f>
        <v>49.944037615286682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70" t="s">
        <v>84</v>
      </c>
      <c r="B77" s="70"/>
      <c r="C77" s="70"/>
      <c r="D77" s="70"/>
      <c r="E77" s="70"/>
      <c r="F77" s="70"/>
    </row>
    <row r="78" spans="1:7" customFormat="1" x14ac:dyDescent="0.3"/>
    <row r="79" spans="1:7" customFormat="1" ht="21" customHeight="1" x14ac:dyDescent="0.3">
      <c r="A79" s="64" t="s">
        <v>85</v>
      </c>
      <c r="B79" s="64"/>
      <c r="C79" s="64"/>
      <c r="D79" s="64"/>
      <c r="E79" s="64"/>
      <c r="F79" s="64"/>
      <c r="G79" s="27"/>
    </row>
    <row r="80" spans="1:7" s="23" customFormat="1" ht="15.6" x14ac:dyDescent="0.35">
      <c r="A80" s="62" t="s">
        <v>86</v>
      </c>
      <c r="B80" s="62"/>
      <c r="C80" s="62"/>
      <c r="D80" s="62"/>
      <c r="E80" s="62"/>
      <c r="F80" s="62"/>
    </row>
    <row r="81" spans="1:6" s="23" customFormat="1" ht="38.25" customHeight="1" x14ac:dyDescent="0.35">
      <c r="A81" s="63" t="s">
        <v>87</v>
      </c>
      <c r="B81" s="63"/>
      <c r="C81" s="63"/>
      <c r="D81" s="63"/>
      <c r="E81" s="63"/>
      <c r="F81" s="63"/>
    </row>
    <row r="82" spans="1:6" customFormat="1" x14ac:dyDescent="0.3">
      <c r="A82" s="37"/>
    </row>
    <row r="83" spans="1:6" customFormat="1" x14ac:dyDescent="0.3"/>
    <row r="84" spans="1:6" customFormat="1" x14ac:dyDescent="0.3"/>
    <row r="85" spans="1:6" customFormat="1" x14ac:dyDescent="0.3"/>
    <row r="86" spans="1:6" customFormat="1" x14ac:dyDescent="0.3">
      <c r="A86" s="28"/>
    </row>
    <row r="87" spans="1:6" customFormat="1" x14ac:dyDescent="0.3">
      <c r="A87" s="1"/>
    </row>
    <row r="88" spans="1:6" customFormat="1" x14ac:dyDescent="0.3"/>
    <row r="89" spans="1:6" customFormat="1" x14ac:dyDescent="0.3"/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3"/>
      <c r="C171" s="3"/>
      <c r="D171" s="3"/>
      <c r="E171" s="3"/>
    </row>
    <row r="172" spans="1:5" x14ac:dyDescent="0.3">
      <c r="A172" s="1"/>
      <c r="B172" s="3"/>
      <c r="C172" s="3"/>
      <c r="D172" s="3"/>
      <c r="E172" s="3"/>
    </row>
  </sheetData>
  <mergeCells count="8">
    <mergeCell ref="A80:F80"/>
    <mergeCell ref="A81:F81"/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8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6" width="19.5546875" style="4" customWidth="1"/>
    <col min="7" max="7" width="13.6640625" style="4" bestFit="1" customWidth="1"/>
    <col min="8" max="16384" width="11.44140625" style="4"/>
  </cols>
  <sheetData>
    <row r="1" spans="1:7" s="43" customFormat="1" x14ac:dyDescent="0.3"/>
    <row r="2" spans="1:7" s="43" customFormat="1" x14ac:dyDescent="0.3"/>
    <row r="3" spans="1:7" s="43" customFormat="1" x14ac:dyDescent="0.3"/>
    <row r="4" spans="1:7" s="43" customFormat="1" x14ac:dyDescent="0.3"/>
    <row r="5" spans="1:7" s="43" customFormat="1" x14ac:dyDescent="0.3"/>
    <row r="6" spans="1:7" s="43" customFormat="1" x14ac:dyDescent="0.3"/>
    <row r="7" spans="1:7" s="43" customFormat="1" x14ac:dyDescent="0.3"/>
    <row r="8" spans="1:7" s="43" customFormat="1" ht="15.75" customHeight="1" x14ac:dyDescent="0.3"/>
    <row r="9" spans="1:7" s="44" customFormat="1" ht="15.6" x14ac:dyDescent="0.35">
      <c r="A9" s="71" t="s">
        <v>0</v>
      </c>
      <c r="B9" s="73" t="s">
        <v>1</v>
      </c>
      <c r="C9" s="73" t="s">
        <v>46</v>
      </c>
      <c r="D9" s="75" t="s">
        <v>45</v>
      </c>
      <c r="E9" s="75"/>
      <c r="F9" s="75"/>
    </row>
    <row r="10" spans="1:7" s="44" customFormat="1" ht="31.8" thickBot="1" x14ac:dyDescent="0.35">
      <c r="A10" s="72"/>
      <c r="B10" s="74"/>
      <c r="C10" s="74"/>
      <c r="D10" s="45" t="s">
        <v>44</v>
      </c>
      <c r="E10" s="46" t="s">
        <v>2</v>
      </c>
      <c r="F10" s="46" t="s">
        <v>3</v>
      </c>
    </row>
    <row r="11" spans="1:7" s="43" customFormat="1" ht="16.2" thickTop="1" x14ac:dyDescent="0.35">
      <c r="A11" s="47"/>
      <c r="B11" s="47"/>
      <c r="C11" s="47"/>
      <c r="D11" s="47"/>
      <c r="E11" s="47"/>
      <c r="F11" s="47"/>
    </row>
    <row r="12" spans="1:7" s="43" customFormat="1" ht="15.6" x14ac:dyDescent="0.35">
      <c r="A12" s="48" t="s">
        <v>4</v>
      </c>
      <c r="B12" s="47"/>
      <c r="C12" s="47"/>
      <c r="D12" s="47"/>
      <c r="E12" s="47"/>
      <c r="F12" s="47"/>
    </row>
    <row r="13" spans="1:7" s="43" customFormat="1" ht="15.6" x14ac:dyDescent="0.35">
      <c r="A13" s="47"/>
      <c r="B13" s="49"/>
      <c r="C13" s="49"/>
      <c r="D13" s="49"/>
      <c r="E13" s="49"/>
      <c r="F13" s="49"/>
      <c r="G13" s="50"/>
    </row>
    <row r="14" spans="1:7" s="43" customFormat="1" ht="15.6" x14ac:dyDescent="0.35">
      <c r="A14" s="48" t="s">
        <v>5</v>
      </c>
      <c r="B14" s="49"/>
      <c r="C14" s="49"/>
      <c r="D14" s="49"/>
      <c r="E14" s="49"/>
      <c r="F14" s="49"/>
      <c r="G14" s="50"/>
    </row>
    <row r="15" spans="1:7" ht="15.6" x14ac:dyDescent="0.35">
      <c r="A15" s="51" t="s">
        <v>53</v>
      </c>
      <c r="B15" s="12">
        <f>C15</f>
        <v>462</v>
      </c>
      <c r="C15" s="29">
        <v>462</v>
      </c>
      <c r="D15" s="29"/>
      <c r="E15" s="29"/>
      <c r="F15" s="29"/>
      <c r="G15" s="5"/>
    </row>
    <row r="16" spans="1:7" ht="15.6" x14ac:dyDescent="0.35">
      <c r="A16" s="51" t="s">
        <v>88</v>
      </c>
      <c r="B16" s="12">
        <f t="shared" ref="B16:B18" si="0">C16</f>
        <v>480</v>
      </c>
      <c r="C16" s="29">
        <v>480</v>
      </c>
      <c r="D16" s="29"/>
      <c r="E16" s="29"/>
      <c r="F16" s="29"/>
      <c r="G16" s="5"/>
    </row>
    <row r="17" spans="1:7" ht="15.6" x14ac:dyDescent="0.35">
      <c r="A17" s="51" t="s">
        <v>89</v>
      </c>
      <c r="B17" s="12">
        <f t="shared" si="0"/>
        <v>435</v>
      </c>
      <c r="C17" s="29">
        <v>435</v>
      </c>
      <c r="D17" s="29"/>
      <c r="E17" s="29"/>
      <c r="F17" s="29"/>
    </row>
    <row r="18" spans="1:7" ht="15.6" x14ac:dyDescent="0.35">
      <c r="A18" s="51" t="s">
        <v>79</v>
      </c>
      <c r="B18" s="12">
        <f t="shared" si="0"/>
        <v>475</v>
      </c>
      <c r="C18" s="29">
        <v>475</v>
      </c>
      <c r="D18" s="29"/>
      <c r="E18" s="29"/>
      <c r="F18" s="29"/>
      <c r="G18" s="5"/>
    </row>
    <row r="19" spans="1:7" ht="15.6" x14ac:dyDescent="0.35">
      <c r="A19" s="47"/>
      <c r="B19" s="12"/>
      <c r="C19" s="29"/>
      <c r="D19" s="29"/>
      <c r="E19" s="29"/>
      <c r="F19" s="29"/>
      <c r="G19" s="5"/>
    </row>
    <row r="20" spans="1:7" ht="15.6" x14ac:dyDescent="0.35">
      <c r="A20" s="52" t="s">
        <v>6</v>
      </c>
      <c r="B20" s="12"/>
      <c r="C20" s="29"/>
      <c r="D20" s="29"/>
      <c r="E20" s="29"/>
      <c r="F20" s="29"/>
      <c r="G20" s="5"/>
    </row>
    <row r="21" spans="1:7" ht="15.6" x14ac:dyDescent="0.35">
      <c r="A21" s="51" t="s">
        <v>53</v>
      </c>
      <c r="B21" s="12">
        <f>SUM(D21:F21)</f>
        <v>231745797.55000001</v>
      </c>
      <c r="C21" s="29"/>
      <c r="D21" s="29">
        <v>118940891.88000001</v>
      </c>
      <c r="E21" s="14">
        <v>3849745.45</v>
      </c>
      <c r="F21" s="14">
        <v>108955160.22</v>
      </c>
      <c r="G21" s="5"/>
    </row>
    <row r="22" spans="1:7" ht="15.6" x14ac:dyDescent="0.35">
      <c r="A22" s="51" t="s">
        <v>88</v>
      </c>
      <c r="B22" s="12">
        <f>SUM(D22:F22)</f>
        <v>214322026</v>
      </c>
      <c r="C22" s="29"/>
      <c r="D22" s="29">
        <v>74860000</v>
      </c>
      <c r="E22" s="29">
        <v>32937121</v>
      </c>
      <c r="F22" s="29">
        <v>106524905</v>
      </c>
      <c r="G22" s="5"/>
    </row>
    <row r="23" spans="1:7" ht="15.6" x14ac:dyDescent="0.35">
      <c r="A23" s="51" t="s">
        <v>89</v>
      </c>
      <c r="B23" s="12">
        <f>SUM(D23:F23)</f>
        <v>202746206.63999999</v>
      </c>
      <c r="C23" s="29"/>
      <c r="D23" s="29">
        <v>89747825.219999999</v>
      </c>
      <c r="E23" s="14">
        <v>16420606.419999998</v>
      </c>
      <c r="F23" s="14">
        <v>96577775</v>
      </c>
      <c r="G23" s="5"/>
    </row>
    <row r="24" spans="1:7" ht="15.6" x14ac:dyDescent="0.35">
      <c r="A24" s="51" t="s">
        <v>79</v>
      </c>
      <c r="B24" s="12">
        <f>SUM(D24:F24)</f>
        <v>857288104</v>
      </c>
      <c r="C24" s="29"/>
      <c r="D24" s="29">
        <v>293420000</v>
      </c>
      <c r="E24" s="29">
        <v>63868104</v>
      </c>
      <c r="F24" s="29">
        <v>500000000</v>
      </c>
      <c r="G24" s="5"/>
    </row>
    <row r="25" spans="1:7" ht="15.6" x14ac:dyDescent="0.35">
      <c r="A25" s="51" t="s">
        <v>90</v>
      </c>
      <c r="B25" s="12">
        <f>D25+E25+F25</f>
        <v>202746206.63999999</v>
      </c>
      <c r="C25" s="12"/>
      <c r="D25" s="12">
        <f>+D23</f>
        <v>89747825.219999999</v>
      </c>
      <c r="E25" s="12">
        <f t="shared" ref="E25:F25" si="1">+E23</f>
        <v>16420606.419999998</v>
      </c>
      <c r="F25" s="12">
        <f t="shared" si="1"/>
        <v>96577775</v>
      </c>
      <c r="G25" s="5"/>
    </row>
    <row r="26" spans="1:7" ht="15.6" x14ac:dyDescent="0.35">
      <c r="A26" s="47"/>
      <c r="B26" s="12"/>
      <c r="C26" s="12"/>
      <c r="D26" s="12"/>
      <c r="E26" s="12"/>
      <c r="F26" s="12"/>
      <c r="G26" s="5"/>
    </row>
    <row r="27" spans="1:7" ht="15.6" x14ac:dyDescent="0.35">
      <c r="A27" s="52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51" t="s">
        <v>88</v>
      </c>
      <c r="B28" s="12">
        <f>B22</f>
        <v>214322026</v>
      </c>
      <c r="C28" s="12"/>
      <c r="D28" s="15"/>
      <c r="E28" s="12"/>
      <c r="F28" s="12"/>
      <c r="G28" s="5"/>
    </row>
    <row r="29" spans="1:7" ht="15.6" x14ac:dyDescent="0.35">
      <c r="A29" s="51" t="s">
        <v>89</v>
      </c>
      <c r="B29" s="29">
        <v>214322013.75</v>
      </c>
      <c r="C29" s="12"/>
      <c r="D29" s="12"/>
      <c r="E29" s="12"/>
      <c r="F29" s="12"/>
      <c r="G29" s="5"/>
    </row>
    <row r="30" spans="1:7" ht="15.6" x14ac:dyDescent="0.35">
      <c r="A30" s="47"/>
      <c r="B30" s="16"/>
      <c r="C30" s="16"/>
      <c r="D30" s="16"/>
      <c r="E30" s="16"/>
      <c r="F30" s="16"/>
      <c r="G30" s="5"/>
    </row>
    <row r="31" spans="1:7" ht="15.6" x14ac:dyDescent="0.35">
      <c r="A31" s="48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51" t="s">
        <v>54</v>
      </c>
      <c r="B32" s="31">
        <v>1.0973999999999999</v>
      </c>
      <c r="C32" s="31">
        <v>1.0973999999999999</v>
      </c>
      <c r="D32" s="31">
        <v>1.0973999999999999</v>
      </c>
      <c r="E32" s="31">
        <v>1.0973999999999999</v>
      </c>
      <c r="F32" s="31">
        <v>1.0973999999999999</v>
      </c>
      <c r="G32" s="5"/>
    </row>
    <row r="33" spans="1:7" ht="15.6" x14ac:dyDescent="0.35">
      <c r="A33" s="51" t="s">
        <v>91</v>
      </c>
      <c r="B33" s="31">
        <v>1.0971</v>
      </c>
      <c r="C33" s="31">
        <v>1.0971</v>
      </c>
      <c r="D33" s="31">
        <v>1.0971</v>
      </c>
      <c r="E33" s="31">
        <v>1.0971</v>
      </c>
      <c r="F33" s="31">
        <v>1.0971</v>
      </c>
      <c r="G33" s="5"/>
    </row>
    <row r="34" spans="1:7" ht="15.6" x14ac:dyDescent="0.35">
      <c r="A34" s="51" t="s">
        <v>9</v>
      </c>
      <c r="B34" s="29" t="s">
        <v>43</v>
      </c>
      <c r="C34" s="29" t="s">
        <v>43</v>
      </c>
      <c r="D34" s="29" t="s">
        <v>43</v>
      </c>
      <c r="E34" s="29" t="s">
        <v>43</v>
      </c>
      <c r="F34" s="29" t="s">
        <v>43</v>
      </c>
      <c r="G34" s="5"/>
    </row>
    <row r="35" spans="1:7" ht="15.6" x14ac:dyDescent="0.35">
      <c r="A35" s="47"/>
      <c r="B35" s="16"/>
      <c r="C35" s="16"/>
      <c r="D35" s="16"/>
      <c r="E35" s="16"/>
      <c r="F35" s="16"/>
      <c r="G35" s="5"/>
    </row>
    <row r="36" spans="1:7" ht="15.6" x14ac:dyDescent="0.35">
      <c r="A36" s="48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51" t="s">
        <v>55</v>
      </c>
      <c r="B37" s="12">
        <f>B21/B32</f>
        <v>211177143.74886096</v>
      </c>
      <c r="C37" s="12"/>
      <c r="D37" s="14">
        <f>D21/D32</f>
        <v>108384264.51612905</v>
      </c>
      <c r="E37" s="14">
        <f t="shared" ref="E37:F37" si="2">E21/E32</f>
        <v>3508060.3699653731</v>
      </c>
      <c r="F37" s="14">
        <f t="shared" si="2"/>
        <v>99284818.862766549</v>
      </c>
      <c r="G37" s="5"/>
    </row>
    <row r="38" spans="1:7" ht="15.6" x14ac:dyDescent="0.35">
      <c r="A38" s="51" t="s">
        <v>92</v>
      </c>
      <c r="B38" s="12">
        <f>B23/B33</f>
        <v>184801938.41946951</v>
      </c>
      <c r="C38" s="12"/>
      <c r="D38" s="14">
        <f>D23/D33</f>
        <v>81804598.687448725</v>
      </c>
      <c r="E38" s="14">
        <f>E23/E33</f>
        <v>14967283.219396589</v>
      </c>
      <c r="F38" s="14">
        <f t="shared" ref="F38" si="3">F23/F33</f>
        <v>88030056.512624189</v>
      </c>
      <c r="G38" s="5"/>
    </row>
    <row r="39" spans="1:7" ht="15.6" x14ac:dyDescent="0.35">
      <c r="A39" s="51" t="s">
        <v>56</v>
      </c>
      <c r="B39" s="12">
        <f>B37/B15</f>
        <v>457093.38473779429</v>
      </c>
      <c r="C39" s="12"/>
      <c r="D39" s="14">
        <f>D37/$C$15</f>
        <v>234597.97514313646</v>
      </c>
      <c r="E39" s="14">
        <f t="shared" ref="E39:F39" si="4">E37/$C$15</f>
        <v>7593.2042639943138</v>
      </c>
      <c r="F39" s="14">
        <f t="shared" si="4"/>
        <v>214902.20533066354</v>
      </c>
      <c r="G39" s="5"/>
    </row>
    <row r="40" spans="1:7" ht="15.6" x14ac:dyDescent="0.35">
      <c r="A40" s="51" t="s">
        <v>93</v>
      </c>
      <c r="B40" s="12">
        <f>B38/B17</f>
        <v>424832.04234360805</v>
      </c>
      <c r="C40" s="12"/>
      <c r="D40" s="14">
        <f>D38/$C$17</f>
        <v>188056.54870677867</v>
      </c>
      <c r="E40" s="14">
        <f t="shared" ref="E40:F40" si="5">E38/$C$17</f>
        <v>34407.547630796755</v>
      </c>
      <c r="F40" s="14">
        <f t="shared" si="5"/>
        <v>202367.94600603261</v>
      </c>
    </row>
    <row r="41" spans="1:7" ht="15.6" x14ac:dyDescent="0.35">
      <c r="A41" s="47"/>
      <c r="B41" s="16"/>
      <c r="C41" s="16"/>
      <c r="D41" s="16"/>
      <c r="E41" s="16"/>
      <c r="F41" s="16"/>
      <c r="G41" s="5"/>
    </row>
    <row r="42" spans="1:7" ht="15.6" x14ac:dyDescent="0.35">
      <c r="A42" s="48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47"/>
      <c r="B43" s="16"/>
      <c r="C43" s="16"/>
      <c r="D43" s="16"/>
      <c r="E43" s="16"/>
      <c r="F43" s="16"/>
      <c r="G43" s="5"/>
    </row>
    <row r="44" spans="1:7" ht="15.6" x14ac:dyDescent="0.35">
      <c r="A44" s="48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47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47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47"/>
      <c r="B47" s="16"/>
      <c r="C47" s="16"/>
      <c r="D47" s="16"/>
      <c r="E47" s="16"/>
      <c r="F47" s="16"/>
      <c r="G47" s="5"/>
    </row>
    <row r="48" spans="1:7" ht="15.6" x14ac:dyDescent="0.35">
      <c r="A48" s="48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47" t="s">
        <v>16</v>
      </c>
      <c r="B49" s="16">
        <f>B17/B16*100</f>
        <v>90.625</v>
      </c>
      <c r="C49" s="16">
        <f>C17/C16*100</f>
        <v>90.625</v>
      </c>
      <c r="D49" s="16"/>
      <c r="E49" s="16"/>
      <c r="F49" s="16"/>
      <c r="G49" s="5"/>
    </row>
    <row r="50" spans="1:7" ht="15.6" x14ac:dyDescent="0.35">
      <c r="A50" s="47" t="s">
        <v>17</v>
      </c>
      <c r="B50" s="16">
        <f>B23/B22*100</f>
        <v>94.598866212658876</v>
      </c>
      <c r="C50" s="16"/>
      <c r="D50" s="16">
        <f t="shared" ref="D50:F50" si="6">D23/D22*100</f>
        <v>119.88755706652418</v>
      </c>
      <c r="E50" s="16" t="s">
        <v>43</v>
      </c>
      <c r="F50" s="16">
        <f t="shared" si="6"/>
        <v>90.662155483734068</v>
      </c>
      <c r="G50" s="5"/>
    </row>
    <row r="51" spans="1:7" ht="15.6" x14ac:dyDescent="0.35">
      <c r="A51" s="47" t="s">
        <v>18</v>
      </c>
      <c r="B51" s="16">
        <f>AVERAGE(B49:B50)</f>
        <v>92.611933106329445</v>
      </c>
      <c r="C51" s="16">
        <f t="shared" ref="C51:F51" si="7">AVERAGE(C49:C50)</f>
        <v>90.625</v>
      </c>
      <c r="D51" s="16">
        <f t="shared" si="7"/>
        <v>119.88755706652418</v>
      </c>
      <c r="E51" s="16" t="s">
        <v>43</v>
      </c>
      <c r="F51" s="16">
        <f t="shared" si="7"/>
        <v>90.662155483734068</v>
      </c>
      <c r="G51" s="5"/>
    </row>
    <row r="52" spans="1:7" ht="15.6" x14ac:dyDescent="0.35">
      <c r="A52" s="47"/>
      <c r="B52" s="16"/>
      <c r="C52" s="16"/>
      <c r="D52" s="16"/>
      <c r="E52" s="16"/>
      <c r="F52" s="16"/>
      <c r="G52" s="5"/>
    </row>
    <row r="53" spans="1:7" ht="15.6" x14ac:dyDescent="0.35">
      <c r="A53" s="48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47" t="s">
        <v>20</v>
      </c>
      <c r="B54" s="16">
        <f>(B17/B18)*100</f>
        <v>91.578947368421055</v>
      </c>
      <c r="C54" s="16">
        <f t="shared" ref="C54" si="8">(C17/C18)*100</f>
        <v>91.578947368421055</v>
      </c>
      <c r="D54" s="16"/>
      <c r="E54" s="16"/>
      <c r="F54" s="16"/>
      <c r="G54" s="5"/>
    </row>
    <row r="55" spans="1:7" ht="15.6" x14ac:dyDescent="0.35">
      <c r="A55" s="47" t="s">
        <v>21</v>
      </c>
      <c r="B55" s="16">
        <f>B23/B24*100</f>
        <v>23.649716553164719</v>
      </c>
      <c r="C55" s="16"/>
      <c r="D55" s="16">
        <f t="shared" ref="D55:F55" si="9">D23/D24*100</f>
        <v>30.586812494035854</v>
      </c>
      <c r="E55" s="16">
        <f t="shared" si="9"/>
        <v>25.710183004649707</v>
      </c>
      <c r="F55" s="16">
        <f t="shared" si="9"/>
        <v>19.315555</v>
      </c>
      <c r="G55" s="5"/>
    </row>
    <row r="56" spans="1:7" ht="15.6" x14ac:dyDescent="0.35">
      <c r="A56" s="47" t="s">
        <v>22</v>
      </c>
      <c r="B56" s="16">
        <f>AVERAGE(B54:B55)</f>
        <v>57.614331960792889</v>
      </c>
      <c r="C56" s="16">
        <f t="shared" ref="C56:F56" si="10">AVERAGE(C54:C55)</f>
        <v>91.578947368421055</v>
      </c>
      <c r="D56" s="16">
        <f t="shared" si="10"/>
        <v>30.586812494035854</v>
      </c>
      <c r="E56" s="16">
        <f t="shared" si="10"/>
        <v>25.710183004649707</v>
      </c>
      <c r="F56" s="16">
        <f t="shared" si="10"/>
        <v>19.315555</v>
      </c>
      <c r="G56" s="5"/>
    </row>
    <row r="57" spans="1:7" ht="15.6" x14ac:dyDescent="0.35">
      <c r="A57" s="47"/>
      <c r="B57" s="16"/>
      <c r="C57" s="16"/>
      <c r="D57" s="16"/>
      <c r="E57" s="16"/>
      <c r="F57" s="16"/>
      <c r="G57" s="5"/>
    </row>
    <row r="58" spans="1:7" ht="15.6" x14ac:dyDescent="0.35">
      <c r="A58" s="48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47" t="s">
        <v>23</v>
      </c>
      <c r="B59" s="16">
        <f>B25/B23*100</f>
        <v>100</v>
      </c>
      <c r="C59" s="16"/>
      <c r="D59" s="16">
        <f t="shared" ref="D59:F59" si="11">D25/D23*100</f>
        <v>100</v>
      </c>
      <c r="E59" s="16">
        <f t="shared" si="11"/>
        <v>100</v>
      </c>
      <c r="F59" s="16">
        <f t="shared" si="11"/>
        <v>100</v>
      </c>
      <c r="G59" s="5"/>
    </row>
    <row r="60" spans="1:7" ht="15.6" x14ac:dyDescent="0.35">
      <c r="A60" s="47"/>
      <c r="B60" s="16"/>
      <c r="C60" s="16"/>
      <c r="D60" s="16"/>
      <c r="E60" s="16"/>
      <c r="F60" s="16"/>
      <c r="G60" s="5"/>
    </row>
    <row r="61" spans="1:7" ht="15.6" x14ac:dyDescent="0.35">
      <c r="A61" s="48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47" t="s">
        <v>25</v>
      </c>
      <c r="B62" s="16">
        <f>((B17/B15)-1)*100</f>
        <v>-5.844155844155841</v>
      </c>
      <c r="C62" s="16">
        <f>((C17/C15)-1)*100</f>
        <v>-5.844155844155841</v>
      </c>
      <c r="D62" s="16">
        <f>((C17/C15)-1)*100</f>
        <v>-5.844155844155841</v>
      </c>
      <c r="E62" s="16">
        <f>((C17/C15)-1)*100</f>
        <v>-5.844155844155841</v>
      </c>
      <c r="F62" s="16">
        <f>((C17/C15)-1)*100</f>
        <v>-5.844155844155841</v>
      </c>
      <c r="G62" s="5"/>
    </row>
    <row r="63" spans="1:7" ht="15.6" x14ac:dyDescent="0.35">
      <c r="A63" s="47" t="s">
        <v>26</v>
      </c>
      <c r="B63" s="16">
        <f>((B38/B37)-1)*100</f>
        <v>-12.489611735992479</v>
      </c>
      <c r="C63" s="16"/>
      <c r="D63" s="16">
        <f t="shared" ref="D63:F63" si="12">((D38/D37)-1)*100</f>
        <v>-24.523546796523132</v>
      </c>
      <c r="E63" s="16">
        <f t="shared" si="12"/>
        <v>326.65409488219063</v>
      </c>
      <c r="F63" s="16">
        <f t="shared" si="12"/>
        <v>-11.335834097354713</v>
      </c>
      <c r="G63" s="5"/>
    </row>
    <row r="64" spans="1:7" ht="15.6" x14ac:dyDescent="0.35">
      <c r="A64" s="47" t="s">
        <v>27</v>
      </c>
      <c r="B64" s="16">
        <f>((B40/B39)-1)*100</f>
        <v>-7.0579324644334029</v>
      </c>
      <c r="C64" s="16"/>
      <c r="D64" s="16">
        <f t="shared" ref="D64:F64" si="13">((D40/D39)-1)*100</f>
        <v>-19.838801425272845</v>
      </c>
      <c r="E64" s="16">
        <f t="shared" si="13"/>
        <v>353.13607318522304</v>
      </c>
      <c r="F64" s="16">
        <f t="shared" si="13"/>
        <v>-5.8325410413284651</v>
      </c>
      <c r="G64" s="5"/>
    </row>
    <row r="65" spans="1:7" ht="15.6" x14ac:dyDescent="0.35">
      <c r="A65" s="47"/>
      <c r="B65" s="16"/>
      <c r="C65" s="16"/>
      <c r="D65" s="16"/>
      <c r="E65" s="16"/>
      <c r="F65" s="16"/>
      <c r="G65" s="5"/>
    </row>
    <row r="66" spans="1:7" ht="15.6" x14ac:dyDescent="0.35">
      <c r="A66" s="48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47" t="s">
        <v>34</v>
      </c>
      <c r="B67" s="19">
        <f>B22/($B$16*3)</f>
        <v>148834.74027777778</v>
      </c>
      <c r="C67" s="19">
        <f>B22/(C16*3)</f>
        <v>148834.74027777778</v>
      </c>
      <c r="D67" s="19">
        <f>D22/($C$16*3)</f>
        <v>51986.111111111109</v>
      </c>
      <c r="E67" s="19">
        <f t="shared" ref="E67:F67" si="14">E22/($C$16*3)</f>
        <v>22873.000694444443</v>
      </c>
      <c r="F67" s="19">
        <f t="shared" si="14"/>
        <v>73975.628472222219</v>
      </c>
    </row>
    <row r="68" spans="1:7" ht="15.6" x14ac:dyDescent="0.35">
      <c r="A68" s="47" t="s">
        <v>35</v>
      </c>
      <c r="B68" s="19">
        <f>B23/($B$17*3)</f>
        <v>155361.07788505746</v>
      </c>
      <c r="C68" s="19">
        <f>B23/(C17*3)</f>
        <v>155361.07788505746</v>
      </c>
      <c r="D68" s="19">
        <f>D23/($C$17*3)</f>
        <v>68772.279862068972</v>
      </c>
      <c r="E68" s="19">
        <f t="shared" ref="E68:F68" si="15">E23/($C$17*3)</f>
        <v>12582.840168582374</v>
      </c>
      <c r="F68" s="19">
        <f t="shared" si="15"/>
        <v>74005.957854406137</v>
      </c>
      <c r="G68" s="5"/>
    </row>
    <row r="69" spans="1:7" ht="15.6" x14ac:dyDescent="0.35">
      <c r="A69" s="47" t="s">
        <v>29</v>
      </c>
      <c r="B69" s="16">
        <f>(B68/B67)*B51</f>
        <v>96.672925457891012</v>
      </c>
      <c r="C69" s="16">
        <f>(C68/C67)*C51</f>
        <v>94.598866212658891</v>
      </c>
      <c r="D69" s="16"/>
      <c r="E69" s="16"/>
      <c r="F69" s="16"/>
      <c r="G69" s="5"/>
    </row>
    <row r="70" spans="1:7" ht="15.6" x14ac:dyDescent="0.35">
      <c r="A70" s="53" t="s">
        <v>36</v>
      </c>
      <c r="B70" s="19">
        <f>B22/($B$16)</f>
        <v>446504.22083333333</v>
      </c>
      <c r="C70" s="19">
        <f>B22/C16</f>
        <v>446504.22083333333</v>
      </c>
      <c r="D70" s="16">
        <f>D22/($C$16)</f>
        <v>155958.33333333334</v>
      </c>
      <c r="E70" s="16">
        <f t="shared" ref="E70:F70" si="16">E22/($C$16)</f>
        <v>68619.00208333334</v>
      </c>
      <c r="F70" s="16">
        <f t="shared" si="16"/>
        <v>221926.88541666666</v>
      </c>
      <c r="G70" s="5"/>
    </row>
    <row r="71" spans="1:7" ht="15.6" x14ac:dyDescent="0.35">
      <c r="A71" s="53" t="s">
        <v>37</v>
      </c>
      <c r="B71" s="19">
        <f>B23/($B$17)</f>
        <v>466083.2336551724</v>
      </c>
      <c r="C71" s="19">
        <f>B23/C17</f>
        <v>466083.2336551724</v>
      </c>
      <c r="D71" s="16">
        <f>D23/($C$17)</f>
        <v>206316.83958620689</v>
      </c>
      <c r="E71" s="16">
        <f t="shared" ref="E71:F71" si="17">E23/($C$17)</f>
        <v>37748.520505747125</v>
      </c>
      <c r="F71" s="16">
        <f t="shared" si="17"/>
        <v>222017.8735632184</v>
      </c>
      <c r="G71" s="5"/>
    </row>
    <row r="72" spans="1:7" ht="15.6" x14ac:dyDescent="0.35">
      <c r="A72" s="47"/>
      <c r="B72" s="16"/>
      <c r="C72" s="16"/>
      <c r="D72" s="16"/>
      <c r="E72" s="16"/>
      <c r="F72" s="16"/>
      <c r="G72" s="5"/>
    </row>
    <row r="73" spans="1:7" ht="15.6" x14ac:dyDescent="0.35">
      <c r="A73" s="48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47" t="s">
        <v>31</v>
      </c>
      <c r="B74" s="16">
        <f>(B29/B28)*100</f>
        <v>99.999994284301891</v>
      </c>
      <c r="C74" s="16"/>
      <c r="D74" s="16"/>
      <c r="E74" s="16"/>
      <c r="F74" s="16"/>
    </row>
    <row r="75" spans="1:7" ht="15.6" x14ac:dyDescent="0.35">
      <c r="A75" s="47" t="s">
        <v>32</v>
      </c>
      <c r="B75" s="16">
        <f>(B23/B29)*100</f>
        <v>94.598871619644811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s="43" customFormat="1" ht="16.2" thickTop="1" x14ac:dyDescent="0.3">
      <c r="A77" s="76" t="s">
        <v>94</v>
      </c>
      <c r="B77" s="76"/>
      <c r="C77" s="76"/>
      <c r="D77" s="76"/>
      <c r="E77" s="76"/>
      <c r="F77" s="76"/>
    </row>
    <row r="78" spans="1:7" s="43" customFormat="1" x14ac:dyDescent="0.3">
      <c r="A78" s="54"/>
    </row>
    <row r="79" spans="1:7" s="43" customFormat="1" x14ac:dyDescent="0.3"/>
    <row r="80" spans="1:7" s="43" customFormat="1" x14ac:dyDescent="0.3"/>
    <row r="81" s="43" customFormat="1" x14ac:dyDescent="0.3"/>
    <row r="82" s="43" customFormat="1" x14ac:dyDescent="0.3"/>
    <row r="83" s="43" customFormat="1" x14ac:dyDescent="0.3"/>
    <row r="84" s="43" customFormat="1" x14ac:dyDescent="0.3"/>
    <row r="85" s="43" customFormat="1" x14ac:dyDescent="0.3"/>
    <row r="86" s="43" customFormat="1" x14ac:dyDescent="0.3"/>
    <row r="87" s="43" customFormat="1" x14ac:dyDescent="0.3"/>
    <row r="88" s="43" customFormat="1" x14ac:dyDescent="0.3"/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2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6" width="19.554687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3" customFormat="1" ht="15.6" x14ac:dyDescent="0.35">
      <c r="A9" s="65" t="s">
        <v>0</v>
      </c>
      <c r="B9" s="67" t="s">
        <v>1</v>
      </c>
      <c r="C9" s="67" t="s">
        <v>46</v>
      </c>
      <c r="D9" s="69" t="s">
        <v>45</v>
      </c>
      <c r="E9" s="69"/>
      <c r="F9" s="69"/>
    </row>
    <row r="10" spans="1:7" s="33" customFormat="1" ht="31.8" thickBot="1" x14ac:dyDescent="0.35">
      <c r="A10" s="66"/>
      <c r="B10" s="68"/>
      <c r="C10" s="68"/>
      <c r="D10" s="40" t="s">
        <v>44</v>
      </c>
      <c r="E10" s="34" t="s">
        <v>2</v>
      </c>
      <c r="F10" s="34" t="s">
        <v>3</v>
      </c>
    </row>
    <row r="11" spans="1:7" customFormat="1" ht="16.2" thickTop="1" x14ac:dyDescent="0.35">
      <c r="A11" s="23"/>
      <c r="B11" s="23"/>
      <c r="C11" s="23"/>
      <c r="D11" s="23"/>
      <c r="E11" s="23"/>
      <c r="F11" s="23"/>
    </row>
    <row r="12" spans="1:7" customFormat="1" ht="15.6" x14ac:dyDescent="0.35">
      <c r="A12" s="22" t="s">
        <v>4</v>
      </c>
      <c r="B12" s="23"/>
      <c r="C12" s="23"/>
      <c r="D12" s="23"/>
      <c r="E12" s="23"/>
      <c r="F12" s="23"/>
    </row>
    <row r="13" spans="1:7" customFormat="1" ht="15.6" x14ac:dyDescent="0.35">
      <c r="A13" s="23"/>
      <c r="B13" s="35"/>
      <c r="C13" s="35"/>
      <c r="D13" s="35"/>
      <c r="E13" s="35"/>
      <c r="F13" s="35"/>
      <c r="G13" s="36"/>
    </row>
    <row r="14" spans="1:7" customFormat="1" ht="15.6" x14ac:dyDescent="0.35">
      <c r="A14" s="22" t="s">
        <v>5</v>
      </c>
      <c r="B14" s="35"/>
      <c r="C14" s="35"/>
      <c r="D14" s="35"/>
      <c r="E14" s="35"/>
      <c r="F14" s="35"/>
      <c r="G14" s="36"/>
    </row>
    <row r="15" spans="1:7" ht="15.6" x14ac:dyDescent="0.35">
      <c r="A15" s="24" t="s">
        <v>57</v>
      </c>
      <c r="B15" s="12">
        <f>('I Trimestre'!B15+'II Trimestre'!B15)/2</f>
        <v>472.5</v>
      </c>
      <c r="C15" s="12">
        <f>('I Trimestre'!C15+'II Trimestre'!C15)/2</f>
        <v>472.5</v>
      </c>
      <c r="D15" s="12"/>
      <c r="E15" s="12"/>
      <c r="F15" s="12"/>
      <c r="G15" s="5"/>
    </row>
    <row r="16" spans="1:7" ht="15.6" x14ac:dyDescent="0.35">
      <c r="A16" s="24" t="s">
        <v>96</v>
      </c>
      <c r="B16" s="12">
        <f>('I Trimestre'!B16+'II Trimestre'!B16)/2</f>
        <v>485</v>
      </c>
      <c r="C16" s="12">
        <f>('I Trimestre'!C16+'II Trimestre'!C16)/2</f>
        <v>485</v>
      </c>
      <c r="D16" s="12"/>
      <c r="E16" s="12"/>
      <c r="F16" s="12"/>
      <c r="G16" s="5"/>
    </row>
    <row r="17" spans="1:7" ht="15.6" x14ac:dyDescent="0.35">
      <c r="A17" s="24" t="s">
        <v>95</v>
      </c>
      <c r="B17" s="12">
        <f>('I Trimestre'!B17+'II Trimestre'!B17)/2</f>
        <v>452.5</v>
      </c>
      <c r="C17" s="12">
        <f>('I Trimestre'!C17+'II Trimestre'!C17)/2</f>
        <v>452.5</v>
      </c>
      <c r="D17" s="12"/>
      <c r="E17" s="12"/>
      <c r="F17" s="12"/>
    </row>
    <row r="18" spans="1:7" ht="15.6" x14ac:dyDescent="0.35">
      <c r="A18" s="24" t="s">
        <v>79</v>
      </c>
      <c r="B18" s="12">
        <f>'II Trimestre'!B18</f>
        <v>475</v>
      </c>
      <c r="C18" s="12">
        <f>'II Trimestre'!C18</f>
        <v>475</v>
      </c>
      <c r="D18" s="12"/>
      <c r="E18" s="12"/>
      <c r="F18" s="12"/>
      <c r="G18" s="5"/>
    </row>
    <row r="19" spans="1:7" ht="15.6" x14ac:dyDescent="0.35">
      <c r="A19" s="23"/>
      <c r="B19" s="12"/>
      <c r="C19" s="12"/>
      <c r="D19" s="12"/>
      <c r="E19" s="12"/>
      <c r="F19" s="12"/>
      <c r="G19" s="5"/>
    </row>
    <row r="20" spans="1:7" ht="15.6" x14ac:dyDescent="0.35">
      <c r="A20" s="25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24" t="s">
        <v>57</v>
      </c>
      <c r="B21" s="12">
        <f>+'I Trimestre'!B21+'II Trimestre'!B21</f>
        <v>317997768.47000003</v>
      </c>
      <c r="C21" s="12"/>
      <c r="D21" s="12">
        <f>'I Trimestre'!D21+'II Trimestre'!D21</f>
        <v>166205847.24000001</v>
      </c>
      <c r="E21" s="12">
        <f>'I Trimestre'!E21+'II Trimestre'!E21</f>
        <v>3849745.45</v>
      </c>
      <c r="F21" s="12">
        <f>'I Trimestre'!F21+'II Trimestre'!F21</f>
        <v>147942175.78</v>
      </c>
      <c r="G21" s="5"/>
    </row>
    <row r="22" spans="1:7" ht="15.6" x14ac:dyDescent="0.35">
      <c r="A22" s="24" t="s">
        <v>96</v>
      </c>
      <c r="B22" s="12">
        <f>+'I Trimestre'!B22+'II Trimestre'!B22</f>
        <v>428644052</v>
      </c>
      <c r="C22" s="12"/>
      <c r="D22" s="12">
        <f>'I Trimestre'!D22+'II Trimestre'!D22</f>
        <v>148920000</v>
      </c>
      <c r="E22" s="12">
        <f>'I Trimestre'!E22+'II Trimestre'!E22</f>
        <v>63868104</v>
      </c>
      <c r="F22" s="12">
        <f>'I Trimestre'!F22+'II Trimestre'!F22</f>
        <v>215855948</v>
      </c>
      <c r="G22" s="5"/>
    </row>
    <row r="23" spans="1:7" ht="15.6" x14ac:dyDescent="0.35">
      <c r="A23" s="24" t="s">
        <v>95</v>
      </c>
      <c r="B23" s="12">
        <f>+'I Trimestre'!B23+'II Trimestre'!B23</f>
        <v>309787273.92999995</v>
      </c>
      <c r="C23" s="12"/>
      <c r="D23" s="12">
        <f>'I Trimestre'!D23+'II Trimestre'!D23</f>
        <v>144541287.00999999</v>
      </c>
      <c r="E23" s="12">
        <f>'I Trimestre'!E23+'II Trimestre'!E23</f>
        <v>17775701.119999997</v>
      </c>
      <c r="F23" s="12">
        <f>'I Trimestre'!F23+'II Trimestre'!F23</f>
        <v>147470285.80000001</v>
      </c>
      <c r="G23" s="5"/>
    </row>
    <row r="24" spans="1:7" ht="15.6" x14ac:dyDescent="0.35">
      <c r="A24" s="24" t="s">
        <v>79</v>
      </c>
      <c r="B24" s="12">
        <f>SUM(D24:F24)</f>
        <v>857288104</v>
      </c>
      <c r="C24" s="12"/>
      <c r="D24" s="12">
        <f>+'II Trimestre'!D24</f>
        <v>293420000</v>
      </c>
      <c r="E24" s="12">
        <f>+'II Trimestre'!E24</f>
        <v>63868104</v>
      </c>
      <c r="F24" s="12">
        <f>+'II Trimestre'!F24</f>
        <v>500000000</v>
      </c>
      <c r="G24" s="5"/>
    </row>
    <row r="25" spans="1:7" ht="15.6" x14ac:dyDescent="0.35">
      <c r="A25" s="24" t="s">
        <v>97</v>
      </c>
      <c r="B25" s="12">
        <f>D25+E25+F25</f>
        <v>309787273.93000001</v>
      </c>
      <c r="C25" s="12"/>
      <c r="D25" s="12">
        <f>D23</f>
        <v>144541287.00999999</v>
      </c>
      <c r="E25" s="12">
        <f t="shared" ref="E25:F25" si="0">E23</f>
        <v>17775701.119999997</v>
      </c>
      <c r="F25" s="12">
        <f t="shared" si="0"/>
        <v>147470285.80000001</v>
      </c>
      <c r="G25" s="5"/>
    </row>
    <row r="26" spans="1:7" ht="15.6" x14ac:dyDescent="0.35">
      <c r="A26" s="23"/>
      <c r="B26" s="12"/>
      <c r="C26" s="12"/>
      <c r="D26" s="12"/>
      <c r="E26" s="12"/>
      <c r="F26" s="12"/>
      <c r="G26" s="5"/>
    </row>
    <row r="27" spans="1:7" ht="15.6" x14ac:dyDescent="0.35">
      <c r="A27" s="25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4" t="s">
        <v>96</v>
      </c>
      <c r="B28" s="12">
        <f>B22</f>
        <v>428644052</v>
      </c>
      <c r="C28" s="12"/>
      <c r="D28" s="20"/>
      <c r="E28" s="12"/>
      <c r="F28" s="12"/>
      <c r="G28" s="5"/>
    </row>
    <row r="29" spans="1:7" ht="15.6" x14ac:dyDescent="0.35">
      <c r="A29" s="24" t="s">
        <v>95</v>
      </c>
      <c r="B29" s="12">
        <f>'I Trimestre'!B29+'II Trimestre'!B29</f>
        <v>428644027.75</v>
      </c>
      <c r="C29" s="12"/>
      <c r="D29" s="12"/>
      <c r="E29" s="12"/>
      <c r="F29" s="12"/>
      <c r="G29" s="5"/>
    </row>
    <row r="30" spans="1:7" ht="15.6" x14ac:dyDescent="0.35">
      <c r="A30" s="23"/>
      <c r="B30" s="16"/>
      <c r="C30" s="16"/>
      <c r="D30" s="16"/>
      <c r="E30" s="16"/>
      <c r="F30" s="16"/>
      <c r="G30" s="5"/>
    </row>
    <row r="31" spans="1:7" ht="15.6" x14ac:dyDescent="0.35">
      <c r="A31" s="22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24" t="s">
        <v>58</v>
      </c>
      <c r="B32" s="32">
        <v>1.0973999999999999</v>
      </c>
      <c r="C32" s="32">
        <v>1.0973999999999999</v>
      </c>
      <c r="D32" s="32">
        <v>1.0973999999999999</v>
      </c>
      <c r="E32" s="32">
        <v>1.0973999999999999</v>
      </c>
      <c r="F32" s="32">
        <v>1.0973999999999999</v>
      </c>
      <c r="G32" s="5"/>
    </row>
    <row r="33" spans="1:7" ht="15.6" x14ac:dyDescent="0.35">
      <c r="A33" s="24" t="s">
        <v>98</v>
      </c>
      <c r="B33" s="32">
        <v>1.0971</v>
      </c>
      <c r="C33" s="32">
        <v>1.0971</v>
      </c>
      <c r="D33" s="32">
        <v>1.0971</v>
      </c>
      <c r="E33" s="32">
        <v>1.0971</v>
      </c>
      <c r="F33" s="32">
        <v>1.0971</v>
      </c>
      <c r="G33" s="5"/>
    </row>
    <row r="34" spans="1:7" ht="15.6" x14ac:dyDescent="0.35">
      <c r="A34" s="24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23"/>
      <c r="B35" s="16"/>
      <c r="C35" s="16"/>
      <c r="D35" s="16"/>
      <c r="E35" s="16"/>
      <c r="F35" s="16"/>
      <c r="G35" s="5"/>
    </row>
    <row r="36" spans="1:7" ht="15.6" x14ac:dyDescent="0.35">
      <c r="A36" s="22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24" t="s">
        <v>59</v>
      </c>
      <c r="B37" s="12">
        <f>B21/B32</f>
        <v>289773800.31893569</v>
      </c>
      <c r="C37" s="12"/>
      <c r="D37" s="12">
        <f t="shared" ref="D37:F37" si="1">D21/D32</f>
        <v>151454207.43575725</v>
      </c>
      <c r="E37" s="12">
        <f t="shared" si="1"/>
        <v>3508060.3699653731</v>
      </c>
      <c r="F37" s="12">
        <f t="shared" si="1"/>
        <v>134811532.51321307</v>
      </c>
      <c r="G37" s="5"/>
    </row>
    <row r="38" spans="1:7" ht="15.6" x14ac:dyDescent="0.35">
      <c r="A38" s="24" t="s">
        <v>99</v>
      </c>
      <c r="B38" s="12">
        <f>B23/B33</f>
        <v>282369222.43186581</v>
      </c>
      <c r="C38" s="12"/>
      <c r="D38" s="12">
        <f t="shared" ref="D38:F38" si="2">D23/D33</f>
        <v>131748506.98204356</v>
      </c>
      <c r="E38" s="12">
        <f t="shared" si="2"/>
        <v>16202443.824628564</v>
      </c>
      <c r="F38" s="12">
        <f t="shared" si="2"/>
        <v>134418271.62519372</v>
      </c>
      <c r="G38" s="5"/>
    </row>
    <row r="39" spans="1:7" ht="15.6" x14ac:dyDescent="0.35">
      <c r="A39" s="24" t="s">
        <v>60</v>
      </c>
      <c r="B39" s="12">
        <f>B37/B15</f>
        <v>613277.8842728798</v>
      </c>
      <c r="C39" s="12"/>
      <c r="D39" s="14">
        <f>D37/$C$15</f>
        <v>320538.00515504181</v>
      </c>
      <c r="E39" s="14">
        <f t="shared" ref="E39:F39" si="3">E37/$C$15</f>
        <v>7424.4663914611074</v>
      </c>
      <c r="F39" s="14">
        <f t="shared" si="3"/>
        <v>285315.41272637685</v>
      </c>
      <c r="G39" s="5"/>
    </row>
    <row r="40" spans="1:7" ht="15.6" x14ac:dyDescent="0.35">
      <c r="A40" s="24" t="s">
        <v>100</v>
      </c>
      <c r="B40" s="12">
        <f>B38/B17</f>
        <v>624020.38106489682</v>
      </c>
      <c r="C40" s="12"/>
      <c r="D40" s="14">
        <f>D38/$C$17</f>
        <v>291156.92150727857</v>
      </c>
      <c r="E40" s="14">
        <f t="shared" ref="E40:F40" si="4">E38/$C$17</f>
        <v>35806.505689786878</v>
      </c>
      <c r="F40" s="14">
        <f t="shared" si="4"/>
        <v>297056.95386783144</v>
      </c>
    </row>
    <row r="41" spans="1:7" ht="15.6" x14ac:dyDescent="0.35">
      <c r="A41" s="23"/>
      <c r="B41" s="16"/>
      <c r="C41" s="16"/>
      <c r="D41" s="16"/>
      <c r="E41" s="16"/>
      <c r="F41" s="16"/>
      <c r="G41" s="5"/>
    </row>
    <row r="42" spans="1:7" ht="15.6" x14ac:dyDescent="0.35">
      <c r="A42" s="22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3"/>
      <c r="B43" s="16"/>
      <c r="C43" s="16"/>
      <c r="D43" s="16"/>
      <c r="E43" s="16"/>
      <c r="F43" s="16"/>
      <c r="G43" s="5"/>
    </row>
    <row r="44" spans="1:7" ht="15.6" x14ac:dyDescent="0.35">
      <c r="A44" s="22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3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3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3"/>
      <c r="B47" s="16"/>
      <c r="C47" s="16"/>
      <c r="D47" s="16"/>
      <c r="E47" s="16"/>
      <c r="F47" s="16"/>
      <c r="G47" s="5"/>
    </row>
    <row r="48" spans="1:7" ht="15.6" x14ac:dyDescent="0.35">
      <c r="A48" s="22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3" t="s">
        <v>16</v>
      </c>
      <c r="B49" s="16">
        <f>B17/B16*100</f>
        <v>93.298969072164951</v>
      </c>
      <c r="C49" s="16">
        <f>C17/C16*100</f>
        <v>93.298969072164951</v>
      </c>
      <c r="D49" s="16"/>
      <c r="E49" s="16"/>
      <c r="F49" s="16"/>
      <c r="G49" s="5"/>
    </row>
    <row r="50" spans="1:7" ht="15.6" x14ac:dyDescent="0.35">
      <c r="A50" s="23" t="s">
        <v>17</v>
      </c>
      <c r="B50" s="16">
        <f>B23/B22*100</f>
        <v>72.271450515776664</v>
      </c>
      <c r="C50" s="16"/>
      <c r="D50" s="16">
        <f>D23/D22*100</f>
        <v>97.059687758528057</v>
      </c>
      <c r="E50" s="16">
        <f t="shared" ref="E50" si="5">E23/E22*100</f>
        <v>27.831891048464502</v>
      </c>
      <c r="F50" s="16">
        <f>F23/F22*100</f>
        <v>68.318842805295318</v>
      </c>
      <c r="G50" s="5"/>
    </row>
    <row r="51" spans="1:7" ht="15.6" x14ac:dyDescent="0.35">
      <c r="A51" s="23" t="s">
        <v>18</v>
      </c>
      <c r="B51" s="16">
        <f>AVERAGE(B49:B50)</f>
        <v>82.785209793970807</v>
      </c>
      <c r="C51" s="16">
        <f>AVERAGE(C49:C50)</f>
        <v>93.298969072164951</v>
      </c>
      <c r="D51" s="16">
        <f t="shared" ref="D51:F51" si="6">AVERAGE(D49:D50)</f>
        <v>97.059687758528057</v>
      </c>
      <c r="E51" s="16">
        <f t="shared" si="6"/>
        <v>27.831891048464502</v>
      </c>
      <c r="F51" s="16">
        <f t="shared" si="6"/>
        <v>68.318842805295318</v>
      </c>
      <c r="G51" s="5"/>
    </row>
    <row r="52" spans="1:7" ht="15.6" x14ac:dyDescent="0.35">
      <c r="A52" s="23"/>
      <c r="B52" s="16"/>
      <c r="C52" s="16"/>
      <c r="D52" s="16"/>
      <c r="E52" s="16"/>
      <c r="F52" s="16"/>
      <c r="G52" s="5"/>
    </row>
    <row r="53" spans="1:7" ht="15.6" x14ac:dyDescent="0.35">
      <c r="A53" s="22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3" t="s">
        <v>20</v>
      </c>
      <c r="B54" s="16">
        <f>(B17/B18)*100</f>
        <v>95.263157894736835</v>
      </c>
      <c r="C54" s="16">
        <f t="shared" ref="C54" si="7">(C17/C18)*100</f>
        <v>95.263157894736835</v>
      </c>
      <c r="D54" s="16"/>
      <c r="E54" s="16"/>
      <c r="F54" s="16"/>
      <c r="G54" s="5"/>
    </row>
    <row r="55" spans="1:7" ht="15.6" x14ac:dyDescent="0.35">
      <c r="A55" s="23" t="s">
        <v>21</v>
      </c>
      <c r="B55" s="16">
        <f>B23/B24*100</f>
        <v>36.135725257888332</v>
      </c>
      <c r="C55" s="16"/>
      <c r="D55" s="16">
        <f t="shared" ref="D55:F55" si="8">D23/D24*100</f>
        <v>49.260884401199647</v>
      </c>
      <c r="E55" s="16">
        <f t="shared" si="8"/>
        <v>27.831891048464502</v>
      </c>
      <c r="F55" s="16">
        <f t="shared" si="8"/>
        <v>29.494057160000004</v>
      </c>
      <c r="G55" s="5"/>
    </row>
    <row r="56" spans="1:7" ht="15.6" x14ac:dyDescent="0.35">
      <c r="A56" s="23" t="s">
        <v>22</v>
      </c>
      <c r="B56" s="16">
        <f>AVERAGE(B54:B55)</f>
        <v>65.69944157631258</v>
      </c>
      <c r="C56" s="16">
        <f t="shared" ref="C56:F56" si="9">AVERAGE(C54:C55)</f>
        <v>95.263157894736835</v>
      </c>
      <c r="D56" s="16">
        <f t="shared" si="9"/>
        <v>49.260884401199647</v>
      </c>
      <c r="E56" s="16">
        <f t="shared" si="9"/>
        <v>27.831891048464502</v>
      </c>
      <c r="F56" s="16">
        <f t="shared" si="9"/>
        <v>29.494057160000004</v>
      </c>
      <c r="G56" s="5"/>
    </row>
    <row r="57" spans="1:7" ht="15.6" x14ac:dyDescent="0.35">
      <c r="A57" s="23"/>
      <c r="B57" s="16"/>
      <c r="C57" s="16"/>
      <c r="D57" s="16"/>
      <c r="E57" s="16"/>
      <c r="F57" s="16"/>
      <c r="G57" s="5"/>
    </row>
    <row r="58" spans="1:7" ht="15.6" x14ac:dyDescent="0.35">
      <c r="A58" s="22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3" t="s">
        <v>23</v>
      </c>
      <c r="B59" s="16">
        <f>B25/B23*100</f>
        <v>100.00000000000003</v>
      </c>
      <c r="C59" s="16"/>
      <c r="D59" s="16">
        <f t="shared" ref="D59:F59" si="10">D25/D23*100</f>
        <v>100</v>
      </c>
      <c r="E59" s="16">
        <f t="shared" si="10"/>
        <v>100</v>
      </c>
      <c r="F59" s="16">
        <f t="shared" si="10"/>
        <v>100</v>
      </c>
      <c r="G59" s="5"/>
    </row>
    <row r="60" spans="1:7" ht="15.6" x14ac:dyDescent="0.35">
      <c r="A60" s="23"/>
      <c r="B60" s="16"/>
      <c r="C60" s="16"/>
      <c r="D60" s="16"/>
      <c r="E60" s="16"/>
      <c r="F60" s="16"/>
      <c r="G60" s="5"/>
    </row>
    <row r="61" spans="1:7" ht="15.6" x14ac:dyDescent="0.35">
      <c r="A61" s="22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3" t="s">
        <v>25</v>
      </c>
      <c r="B62" s="16">
        <f>((B17/B15)-1)*100</f>
        <v>-4.2328042328042326</v>
      </c>
      <c r="C62" s="16">
        <f t="shared" ref="C62" si="11">((C17/C15)-1)*100</f>
        <v>-4.2328042328042326</v>
      </c>
      <c r="D62" s="16">
        <f>((C17/C15)-1)*100</f>
        <v>-4.2328042328042326</v>
      </c>
      <c r="E62" s="16">
        <f>((C17/C15)-1)*100</f>
        <v>-4.2328042328042326</v>
      </c>
      <c r="F62" s="16">
        <f>((C17/C15)-1)*100</f>
        <v>-4.2328042328042326</v>
      </c>
      <c r="G62" s="5"/>
    </row>
    <row r="63" spans="1:7" ht="15.6" x14ac:dyDescent="0.35">
      <c r="A63" s="23" t="s">
        <v>26</v>
      </c>
      <c r="B63" s="16">
        <f>((B38/B37)-1)*100</f>
        <v>-2.5552958476301568</v>
      </c>
      <c r="C63" s="16"/>
      <c r="D63" s="16">
        <f t="shared" ref="D63:E63" si="12">((D38/D37)-1)*100</f>
        <v>-13.010995724283402</v>
      </c>
      <c r="E63" s="16">
        <f t="shared" si="12"/>
        <v>361.8633123690654</v>
      </c>
      <c r="F63" s="16">
        <f>((F38/F37)-1)*100</f>
        <v>-0.29171160707694987</v>
      </c>
      <c r="G63" s="5"/>
    </row>
    <row r="64" spans="1:7" ht="15.6" x14ac:dyDescent="0.35">
      <c r="A64" s="23" t="s">
        <v>27</v>
      </c>
      <c r="B64" s="16">
        <f>((B40/B39)-1)*100</f>
        <v>1.7516524021983448</v>
      </c>
      <c r="C64" s="16"/>
      <c r="D64" s="16">
        <f t="shared" ref="D64:F64" si="13">((D40/D39)-1)*100</f>
        <v>-9.1661778557434523</v>
      </c>
      <c r="E64" s="16">
        <f t="shared" si="13"/>
        <v>382.27716042957655</v>
      </c>
      <c r="F64" s="16">
        <f t="shared" si="13"/>
        <v>4.1152845649859771</v>
      </c>
      <c r="G64" s="5"/>
    </row>
    <row r="65" spans="1:7" ht="15.6" x14ac:dyDescent="0.35">
      <c r="A65" s="23"/>
      <c r="B65" s="16"/>
      <c r="C65" s="16"/>
      <c r="D65" s="16"/>
      <c r="E65" s="16"/>
      <c r="F65" s="16"/>
      <c r="G65" s="5"/>
    </row>
    <row r="66" spans="1:7" ht="15.6" x14ac:dyDescent="0.35">
      <c r="A66" s="22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3" t="s">
        <v>34</v>
      </c>
      <c r="B67" s="19">
        <f>B22/($B$16*6)</f>
        <v>147300.36151202748</v>
      </c>
      <c r="C67" s="19">
        <f>B22/(C16*6)</f>
        <v>147300.36151202748</v>
      </c>
      <c r="D67" s="19">
        <f>D22/($C$16*6)</f>
        <v>51175.257731958765</v>
      </c>
      <c r="E67" s="19">
        <f>E22/($C$16*6)</f>
        <v>21947.802061855669</v>
      </c>
      <c r="F67" s="19">
        <f>F22/($C$16*6)</f>
        <v>74177.301718213057</v>
      </c>
      <c r="G67" s="5"/>
    </row>
    <row r="68" spans="1:7" ht="15.6" x14ac:dyDescent="0.35">
      <c r="A68" s="23" t="s">
        <v>35</v>
      </c>
      <c r="B68" s="19">
        <f>B23/($B$17*6)</f>
        <v>114102.12667771637</v>
      </c>
      <c r="C68" s="19">
        <f>B23/(C17*6)</f>
        <v>114102.12667771637</v>
      </c>
      <c r="D68" s="19">
        <f>D23/($C$17*6)</f>
        <v>53238.043097605892</v>
      </c>
      <c r="E68" s="19">
        <f>E23/($C$17*6)</f>
        <v>6547.2195653775316</v>
      </c>
      <c r="F68" s="19">
        <f>F23/($C$17*6)</f>
        <v>54316.864014732972</v>
      </c>
    </row>
    <row r="69" spans="1:7" ht="15.6" x14ac:dyDescent="0.35">
      <c r="A69" s="23" t="s">
        <v>29</v>
      </c>
      <c r="B69" s="16">
        <f>(B68/B67)*B51</f>
        <v>64.127259417361941</v>
      </c>
      <c r="C69" s="16">
        <f>(C68/C67)*C51</f>
        <v>72.271450515776664</v>
      </c>
      <c r="D69" s="16"/>
      <c r="E69" s="16"/>
      <c r="F69" s="16"/>
      <c r="G69" s="5"/>
    </row>
    <row r="70" spans="1:7" ht="15.6" x14ac:dyDescent="0.35">
      <c r="A70" s="26" t="s">
        <v>38</v>
      </c>
      <c r="B70" s="19">
        <f>B22/($B$16)</f>
        <v>883802.16907216492</v>
      </c>
      <c r="C70" s="19">
        <f>B22/C16</f>
        <v>883802.16907216492</v>
      </c>
      <c r="D70" s="19">
        <f>D22/($C$16)</f>
        <v>307051.54639175255</v>
      </c>
      <c r="E70" s="19">
        <f t="shared" ref="E70:F70" si="14">E22/($C$16)</f>
        <v>131686.81237113403</v>
      </c>
      <c r="F70" s="19">
        <f t="shared" si="14"/>
        <v>445063.81030927837</v>
      </c>
      <c r="G70" s="5"/>
    </row>
    <row r="71" spans="1:7" ht="15.6" x14ac:dyDescent="0.35">
      <c r="A71" s="26" t="s">
        <v>39</v>
      </c>
      <c r="B71" s="19">
        <f>B23/($B$17)</f>
        <v>684612.76006629819</v>
      </c>
      <c r="C71" s="19">
        <f>B23/C17</f>
        <v>684612.76006629819</v>
      </c>
      <c r="D71" s="19">
        <f>D23/($C$17)</f>
        <v>319428.25858563534</v>
      </c>
      <c r="E71" s="19">
        <f t="shared" ref="E71:F71" si="15">E23/($C$17)</f>
        <v>39283.317392265184</v>
      </c>
      <c r="F71" s="19">
        <f t="shared" si="15"/>
        <v>325901.18408839783</v>
      </c>
      <c r="G71" s="5"/>
    </row>
    <row r="72" spans="1:7" ht="15.6" x14ac:dyDescent="0.35">
      <c r="A72" s="23"/>
      <c r="B72" s="16"/>
      <c r="C72" s="16"/>
      <c r="D72" s="16"/>
      <c r="E72" s="16"/>
      <c r="F72" s="16"/>
      <c r="G72" s="5"/>
    </row>
    <row r="73" spans="1:7" ht="15.6" x14ac:dyDescent="0.35">
      <c r="A73" s="22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23" t="s">
        <v>31</v>
      </c>
      <c r="B74" s="16">
        <f>(B29/B28)*100</f>
        <v>99.999994342625328</v>
      </c>
      <c r="C74" s="16"/>
      <c r="D74" s="16"/>
      <c r="E74" s="16"/>
      <c r="F74" s="16"/>
      <c r="G74" s="5"/>
    </row>
    <row r="75" spans="1:7" ht="15.6" x14ac:dyDescent="0.35">
      <c r="A75" s="23" t="s">
        <v>32</v>
      </c>
      <c r="B75" s="16">
        <f>(B23/B29)*100</f>
        <v>72.271454604443619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70" t="s">
        <v>84</v>
      </c>
      <c r="B77" s="70"/>
      <c r="C77" s="70"/>
      <c r="D77" s="70"/>
      <c r="E77" s="70"/>
      <c r="F77" s="70"/>
    </row>
    <row r="78" spans="1:7" customFormat="1" x14ac:dyDescent="0.3"/>
    <row r="79" spans="1:7" customFormat="1" x14ac:dyDescent="0.3">
      <c r="A79" s="28"/>
    </row>
    <row r="80" spans="1:7" customFormat="1" x14ac:dyDescent="0.3">
      <c r="A80" s="1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9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5" width="19.6640625" style="4" customWidth="1"/>
    <col min="6" max="6" width="20.10937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3" customFormat="1" ht="15.6" x14ac:dyDescent="0.35">
      <c r="A9" s="65" t="s">
        <v>0</v>
      </c>
      <c r="B9" s="67" t="s">
        <v>1</v>
      </c>
      <c r="C9" s="67" t="s">
        <v>46</v>
      </c>
      <c r="D9" s="69" t="s">
        <v>45</v>
      </c>
      <c r="E9" s="69"/>
      <c r="F9" s="69"/>
    </row>
    <row r="10" spans="1:7" s="33" customFormat="1" ht="31.8" thickBot="1" x14ac:dyDescent="0.35">
      <c r="A10" s="66"/>
      <c r="B10" s="68"/>
      <c r="C10" s="68"/>
      <c r="D10" s="40" t="s">
        <v>44</v>
      </c>
      <c r="E10" s="34" t="s">
        <v>2</v>
      </c>
      <c r="F10" s="34" t="s">
        <v>3</v>
      </c>
    </row>
    <row r="11" spans="1:7" customFormat="1" ht="16.2" thickTop="1" x14ac:dyDescent="0.35">
      <c r="A11" s="23"/>
      <c r="B11" s="23"/>
      <c r="C11" s="23"/>
      <c r="D11" s="23"/>
      <c r="E11" s="23"/>
      <c r="F11" s="23"/>
    </row>
    <row r="12" spans="1:7" customFormat="1" ht="15.6" x14ac:dyDescent="0.35">
      <c r="A12" s="22" t="s">
        <v>4</v>
      </c>
      <c r="B12" s="23"/>
      <c r="C12" s="23"/>
      <c r="D12" s="23"/>
      <c r="E12" s="23"/>
      <c r="F12" s="23"/>
    </row>
    <row r="13" spans="1:7" customFormat="1" ht="15.6" x14ac:dyDescent="0.35">
      <c r="A13" s="23"/>
      <c r="B13" s="35"/>
      <c r="C13" s="35"/>
      <c r="D13" s="35"/>
      <c r="E13" s="35"/>
      <c r="F13" s="35"/>
      <c r="G13" s="36"/>
    </row>
    <row r="14" spans="1:7" customFormat="1" ht="15.6" x14ac:dyDescent="0.35">
      <c r="A14" s="22" t="s">
        <v>5</v>
      </c>
      <c r="B14" s="35"/>
      <c r="C14" s="35"/>
      <c r="D14" s="35"/>
      <c r="E14" s="35"/>
      <c r="F14" s="35"/>
      <c r="G14" s="36"/>
    </row>
    <row r="15" spans="1:7" ht="15.6" x14ac:dyDescent="0.35">
      <c r="A15" s="24" t="s">
        <v>61</v>
      </c>
      <c r="B15" s="12">
        <f>C15</f>
        <v>434</v>
      </c>
      <c r="C15" s="29">
        <v>434</v>
      </c>
      <c r="D15" s="29"/>
      <c r="E15" s="29"/>
      <c r="F15" s="29"/>
      <c r="G15" s="5"/>
    </row>
    <row r="16" spans="1:7" ht="15.6" x14ac:dyDescent="0.35">
      <c r="A16" s="24" t="s">
        <v>101</v>
      </c>
      <c r="B16" s="12">
        <f>C16</f>
        <v>470</v>
      </c>
      <c r="C16" s="29">
        <v>470</v>
      </c>
      <c r="D16" s="29"/>
      <c r="E16" s="29"/>
      <c r="F16" s="29"/>
      <c r="G16" s="5"/>
    </row>
    <row r="17" spans="1:7" ht="15.6" x14ac:dyDescent="0.35">
      <c r="A17" s="24" t="s">
        <v>102</v>
      </c>
      <c r="B17" s="12">
        <f>C17</f>
        <v>417</v>
      </c>
      <c r="C17" s="29">
        <v>417</v>
      </c>
      <c r="D17" s="29"/>
      <c r="E17" s="29"/>
      <c r="F17" s="29"/>
    </row>
    <row r="18" spans="1:7" ht="15.6" x14ac:dyDescent="0.35">
      <c r="A18" s="24" t="s">
        <v>79</v>
      </c>
      <c r="B18" s="12">
        <f>C18</f>
        <v>475</v>
      </c>
      <c r="C18" s="29">
        <v>475</v>
      </c>
      <c r="D18" s="29"/>
      <c r="E18" s="29"/>
      <c r="F18" s="29"/>
      <c r="G18" s="5"/>
    </row>
    <row r="19" spans="1:7" ht="15.6" x14ac:dyDescent="0.35">
      <c r="A19" s="23"/>
      <c r="B19" s="12"/>
      <c r="C19" s="29"/>
      <c r="D19" s="29"/>
      <c r="E19" s="29"/>
      <c r="F19" s="29"/>
      <c r="G19" s="5"/>
    </row>
    <row r="20" spans="1:7" ht="15.6" x14ac:dyDescent="0.35">
      <c r="A20" s="25" t="s">
        <v>6</v>
      </c>
      <c r="B20" s="12"/>
      <c r="C20" s="29"/>
      <c r="D20" s="29"/>
      <c r="E20" s="29"/>
      <c r="F20" s="29"/>
      <c r="G20" s="5"/>
    </row>
    <row r="21" spans="1:7" ht="15.6" x14ac:dyDescent="0.35">
      <c r="A21" s="24" t="s">
        <v>61</v>
      </c>
      <c r="B21" s="12">
        <f>SUM(D21:F21)</f>
        <v>547920746.9569999</v>
      </c>
      <c r="C21" s="29"/>
      <c r="D21" s="29">
        <v>60933668.5</v>
      </c>
      <c r="E21" s="14">
        <v>360173.647</v>
      </c>
      <c r="F21" s="14">
        <v>486626904.80999994</v>
      </c>
      <c r="G21" s="5"/>
    </row>
    <row r="22" spans="1:7" ht="15.6" x14ac:dyDescent="0.35">
      <c r="A22" s="24" t="s">
        <v>101</v>
      </c>
      <c r="B22" s="12">
        <f>SUM(D22:F22)</f>
        <v>214322027</v>
      </c>
      <c r="C22" s="29"/>
      <c r="D22" s="29">
        <v>75860000</v>
      </c>
      <c r="E22" s="29">
        <v>0</v>
      </c>
      <c r="F22" s="29">
        <v>138462027</v>
      </c>
      <c r="G22" s="5"/>
    </row>
    <row r="23" spans="1:7" ht="15.6" x14ac:dyDescent="0.35">
      <c r="A23" s="24" t="s">
        <v>102</v>
      </c>
      <c r="B23" s="12">
        <f>SUM(D23:F23)</f>
        <v>246955776.68000001</v>
      </c>
      <c r="C23" s="29"/>
      <c r="D23" s="29">
        <v>62208064.450000003</v>
      </c>
      <c r="E23" s="14">
        <v>34596167.700000003</v>
      </c>
      <c r="F23" s="14">
        <v>150151544.53</v>
      </c>
      <c r="G23" s="5"/>
    </row>
    <row r="24" spans="1:7" ht="15.6" x14ac:dyDescent="0.35">
      <c r="A24" s="24" t="s">
        <v>79</v>
      </c>
      <c r="B24" s="12">
        <f>SUM(D24:F24)</f>
        <v>857288104</v>
      </c>
      <c r="C24" s="29"/>
      <c r="D24" s="29">
        <v>293420000</v>
      </c>
      <c r="E24" s="29">
        <v>63868104</v>
      </c>
      <c r="F24" s="29">
        <v>500000000</v>
      </c>
      <c r="G24" s="5"/>
    </row>
    <row r="25" spans="1:7" ht="15.6" x14ac:dyDescent="0.35">
      <c r="A25" s="24" t="s">
        <v>103</v>
      </c>
      <c r="B25" s="12">
        <f>D25+E25+F25</f>
        <v>246955776.68000001</v>
      </c>
      <c r="C25" s="12"/>
      <c r="D25" s="12">
        <f>+D23</f>
        <v>62208064.450000003</v>
      </c>
      <c r="E25" s="12">
        <f t="shared" ref="E25:F25" si="0">+E23</f>
        <v>34596167.700000003</v>
      </c>
      <c r="F25" s="12">
        <f t="shared" si="0"/>
        <v>150151544.53</v>
      </c>
      <c r="G25" s="5"/>
    </row>
    <row r="26" spans="1:7" ht="15.6" x14ac:dyDescent="0.35">
      <c r="A26" s="23"/>
      <c r="B26" s="12"/>
      <c r="C26" s="12"/>
      <c r="D26" s="12"/>
      <c r="E26" s="12"/>
      <c r="F26" s="12"/>
      <c r="G26" s="5"/>
    </row>
    <row r="27" spans="1:7" ht="15.6" x14ac:dyDescent="0.35">
      <c r="A27" s="25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4" t="s">
        <v>101</v>
      </c>
      <c r="B28" s="12">
        <f>B22</f>
        <v>214322027</v>
      </c>
      <c r="C28" s="12"/>
      <c r="D28" s="15"/>
      <c r="E28" s="12"/>
      <c r="F28" s="12"/>
      <c r="G28" s="5"/>
    </row>
    <row r="29" spans="1:7" ht="15.6" x14ac:dyDescent="0.35">
      <c r="A29" s="24" t="s">
        <v>102</v>
      </c>
      <c r="B29" s="29">
        <v>214322011.5</v>
      </c>
      <c r="C29" s="12"/>
      <c r="D29" s="12"/>
      <c r="E29" s="12"/>
      <c r="F29" s="12"/>
      <c r="G29" s="5"/>
    </row>
    <row r="30" spans="1:7" ht="15.6" x14ac:dyDescent="0.35">
      <c r="A30" s="23"/>
      <c r="B30" s="16"/>
      <c r="C30" s="16"/>
      <c r="D30" s="16"/>
      <c r="E30" s="16"/>
      <c r="F30" s="16"/>
      <c r="G30" s="5"/>
    </row>
    <row r="31" spans="1:7" ht="15.6" x14ac:dyDescent="0.35">
      <c r="A31" s="22" t="s">
        <v>8</v>
      </c>
      <c r="B31" s="12"/>
      <c r="C31" s="12"/>
      <c r="D31" s="12"/>
      <c r="E31" s="12"/>
      <c r="F31" s="12"/>
      <c r="G31" s="5"/>
    </row>
    <row r="32" spans="1:7" ht="15.6" x14ac:dyDescent="0.35">
      <c r="A32" s="24" t="s">
        <v>62</v>
      </c>
      <c r="B32" s="31">
        <v>1.0948</v>
      </c>
      <c r="C32" s="31">
        <v>1.0948</v>
      </c>
      <c r="D32" s="31">
        <v>1.0948</v>
      </c>
      <c r="E32" s="31">
        <v>1.0948</v>
      </c>
      <c r="F32" s="31">
        <v>1.0948</v>
      </c>
      <c r="G32" s="5"/>
    </row>
    <row r="33" spans="1:7" ht="15.6" x14ac:dyDescent="0.35">
      <c r="A33" s="24" t="s">
        <v>104</v>
      </c>
      <c r="B33" s="31">
        <v>1.0932999999999999</v>
      </c>
      <c r="C33" s="31">
        <v>1.0932999999999999</v>
      </c>
      <c r="D33" s="31">
        <v>1.0932999999999999</v>
      </c>
      <c r="E33" s="31">
        <v>1.0932999999999999</v>
      </c>
      <c r="F33" s="31">
        <v>1.0932999999999999</v>
      </c>
      <c r="G33" s="5"/>
    </row>
    <row r="34" spans="1:7" ht="15.6" x14ac:dyDescent="0.35">
      <c r="A34" s="24" t="s">
        <v>9</v>
      </c>
      <c r="B34" s="29" t="s">
        <v>43</v>
      </c>
      <c r="C34" s="29" t="s">
        <v>43</v>
      </c>
      <c r="D34" s="29" t="s">
        <v>43</v>
      </c>
      <c r="E34" s="29" t="s">
        <v>43</v>
      </c>
      <c r="F34" s="29" t="s">
        <v>43</v>
      </c>
      <c r="G34" s="5"/>
    </row>
    <row r="35" spans="1:7" ht="15.6" x14ac:dyDescent="0.35">
      <c r="A35" s="23"/>
      <c r="B35" s="16"/>
      <c r="C35" s="16"/>
      <c r="D35" s="16"/>
      <c r="E35" s="16"/>
      <c r="F35" s="16"/>
      <c r="G35" s="5"/>
    </row>
    <row r="36" spans="1:7" ht="15.6" x14ac:dyDescent="0.35">
      <c r="A36" s="22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24" t="s">
        <v>63</v>
      </c>
      <c r="B37" s="12">
        <f>B21/B32</f>
        <v>500475654.87486291</v>
      </c>
      <c r="C37" s="12"/>
      <c r="D37" s="12">
        <f>D21/D32</f>
        <v>55657351.571063206</v>
      </c>
      <c r="E37" s="12">
        <f>E21/E32</f>
        <v>328985.7937522835</v>
      </c>
      <c r="F37" s="12">
        <f>F21/F32</f>
        <v>444489317.51004744</v>
      </c>
      <c r="G37" s="5"/>
    </row>
    <row r="38" spans="1:7" ht="15.6" x14ac:dyDescent="0.35">
      <c r="A38" s="24" t="s">
        <v>105</v>
      </c>
      <c r="B38" s="12">
        <f>B23/B33</f>
        <v>225881072.60587215</v>
      </c>
      <c r="C38" s="12"/>
      <c r="D38" s="12">
        <f t="shared" ref="D38:F38" si="1">D23/D33</f>
        <v>56899354.660203062</v>
      </c>
      <c r="E38" s="12">
        <f t="shared" si="1"/>
        <v>31643801.061007962</v>
      </c>
      <c r="F38" s="12">
        <f t="shared" si="1"/>
        <v>137337916.88466114</v>
      </c>
      <c r="G38" s="5"/>
    </row>
    <row r="39" spans="1:7" ht="15.6" x14ac:dyDescent="0.35">
      <c r="A39" s="24" t="s">
        <v>64</v>
      </c>
      <c r="B39" s="12">
        <f>B37/B15</f>
        <v>1153169.7116932324</v>
      </c>
      <c r="C39" s="12"/>
      <c r="D39" s="12">
        <f t="shared" ref="D39:F39" si="2">D37/$C$15</f>
        <v>128242.74555544517</v>
      </c>
      <c r="E39" s="12">
        <f t="shared" si="2"/>
        <v>758.0317828393629</v>
      </c>
      <c r="F39" s="12">
        <f t="shared" si="2"/>
        <v>1024168.934354948</v>
      </c>
      <c r="G39" s="5"/>
    </row>
    <row r="40" spans="1:7" ht="15.6" x14ac:dyDescent="0.35">
      <c r="A40" s="24" t="s">
        <v>106</v>
      </c>
      <c r="B40" s="12">
        <f>B38/B17</f>
        <v>541681.22927067662</v>
      </c>
      <c r="C40" s="12"/>
      <c r="D40" s="12">
        <f t="shared" ref="D40:F40" si="3">D38/$C$17</f>
        <v>136449.29175108648</v>
      </c>
      <c r="E40" s="12">
        <f t="shared" si="3"/>
        <v>75884.415014407583</v>
      </c>
      <c r="F40" s="12">
        <f t="shared" si="3"/>
        <v>329347.5225051826</v>
      </c>
    </row>
    <row r="41" spans="1:7" ht="15.6" x14ac:dyDescent="0.35">
      <c r="A41" s="23"/>
      <c r="B41" s="16"/>
      <c r="C41" s="16"/>
      <c r="D41" s="16"/>
      <c r="E41" s="16"/>
      <c r="F41" s="16"/>
      <c r="G41" s="5"/>
    </row>
    <row r="42" spans="1:7" ht="15.6" x14ac:dyDescent="0.35">
      <c r="A42" s="22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3"/>
      <c r="B43" s="16"/>
      <c r="C43" s="16"/>
      <c r="D43" s="16"/>
      <c r="E43" s="16"/>
      <c r="F43" s="16"/>
      <c r="G43" s="5"/>
    </row>
    <row r="44" spans="1:7" ht="15.6" x14ac:dyDescent="0.35">
      <c r="A44" s="22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3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3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3"/>
      <c r="B47" s="16"/>
      <c r="C47" s="16"/>
      <c r="D47" s="16"/>
      <c r="E47" s="16"/>
      <c r="F47" s="16"/>
      <c r="G47" s="5"/>
    </row>
    <row r="48" spans="1:7" ht="15.6" x14ac:dyDescent="0.35">
      <c r="A48" s="22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3" t="s">
        <v>16</v>
      </c>
      <c r="B49" s="16">
        <f>B17/B16*100</f>
        <v>88.723404255319153</v>
      </c>
      <c r="C49" s="16">
        <f t="shared" ref="C49" si="4">C17/C16*100</f>
        <v>88.723404255319153</v>
      </c>
      <c r="D49" s="16"/>
      <c r="E49" s="16"/>
      <c r="F49" s="16"/>
      <c r="G49" s="5"/>
    </row>
    <row r="50" spans="1:7" ht="15.6" x14ac:dyDescent="0.35">
      <c r="A50" s="23" t="s">
        <v>17</v>
      </c>
      <c r="B50" s="16">
        <f>B23/B22*100</f>
        <v>115.22650291096772</v>
      </c>
      <c r="C50" s="16"/>
      <c r="D50" s="16">
        <f>D23/D22*100</f>
        <v>82.003775968890068</v>
      </c>
      <c r="E50" s="16" t="s">
        <v>43</v>
      </c>
      <c r="F50" s="16">
        <f>F23/F22*100</f>
        <v>108.44239953962251</v>
      </c>
      <c r="G50" s="5"/>
    </row>
    <row r="51" spans="1:7" ht="15.6" x14ac:dyDescent="0.35">
      <c r="A51" s="23" t="s">
        <v>18</v>
      </c>
      <c r="B51" s="16">
        <f>AVERAGE(B49:B50)</f>
        <v>101.97495358314345</v>
      </c>
      <c r="C51" s="16">
        <f t="shared" ref="C51:F51" si="5">AVERAGE(C49:C50)</f>
        <v>88.723404255319153</v>
      </c>
      <c r="D51" s="16">
        <f t="shared" si="5"/>
        <v>82.003775968890068</v>
      </c>
      <c r="E51" s="16" t="s">
        <v>43</v>
      </c>
      <c r="F51" s="16">
        <f t="shared" si="5"/>
        <v>108.44239953962251</v>
      </c>
      <c r="G51" s="5"/>
    </row>
    <row r="52" spans="1:7" ht="15.6" x14ac:dyDescent="0.35">
      <c r="A52" s="23"/>
      <c r="B52" s="16"/>
      <c r="C52" s="16"/>
      <c r="D52" s="16"/>
      <c r="E52" s="16"/>
      <c r="F52" s="16"/>
      <c r="G52" s="5"/>
    </row>
    <row r="53" spans="1:7" ht="15.6" x14ac:dyDescent="0.35">
      <c r="A53" s="22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3" t="s">
        <v>20</v>
      </c>
      <c r="B54" s="16">
        <f>(B17/B18)*100</f>
        <v>87.789473684210535</v>
      </c>
      <c r="C54" s="16">
        <f t="shared" ref="C54" si="6">(C17/C18)*100</f>
        <v>87.789473684210535</v>
      </c>
      <c r="D54" s="16"/>
      <c r="E54" s="16"/>
      <c r="F54" s="16"/>
      <c r="G54" s="5"/>
    </row>
    <row r="55" spans="1:7" ht="15.6" x14ac:dyDescent="0.35">
      <c r="A55" s="23" t="s">
        <v>21</v>
      </c>
      <c r="B55" s="16">
        <f>B23/B24*100</f>
        <v>28.806625862150071</v>
      </c>
      <c r="C55" s="16"/>
      <c r="D55" s="16">
        <f t="shared" ref="D55:F55" si="7">D23/D24*100</f>
        <v>21.201030757957877</v>
      </c>
      <c r="E55" s="16">
        <f t="shared" si="7"/>
        <v>54.168145808743596</v>
      </c>
      <c r="F55" s="16">
        <f t="shared" si="7"/>
        <v>30.030308906000002</v>
      </c>
      <c r="G55" s="5"/>
    </row>
    <row r="56" spans="1:7" ht="15.6" x14ac:dyDescent="0.35">
      <c r="A56" s="23" t="s">
        <v>22</v>
      </c>
      <c r="B56" s="16">
        <f>AVERAGE(B54:B55)</f>
        <v>58.298049773180303</v>
      </c>
      <c r="C56" s="16">
        <f t="shared" ref="C56:F56" si="8">AVERAGE(C54:C55)</f>
        <v>87.789473684210535</v>
      </c>
      <c r="D56" s="16">
        <f t="shared" si="8"/>
        <v>21.201030757957877</v>
      </c>
      <c r="E56" s="16">
        <f t="shared" si="8"/>
        <v>54.168145808743596</v>
      </c>
      <c r="F56" s="16">
        <f t="shared" si="8"/>
        <v>30.030308906000002</v>
      </c>
      <c r="G56" s="5"/>
    </row>
    <row r="57" spans="1:7" ht="15.6" x14ac:dyDescent="0.35">
      <c r="A57" s="23"/>
      <c r="B57" s="16"/>
      <c r="C57" s="16"/>
      <c r="D57" s="16"/>
      <c r="E57" s="16"/>
      <c r="F57" s="16"/>
      <c r="G57" s="5"/>
    </row>
    <row r="58" spans="1:7" ht="15.6" x14ac:dyDescent="0.35">
      <c r="A58" s="22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3" t="s">
        <v>23</v>
      </c>
      <c r="B59" s="16">
        <f>B25/B23*100</f>
        <v>100</v>
      </c>
      <c r="C59" s="16"/>
      <c r="D59" s="16">
        <f t="shared" ref="D59:F59" si="9">D25/D23*100</f>
        <v>100</v>
      </c>
      <c r="E59" s="16">
        <f t="shared" si="9"/>
        <v>100</v>
      </c>
      <c r="F59" s="16">
        <f t="shared" si="9"/>
        <v>100</v>
      </c>
      <c r="G59" s="5"/>
    </row>
    <row r="60" spans="1:7" ht="15.6" x14ac:dyDescent="0.35">
      <c r="A60" s="23"/>
      <c r="B60" s="16"/>
      <c r="C60" s="16"/>
      <c r="D60" s="16"/>
      <c r="E60" s="16"/>
      <c r="F60" s="16"/>
      <c r="G60" s="5"/>
    </row>
    <row r="61" spans="1:7" ht="15.6" x14ac:dyDescent="0.35">
      <c r="A61" s="22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3" t="s">
        <v>25</v>
      </c>
      <c r="B62" s="16">
        <f>((B17/B15)-1)*100</f>
        <v>-3.9170506912442393</v>
      </c>
      <c r="C62" s="16">
        <f t="shared" ref="C62" si="10">((C17/C15)-1)*100</f>
        <v>-3.9170506912442393</v>
      </c>
      <c r="D62" s="16">
        <f>((C17/C15)-1)*100</f>
        <v>-3.9170506912442393</v>
      </c>
      <c r="E62" s="16">
        <f>((C17/C15)-1)*100</f>
        <v>-3.9170506912442393</v>
      </c>
      <c r="F62" s="16">
        <f>((C17/C15)-1)*100</f>
        <v>-3.9170506912442393</v>
      </c>
      <c r="G62" s="5"/>
    </row>
    <row r="63" spans="1:7" ht="15.6" x14ac:dyDescent="0.35">
      <c r="A63" s="23" t="s">
        <v>26</v>
      </c>
      <c r="B63" s="16">
        <f>((B38/B37)-1)*100</f>
        <v>-54.866721206978461</v>
      </c>
      <c r="C63" s="16" t="s">
        <v>43</v>
      </c>
      <c r="D63" s="16">
        <f t="shared" ref="D63:F63" si="11">((D38/D37)-1)*100</f>
        <v>2.2315166893165372</v>
      </c>
      <c r="E63" s="16">
        <f t="shared" si="11"/>
        <v>9518.5919458986737</v>
      </c>
      <c r="F63" s="16">
        <f t="shared" si="11"/>
        <v>-69.102088289994356</v>
      </c>
      <c r="G63" s="5"/>
    </row>
    <row r="64" spans="1:7" ht="15.6" x14ac:dyDescent="0.35">
      <c r="A64" s="23" t="s">
        <v>27</v>
      </c>
      <c r="B64" s="16">
        <f>((B40/B39)-1)*100</f>
        <v>-53.026755404864879</v>
      </c>
      <c r="C64" s="16" t="s">
        <v>43</v>
      </c>
      <c r="D64" s="16">
        <f t="shared" ref="D64:F64" si="12">((D40/D39)-1)*100</f>
        <v>6.3992284008714151</v>
      </c>
      <c r="E64" s="16">
        <f t="shared" si="12"/>
        <v>9910.7167974101303</v>
      </c>
      <c r="F64" s="16">
        <f t="shared" si="12"/>
        <v>-67.842461193902992</v>
      </c>
      <c r="G64" s="5"/>
    </row>
    <row r="65" spans="1:7" ht="15.6" x14ac:dyDescent="0.35">
      <c r="A65" s="23"/>
      <c r="B65" s="16"/>
      <c r="C65" s="16"/>
      <c r="D65" s="16"/>
      <c r="E65" s="16"/>
      <c r="F65" s="16"/>
      <c r="G65" s="5"/>
    </row>
    <row r="66" spans="1:7" ht="15.6" x14ac:dyDescent="0.35">
      <c r="A66" s="22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3" t="s">
        <v>34</v>
      </c>
      <c r="B67" s="19">
        <f>B22/($B$16*3)</f>
        <v>152001.43758865248</v>
      </c>
      <c r="C67" s="19">
        <f>B22/(C16*3)</f>
        <v>152001.43758865248</v>
      </c>
      <c r="D67" s="19">
        <f>D22/($C$16*3)</f>
        <v>53801.418439716312</v>
      </c>
      <c r="E67" s="19">
        <f>E22/($C$16*3)</f>
        <v>0</v>
      </c>
      <c r="F67" s="19">
        <f>F22/($C$16*3)</f>
        <v>98200.019148936175</v>
      </c>
      <c r="G67" s="5"/>
    </row>
    <row r="68" spans="1:7" ht="15.6" x14ac:dyDescent="0.35">
      <c r="A68" s="23" t="s">
        <v>35</v>
      </c>
      <c r="B68" s="19">
        <f>B23/($B$17*3)</f>
        <v>197406.69598721023</v>
      </c>
      <c r="C68" s="19">
        <f>B23/(C17*3)</f>
        <v>197406.69598721023</v>
      </c>
      <c r="D68" s="19">
        <f>D23/($C$17*3)</f>
        <v>49726.670223820947</v>
      </c>
      <c r="E68" s="19">
        <f t="shared" ref="E68:F68" si="13">E23/($C$17*3)</f>
        <v>27654.810311750603</v>
      </c>
      <c r="F68" s="19">
        <f t="shared" si="13"/>
        <v>120025.21545163869</v>
      </c>
    </row>
    <row r="69" spans="1:7" ht="15.6" x14ac:dyDescent="0.35">
      <c r="A69" s="23" t="s">
        <v>29</v>
      </c>
      <c r="B69" s="16">
        <f>(B68/B67)*B51</f>
        <v>132.43650178345615</v>
      </c>
      <c r="C69" s="16">
        <f>(C68/C67)*C51</f>
        <v>115.22650291096772</v>
      </c>
      <c r="D69" s="16"/>
      <c r="E69" s="16"/>
      <c r="F69" s="16"/>
      <c r="G69" s="5"/>
    </row>
    <row r="70" spans="1:7" ht="15.6" x14ac:dyDescent="0.35">
      <c r="A70" s="26" t="s">
        <v>36</v>
      </c>
      <c r="B70" s="19">
        <f>B22/($B$16)</f>
        <v>456004.31276595744</v>
      </c>
      <c r="C70" s="19">
        <f>B22/C16</f>
        <v>456004.31276595744</v>
      </c>
      <c r="D70" s="19">
        <f>D22/($C$16)</f>
        <v>161404.25531914894</v>
      </c>
      <c r="E70" s="19">
        <f>E22/($C$16)</f>
        <v>0</v>
      </c>
      <c r="F70" s="19">
        <f>F22/($C$16)</f>
        <v>294600.0574468085</v>
      </c>
      <c r="G70" s="5"/>
    </row>
    <row r="71" spans="1:7" ht="15.6" x14ac:dyDescent="0.35">
      <c r="A71" s="26" t="s">
        <v>37</v>
      </c>
      <c r="B71" s="19">
        <f>B23/($B$17)</f>
        <v>592220.08796163066</v>
      </c>
      <c r="C71" s="19">
        <f>B23/C17</f>
        <v>592220.08796163066</v>
      </c>
      <c r="D71" s="19">
        <f>D23/($C$17)</f>
        <v>149180.01067146283</v>
      </c>
      <c r="E71" s="19">
        <f t="shared" ref="E71:F71" si="14">E23/($C$17)</f>
        <v>82964.430935251803</v>
      </c>
      <c r="F71" s="19">
        <f t="shared" si="14"/>
        <v>360075.6463549161</v>
      </c>
      <c r="G71" s="5"/>
    </row>
    <row r="72" spans="1:7" ht="15.6" x14ac:dyDescent="0.35">
      <c r="A72" s="23"/>
      <c r="B72" s="16"/>
      <c r="C72" s="16"/>
      <c r="D72" s="16"/>
      <c r="E72" s="16"/>
      <c r="F72" s="16"/>
      <c r="G72" s="5"/>
    </row>
    <row r="73" spans="1:7" ht="15.6" x14ac:dyDescent="0.35">
      <c r="A73" s="22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23" t="s">
        <v>31</v>
      </c>
      <c r="B74" s="16">
        <f>(B29/B28)*100</f>
        <v>99.999992767892209</v>
      </c>
      <c r="C74" s="16"/>
      <c r="D74" s="16"/>
      <c r="E74" s="16"/>
      <c r="F74" s="16"/>
      <c r="G74" s="5"/>
    </row>
    <row r="75" spans="1:7" ht="15.6" x14ac:dyDescent="0.35">
      <c r="A75" s="23" t="s">
        <v>32</v>
      </c>
      <c r="B75" s="16">
        <f>(B23/B29)*100</f>
        <v>115.22651124427321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70" t="s">
        <v>84</v>
      </c>
      <c r="B77" s="70"/>
      <c r="C77" s="70"/>
      <c r="D77" s="70"/>
      <c r="E77" s="70"/>
      <c r="F77" s="70"/>
    </row>
    <row r="78" spans="1:7" customFormat="1" x14ac:dyDescent="0.3"/>
    <row r="79" spans="1:7" customFormat="1" x14ac:dyDescent="0.3">
      <c r="A79" s="1"/>
    </row>
    <row r="80" spans="1:7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7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3" width="19.6640625" style="4" customWidth="1"/>
    <col min="4" max="4" width="19.5546875" style="4" customWidth="1"/>
    <col min="5" max="6" width="19.664062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3" customFormat="1" ht="15.6" x14ac:dyDescent="0.35">
      <c r="A9" s="65" t="s">
        <v>0</v>
      </c>
      <c r="B9" s="67" t="s">
        <v>1</v>
      </c>
      <c r="C9" s="67" t="s">
        <v>46</v>
      </c>
      <c r="D9" s="69" t="s">
        <v>45</v>
      </c>
      <c r="E9" s="69"/>
      <c r="F9" s="69"/>
    </row>
    <row r="10" spans="1:7" s="33" customFormat="1" ht="31.8" thickBot="1" x14ac:dyDescent="0.35">
      <c r="A10" s="66"/>
      <c r="B10" s="68"/>
      <c r="C10" s="68"/>
      <c r="D10" s="40" t="s">
        <v>44</v>
      </c>
      <c r="E10" s="34" t="s">
        <v>2</v>
      </c>
      <c r="F10" s="34" t="s">
        <v>3</v>
      </c>
    </row>
    <row r="11" spans="1:7" customFormat="1" ht="16.2" thickTop="1" x14ac:dyDescent="0.35">
      <c r="A11" s="23"/>
      <c r="B11" s="23"/>
      <c r="C11" s="23"/>
      <c r="D11" s="23"/>
      <c r="E11" s="23"/>
      <c r="F11" s="23"/>
    </row>
    <row r="12" spans="1:7" customFormat="1" ht="15.6" x14ac:dyDescent="0.35">
      <c r="A12" s="22" t="s">
        <v>4</v>
      </c>
      <c r="B12" s="23"/>
      <c r="C12" s="23"/>
      <c r="D12" s="23"/>
      <c r="E12" s="23"/>
      <c r="F12" s="23"/>
    </row>
    <row r="13" spans="1:7" customFormat="1" ht="15.6" x14ac:dyDescent="0.35">
      <c r="A13" s="23"/>
      <c r="B13" s="35"/>
      <c r="C13" s="35"/>
      <c r="D13" s="35"/>
      <c r="E13" s="35"/>
      <c r="F13" s="35"/>
      <c r="G13" s="36"/>
    </row>
    <row r="14" spans="1:7" customFormat="1" ht="15.6" x14ac:dyDescent="0.35">
      <c r="A14" s="22" t="s">
        <v>5</v>
      </c>
      <c r="B14" s="35"/>
      <c r="C14" s="35"/>
      <c r="D14" s="35"/>
      <c r="E14" s="35"/>
      <c r="F14" s="35"/>
      <c r="G14" s="36"/>
    </row>
    <row r="15" spans="1:7" ht="15.6" x14ac:dyDescent="0.35">
      <c r="A15" s="24" t="s">
        <v>65</v>
      </c>
      <c r="B15" s="12">
        <f>('I Trimestre'!B15+'II Trimestre'!B15+'III Trimestre'!B15)/3</f>
        <v>459.66666666666669</v>
      </c>
      <c r="C15" s="12">
        <f>('I Trimestre'!C15+'II Trimestre'!C15+'III Trimestre'!C15)/3</f>
        <v>459.66666666666669</v>
      </c>
      <c r="D15" s="12"/>
      <c r="E15" s="12"/>
      <c r="F15" s="12"/>
      <c r="G15" s="5"/>
    </row>
    <row r="16" spans="1:7" ht="15.6" x14ac:dyDescent="0.35">
      <c r="A16" s="24" t="s">
        <v>107</v>
      </c>
      <c r="B16" s="12">
        <f>('I Trimestre'!B16+'II Trimestre'!B16+'III Trimestre'!B16)/3</f>
        <v>480</v>
      </c>
      <c r="C16" s="12">
        <f>('I Trimestre'!C16+'II Trimestre'!C16+'III Trimestre'!C16)/3</f>
        <v>480</v>
      </c>
      <c r="D16" s="12"/>
      <c r="E16" s="12"/>
      <c r="F16" s="12"/>
      <c r="G16" s="5"/>
    </row>
    <row r="17" spans="1:7" ht="15.6" x14ac:dyDescent="0.35">
      <c r="A17" s="24" t="s">
        <v>108</v>
      </c>
      <c r="B17" s="12">
        <f>('I Trimestre'!B17+'II Trimestre'!B17+'III Trimestre'!B17)/3</f>
        <v>440.66666666666669</v>
      </c>
      <c r="C17" s="12">
        <f>('I Trimestre'!C17+'II Trimestre'!C17+'III Trimestre'!C17)/3</f>
        <v>440.66666666666669</v>
      </c>
      <c r="D17" s="12"/>
      <c r="E17" s="12"/>
      <c r="F17" s="12"/>
    </row>
    <row r="18" spans="1:7" ht="15.6" x14ac:dyDescent="0.35">
      <c r="A18" s="24" t="s">
        <v>79</v>
      </c>
      <c r="B18" s="12">
        <f>+'III Trimestre'!B18</f>
        <v>475</v>
      </c>
      <c r="C18" s="12">
        <f>+'III Trimestre'!C18</f>
        <v>475</v>
      </c>
      <c r="D18" s="12"/>
      <c r="E18" s="12"/>
      <c r="F18" s="12"/>
      <c r="G18" s="5"/>
    </row>
    <row r="19" spans="1:7" ht="15.6" x14ac:dyDescent="0.35">
      <c r="A19" s="23"/>
      <c r="B19" s="12"/>
      <c r="C19" s="12"/>
      <c r="D19" s="12"/>
      <c r="E19" s="12"/>
      <c r="F19" s="12"/>
      <c r="G19" s="5"/>
    </row>
    <row r="20" spans="1:7" ht="15.6" x14ac:dyDescent="0.35">
      <c r="A20" s="25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24" t="s">
        <v>65</v>
      </c>
      <c r="B21" s="12">
        <f>+'I Trimestre'!B21+'II Trimestre'!B21+'III Trimestre'!B21</f>
        <v>865918515.42699993</v>
      </c>
      <c r="C21" s="12"/>
      <c r="D21" s="12">
        <f>'I Trimestre'!D21+'II Trimestre'!D21+'III Trimestre'!D21</f>
        <v>227139515.74000001</v>
      </c>
      <c r="E21" s="12">
        <f>'I Trimestre'!E21+'II Trimestre'!E21+'III Trimestre'!E21</f>
        <v>4209919.0970000001</v>
      </c>
      <c r="F21" s="12">
        <f>'I Trimestre'!F21+'II Trimestre'!F21+'III Trimestre'!F21</f>
        <v>634569080.58999991</v>
      </c>
      <c r="G21" s="5"/>
    </row>
    <row r="22" spans="1:7" ht="15.6" x14ac:dyDescent="0.35">
      <c r="A22" s="24" t="s">
        <v>107</v>
      </c>
      <c r="B22" s="12">
        <f>+'I Trimestre'!B22+'II Trimestre'!B22+'III Trimestre'!B22</f>
        <v>642966079</v>
      </c>
      <c r="C22" s="12"/>
      <c r="D22" s="12">
        <f>'I Trimestre'!D22+'II Trimestre'!D22+'III Trimestre'!D22</f>
        <v>224780000</v>
      </c>
      <c r="E22" s="12">
        <f>'I Trimestre'!E22+'II Trimestre'!E22+'III Trimestre'!E22</f>
        <v>63868104</v>
      </c>
      <c r="F22" s="12">
        <f>'I Trimestre'!F22+'II Trimestre'!F22+'III Trimestre'!F22</f>
        <v>354317975</v>
      </c>
      <c r="G22" s="5"/>
    </row>
    <row r="23" spans="1:7" ht="15.6" x14ac:dyDescent="0.35">
      <c r="A23" s="24" t="s">
        <v>108</v>
      </c>
      <c r="B23" s="12">
        <f>+'I Trimestre'!B23+'II Trimestre'!B23+'III Trimestre'!B23</f>
        <v>556743050.6099999</v>
      </c>
      <c r="C23" s="12"/>
      <c r="D23" s="12">
        <f>'I Trimestre'!D23+'II Trimestre'!D23+'III Trimestre'!D23</f>
        <v>206749351.45999998</v>
      </c>
      <c r="E23" s="12">
        <f>'I Trimestre'!E23+'II Trimestre'!E23+'III Trimestre'!E23</f>
        <v>52371868.82</v>
      </c>
      <c r="F23" s="12">
        <f>'I Trimestre'!F23+'II Trimestre'!F23+'III Trimestre'!F23</f>
        <v>297621830.33000004</v>
      </c>
      <c r="G23" s="5"/>
    </row>
    <row r="24" spans="1:7" ht="15.6" x14ac:dyDescent="0.35">
      <c r="A24" s="24" t="s">
        <v>79</v>
      </c>
      <c r="B24" s="12">
        <f>+SUM(D24:F24)</f>
        <v>857288104</v>
      </c>
      <c r="C24" s="12"/>
      <c r="D24" s="12">
        <f>+'III Trimestre'!D24</f>
        <v>293420000</v>
      </c>
      <c r="E24" s="12">
        <f>+'III Trimestre'!E24</f>
        <v>63868104</v>
      </c>
      <c r="F24" s="12">
        <f>+'III Trimestre'!F24</f>
        <v>500000000</v>
      </c>
      <c r="G24" s="5"/>
    </row>
    <row r="25" spans="1:7" ht="15.6" x14ac:dyDescent="0.35">
      <c r="A25" s="24" t="s">
        <v>109</v>
      </c>
      <c r="B25" s="12">
        <f>D25+E25+F25</f>
        <v>556743050.61000001</v>
      </c>
      <c r="C25" s="12"/>
      <c r="D25" s="12">
        <f>D23</f>
        <v>206749351.45999998</v>
      </c>
      <c r="E25" s="12">
        <f t="shared" ref="E25:F25" si="0">E23</f>
        <v>52371868.82</v>
      </c>
      <c r="F25" s="12">
        <f t="shared" si="0"/>
        <v>297621830.33000004</v>
      </c>
      <c r="G25" s="5"/>
    </row>
    <row r="26" spans="1:7" ht="15.6" x14ac:dyDescent="0.35">
      <c r="A26" s="23"/>
      <c r="B26" s="12"/>
      <c r="C26" s="12"/>
      <c r="D26" s="12"/>
      <c r="E26" s="12"/>
      <c r="F26" s="12"/>
      <c r="G26" s="5"/>
    </row>
    <row r="27" spans="1:7" ht="15.6" x14ac:dyDescent="0.35">
      <c r="A27" s="25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4" t="s">
        <v>107</v>
      </c>
      <c r="B28" s="12">
        <f>B22</f>
        <v>642966079</v>
      </c>
      <c r="C28" s="12"/>
      <c r="D28" s="12"/>
      <c r="E28" s="12"/>
      <c r="F28" s="12"/>
      <c r="G28" s="5"/>
    </row>
    <row r="29" spans="1:7" ht="15.6" x14ac:dyDescent="0.35">
      <c r="A29" s="24" t="s">
        <v>108</v>
      </c>
      <c r="B29" s="12">
        <f>'I Trimestre'!B29+'II Trimestre'!B29+'III Trimestre'!B29</f>
        <v>642966039.25</v>
      </c>
      <c r="C29" s="12"/>
      <c r="D29" s="12"/>
      <c r="E29" s="12"/>
      <c r="F29" s="12"/>
      <c r="G29" s="5"/>
    </row>
    <row r="30" spans="1:7" ht="15.6" x14ac:dyDescent="0.35">
      <c r="A30" s="23"/>
      <c r="B30" s="16"/>
      <c r="C30" s="16"/>
      <c r="D30" s="16"/>
      <c r="E30" s="16"/>
      <c r="F30" s="16"/>
      <c r="G30" s="5"/>
    </row>
    <row r="31" spans="1:7" ht="15.6" x14ac:dyDescent="0.35">
      <c r="A31" s="22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24" t="s">
        <v>66</v>
      </c>
      <c r="B32" s="31">
        <v>1.0948</v>
      </c>
      <c r="C32" s="31">
        <v>1.0948</v>
      </c>
      <c r="D32" s="31">
        <v>1.0948</v>
      </c>
      <c r="E32" s="31">
        <v>1.0948</v>
      </c>
      <c r="F32" s="31">
        <v>1.0948</v>
      </c>
      <c r="G32" s="5"/>
    </row>
    <row r="33" spans="1:7" ht="15.6" x14ac:dyDescent="0.35">
      <c r="A33" s="24" t="s">
        <v>110</v>
      </c>
      <c r="B33" s="31">
        <v>1.0932999999999999</v>
      </c>
      <c r="C33" s="31">
        <v>1.0932999999999999</v>
      </c>
      <c r="D33" s="31">
        <v>1.0932999999999999</v>
      </c>
      <c r="E33" s="31">
        <v>1.0932999999999999</v>
      </c>
      <c r="F33" s="31">
        <v>1.0932999999999999</v>
      </c>
      <c r="G33" s="5"/>
    </row>
    <row r="34" spans="1:7" ht="15.6" x14ac:dyDescent="0.35">
      <c r="A34" s="24" t="s">
        <v>9</v>
      </c>
      <c r="B34" s="29" t="s">
        <v>43</v>
      </c>
      <c r="C34" s="29" t="s">
        <v>43</v>
      </c>
      <c r="D34" s="29" t="s">
        <v>43</v>
      </c>
      <c r="E34" s="29" t="s">
        <v>43</v>
      </c>
      <c r="F34" s="29" t="s">
        <v>43</v>
      </c>
      <c r="G34" s="5"/>
    </row>
    <row r="35" spans="1:7" ht="15.6" x14ac:dyDescent="0.35">
      <c r="A35" s="23"/>
      <c r="B35" s="16"/>
      <c r="C35" s="16"/>
      <c r="D35" s="16"/>
      <c r="E35" s="16"/>
      <c r="F35" s="16"/>
      <c r="G35" s="5"/>
    </row>
    <row r="36" spans="1:7" ht="15.6" x14ac:dyDescent="0.35">
      <c r="A36" s="22" t="s">
        <v>10</v>
      </c>
      <c r="B36" s="12"/>
      <c r="C36" s="12"/>
      <c r="D36" s="12"/>
      <c r="E36" s="12"/>
      <c r="F36" s="12"/>
      <c r="G36" s="5"/>
    </row>
    <row r="37" spans="1:7" ht="15.6" x14ac:dyDescent="0.35">
      <c r="A37" s="24" t="s">
        <v>67</v>
      </c>
      <c r="B37" s="12">
        <f>B21/B32</f>
        <v>790937628.26726341</v>
      </c>
      <c r="C37" s="12"/>
      <c r="D37" s="12">
        <f t="shared" ref="D37:F37" si="1">D21/D32</f>
        <v>207471241.99853855</v>
      </c>
      <c r="E37" s="12">
        <f t="shared" si="1"/>
        <v>3845377.32645232</v>
      </c>
      <c r="F37" s="12">
        <f t="shared" si="1"/>
        <v>579621008.94227254</v>
      </c>
      <c r="G37" s="5"/>
    </row>
    <row r="38" spans="1:7" ht="15.6" x14ac:dyDescent="0.35">
      <c r="A38" s="24" t="s">
        <v>111</v>
      </c>
      <c r="B38" s="12">
        <f>B23/B33</f>
        <v>509231730.18384701</v>
      </c>
      <c r="C38" s="12"/>
      <c r="D38" s="12">
        <f t="shared" ref="D38:F38" si="2">D23/D33</f>
        <v>189105781.99945119</v>
      </c>
      <c r="E38" s="12">
        <f t="shared" si="2"/>
        <v>47902559.974389464</v>
      </c>
      <c r="F38" s="12">
        <f t="shared" si="2"/>
        <v>272223388.21000648</v>
      </c>
      <c r="G38" s="5"/>
    </row>
    <row r="39" spans="1:7" ht="15.6" x14ac:dyDescent="0.35">
      <c r="A39" s="24" t="s">
        <v>68</v>
      </c>
      <c r="B39" s="12">
        <f>B37/B15</f>
        <v>1720676.4936923787</v>
      </c>
      <c r="C39" s="12"/>
      <c r="D39" s="14">
        <f>D37/$C$15</f>
        <v>451351.50543554436</v>
      </c>
      <c r="E39" s="14">
        <f t="shared" ref="E39:F39" si="3">E37/$C$15</f>
        <v>8365.5779400703123</v>
      </c>
      <c r="F39" s="14">
        <f t="shared" si="3"/>
        <v>1260959.4103167639</v>
      </c>
      <c r="G39" s="5"/>
    </row>
    <row r="40" spans="1:7" ht="15.6" x14ac:dyDescent="0.35">
      <c r="A40" s="24" t="s">
        <v>112</v>
      </c>
      <c r="B40" s="12">
        <f>B38/B17</f>
        <v>1155593.9414156892</v>
      </c>
      <c r="C40" s="12"/>
      <c r="D40" s="14">
        <f>D38/$C$17</f>
        <v>429135.66263112979</v>
      </c>
      <c r="E40" s="14">
        <f t="shared" ref="E40:F40" si="4">E38/$C$17</f>
        <v>108704.75032009711</v>
      </c>
      <c r="F40" s="14">
        <f t="shared" si="4"/>
        <v>617753.52846446249</v>
      </c>
    </row>
    <row r="41" spans="1:7" ht="15.6" x14ac:dyDescent="0.35">
      <c r="A41" s="23"/>
      <c r="B41" s="16"/>
      <c r="C41" s="16"/>
      <c r="D41" s="16"/>
      <c r="E41" s="16"/>
      <c r="F41" s="16"/>
      <c r="G41" s="5"/>
    </row>
    <row r="42" spans="1:7" ht="15.6" x14ac:dyDescent="0.35">
      <c r="A42" s="22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3"/>
      <c r="B43" s="16"/>
      <c r="C43" s="16"/>
      <c r="D43" s="16"/>
      <c r="E43" s="16"/>
      <c r="F43" s="16"/>
      <c r="G43" s="5"/>
    </row>
    <row r="44" spans="1:7" ht="15.6" x14ac:dyDescent="0.35">
      <c r="A44" s="22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3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3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3"/>
      <c r="B47" s="16"/>
      <c r="C47" s="16"/>
      <c r="D47" s="16"/>
      <c r="E47" s="16"/>
      <c r="F47" s="16"/>
      <c r="G47" s="5"/>
    </row>
    <row r="48" spans="1:7" ht="15.6" x14ac:dyDescent="0.35">
      <c r="A48" s="22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3" t="s">
        <v>16</v>
      </c>
      <c r="B49" s="16">
        <f>B17/B16*100</f>
        <v>91.805555555555557</v>
      </c>
      <c r="C49" s="16">
        <f t="shared" ref="C49" si="5">C17/C16*100</f>
        <v>91.805555555555557</v>
      </c>
      <c r="D49" s="16"/>
      <c r="E49" s="16"/>
      <c r="F49" s="16"/>
      <c r="G49" s="5"/>
    </row>
    <row r="50" spans="1:7" ht="15.6" x14ac:dyDescent="0.35">
      <c r="A50" s="23" t="s">
        <v>17</v>
      </c>
      <c r="B50" s="16">
        <f>B23/B22*100</f>
        <v>86.589801358712094</v>
      </c>
      <c r="C50" s="16"/>
      <c r="D50" s="16">
        <f t="shared" ref="D50:F50" si="6">D23/D22*100</f>
        <v>91.978535216656283</v>
      </c>
      <c r="E50" s="16">
        <f t="shared" si="6"/>
        <v>82.000036857208102</v>
      </c>
      <c r="F50" s="16">
        <f t="shared" si="6"/>
        <v>83.998513010806192</v>
      </c>
      <c r="G50" s="5"/>
    </row>
    <row r="51" spans="1:7" ht="15.6" x14ac:dyDescent="0.35">
      <c r="A51" s="23" t="s">
        <v>18</v>
      </c>
      <c r="B51" s="16">
        <f>AVERAGE(B49:B50)</f>
        <v>89.197678457133833</v>
      </c>
      <c r="C51" s="16">
        <f t="shared" ref="C51:F51" si="7">AVERAGE(C49:C50)</f>
        <v>91.805555555555557</v>
      </c>
      <c r="D51" s="16">
        <f t="shared" si="7"/>
        <v>91.978535216656283</v>
      </c>
      <c r="E51" s="16">
        <f t="shared" si="7"/>
        <v>82.000036857208102</v>
      </c>
      <c r="F51" s="16">
        <f t="shared" si="7"/>
        <v>83.998513010806192</v>
      </c>
      <c r="G51" s="5"/>
    </row>
    <row r="52" spans="1:7" ht="15.6" x14ac:dyDescent="0.35">
      <c r="A52" s="23"/>
      <c r="B52" s="16"/>
      <c r="C52" s="16"/>
      <c r="D52" s="16"/>
      <c r="E52" s="16"/>
      <c r="F52" s="16"/>
      <c r="G52" s="5"/>
    </row>
    <row r="53" spans="1:7" ht="15.6" x14ac:dyDescent="0.35">
      <c r="A53" s="22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3" t="s">
        <v>20</v>
      </c>
      <c r="B54" s="16">
        <f>(B17/B18)*100</f>
        <v>92.771929824561411</v>
      </c>
      <c r="C54" s="16">
        <f t="shared" ref="C54" si="8">(C17/C18)*100</f>
        <v>92.771929824561411</v>
      </c>
      <c r="D54" s="16"/>
      <c r="E54" s="16"/>
      <c r="F54" s="16"/>
      <c r="G54" s="5"/>
    </row>
    <row r="55" spans="1:7" ht="15.6" x14ac:dyDescent="0.35">
      <c r="A55" s="23" t="s">
        <v>21</v>
      </c>
      <c r="B55" s="16">
        <f>B23/B24*100</f>
        <v>64.942351120038381</v>
      </c>
      <c r="C55" s="16"/>
      <c r="D55" s="16">
        <f t="shared" ref="D55:F55" si="9">D23/D24*100</f>
        <v>70.461915159157513</v>
      </c>
      <c r="E55" s="16">
        <f t="shared" si="9"/>
        <v>82.000036857208102</v>
      </c>
      <c r="F55" s="16">
        <f t="shared" si="9"/>
        <v>59.524366066000013</v>
      </c>
      <c r="G55" s="5"/>
    </row>
    <row r="56" spans="1:7" ht="15.6" x14ac:dyDescent="0.35">
      <c r="A56" s="23" t="s">
        <v>22</v>
      </c>
      <c r="B56" s="16">
        <f>AVERAGE(B54:B55)</f>
        <v>78.857140472299903</v>
      </c>
      <c r="C56" s="16">
        <f t="shared" ref="C56:F56" si="10">AVERAGE(C54:C55)</f>
        <v>92.771929824561411</v>
      </c>
      <c r="D56" s="16">
        <f t="shared" si="10"/>
        <v>70.461915159157513</v>
      </c>
      <c r="E56" s="16">
        <f t="shared" si="10"/>
        <v>82.000036857208102</v>
      </c>
      <c r="F56" s="16">
        <f t="shared" si="10"/>
        <v>59.524366066000013</v>
      </c>
      <c r="G56" s="5"/>
    </row>
    <row r="57" spans="1:7" ht="15.6" x14ac:dyDescent="0.35">
      <c r="A57" s="23"/>
      <c r="B57" s="16"/>
      <c r="C57" s="16"/>
      <c r="D57" s="16"/>
      <c r="E57" s="16"/>
      <c r="F57" s="16"/>
      <c r="G57" s="5"/>
    </row>
    <row r="58" spans="1:7" ht="15.6" x14ac:dyDescent="0.35">
      <c r="A58" s="22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3" t="s">
        <v>23</v>
      </c>
      <c r="B59" s="16">
        <f>B25/B23*100</f>
        <v>100.00000000000003</v>
      </c>
      <c r="C59" s="16"/>
      <c r="D59" s="16">
        <f t="shared" ref="D59:F59" si="11">D25/D23*100</f>
        <v>100</v>
      </c>
      <c r="E59" s="16">
        <f t="shared" si="11"/>
        <v>100</v>
      </c>
      <c r="F59" s="16">
        <f t="shared" si="11"/>
        <v>100</v>
      </c>
      <c r="G59" s="5"/>
    </row>
    <row r="60" spans="1:7" ht="15.6" x14ac:dyDescent="0.35">
      <c r="A60" s="23"/>
      <c r="B60" s="16"/>
      <c r="C60" s="16"/>
      <c r="D60" s="16"/>
      <c r="E60" s="16"/>
      <c r="F60" s="16"/>
      <c r="G60" s="5"/>
    </row>
    <row r="61" spans="1:7" ht="15.6" x14ac:dyDescent="0.35">
      <c r="A61" s="22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3" t="s">
        <v>25</v>
      </c>
      <c r="B62" s="16">
        <f>((B17/B15)-1)*100</f>
        <v>-4.1334300217548918</v>
      </c>
      <c r="C62" s="16">
        <f t="shared" ref="C62" si="12">((C17/C15)-1)*100</f>
        <v>-4.1334300217548918</v>
      </c>
      <c r="D62" s="16">
        <f>((C17/C15)-1)*100</f>
        <v>-4.1334300217548918</v>
      </c>
      <c r="E62" s="16">
        <f>((C17/C15)-1)*100</f>
        <v>-4.1334300217548918</v>
      </c>
      <c r="F62" s="16">
        <f>((C17/C15)-1)*100</f>
        <v>-4.1334300217548918</v>
      </c>
      <c r="G62" s="5"/>
    </row>
    <row r="63" spans="1:7" ht="15.6" x14ac:dyDescent="0.35">
      <c r="A63" s="23" t="s">
        <v>26</v>
      </c>
      <c r="B63" s="16">
        <f>((B38/B37)-1)*100</f>
        <v>-35.616702002224883</v>
      </c>
      <c r="C63" s="16" t="s">
        <v>43</v>
      </c>
      <c r="D63" s="16">
        <f t="shared" ref="D63:F63" si="13">((D38/D37)-1)*100</f>
        <v>-8.8520509262757123</v>
      </c>
      <c r="E63" s="16">
        <f t="shared" si="13"/>
        <v>1145.7180637350757</v>
      </c>
      <c r="F63" s="16">
        <f t="shared" si="13"/>
        <v>-53.034244099126738</v>
      </c>
      <c r="G63" s="5"/>
    </row>
    <row r="64" spans="1:7" ht="15.6" x14ac:dyDescent="0.35">
      <c r="A64" s="23" t="s">
        <v>27</v>
      </c>
      <c r="B64" s="16">
        <f>((B40/B39)-1)*100</f>
        <v>-32.840720167222472</v>
      </c>
      <c r="C64" s="16" t="s">
        <v>43</v>
      </c>
      <c r="D64" s="16">
        <f t="shared" ref="D64:F64" si="14">((D40/D39)-1)*100</f>
        <v>-4.9220712763496266</v>
      </c>
      <c r="E64" s="16">
        <f t="shared" si="14"/>
        <v>1199.429054380234</v>
      </c>
      <c r="F64" s="16">
        <f t="shared" si="14"/>
        <v>-51.009245546668517</v>
      </c>
      <c r="G64" s="5"/>
    </row>
    <row r="65" spans="1:7" ht="15.6" x14ac:dyDescent="0.35">
      <c r="A65" s="23"/>
      <c r="B65" s="16"/>
      <c r="C65" s="16"/>
      <c r="D65" s="16"/>
      <c r="E65" s="16"/>
      <c r="F65" s="16"/>
      <c r="G65" s="5"/>
    </row>
    <row r="66" spans="1:7" ht="15.6" x14ac:dyDescent="0.35">
      <c r="A66" s="22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3" t="s">
        <v>34</v>
      </c>
      <c r="B67" s="19">
        <f>B22/($B$16*9)</f>
        <v>148834.74050925925</v>
      </c>
      <c r="C67" s="19">
        <f>B22/(C16*9)</f>
        <v>148834.74050925925</v>
      </c>
      <c r="D67" s="19">
        <f>D22/($C$16*9)</f>
        <v>52032.407407407409</v>
      </c>
      <c r="E67" s="19">
        <f>E22/($C$16*9)</f>
        <v>14784.283333333333</v>
      </c>
      <c r="F67" s="19">
        <f>F22/($C$16*9)</f>
        <v>82018.049768518526</v>
      </c>
      <c r="G67" s="5"/>
    </row>
    <row r="68" spans="1:7" ht="15.6" x14ac:dyDescent="0.35">
      <c r="A68" s="23" t="s">
        <v>35</v>
      </c>
      <c r="B68" s="19">
        <f>B23/($B$17*9)</f>
        <v>140378.98401664142</v>
      </c>
      <c r="C68" s="19">
        <f>B23/(C17*9)</f>
        <v>140378.98401664142</v>
      </c>
      <c r="D68" s="19">
        <f>D23/($C$17*9)</f>
        <v>52130.446661623799</v>
      </c>
      <c r="E68" s="19">
        <f>E23/($C$17*9)</f>
        <v>13205.211502773576</v>
      </c>
      <c r="F68" s="19">
        <f>F23/($C$17*9)</f>
        <v>75043.325852244088</v>
      </c>
    </row>
    <row r="69" spans="1:7" ht="15.6" x14ac:dyDescent="0.35">
      <c r="A69" s="23" t="s">
        <v>29</v>
      </c>
      <c r="B69" s="16">
        <f>(B68/B67)*B51</f>
        <v>84.130085728718214</v>
      </c>
      <c r="C69" s="16">
        <f>(C68/C67)*C51</f>
        <v>86.589801358712094</v>
      </c>
      <c r="D69" s="16"/>
      <c r="E69" s="16"/>
      <c r="F69" s="16"/>
      <c r="G69" s="5"/>
    </row>
    <row r="70" spans="1:7" ht="15.6" x14ac:dyDescent="0.35">
      <c r="A70" s="26" t="s">
        <v>40</v>
      </c>
      <c r="B70" s="19">
        <f>B22/($B$16)</f>
        <v>1339512.6645833333</v>
      </c>
      <c r="C70" s="19">
        <f>B22/C16</f>
        <v>1339512.6645833333</v>
      </c>
      <c r="D70" s="19">
        <f>D22/($C$16)</f>
        <v>468291.66666666669</v>
      </c>
      <c r="E70" s="19">
        <f t="shared" ref="E70:F70" si="15">E22/($C$16)</f>
        <v>133058.54999999999</v>
      </c>
      <c r="F70" s="19">
        <f t="shared" si="15"/>
        <v>738162.44791666663</v>
      </c>
      <c r="G70" s="5"/>
    </row>
    <row r="71" spans="1:7" ht="15.6" x14ac:dyDescent="0.35">
      <c r="A71" s="26" t="s">
        <v>41</v>
      </c>
      <c r="B71" s="19">
        <f>B23/($B$17)</f>
        <v>1263410.8561497729</v>
      </c>
      <c r="C71" s="19">
        <f>B23/C17</f>
        <v>1263410.8561497729</v>
      </c>
      <c r="D71" s="19">
        <f>D23/($C$17)</f>
        <v>469174.01995461417</v>
      </c>
      <c r="E71" s="19">
        <f t="shared" ref="E71:F71" si="16">E23/($C$17)</f>
        <v>118846.90352496218</v>
      </c>
      <c r="F71" s="19">
        <f t="shared" si="16"/>
        <v>675389.93267019675</v>
      </c>
      <c r="G71" s="5"/>
    </row>
    <row r="72" spans="1:7" ht="15.6" x14ac:dyDescent="0.35">
      <c r="A72" s="23"/>
      <c r="B72" s="16"/>
      <c r="C72" s="16"/>
      <c r="D72" s="16"/>
      <c r="E72" s="16"/>
      <c r="F72" s="16"/>
      <c r="G72" s="5"/>
    </row>
    <row r="73" spans="1:7" ht="15.6" x14ac:dyDescent="0.35">
      <c r="A73" s="22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23" t="s">
        <v>31</v>
      </c>
      <c r="B74" s="16">
        <f>(B29/B28)*100</f>
        <v>99.999993817714298</v>
      </c>
      <c r="C74" s="16"/>
      <c r="D74" s="16"/>
      <c r="E74" s="16"/>
      <c r="F74" s="16"/>
      <c r="G74" s="5"/>
    </row>
    <row r="75" spans="1:7" ht="15.6" x14ac:dyDescent="0.35">
      <c r="A75" s="23" t="s">
        <v>32</v>
      </c>
      <c r="B75" s="16">
        <f>(B23/B29)*100</f>
        <v>86.589806711941335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70" t="s">
        <v>84</v>
      </c>
      <c r="B77" s="70"/>
      <c r="C77" s="70"/>
      <c r="D77" s="70"/>
      <c r="E77" s="70"/>
      <c r="F77" s="70"/>
    </row>
    <row r="78" spans="1:7" customFormat="1" x14ac:dyDescent="0.3">
      <c r="A78" s="28"/>
    </row>
    <row r="79" spans="1:7" customFormat="1" x14ac:dyDescent="0.3">
      <c r="A79" s="1"/>
    </row>
    <row r="80" spans="1:7" customFormat="1" x14ac:dyDescent="0.3"/>
    <row r="81" spans="1:1" customFormat="1" x14ac:dyDescent="0.3"/>
    <row r="82" spans="1:1" customFormat="1" x14ac:dyDescent="0.3"/>
    <row r="83" spans="1:1" customFormat="1" x14ac:dyDescent="0.3"/>
    <row r="84" spans="1:1" customFormat="1" x14ac:dyDescent="0.3"/>
    <row r="85" spans="1:1" customFormat="1" x14ac:dyDescent="0.3"/>
    <row r="86" spans="1:1" x14ac:dyDescent="0.3">
      <c r="A86" s="6"/>
    </row>
    <row r="87" spans="1:1" x14ac:dyDescent="0.3">
      <c r="A87" s="1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G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2" width="19.5546875" style="4" customWidth="1"/>
    <col min="3" max="5" width="19.6640625" style="4" customWidth="1"/>
    <col min="6" max="6" width="19.33203125" style="4" customWidth="1"/>
    <col min="7" max="7" width="13.6640625" style="4" bestFit="1" customWidth="1"/>
    <col min="8" max="16384" width="11.44140625" style="4"/>
  </cols>
  <sheetData>
    <row r="8" spans="1:7" ht="15.75" customHeight="1" x14ac:dyDescent="0.3"/>
    <row r="9" spans="1:7" s="55" customFormat="1" ht="17.25" customHeight="1" x14ac:dyDescent="0.35">
      <c r="A9" s="77" t="s">
        <v>0</v>
      </c>
      <c r="B9" s="79" t="s">
        <v>1</v>
      </c>
      <c r="C9" s="79" t="s">
        <v>46</v>
      </c>
      <c r="D9" s="81" t="s">
        <v>45</v>
      </c>
      <c r="E9" s="81"/>
      <c r="F9" s="81"/>
    </row>
    <row r="10" spans="1:7" s="55" customFormat="1" ht="31.8" thickBot="1" x14ac:dyDescent="0.35">
      <c r="A10" s="78"/>
      <c r="B10" s="80"/>
      <c r="C10" s="80"/>
      <c r="D10" s="56" t="s">
        <v>44</v>
      </c>
      <c r="E10" s="57" t="s">
        <v>2</v>
      </c>
      <c r="F10" s="57" t="s">
        <v>3</v>
      </c>
    </row>
    <row r="11" spans="1:7" ht="16.2" thickTop="1" x14ac:dyDescent="0.35">
      <c r="A11" s="8"/>
      <c r="B11" s="8"/>
      <c r="C11" s="8"/>
      <c r="D11" s="8"/>
      <c r="E11" s="8"/>
      <c r="F11" s="8"/>
    </row>
    <row r="12" spans="1:7" ht="15.6" x14ac:dyDescent="0.35">
      <c r="A12" s="9" t="s">
        <v>4</v>
      </c>
      <c r="B12" s="8"/>
      <c r="C12" s="8"/>
      <c r="D12" s="8"/>
      <c r="E12" s="8"/>
      <c r="F12" s="8"/>
    </row>
    <row r="13" spans="1:7" ht="15.6" x14ac:dyDescent="0.35">
      <c r="A13" s="8"/>
      <c r="B13" s="10"/>
      <c r="C13" s="10"/>
      <c r="D13" s="10"/>
      <c r="E13" s="10"/>
      <c r="F13" s="10"/>
      <c r="G13" s="5"/>
    </row>
    <row r="14" spans="1:7" ht="15.6" x14ac:dyDescent="0.35">
      <c r="A14" s="9" t="s">
        <v>5</v>
      </c>
      <c r="B14" s="10"/>
      <c r="C14" s="10"/>
      <c r="D14" s="10"/>
      <c r="E14" s="10"/>
      <c r="F14" s="10"/>
      <c r="G14" s="5"/>
    </row>
    <row r="15" spans="1:7" ht="15.6" x14ac:dyDescent="0.35">
      <c r="A15" s="11" t="s">
        <v>69</v>
      </c>
      <c r="B15" s="12">
        <f>C15</f>
        <v>429</v>
      </c>
      <c r="C15" s="12">
        <v>429</v>
      </c>
      <c r="D15" s="12"/>
      <c r="E15" s="12"/>
      <c r="F15" s="12"/>
      <c r="G15" s="5"/>
    </row>
    <row r="16" spans="1:7" ht="15.6" x14ac:dyDescent="0.35">
      <c r="A16" s="11" t="s">
        <v>113</v>
      </c>
      <c r="B16" s="12">
        <f>C16</f>
        <v>460</v>
      </c>
      <c r="C16" s="12">
        <v>460</v>
      </c>
      <c r="D16" s="12"/>
      <c r="E16" s="12"/>
      <c r="F16" s="12"/>
      <c r="G16" s="5"/>
    </row>
    <row r="17" spans="1:7" ht="17.100000000000001" customHeight="1" x14ac:dyDescent="0.35">
      <c r="A17" s="11" t="s">
        <v>114</v>
      </c>
      <c r="B17" s="12">
        <f>C17</f>
        <v>414</v>
      </c>
      <c r="C17" s="12">
        <v>414</v>
      </c>
      <c r="D17" s="12"/>
      <c r="E17" s="12"/>
      <c r="F17" s="12"/>
    </row>
    <row r="18" spans="1:7" ht="15.6" x14ac:dyDescent="0.35">
      <c r="A18" s="11" t="s">
        <v>79</v>
      </c>
      <c r="B18" s="12">
        <f>C18</f>
        <v>475</v>
      </c>
      <c r="C18" s="12">
        <v>475</v>
      </c>
      <c r="D18" s="12"/>
      <c r="E18" s="12"/>
      <c r="F18" s="12"/>
      <c r="G18" s="5"/>
    </row>
    <row r="19" spans="1:7" ht="15.6" x14ac:dyDescent="0.35">
      <c r="A19" s="8"/>
      <c r="B19" s="12"/>
      <c r="C19" s="12"/>
      <c r="D19" s="12"/>
      <c r="E19" s="12"/>
      <c r="F19" s="12"/>
      <c r="G19" s="5"/>
    </row>
    <row r="20" spans="1:7" ht="15.6" x14ac:dyDescent="0.35">
      <c r="A20" s="13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11" t="s">
        <v>69</v>
      </c>
      <c r="B21" s="12">
        <f>SUM(D21:F21)</f>
        <v>341974559.90000004</v>
      </c>
      <c r="C21" s="12"/>
      <c r="D21" s="12">
        <v>20824739.800000001</v>
      </c>
      <c r="E21" s="14">
        <v>23662215</v>
      </c>
      <c r="F21" s="14">
        <v>297487605.10000002</v>
      </c>
      <c r="G21" s="5"/>
    </row>
    <row r="22" spans="1:7" ht="15.6" x14ac:dyDescent="0.35">
      <c r="A22" s="11" t="s">
        <v>113</v>
      </c>
      <c r="B22" s="12">
        <f t="shared" ref="B22:B24" si="0">SUM(D22:F22)</f>
        <v>214322025</v>
      </c>
      <c r="C22" s="12"/>
      <c r="D22" s="12">
        <v>68640000</v>
      </c>
      <c r="E22" s="12">
        <v>0</v>
      </c>
      <c r="F22" s="12">
        <v>145682025</v>
      </c>
      <c r="G22" s="5"/>
    </row>
    <row r="23" spans="1:7" ht="15.6" x14ac:dyDescent="0.35">
      <c r="A23" s="11" t="s">
        <v>114</v>
      </c>
      <c r="B23" s="12">
        <f t="shared" si="0"/>
        <v>299186416.06999999</v>
      </c>
      <c r="C23" s="12"/>
      <c r="D23" s="12">
        <v>96143503.639999986</v>
      </c>
      <c r="E23" s="14">
        <v>1330955.3799999999</v>
      </c>
      <c r="F23" s="14">
        <v>201711957.05000001</v>
      </c>
      <c r="G23" s="5"/>
    </row>
    <row r="24" spans="1:7" ht="15.6" x14ac:dyDescent="0.35">
      <c r="A24" s="11" t="s">
        <v>79</v>
      </c>
      <c r="B24" s="12">
        <f t="shared" si="0"/>
        <v>857288104</v>
      </c>
      <c r="C24" s="12"/>
      <c r="D24" s="12">
        <v>293420000</v>
      </c>
      <c r="E24" s="12">
        <v>63868104</v>
      </c>
      <c r="F24" s="12">
        <v>500000000</v>
      </c>
      <c r="G24" s="5"/>
    </row>
    <row r="25" spans="1:7" ht="15.6" x14ac:dyDescent="0.35">
      <c r="A25" s="11" t="s">
        <v>115</v>
      </c>
      <c r="B25" s="12">
        <f>D25+E25+F25</f>
        <v>299186416.06999999</v>
      </c>
      <c r="C25" s="12"/>
      <c r="D25" s="12">
        <f>D23</f>
        <v>96143503.639999986</v>
      </c>
      <c r="E25" s="12">
        <f t="shared" ref="E25:F25" si="1">E23</f>
        <v>1330955.3799999999</v>
      </c>
      <c r="F25" s="12">
        <f t="shared" si="1"/>
        <v>201711957.05000001</v>
      </c>
      <c r="G25" s="5"/>
    </row>
    <row r="26" spans="1:7" ht="15.6" x14ac:dyDescent="0.35">
      <c r="A26" s="8"/>
      <c r="B26" s="12"/>
      <c r="C26" s="12"/>
      <c r="D26" s="12"/>
      <c r="E26" s="12"/>
      <c r="F26" s="12"/>
      <c r="G26" s="5"/>
    </row>
    <row r="27" spans="1:7" ht="15.6" x14ac:dyDescent="0.35">
      <c r="A27" s="13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11" t="s">
        <v>113</v>
      </c>
      <c r="B28" s="12">
        <f>B22</f>
        <v>214322025</v>
      </c>
      <c r="C28" s="12"/>
      <c r="D28" s="12"/>
      <c r="E28" s="12"/>
      <c r="F28" s="12"/>
      <c r="G28" s="5"/>
    </row>
    <row r="29" spans="1:7" ht="15.6" x14ac:dyDescent="0.35">
      <c r="A29" s="11" t="s">
        <v>114</v>
      </c>
      <c r="B29" s="12">
        <v>214322017.90000001</v>
      </c>
      <c r="C29" s="12"/>
      <c r="D29" s="12"/>
      <c r="E29" s="12"/>
      <c r="F29" s="12"/>
      <c r="G29" s="5"/>
    </row>
    <row r="30" spans="1:7" ht="15.6" x14ac:dyDescent="0.35">
      <c r="A30" s="8"/>
      <c r="B30" s="16"/>
      <c r="C30" s="16"/>
      <c r="D30" s="16"/>
      <c r="E30" s="16"/>
      <c r="F30" s="16"/>
      <c r="G30" s="5"/>
    </row>
    <row r="31" spans="1:7" ht="15.6" x14ac:dyDescent="0.35">
      <c r="A31" s="9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11" t="s">
        <v>70</v>
      </c>
      <c r="B32" s="38">
        <v>1.0947</v>
      </c>
      <c r="C32" s="38">
        <v>1.0947</v>
      </c>
      <c r="D32" s="38">
        <v>1.0947</v>
      </c>
      <c r="E32" s="38">
        <v>1.0947</v>
      </c>
      <c r="F32" s="38">
        <v>1.0947</v>
      </c>
      <c r="G32" s="5"/>
    </row>
    <row r="33" spans="1:7" ht="15.6" x14ac:dyDescent="0.35">
      <c r="A33" s="11" t="s">
        <v>116</v>
      </c>
      <c r="B33" s="38">
        <v>1.1039000000000001</v>
      </c>
      <c r="C33" s="38">
        <v>1.1039000000000001</v>
      </c>
      <c r="D33" s="38">
        <v>1.1039000000000001</v>
      </c>
      <c r="E33" s="38">
        <v>1.1039000000000001</v>
      </c>
      <c r="F33" s="38">
        <v>1.1039000000000001</v>
      </c>
      <c r="G33" s="5"/>
    </row>
    <row r="34" spans="1:7" ht="15.6" x14ac:dyDescent="0.35">
      <c r="A34" s="11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8"/>
      <c r="B35" s="16"/>
      <c r="C35" s="16"/>
      <c r="D35" s="16"/>
      <c r="E35" s="16"/>
      <c r="F35" s="16"/>
      <c r="G35" s="5"/>
    </row>
    <row r="36" spans="1:7" ht="15.6" x14ac:dyDescent="0.35">
      <c r="A36" s="9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11" t="s">
        <v>71</v>
      </c>
      <c r="B37" s="12">
        <f>B21/B32</f>
        <v>312391120.76367956</v>
      </c>
      <c r="C37" s="12"/>
      <c r="D37" s="12">
        <f t="shared" ref="D37:F37" si="2">D21/D32</f>
        <v>19023239.060929935</v>
      </c>
      <c r="E37" s="12">
        <f t="shared" si="2"/>
        <v>21615250.75363113</v>
      </c>
      <c r="F37" s="12">
        <f t="shared" si="2"/>
        <v>271752630.94911849</v>
      </c>
      <c r="G37" s="5"/>
    </row>
    <row r="38" spans="1:7" ht="15.6" x14ac:dyDescent="0.35">
      <c r="A38" s="11" t="s">
        <v>117</v>
      </c>
      <c r="B38" s="12">
        <f>B23/B33</f>
        <v>271026737.99257177</v>
      </c>
      <c r="C38" s="12"/>
      <c r="D38" s="12">
        <f t="shared" ref="D38:F38" si="3">D23/D33</f>
        <v>87094395.905426189</v>
      </c>
      <c r="E38" s="12">
        <f t="shared" si="3"/>
        <v>1205684.7359362259</v>
      </c>
      <c r="F38" s="12">
        <f t="shared" si="3"/>
        <v>182726657.35120934</v>
      </c>
      <c r="G38" s="5"/>
    </row>
    <row r="39" spans="1:7" ht="15.6" x14ac:dyDescent="0.35">
      <c r="A39" s="11" t="s">
        <v>72</v>
      </c>
      <c r="B39" s="12">
        <f>B37/B15</f>
        <v>728184.43068456778</v>
      </c>
      <c r="C39" s="12"/>
      <c r="D39" s="14">
        <f>D37/$C$15</f>
        <v>44343.214594242272</v>
      </c>
      <c r="E39" s="12">
        <f t="shared" ref="E39:F39" si="4">E37/$C$15</f>
        <v>50385.199891914053</v>
      </c>
      <c r="F39" s="14">
        <f t="shared" si="4"/>
        <v>633456.01619841147</v>
      </c>
      <c r="G39" s="5"/>
    </row>
    <row r="40" spans="1:7" ht="15.6" x14ac:dyDescent="0.35">
      <c r="A40" s="11" t="s">
        <v>118</v>
      </c>
      <c r="B40" s="12">
        <f>B38/B17</f>
        <v>654653.95650379651</v>
      </c>
      <c r="C40" s="12"/>
      <c r="D40" s="14">
        <f>D38/$C$17</f>
        <v>210372.93696962847</v>
      </c>
      <c r="E40" s="14">
        <f t="shared" ref="E40:F40" si="5">E38/$C$17</f>
        <v>2912.2819708604488</v>
      </c>
      <c r="F40" s="14">
        <f t="shared" si="5"/>
        <v>441368.73756330757</v>
      </c>
    </row>
    <row r="41" spans="1:7" ht="15.6" x14ac:dyDescent="0.35">
      <c r="A41" s="8"/>
      <c r="B41" s="16"/>
      <c r="C41" s="16"/>
      <c r="D41" s="16"/>
      <c r="E41" s="16"/>
      <c r="F41" s="16"/>
      <c r="G41" s="5"/>
    </row>
    <row r="42" spans="1:7" ht="15.6" x14ac:dyDescent="0.35">
      <c r="A42" s="9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8"/>
      <c r="B43" s="16"/>
      <c r="C43" s="16"/>
      <c r="D43" s="16"/>
      <c r="E43" s="16"/>
      <c r="F43" s="16"/>
      <c r="G43" s="5"/>
    </row>
    <row r="44" spans="1:7" ht="15.6" x14ac:dyDescent="0.35">
      <c r="A44" s="9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8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8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8"/>
      <c r="B47" s="16"/>
      <c r="C47" s="16"/>
      <c r="D47" s="16"/>
      <c r="E47" s="16"/>
      <c r="F47" s="16"/>
      <c r="G47" s="5"/>
    </row>
    <row r="48" spans="1:7" ht="15.6" x14ac:dyDescent="0.35">
      <c r="A48" s="9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8" t="s">
        <v>16</v>
      </c>
      <c r="B49" s="16">
        <f>B17/B16*100</f>
        <v>90</v>
      </c>
      <c r="C49" s="16">
        <f t="shared" ref="C49" si="6">C17/C16*100</f>
        <v>90</v>
      </c>
      <c r="D49" s="16"/>
      <c r="E49" s="16"/>
      <c r="F49" s="16"/>
      <c r="G49" s="5"/>
    </row>
    <row r="50" spans="1:7" ht="15.6" x14ac:dyDescent="0.35">
      <c r="A50" s="8" t="s">
        <v>17</v>
      </c>
      <c r="B50" s="16">
        <f>B23/B22*100</f>
        <v>139.59667284312007</v>
      </c>
      <c r="C50" s="16"/>
      <c r="D50" s="16">
        <f>D23/D22*100</f>
        <v>140.06920693473191</v>
      </c>
      <c r="E50" s="12" t="s">
        <v>43</v>
      </c>
      <c r="F50" s="16">
        <f t="shared" ref="F50" si="7">F23/F22*100</f>
        <v>138.46042917786184</v>
      </c>
      <c r="G50" s="5"/>
    </row>
    <row r="51" spans="1:7" ht="15.6" x14ac:dyDescent="0.35">
      <c r="A51" s="8" t="s">
        <v>18</v>
      </c>
      <c r="B51" s="16">
        <f>AVERAGE(B49:B50)</f>
        <v>114.79833642156004</v>
      </c>
      <c r="C51" s="16">
        <f t="shared" ref="C51:D51" si="8">AVERAGE(C49:C50)</f>
        <v>90</v>
      </c>
      <c r="D51" s="16">
        <f t="shared" si="8"/>
        <v>140.06920693473191</v>
      </c>
      <c r="E51" s="12" t="s">
        <v>43</v>
      </c>
      <c r="F51" s="16">
        <f t="shared" ref="F51" si="9">AVERAGE(F49:F50)</f>
        <v>138.46042917786184</v>
      </c>
      <c r="G51" s="5"/>
    </row>
    <row r="52" spans="1:7" ht="15.6" x14ac:dyDescent="0.35">
      <c r="A52" s="8"/>
      <c r="B52" s="16"/>
      <c r="C52" s="16"/>
      <c r="D52" s="16"/>
      <c r="E52" s="16"/>
      <c r="F52" s="16"/>
      <c r="G52" s="5"/>
    </row>
    <row r="53" spans="1:7" ht="15.6" x14ac:dyDescent="0.35">
      <c r="A53" s="9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8" t="s">
        <v>20</v>
      </c>
      <c r="B54" s="16">
        <f>(B17/B18)*100</f>
        <v>87.157894736842096</v>
      </c>
      <c r="C54" s="16">
        <f t="shared" ref="C54" si="10">(C17/C18)*100</f>
        <v>87.157894736842096</v>
      </c>
      <c r="D54" s="16"/>
      <c r="E54" s="16"/>
      <c r="F54" s="16"/>
      <c r="G54" s="5"/>
    </row>
    <row r="55" spans="1:7" ht="15.6" x14ac:dyDescent="0.35">
      <c r="A55" s="8" t="s">
        <v>21</v>
      </c>
      <c r="B55" s="16">
        <f>B23/B24*100</f>
        <v>34.899168047944826</v>
      </c>
      <c r="C55" s="16"/>
      <c r="D55" s="16">
        <f t="shared" ref="D55:F55" si="11">D23/D24*100</f>
        <v>32.766513407402357</v>
      </c>
      <c r="E55" s="16">
        <f t="shared" si="11"/>
        <v>2.0839124643499671</v>
      </c>
      <c r="F55" s="16">
        <f t="shared" si="11"/>
        <v>40.342391409999998</v>
      </c>
      <c r="G55" s="5"/>
    </row>
    <row r="56" spans="1:7" ht="15.6" x14ac:dyDescent="0.35">
      <c r="A56" s="8" t="s">
        <v>22</v>
      </c>
      <c r="B56" s="16">
        <f>AVERAGE(B54:B55)</f>
        <v>61.028531392393461</v>
      </c>
      <c r="C56" s="16">
        <f t="shared" ref="C56:F56" si="12">AVERAGE(C54:C55)</f>
        <v>87.157894736842096</v>
      </c>
      <c r="D56" s="16">
        <f t="shared" si="12"/>
        <v>32.766513407402357</v>
      </c>
      <c r="E56" s="16">
        <f t="shared" si="12"/>
        <v>2.0839124643499671</v>
      </c>
      <c r="F56" s="16">
        <f t="shared" si="12"/>
        <v>40.342391409999998</v>
      </c>
      <c r="G56" s="5"/>
    </row>
    <row r="57" spans="1:7" ht="15.6" x14ac:dyDescent="0.35">
      <c r="A57" s="8"/>
      <c r="B57" s="16"/>
      <c r="C57" s="16"/>
      <c r="D57" s="16"/>
      <c r="E57" s="16"/>
      <c r="F57" s="16"/>
      <c r="G57" s="5"/>
    </row>
    <row r="58" spans="1:7" ht="15.6" x14ac:dyDescent="0.35">
      <c r="A58" s="9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8" t="s">
        <v>23</v>
      </c>
      <c r="B59" s="16">
        <f>B25/B23*100</f>
        <v>100</v>
      </c>
      <c r="C59" s="16"/>
      <c r="D59" s="16">
        <f>D25/D23*100</f>
        <v>100</v>
      </c>
      <c r="E59" s="16">
        <f>E25/E23*100</f>
        <v>100</v>
      </c>
      <c r="F59" s="16">
        <f t="shared" ref="F59" si="13">F25/F23*100</f>
        <v>100</v>
      </c>
      <c r="G59" s="5"/>
    </row>
    <row r="60" spans="1:7" ht="15.6" x14ac:dyDescent="0.35">
      <c r="A60" s="8"/>
      <c r="B60" s="16"/>
      <c r="C60" s="16"/>
      <c r="D60" s="16"/>
      <c r="E60" s="16"/>
      <c r="F60" s="16"/>
      <c r="G60" s="5"/>
    </row>
    <row r="61" spans="1:7" ht="15.6" x14ac:dyDescent="0.35">
      <c r="A61" s="9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8" t="s">
        <v>25</v>
      </c>
      <c r="B62" s="16">
        <f>((B17/B15)-1)*100</f>
        <v>-3.4965034965035002</v>
      </c>
      <c r="C62" s="16">
        <f>((C17/C15)-1)*100</f>
        <v>-3.4965034965035002</v>
      </c>
      <c r="D62" s="16">
        <f>((C17/C15)-1)*100</f>
        <v>-3.4965034965035002</v>
      </c>
      <c r="E62" s="16">
        <f>((C17/C15)-1)*100</f>
        <v>-3.4965034965035002</v>
      </c>
      <c r="F62" s="16">
        <f>((C17/C15)-1)*100</f>
        <v>-3.4965034965035002</v>
      </c>
      <c r="G62" s="5"/>
    </row>
    <row r="63" spans="1:7" ht="15.6" x14ac:dyDescent="0.35">
      <c r="A63" s="8" t="s">
        <v>26</v>
      </c>
      <c r="B63" s="16">
        <f>((B38/B37)-1)*100</f>
        <v>-13.241215905877013</v>
      </c>
      <c r="C63" s="16"/>
      <c r="D63" s="16">
        <f t="shared" ref="D63" si="14">((D38/D37)-1)*100</f>
        <v>357.83157971399982</v>
      </c>
      <c r="E63" s="16">
        <f t="shared" ref="E63:F63" si="15">((E38/E37)-1)*100</f>
        <v>-94.422064542861335</v>
      </c>
      <c r="F63" s="16">
        <f t="shared" si="15"/>
        <v>-32.75993070866641</v>
      </c>
      <c r="G63" s="5"/>
    </row>
    <row r="64" spans="1:7" ht="15.6" x14ac:dyDescent="0.35">
      <c r="A64" s="8" t="s">
        <v>27</v>
      </c>
      <c r="B64" s="16">
        <f>((B40/B39)-1)*100</f>
        <v>-10.097781699568209</v>
      </c>
      <c r="C64" s="16"/>
      <c r="D64" s="16">
        <f t="shared" ref="D64" si="16">((D40/D39)-1)*100</f>
        <v>374.41968042827523</v>
      </c>
      <c r="E64" s="16">
        <f t="shared" ref="E64:F64" si="17">((E40/E39)-1)*100</f>
        <v>-94.219965432095435</v>
      </c>
      <c r="F64" s="16">
        <f t="shared" si="17"/>
        <v>-30.323696314052874</v>
      </c>
      <c r="G64" s="5"/>
    </row>
    <row r="65" spans="1:7" ht="15.6" x14ac:dyDescent="0.35">
      <c r="A65" s="8"/>
      <c r="B65" s="16"/>
      <c r="C65" s="16"/>
      <c r="D65" s="16"/>
      <c r="E65" s="16"/>
      <c r="F65" s="16"/>
      <c r="G65" s="5"/>
    </row>
    <row r="66" spans="1:7" ht="15.6" x14ac:dyDescent="0.35">
      <c r="A66" s="9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8" t="s">
        <v>34</v>
      </c>
      <c r="B67" s="19">
        <f>B22/($B$16*3)</f>
        <v>155305.8152173913</v>
      </c>
      <c r="C67" s="19">
        <f>B22/(C16*3)</f>
        <v>155305.8152173913</v>
      </c>
      <c r="D67" s="19">
        <f>D22/($C$16*3)</f>
        <v>49739.130434782608</v>
      </c>
      <c r="E67" s="19">
        <f>E22/($C$16*3)</f>
        <v>0</v>
      </c>
      <c r="F67" s="19">
        <f>F22/($C$16*2)</f>
        <v>158350.02717391305</v>
      </c>
      <c r="G67" s="5"/>
    </row>
    <row r="68" spans="1:7" ht="15.6" x14ac:dyDescent="0.35">
      <c r="A68" s="8" t="s">
        <v>35</v>
      </c>
      <c r="B68" s="19">
        <f>B23/($B$17*3)</f>
        <v>240890.834194847</v>
      </c>
      <c r="C68" s="19">
        <f>B23/(C17*3)</f>
        <v>240890.834194847</v>
      </c>
      <c r="D68" s="19">
        <f>D23/($C$17*3)</f>
        <v>77410.228373590973</v>
      </c>
      <c r="E68" s="19">
        <f>E23/($C$17*3)</f>
        <v>1071.6226892109501</v>
      </c>
      <c r="F68" s="19">
        <f>F23/($C$17*2)</f>
        <v>243613.47469806764</v>
      </c>
    </row>
    <row r="69" spans="1:7" ht="15.6" x14ac:dyDescent="0.35">
      <c r="A69" s="8" t="s">
        <v>29</v>
      </c>
      <c r="B69" s="16">
        <f>(B68/B67)*B51</f>
        <v>178.06073124861058</v>
      </c>
      <c r="C69" s="16">
        <f>(C68/C67)*C51</f>
        <v>139.59667284312007</v>
      </c>
      <c r="D69" s="16"/>
      <c r="E69" s="16"/>
      <c r="F69" s="16"/>
      <c r="G69" s="5"/>
    </row>
    <row r="70" spans="1:7" ht="15.6" x14ac:dyDescent="0.35">
      <c r="A70" s="17" t="s">
        <v>36</v>
      </c>
      <c r="B70" s="19">
        <f>B22/($B$16)</f>
        <v>465917.44565217389</v>
      </c>
      <c r="C70" s="19">
        <f>B22/C16</f>
        <v>465917.44565217389</v>
      </c>
      <c r="D70" s="19">
        <f>D22/($C$16)</f>
        <v>149217.39130434784</v>
      </c>
      <c r="E70" s="19">
        <f t="shared" ref="E70:F70" si="18">E22/($C$16)</f>
        <v>0</v>
      </c>
      <c r="F70" s="19">
        <f t="shared" si="18"/>
        <v>316700.05434782611</v>
      </c>
      <c r="G70" s="5"/>
    </row>
    <row r="71" spans="1:7" ht="15.6" x14ac:dyDescent="0.35">
      <c r="A71" s="17" t="s">
        <v>37</v>
      </c>
      <c r="B71" s="19">
        <f>B23/($B$17)</f>
        <v>722672.5025845411</v>
      </c>
      <c r="C71" s="19">
        <f>B23/C17</f>
        <v>722672.5025845411</v>
      </c>
      <c r="D71" s="19">
        <f>D23/($C$17)</f>
        <v>232230.68512077292</v>
      </c>
      <c r="E71" s="19">
        <f t="shared" ref="E71:F71" si="19">E23/($C$17)</f>
        <v>3214.8680676328499</v>
      </c>
      <c r="F71" s="19">
        <f t="shared" si="19"/>
        <v>487226.94939613529</v>
      </c>
      <c r="G71" s="5"/>
    </row>
    <row r="72" spans="1:7" ht="15.6" x14ac:dyDescent="0.35">
      <c r="A72" s="8"/>
      <c r="B72" s="16"/>
      <c r="C72" s="16"/>
      <c r="D72" s="16"/>
      <c r="E72" s="16"/>
      <c r="F72" s="16"/>
      <c r="G72" s="5"/>
    </row>
    <row r="73" spans="1:7" ht="15.6" x14ac:dyDescent="0.35">
      <c r="A73" s="9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8" t="s">
        <v>31</v>
      </c>
      <c r="B74" s="16">
        <f>(B29/B28)*100</f>
        <v>99.99999668722802</v>
      </c>
      <c r="C74" s="16"/>
      <c r="D74" s="16"/>
      <c r="E74" s="16"/>
      <c r="F74" s="16"/>
      <c r="G74" s="5"/>
    </row>
    <row r="75" spans="1:7" ht="15.6" x14ac:dyDescent="0.35">
      <c r="A75" s="8" t="s">
        <v>32</v>
      </c>
      <c r="B75" s="16">
        <f>(B23/B29)*100</f>
        <v>139.59667746763969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70" t="s">
        <v>84</v>
      </c>
      <c r="B77" s="70"/>
      <c r="C77" s="70"/>
      <c r="D77" s="70"/>
      <c r="E77" s="70"/>
      <c r="F77" s="70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O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5" width="19.5546875" style="4" customWidth="1"/>
    <col min="6" max="6" width="19.6640625" style="4" customWidth="1"/>
    <col min="7" max="7" width="13.6640625" style="4" bestFit="1" customWidth="1"/>
    <col min="8" max="8" width="11.44140625" style="4"/>
    <col min="9" max="9" width="13.88671875" style="4" bestFit="1" customWidth="1"/>
    <col min="10" max="16384" width="11.44140625" style="4"/>
  </cols>
  <sheetData>
    <row r="8" spans="1:7" ht="15.75" customHeight="1" x14ac:dyDescent="0.3"/>
    <row r="9" spans="1:7" s="55" customFormat="1" ht="17.25" customHeight="1" x14ac:dyDescent="0.35">
      <c r="A9" s="77" t="s">
        <v>0</v>
      </c>
      <c r="B9" s="79" t="s">
        <v>1</v>
      </c>
      <c r="C9" s="79" t="s">
        <v>46</v>
      </c>
      <c r="D9" s="81" t="s">
        <v>45</v>
      </c>
      <c r="E9" s="81"/>
      <c r="F9" s="81"/>
    </row>
    <row r="10" spans="1:7" s="55" customFormat="1" ht="31.8" thickBot="1" x14ac:dyDescent="0.35">
      <c r="A10" s="78"/>
      <c r="B10" s="80"/>
      <c r="C10" s="80"/>
      <c r="D10" s="56" t="s">
        <v>44</v>
      </c>
      <c r="E10" s="57" t="s">
        <v>2</v>
      </c>
      <c r="F10" s="57" t="s">
        <v>3</v>
      </c>
    </row>
    <row r="11" spans="1:7" ht="16.2" thickTop="1" x14ac:dyDescent="0.35">
      <c r="A11" s="8"/>
      <c r="B11" s="8"/>
      <c r="C11" s="8"/>
      <c r="D11" s="8"/>
      <c r="E11" s="8"/>
      <c r="F11" s="8"/>
    </row>
    <row r="12" spans="1:7" ht="15.6" x14ac:dyDescent="0.35">
      <c r="A12" s="9" t="s">
        <v>4</v>
      </c>
      <c r="B12" s="8"/>
      <c r="C12" s="8"/>
      <c r="D12" s="8"/>
      <c r="E12" s="8"/>
      <c r="F12" s="8"/>
    </row>
    <row r="13" spans="1:7" ht="15.6" x14ac:dyDescent="0.35">
      <c r="A13" s="8"/>
      <c r="B13" s="10"/>
      <c r="C13" s="10"/>
      <c r="D13" s="10"/>
      <c r="E13" s="10"/>
      <c r="F13" s="10"/>
      <c r="G13" s="5"/>
    </row>
    <row r="14" spans="1:7" ht="15.6" x14ac:dyDescent="0.35">
      <c r="A14" s="9" t="s">
        <v>5</v>
      </c>
      <c r="B14" s="10"/>
      <c r="C14" s="10"/>
      <c r="D14" s="10"/>
      <c r="E14" s="10"/>
      <c r="F14" s="10"/>
      <c r="G14" s="5"/>
    </row>
    <row r="15" spans="1:7" ht="15.6" x14ac:dyDescent="0.35">
      <c r="A15" s="11" t="s">
        <v>73</v>
      </c>
      <c r="B15" s="12">
        <f>(+'I Trimestre'!B15+'II Trimestre'!B15+'III Trimestre'!B15+'IV Trimestre'!B15)/4</f>
        <v>452</v>
      </c>
      <c r="C15" s="12">
        <f>(+'I Trimestre'!C15+'II Trimestre'!C15+'III Trimestre'!C15+'IV Trimestre'!C15)/4</f>
        <v>452</v>
      </c>
      <c r="D15" s="12"/>
      <c r="E15" s="12"/>
      <c r="F15" s="12"/>
      <c r="G15" s="5"/>
    </row>
    <row r="16" spans="1:7" ht="15.6" x14ac:dyDescent="0.35">
      <c r="A16" s="11" t="s">
        <v>119</v>
      </c>
      <c r="B16" s="12">
        <f>(+'I Trimestre'!B16+'II Trimestre'!B16+'III Trimestre'!B16+'IV Trimestre'!B16)/4</f>
        <v>475</v>
      </c>
      <c r="C16" s="12">
        <f>(+'I Trimestre'!C16+'II Trimestre'!C16+'III Trimestre'!C16+'IV Trimestre'!C16)/4</f>
        <v>475</v>
      </c>
      <c r="D16" s="12"/>
      <c r="E16" s="12"/>
      <c r="F16" s="12"/>
      <c r="G16" s="5"/>
    </row>
    <row r="17" spans="1:7" ht="15.6" x14ac:dyDescent="0.35">
      <c r="A17" s="11" t="s">
        <v>120</v>
      </c>
      <c r="B17" s="12">
        <f>(+'I Trimestre'!B17+'II Trimestre'!B17+'III Trimestre'!B17+'IV Trimestre'!B17)/4</f>
        <v>434</v>
      </c>
      <c r="C17" s="12">
        <f>(+'I Trimestre'!C17+'II Trimestre'!C17+'III Trimestre'!C17+'IV Trimestre'!C17)/4</f>
        <v>434</v>
      </c>
      <c r="D17" s="12"/>
      <c r="E17" s="12"/>
      <c r="F17" s="12"/>
    </row>
    <row r="18" spans="1:7" ht="15.6" x14ac:dyDescent="0.35">
      <c r="A18" s="11" t="s">
        <v>79</v>
      </c>
      <c r="B18" s="12">
        <f>+'IV Trimestre'!B18</f>
        <v>475</v>
      </c>
      <c r="C18" s="12">
        <f>+'IV Trimestre'!C18</f>
        <v>475</v>
      </c>
      <c r="D18" s="12"/>
      <c r="E18" s="12"/>
      <c r="F18" s="12"/>
      <c r="G18" s="5"/>
    </row>
    <row r="19" spans="1:7" ht="15.6" x14ac:dyDescent="0.35">
      <c r="A19" s="8"/>
      <c r="B19" s="12"/>
      <c r="C19" s="12"/>
      <c r="D19" s="12"/>
      <c r="E19" s="12"/>
      <c r="F19" s="12"/>
      <c r="G19" s="5"/>
    </row>
    <row r="20" spans="1:7" ht="15.6" x14ac:dyDescent="0.35">
      <c r="A20" s="13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11" t="s">
        <v>73</v>
      </c>
      <c r="B21" s="12">
        <f>SUM(D21:F21)</f>
        <v>1207893075.3269999</v>
      </c>
      <c r="C21" s="12"/>
      <c r="D21" s="12">
        <f>'I Trimestre'!D21+'II Trimestre'!D21+'III Trimestre'!D21+'IV Trimestre'!D21</f>
        <v>247964255.54000002</v>
      </c>
      <c r="E21" s="12">
        <f>'I Trimestre'!E21+'II Trimestre'!E21+'III Trimestre'!E21+'IV Trimestre'!E21</f>
        <v>27872134.096999999</v>
      </c>
      <c r="F21" s="12">
        <f>'I Trimestre'!F21+'II Trimestre'!F21+'III Trimestre'!F21+'IV Trimestre'!F21</f>
        <v>932056685.68999994</v>
      </c>
      <c r="G21" s="5"/>
    </row>
    <row r="22" spans="1:7" ht="15.6" x14ac:dyDescent="0.35">
      <c r="A22" s="11" t="s">
        <v>119</v>
      </c>
      <c r="B22" s="12">
        <f>SUM(D22:F22)</f>
        <v>857288104</v>
      </c>
      <c r="C22" s="12"/>
      <c r="D22" s="12">
        <f>'I Trimestre'!D22+'II Trimestre'!D22+'III Trimestre'!D22+'IV Trimestre'!D22</f>
        <v>293420000</v>
      </c>
      <c r="E22" s="12">
        <f>'I Trimestre'!E22+'II Trimestre'!E22+'III Trimestre'!E22+'IV Trimestre'!E22</f>
        <v>63868104</v>
      </c>
      <c r="F22" s="12">
        <f>'I Trimestre'!F22+'II Trimestre'!F22+'III Trimestre'!F22+'IV Trimestre'!F22</f>
        <v>500000000</v>
      </c>
      <c r="G22" s="5"/>
    </row>
    <row r="23" spans="1:7" ht="15.6" x14ac:dyDescent="0.35">
      <c r="A23" s="11" t="s">
        <v>120</v>
      </c>
      <c r="B23" s="12">
        <f>SUM(D23:F23)</f>
        <v>855929466.68000007</v>
      </c>
      <c r="C23" s="12"/>
      <c r="D23" s="12">
        <f>'I Trimestre'!D23+'II Trimestre'!D23+'III Trimestre'!D23+'IV Trimestre'!D23</f>
        <v>302892855.09999996</v>
      </c>
      <c r="E23" s="12">
        <f>'I Trimestre'!E23+'II Trimestre'!E23+'III Trimestre'!E23+'IV Trimestre'!E23</f>
        <v>53702824.200000003</v>
      </c>
      <c r="F23" s="12">
        <f>'I Trimestre'!F23+'II Trimestre'!F23+'III Trimestre'!F23+'IV Trimestre'!F23</f>
        <v>499333787.38000005</v>
      </c>
      <c r="G23" s="5"/>
    </row>
    <row r="24" spans="1:7" ht="15.6" x14ac:dyDescent="0.35">
      <c r="A24" s="11" t="s">
        <v>79</v>
      </c>
      <c r="B24" s="12">
        <f>SUM(D24:F24)</f>
        <v>857288104</v>
      </c>
      <c r="C24" s="12"/>
      <c r="D24" s="12">
        <f>+'IV Trimestre'!D24</f>
        <v>293420000</v>
      </c>
      <c r="E24" s="12">
        <f>+'IV Trimestre'!E24</f>
        <v>63868104</v>
      </c>
      <c r="F24" s="12">
        <f>+'IV Trimestre'!F24</f>
        <v>500000000</v>
      </c>
      <c r="G24" s="5"/>
    </row>
    <row r="25" spans="1:7" ht="15.6" x14ac:dyDescent="0.35">
      <c r="A25" s="11" t="s">
        <v>121</v>
      </c>
      <c r="B25" s="12">
        <f>+SUM(D25:F25)</f>
        <v>855929466.68000007</v>
      </c>
      <c r="C25" s="12"/>
      <c r="D25" s="12">
        <f>D23</f>
        <v>302892855.09999996</v>
      </c>
      <c r="E25" s="12">
        <f t="shared" ref="E25:F25" si="0">E23</f>
        <v>53702824.200000003</v>
      </c>
      <c r="F25" s="12">
        <f t="shared" si="0"/>
        <v>499333787.38000005</v>
      </c>
      <c r="G25" s="5"/>
    </row>
    <row r="26" spans="1:7" ht="15.6" x14ac:dyDescent="0.35">
      <c r="A26" s="8"/>
      <c r="B26" s="12"/>
      <c r="C26" s="12"/>
      <c r="D26" s="12"/>
      <c r="E26" s="12"/>
      <c r="F26" s="12"/>
      <c r="G26" s="5"/>
    </row>
    <row r="27" spans="1:7" ht="15.6" x14ac:dyDescent="0.35">
      <c r="A27" s="13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11" t="s">
        <v>119</v>
      </c>
      <c r="B28" s="12">
        <f>B22</f>
        <v>857288104</v>
      </c>
      <c r="C28" s="12"/>
      <c r="D28" s="12"/>
      <c r="E28" s="12"/>
      <c r="F28" s="12"/>
      <c r="G28" s="5"/>
    </row>
    <row r="29" spans="1:7" ht="15.6" x14ac:dyDescent="0.35">
      <c r="A29" s="11" t="s">
        <v>120</v>
      </c>
      <c r="B29" s="12">
        <f>'I Trimestre'!B29+'II Trimestre'!B29+'III Trimestre'!B29+'IV Trimestre'!B29</f>
        <v>857288057.14999998</v>
      </c>
      <c r="C29" s="12"/>
      <c r="D29" s="12"/>
      <c r="E29" s="12"/>
      <c r="F29" s="12"/>
      <c r="G29" s="5"/>
    </row>
    <row r="30" spans="1:7" ht="15.6" x14ac:dyDescent="0.35">
      <c r="A30" s="8"/>
      <c r="B30" s="16"/>
      <c r="C30" s="16"/>
      <c r="D30" s="12"/>
      <c r="E30" s="16"/>
      <c r="F30" s="16"/>
      <c r="G30" s="5"/>
    </row>
    <row r="31" spans="1:7" ht="15.6" x14ac:dyDescent="0.35">
      <c r="A31" s="9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11" t="s">
        <v>74</v>
      </c>
      <c r="B32" s="38">
        <v>1.0947</v>
      </c>
      <c r="C32" s="60">
        <v>1.0947</v>
      </c>
      <c r="D32" s="38">
        <v>1.0947</v>
      </c>
      <c r="E32" s="38">
        <v>1.0947</v>
      </c>
      <c r="F32" s="38">
        <v>1.0947</v>
      </c>
      <c r="G32" s="5"/>
    </row>
    <row r="33" spans="1:9" ht="15.6" x14ac:dyDescent="0.35">
      <c r="A33" s="11" t="s">
        <v>122</v>
      </c>
      <c r="B33" s="38">
        <v>1.1039000000000001</v>
      </c>
      <c r="C33" s="60">
        <v>1.1039000000000001</v>
      </c>
      <c r="D33" s="38">
        <v>1.1039000000000001</v>
      </c>
      <c r="E33" s="38">
        <v>1.1039000000000001</v>
      </c>
      <c r="F33" s="38">
        <v>1.1039000000000001</v>
      </c>
      <c r="G33" s="5"/>
    </row>
    <row r="34" spans="1:9" ht="15.6" x14ac:dyDescent="0.35">
      <c r="A34" s="11" t="s">
        <v>9</v>
      </c>
      <c r="B34" s="12" t="s">
        <v>43</v>
      </c>
      <c r="C34" s="61" t="s">
        <v>43</v>
      </c>
      <c r="D34" s="12" t="s">
        <v>43</v>
      </c>
      <c r="E34" s="12" t="s">
        <v>43</v>
      </c>
      <c r="F34" s="12" t="s">
        <v>43</v>
      </c>
      <c r="G34" s="5"/>
    </row>
    <row r="35" spans="1:9" ht="15.6" x14ac:dyDescent="0.35">
      <c r="A35" s="8"/>
      <c r="B35" s="16"/>
      <c r="C35" s="16"/>
      <c r="D35" s="16"/>
      <c r="E35" s="16"/>
      <c r="F35" s="16"/>
      <c r="G35" s="5"/>
    </row>
    <row r="36" spans="1:9" ht="15.6" x14ac:dyDescent="0.35">
      <c r="A36" s="9" t="s">
        <v>10</v>
      </c>
      <c r="B36" s="16"/>
      <c r="C36" s="16"/>
      <c r="D36" s="16"/>
      <c r="E36" s="16"/>
      <c r="F36" s="16"/>
      <c r="G36" s="5"/>
    </row>
    <row r="37" spans="1:9" ht="15.6" x14ac:dyDescent="0.35">
      <c r="A37" s="11" t="s">
        <v>75</v>
      </c>
      <c r="B37" s="12">
        <f>B21/B32</f>
        <v>1103401000.5727596</v>
      </c>
      <c r="C37" s="12"/>
      <c r="D37" s="12">
        <f t="shared" ref="D37:F37" si="1">D21/D32</f>
        <v>226513433.3972778</v>
      </c>
      <c r="E37" s="12">
        <f t="shared" si="1"/>
        <v>25460979.35233397</v>
      </c>
      <c r="F37" s="12">
        <f t="shared" si="1"/>
        <v>851426587.82314777</v>
      </c>
      <c r="G37" s="5"/>
    </row>
    <row r="38" spans="1:9" ht="15.6" x14ac:dyDescent="0.35">
      <c r="A38" s="11" t="s">
        <v>123</v>
      </c>
      <c r="B38" s="12">
        <f>B23/B33</f>
        <v>775368662.63248479</v>
      </c>
      <c r="C38" s="12"/>
      <c r="D38" s="12">
        <f t="shared" ref="D38:F38" si="2">D23/D33</f>
        <v>274384323.85179812</v>
      </c>
      <c r="E38" s="12">
        <f t="shared" si="2"/>
        <v>48648269.046109244</v>
      </c>
      <c r="F38" s="12">
        <f t="shared" si="2"/>
        <v>452336069.73457742</v>
      </c>
      <c r="G38" s="5"/>
    </row>
    <row r="39" spans="1:9" ht="15.6" x14ac:dyDescent="0.35">
      <c r="A39" s="11" t="s">
        <v>76</v>
      </c>
      <c r="B39" s="12">
        <f>B37/B15</f>
        <v>2441152.6561344238</v>
      </c>
      <c r="C39" s="12"/>
      <c r="D39" s="14">
        <f>D37/$C$15</f>
        <v>501135.91459574737</v>
      </c>
      <c r="E39" s="14">
        <f t="shared" ref="E39:F39" si="3">E37/$C$15</f>
        <v>56329.600337022057</v>
      </c>
      <c r="F39" s="14">
        <f t="shared" si="3"/>
        <v>1883687.1412016544</v>
      </c>
      <c r="G39" s="5"/>
      <c r="I39" s="2"/>
    </row>
    <row r="40" spans="1:9" ht="15.6" x14ac:dyDescent="0.35">
      <c r="A40" s="11" t="s">
        <v>124</v>
      </c>
      <c r="B40" s="12">
        <f>B38/B17</f>
        <v>1786563.7387845272</v>
      </c>
      <c r="C40" s="12"/>
      <c r="D40" s="14">
        <f>D38/$C$17</f>
        <v>632221.9443589818</v>
      </c>
      <c r="E40" s="14">
        <f t="shared" ref="E40:F40" si="4">E38/$C$17</f>
        <v>112092.78582052821</v>
      </c>
      <c r="F40" s="14">
        <f t="shared" si="4"/>
        <v>1042249.0086050171</v>
      </c>
    </row>
    <row r="41" spans="1:9" ht="15.6" x14ac:dyDescent="0.35">
      <c r="A41" s="8"/>
      <c r="B41" s="16"/>
      <c r="C41" s="16"/>
      <c r="D41" s="16"/>
      <c r="E41" s="16"/>
      <c r="F41" s="16"/>
      <c r="G41" s="5"/>
    </row>
    <row r="42" spans="1:9" ht="15.6" x14ac:dyDescent="0.35">
      <c r="A42" s="9" t="s">
        <v>11</v>
      </c>
      <c r="B42" s="16"/>
      <c r="C42" s="16"/>
      <c r="D42" s="16"/>
      <c r="E42" s="16"/>
      <c r="F42" s="16"/>
      <c r="G42" s="5"/>
    </row>
    <row r="43" spans="1:9" ht="15.6" x14ac:dyDescent="0.35">
      <c r="A43" s="8"/>
      <c r="B43" s="16"/>
      <c r="C43" s="16"/>
      <c r="D43" s="16"/>
      <c r="E43" s="16"/>
      <c r="F43" s="16"/>
      <c r="G43" s="5"/>
    </row>
    <row r="44" spans="1:9" ht="15.6" x14ac:dyDescent="0.35">
      <c r="A44" s="9" t="s">
        <v>12</v>
      </c>
      <c r="B44" s="16"/>
      <c r="C44" s="16"/>
      <c r="D44" s="16"/>
      <c r="E44" s="16"/>
      <c r="F44" s="16"/>
      <c r="G44" s="5"/>
    </row>
    <row r="45" spans="1:9" ht="15.6" x14ac:dyDescent="0.35">
      <c r="A45" s="8" t="s">
        <v>13</v>
      </c>
      <c r="B45" s="16" t="s">
        <v>42</v>
      </c>
      <c r="C45" s="58" t="s">
        <v>42</v>
      </c>
      <c r="D45" s="16" t="s">
        <v>42</v>
      </c>
      <c r="E45" s="16" t="s">
        <v>42</v>
      </c>
      <c r="F45" s="16" t="s">
        <v>42</v>
      </c>
      <c r="G45" s="5"/>
    </row>
    <row r="46" spans="1:9" ht="15.6" x14ac:dyDescent="0.35">
      <c r="A46" s="8" t="s">
        <v>14</v>
      </c>
      <c r="B46" s="16" t="s">
        <v>42</v>
      </c>
      <c r="C46" s="58" t="s">
        <v>42</v>
      </c>
      <c r="D46" s="16" t="s">
        <v>42</v>
      </c>
      <c r="E46" s="16" t="s">
        <v>42</v>
      </c>
      <c r="F46" s="16" t="s">
        <v>42</v>
      </c>
      <c r="G46" s="5"/>
    </row>
    <row r="47" spans="1:9" ht="15.6" x14ac:dyDescent="0.35">
      <c r="A47" s="8"/>
      <c r="B47" s="16"/>
      <c r="C47" s="16"/>
      <c r="D47" s="16"/>
      <c r="E47" s="16"/>
      <c r="F47" s="16"/>
      <c r="G47" s="5"/>
    </row>
    <row r="48" spans="1:9" ht="15.6" x14ac:dyDescent="0.35">
      <c r="A48" s="9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8" t="s">
        <v>16</v>
      </c>
      <c r="B49" s="16">
        <f>B17/B16*100</f>
        <v>91.368421052631575</v>
      </c>
      <c r="C49" s="58">
        <f t="shared" ref="C49" si="5">C17/C16*100</f>
        <v>91.368421052631575</v>
      </c>
      <c r="D49" s="16"/>
      <c r="E49" s="16"/>
      <c r="F49" s="16"/>
      <c r="G49" s="5"/>
    </row>
    <row r="50" spans="1:7" ht="15.6" x14ac:dyDescent="0.35">
      <c r="A50" s="8" t="s">
        <v>17</v>
      </c>
      <c r="B50" s="16">
        <f>B23/B22*100</f>
        <v>99.841519167983236</v>
      </c>
      <c r="C50" s="16"/>
      <c r="D50" s="16">
        <f t="shared" ref="D50:F50" si="6">D23/D22*100</f>
        <v>103.22842856655987</v>
      </c>
      <c r="E50" s="16">
        <f t="shared" si="6"/>
        <v>84.083949321558066</v>
      </c>
      <c r="F50" s="16">
        <f t="shared" si="6"/>
        <v>99.866757476000018</v>
      </c>
      <c r="G50" s="5"/>
    </row>
    <row r="51" spans="1:7" ht="15.6" x14ac:dyDescent="0.35">
      <c r="A51" s="8" t="s">
        <v>18</v>
      </c>
      <c r="B51" s="16">
        <f>AVERAGE(B49:B50)</f>
        <v>95.604970110307406</v>
      </c>
      <c r="C51" s="58">
        <f>AVERAGE(C49:C50)</f>
        <v>91.368421052631575</v>
      </c>
      <c r="D51" s="16">
        <f t="shared" ref="D51:F51" si="7">AVERAGE(D49:D50)</f>
        <v>103.22842856655987</v>
      </c>
      <c r="E51" s="16">
        <f t="shared" si="7"/>
        <v>84.083949321558066</v>
      </c>
      <c r="F51" s="16">
        <f t="shared" si="7"/>
        <v>99.866757476000018</v>
      </c>
      <c r="G51" s="5"/>
    </row>
    <row r="52" spans="1:7" ht="15.6" x14ac:dyDescent="0.35">
      <c r="A52" s="8"/>
      <c r="B52" s="16"/>
      <c r="C52" s="16"/>
      <c r="D52" s="16"/>
      <c r="E52" s="16"/>
      <c r="F52" s="16"/>
      <c r="G52" s="5"/>
    </row>
    <row r="53" spans="1:7" ht="15.6" x14ac:dyDescent="0.35">
      <c r="A53" s="9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8" t="s">
        <v>20</v>
      </c>
      <c r="B54" s="16">
        <f>(B17/B18)*100</f>
        <v>91.368421052631575</v>
      </c>
      <c r="C54" s="58">
        <f t="shared" ref="C54" si="8">(C17/C18)*100</f>
        <v>91.368421052631575</v>
      </c>
      <c r="D54" s="16"/>
      <c r="E54" s="16"/>
      <c r="F54" s="16"/>
      <c r="G54" s="5"/>
    </row>
    <row r="55" spans="1:7" ht="15.6" x14ac:dyDescent="0.35">
      <c r="A55" s="8" t="s">
        <v>21</v>
      </c>
      <c r="B55" s="16">
        <f>B23/B24*100</f>
        <v>99.841519167983236</v>
      </c>
      <c r="C55" s="16"/>
      <c r="D55" s="16">
        <f t="shared" ref="D55:F55" si="9">D23/D24*100</f>
        <v>103.22842856655987</v>
      </c>
      <c r="E55" s="16">
        <f t="shared" si="9"/>
        <v>84.083949321558066</v>
      </c>
      <c r="F55" s="16">
        <f t="shared" si="9"/>
        <v>99.866757476000018</v>
      </c>
      <c r="G55" s="5"/>
    </row>
    <row r="56" spans="1:7" ht="15.6" x14ac:dyDescent="0.35">
      <c r="A56" s="8" t="s">
        <v>22</v>
      </c>
      <c r="B56" s="16">
        <f>AVERAGE(B54:B55)</f>
        <v>95.604970110307406</v>
      </c>
      <c r="C56" s="58">
        <f t="shared" ref="C56:F56" si="10">AVERAGE(C54:C55)</f>
        <v>91.368421052631575</v>
      </c>
      <c r="D56" s="16">
        <f t="shared" si="10"/>
        <v>103.22842856655987</v>
      </c>
      <c r="E56" s="16">
        <f t="shared" si="10"/>
        <v>84.083949321558066</v>
      </c>
      <c r="F56" s="16">
        <f t="shared" si="10"/>
        <v>99.866757476000018</v>
      </c>
      <c r="G56" s="5"/>
    </row>
    <row r="57" spans="1:7" ht="15.6" x14ac:dyDescent="0.35">
      <c r="A57" s="8"/>
      <c r="B57" s="16"/>
      <c r="C57" s="16"/>
      <c r="D57" s="16"/>
      <c r="E57" s="16"/>
      <c r="F57" s="16"/>
      <c r="G57" s="5"/>
    </row>
    <row r="58" spans="1:7" ht="15.6" x14ac:dyDescent="0.35">
      <c r="A58" s="9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8" t="s">
        <v>23</v>
      </c>
      <c r="B59" s="16">
        <f>B25/B23*100</f>
        <v>100</v>
      </c>
      <c r="C59" s="16"/>
      <c r="D59" s="16">
        <f>D25/D23*100</f>
        <v>100</v>
      </c>
      <c r="E59" s="16">
        <f t="shared" ref="E59:F59" si="11">E25/E23*100</f>
        <v>100</v>
      </c>
      <c r="F59" s="16">
        <f t="shared" si="11"/>
        <v>100</v>
      </c>
      <c r="G59" s="5"/>
    </row>
    <row r="60" spans="1:7" ht="15.6" x14ac:dyDescent="0.35">
      <c r="A60" s="8"/>
      <c r="B60" s="16"/>
      <c r="C60" s="16"/>
      <c r="D60" s="16"/>
      <c r="E60" s="16"/>
      <c r="F60" s="16"/>
      <c r="G60" s="5"/>
    </row>
    <row r="61" spans="1:7" ht="15.6" x14ac:dyDescent="0.35">
      <c r="A61" s="9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8" t="s">
        <v>25</v>
      </c>
      <c r="B62" s="16">
        <f>((B17/B15)-1)*100</f>
        <v>-3.9823008849557473</v>
      </c>
      <c r="C62" s="58">
        <f>((C17/C15)-1)*100</f>
        <v>-3.9823008849557473</v>
      </c>
      <c r="D62" s="16">
        <f>((C17/C15)-1)*100</f>
        <v>-3.9823008849557473</v>
      </c>
      <c r="E62" s="16">
        <f>((C17/C15)-1)*100</f>
        <v>-3.9823008849557473</v>
      </c>
      <c r="F62" s="16">
        <f>((C17/C15)-1)*100</f>
        <v>-3.9823008849557473</v>
      </c>
      <c r="G62" s="5"/>
    </row>
    <row r="63" spans="1:7" ht="15.6" x14ac:dyDescent="0.35">
      <c r="A63" s="8" t="s">
        <v>26</v>
      </c>
      <c r="B63" s="16">
        <f>((B38/B37)-1)*100</f>
        <v>-29.729204321003689</v>
      </c>
      <c r="C63" s="16"/>
      <c r="D63" s="16">
        <f t="shared" ref="D63:E63" si="12">((D38/D37)-1)*100</f>
        <v>21.133797557410382</v>
      </c>
      <c r="E63" s="16">
        <f t="shared" si="12"/>
        <v>91.069904943188007</v>
      </c>
      <c r="F63" s="16">
        <f>((F38/F37)-1)*100</f>
        <v>-46.873156628680071</v>
      </c>
      <c r="G63" s="5"/>
    </row>
    <row r="64" spans="1:7" ht="15.6" x14ac:dyDescent="0.35">
      <c r="A64" s="8" t="s">
        <v>27</v>
      </c>
      <c r="B64" s="16">
        <f>((B40/B39)-1)*100</f>
        <v>-26.81474735735868</v>
      </c>
      <c r="C64" s="16"/>
      <c r="D64" s="16">
        <f t="shared" ref="D64:F64" si="13">((D40/D39)-1)*100</f>
        <v>26.157779944584082</v>
      </c>
      <c r="E64" s="16">
        <f t="shared" si="13"/>
        <v>98.994463212721158</v>
      </c>
      <c r="F64" s="16">
        <f t="shared" si="13"/>
        <v>-44.669739161666811</v>
      </c>
      <c r="G64" s="5"/>
    </row>
    <row r="65" spans="1:15" ht="15.6" x14ac:dyDescent="0.35">
      <c r="A65" s="8"/>
      <c r="B65" s="16"/>
      <c r="C65" s="16"/>
      <c r="D65" s="16"/>
      <c r="E65" s="16"/>
      <c r="F65" s="16"/>
      <c r="G65" s="5"/>
    </row>
    <row r="66" spans="1:15" ht="15.6" x14ac:dyDescent="0.35">
      <c r="A66" s="9" t="s">
        <v>28</v>
      </c>
      <c r="B66" s="16"/>
      <c r="C66" s="16"/>
      <c r="D66" s="16"/>
      <c r="E66" s="16"/>
      <c r="F66" s="16"/>
      <c r="G66" s="5"/>
    </row>
    <row r="67" spans="1:15" ht="15.6" x14ac:dyDescent="0.35">
      <c r="A67" s="8" t="s">
        <v>34</v>
      </c>
      <c r="B67" s="19">
        <f>B22/($B$16*12)</f>
        <v>150401.42175438596</v>
      </c>
      <c r="C67" s="59">
        <f>B22/(C16*12)</f>
        <v>150401.42175438596</v>
      </c>
      <c r="D67" s="19">
        <f>D22/($C$16*12)</f>
        <v>51477.192982456138</v>
      </c>
      <c r="E67" s="19">
        <f>E22/($C$16*12)</f>
        <v>11204.930526315789</v>
      </c>
      <c r="F67" s="19">
        <f>F22/($C$16*12)</f>
        <v>87719.298245614031</v>
      </c>
      <c r="G67" s="7"/>
    </row>
    <row r="68" spans="1:15" ht="16.2" x14ac:dyDescent="0.35">
      <c r="A68" s="8" t="s">
        <v>35</v>
      </c>
      <c r="B68" s="19">
        <f>B23/($B$17*12)</f>
        <v>164348.97593701998</v>
      </c>
      <c r="C68" s="59">
        <f>B23/(C17*12)</f>
        <v>164348.97593701998</v>
      </c>
      <c r="D68" s="19">
        <f>D23/($C$17*12)</f>
        <v>58159.150364823341</v>
      </c>
      <c r="E68" s="19">
        <f>E23/($C$17*12)</f>
        <v>10311.602188940093</v>
      </c>
      <c r="F68" s="19">
        <f>F23/($C$17*12)</f>
        <v>95878.22338325654</v>
      </c>
      <c r="O68" s="39"/>
    </row>
    <row r="69" spans="1:15" ht="15.6" x14ac:dyDescent="0.35">
      <c r="A69" s="8" t="s">
        <v>29</v>
      </c>
      <c r="B69" s="16">
        <f>(B68/B67)*B51</f>
        <v>104.47094680911964</v>
      </c>
      <c r="C69" s="58">
        <f>(C68/C67)*C51</f>
        <v>99.841519167983222</v>
      </c>
      <c r="D69" s="16"/>
      <c r="E69" s="16"/>
      <c r="F69" s="16"/>
      <c r="G69" s="5"/>
    </row>
    <row r="70" spans="1:15" ht="15.6" x14ac:dyDescent="0.35">
      <c r="A70" s="17" t="s">
        <v>47</v>
      </c>
      <c r="B70" s="16">
        <f>B22/($B$16)</f>
        <v>1804817.0610526316</v>
      </c>
      <c r="C70" s="58">
        <f>B22/C16</f>
        <v>1804817.0610526316</v>
      </c>
      <c r="D70" s="16">
        <f>D22/($C$16)</f>
        <v>617726.31578947371</v>
      </c>
      <c r="E70" s="16">
        <f t="shared" ref="E70" si="14">E22/($C$16)</f>
        <v>134459.16631578948</v>
      </c>
      <c r="F70" s="16">
        <f>F22/($C$16)</f>
        <v>1052631.5789473683</v>
      </c>
      <c r="G70" s="5"/>
    </row>
    <row r="71" spans="1:15" ht="15.6" x14ac:dyDescent="0.35">
      <c r="A71" s="17" t="s">
        <v>48</v>
      </c>
      <c r="B71" s="16">
        <f>B23/($B$17)</f>
        <v>1972187.7112442397</v>
      </c>
      <c r="C71" s="58">
        <f>B23/C17</f>
        <v>1972187.7112442397</v>
      </c>
      <c r="D71" s="16">
        <f>D23/($C$17)</f>
        <v>697909.80437788006</v>
      </c>
      <c r="E71" s="16">
        <f t="shared" ref="E71" si="15">E23/($C$17)</f>
        <v>123739.22626728112</v>
      </c>
      <c r="F71" s="16">
        <f>F23/($C$17)</f>
        <v>1150538.6805990785</v>
      </c>
      <c r="G71" s="5"/>
    </row>
    <row r="72" spans="1:15" ht="15.6" x14ac:dyDescent="0.35">
      <c r="A72" s="8"/>
      <c r="B72" s="16"/>
      <c r="C72" s="16"/>
      <c r="D72" s="16"/>
      <c r="E72" s="16"/>
      <c r="F72" s="16"/>
      <c r="G72" s="5"/>
    </row>
    <row r="73" spans="1:15" ht="15.6" x14ac:dyDescent="0.35">
      <c r="A73" s="9" t="s">
        <v>30</v>
      </c>
      <c r="B73" s="16"/>
      <c r="C73" s="16"/>
      <c r="D73" s="16"/>
      <c r="E73" s="16"/>
      <c r="F73" s="16"/>
      <c r="G73" s="5"/>
    </row>
    <row r="74" spans="1:15" ht="15.6" x14ac:dyDescent="0.35">
      <c r="A74" s="8" t="s">
        <v>31</v>
      </c>
      <c r="B74" s="16">
        <f>(B29/B28)*100</f>
        <v>99.999994535092725</v>
      </c>
      <c r="C74" s="16"/>
      <c r="D74" s="16"/>
      <c r="E74" s="16"/>
      <c r="F74" s="16"/>
      <c r="G74" s="5"/>
    </row>
    <row r="75" spans="1:15" ht="15.6" x14ac:dyDescent="0.35">
      <c r="A75" s="8" t="s">
        <v>32</v>
      </c>
      <c r="B75" s="16">
        <f>(B23/B29)*100</f>
        <v>99.841524624229976</v>
      </c>
      <c r="C75" s="16"/>
      <c r="D75" s="16"/>
      <c r="E75" s="16"/>
      <c r="F75" s="16"/>
      <c r="G75" s="5"/>
    </row>
    <row r="76" spans="1:15" ht="16.2" thickBot="1" x14ac:dyDescent="0.4">
      <c r="A76" s="18"/>
      <c r="B76" s="18"/>
      <c r="C76" s="18"/>
      <c r="D76" s="18"/>
      <c r="E76" s="18"/>
      <c r="F76" s="18"/>
    </row>
    <row r="77" spans="1:15" ht="16.2" thickTop="1" x14ac:dyDescent="0.3">
      <c r="A77" s="82" t="s">
        <v>84</v>
      </c>
      <c r="B77" s="82"/>
      <c r="C77" s="82"/>
      <c r="D77" s="82"/>
      <c r="E77" s="82"/>
      <c r="F77" s="8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2012-03-15T15:44:58Z</dcterms:created>
  <dcterms:modified xsi:type="dcterms:W3CDTF">2026-01-03T12:37:57Z</dcterms:modified>
</cp:coreProperties>
</file>